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Videos" sheetId="2" r:id="rId5"/>
    <sheet state="visible" name="Channels" sheetId="3" r:id="rId6"/>
  </sheets>
  <definedNames>
    <definedName hidden="1" localSheetId="2" name="Z_8B5C86B2_AF48_4DB1_8BA4_F95A01AB89A2_.wvu.FilterData">Channels!$A$1:$F$477</definedName>
    <definedName hidden="1" localSheetId="1" name="Z_BE681E49_2728_43E1_B378_6F34BCBA6792_.wvu.FilterData">Videos!$A$1:$L$7488</definedName>
    <definedName hidden="1" localSheetId="1" name="Z_99C4449D_9F47_4A4A_8EEC_1E241A674712_.wvu.FilterData">Videos!$A$1:$L$7488</definedName>
    <definedName hidden="1" localSheetId="2" name="Z_D544782B_2758_4EB5_8A5E_ED8F7150460C_.wvu.FilterData">Channels!$A$1:$F$477</definedName>
    <definedName hidden="1" localSheetId="1" name="Z_C954CD59_645F_44BA_9A7B_7E90049F6C4B_.wvu.FilterData">Videos!$A$1:$L$7488</definedName>
    <definedName hidden="1" localSheetId="1" name="Z_1A2C8D44_5997_4A6A_8ABD_7472B109A3B6_.wvu.FilterData">Videos!$A$1:$L$7488</definedName>
  </definedNames>
  <calcPr/>
  <customWorkbookViews>
    <customWorkbookView activeSheetId="0" maximized="1" windowHeight="0" windowWidth="0" guid="{C954CD59-645F-44BA-9A7B-7E90049F6C4B}" name="Written Cantonese Subs, Longest Sub First"/>
    <customWorkbookView activeSheetId="0" maximized="1" windowHeight="0" windowWidth="0" guid="{99C4449D-9F47-4A4A-8EEC-1E241A674712}" name="Written Cantonese Subs, Longest Video First"/>
    <customWorkbookView activeSheetId="0" maximized="1" windowHeight="0" windowWidth="0" guid="{1A2C8D44-5997-4A6A-8ABD-7472B109A3B6}" name="Group By Channel, Newest Video First"/>
    <customWorkbookView activeSheetId="0" maximized="1" windowHeight="0" windowWidth="0" guid="{BE681E49-2728-43E1-B378-6F34BCBA6792}" name="Written Cantonese Subs, Newest Video First"/>
    <customWorkbookView activeSheetId="0" maximized="1" windowHeight="0" windowWidth="0" guid="{D544782B-2758-4EB5-8A5E-ED8F7150460C}" name="Most Written Cantonese Subs First"/>
    <customWorkbookView activeSheetId="0" maximized="1" windowHeight="0" windowWidth="0" guid="{8B5C86B2-AF48-4DB1-8BA4-F95A01AB89A2}" name="Most Videos First"/>
  </customWorkbookViews>
</workbook>
</file>

<file path=xl/sharedStrings.xml><?xml version="1.0" encoding="utf-8"?>
<sst xmlns="http://schemas.openxmlformats.org/spreadsheetml/2006/main" count="39020" uniqueCount="8194">
  <si>
    <t>How To Use</t>
  </si>
  <si>
    <r>
      <rPr>
        <rFont val="Arial"/>
        <color theme="1"/>
        <sz val="10.0"/>
      </rPr>
      <t xml:space="preserve">This project aims to make discovery of Cantonese content on YouTube that is suitable for language learning as simple and accessible as possible. The spreadsheet is broken up into three tabs:
</t>
    </r>
    <r>
      <rPr>
        <rFont val="Arial"/>
        <b/>
        <color theme="1"/>
        <sz val="10.0"/>
      </rPr>
      <t>Introduction</t>
    </r>
    <r>
      <rPr>
        <rFont val="Arial"/>
        <color theme="1"/>
        <sz val="10.0"/>
      </rPr>
      <t xml:space="preserve"> - (this tab) instructions on how the rest of the spreadsheet is laid out
</t>
    </r>
    <r>
      <rPr>
        <rFont val="Arial"/>
        <b/>
        <color theme="1"/>
        <sz val="10.0"/>
      </rPr>
      <t>Videos</t>
    </r>
    <r>
      <rPr>
        <rFont val="Arial"/>
        <color theme="1"/>
        <sz val="10.0"/>
      </rPr>
      <t xml:space="preserve"> - the full list of all videos that have been indexed by this project to date
</t>
    </r>
    <r>
      <rPr>
        <rFont val="Arial"/>
        <b/>
        <color theme="1"/>
        <sz val="10.0"/>
      </rPr>
      <t>Channels</t>
    </r>
    <r>
      <rPr>
        <rFont val="Arial"/>
        <color theme="1"/>
        <sz val="10.0"/>
      </rPr>
      <t xml:space="preserve"> - the full list of channels that have been indexed by this project to date</t>
    </r>
  </si>
  <si>
    <t>Stats</t>
  </si>
  <si>
    <t>Feedback</t>
  </si>
  <si>
    <t>Videos</t>
  </si>
  <si>
    <t>SWC Subs</t>
  </si>
  <si>
    <t>Written Subs</t>
  </si>
  <si>
    <r>
      <rPr>
        <sz val="10.0"/>
      </rPr>
      <t xml:space="preserve">Email rtveitch@gmail.com or message rtveitch on the </t>
    </r>
    <r>
      <rPr>
        <color rgb="FF1155CC"/>
        <sz val="10.0"/>
        <u/>
      </rPr>
      <t>Cantonese Refold</t>
    </r>
    <r>
      <rPr>
        <sz val="10.0"/>
      </rPr>
      <t xml:space="preserve"> Discord Server 
- new channel and video suggestions
- issues</t>
    </r>
  </si>
  <si>
    <t>Videos Tab</t>
  </si>
  <si>
    <t>Columns</t>
  </si>
  <si>
    <t>The following columns are available for each video in the Videos tab</t>
  </si>
  <si>
    <t>Column</t>
  </si>
  <si>
    <t>Description</t>
  </si>
  <si>
    <t>channel_id</t>
  </si>
  <si>
    <t>the id of the channel the video belongs to; this column is hidden by default</t>
  </si>
  <si>
    <t>channel</t>
  </si>
  <si>
    <t>the name of the channel the video belongs to</t>
  </si>
  <si>
    <t>id</t>
  </si>
  <si>
    <t>the video's id; this column is hidden by default</t>
  </si>
  <si>
    <t>title</t>
  </si>
  <si>
    <t>this video's name</t>
  </si>
  <si>
    <t>upload_date</t>
  </si>
  <si>
    <r>
      <rPr>
        <rFont val="Arial"/>
        <color theme="1"/>
      </rPr>
      <t xml:space="preserve">this video's upload date in </t>
    </r>
    <r>
      <rPr>
        <rFont val="Courier New"/>
        <color theme="1"/>
      </rPr>
      <t>yyyy-mm-dd</t>
    </r>
    <r>
      <rPr>
        <rFont val="Arial"/>
        <color theme="1"/>
      </rPr>
      <t xml:space="preserve"> format</t>
    </r>
  </si>
  <si>
    <t>duration</t>
  </si>
  <si>
    <t>the video's length, in seconds</t>
  </si>
  <si>
    <t>chinese</t>
  </si>
  <si>
    <r>
      <rPr>
        <rFont val="Courier New"/>
        <color theme="1"/>
      </rPr>
      <t>Y</t>
    </r>
    <r>
      <rPr>
        <rFont val="Arial"/>
        <color theme="1"/>
      </rPr>
      <t xml:space="preserve"> if the video contains at least one Chinese subtitle track; blank otherwise</t>
    </r>
  </si>
  <si>
    <t>swc</t>
  </si>
  <si>
    <r>
      <rPr>
        <rFont val="Courier New"/>
        <color theme="1"/>
      </rPr>
      <t>Y</t>
    </r>
    <r>
      <rPr>
        <rFont val="Arial"/>
        <color theme="1"/>
      </rPr>
      <t xml:space="preserve"> if the video contains at least one Standard Written Chinese (書面語) subtitle track; blank otherwise</t>
    </r>
  </si>
  <si>
    <t>written</t>
  </si>
  <si>
    <r>
      <rPr>
        <rFont val="Courier New"/>
        <color theme="1"/>
      </rPr>
      <t>Y</t>
    </r>
    <r>
      <rPr>
        <rFont val="Arial"/>
        <color theme="1"/>
      </rPr>
      <t xml:space="preserve"> if the video contains at least one Written Cantonese (口語) subtitle track; blank otherwise</t>
    </r>
  </si>
  <si>
    <t>length_chinese</t>
  </si>
  <si>
    <r>
      <rPr>
        <rFont val="Arial"/>
        <color theme="1"/>
      </rPr>
      <t xml:space="preserve">the length (in characters) for the longest Chinese subtitle track for the video; </t>
    </r>
    <r>
      <rPr>
        <rFont val="Courier New"/>
        <color theme="1"/>
      </rPr>
      <t>0</t>
    </r>
    <r>
      <rPr>
        <rFont val="Arial"/>
        <color theme="1"/>
      </rPr>
      <t xml:space="preserve"> if no Chinese subtitle track exists</t>
    </r>
  </si>
  <si>
    <t>percent_chinese</t>
  </si>
  <si>
    <r>
      <rPr>
        <rFont val="Arial"/>
        <color theme="1"/>
      </rPr>
      <t xml:space="preserve">the percentage of the subtitle track that is in Chinese, for the Chinese subtitle track with the highest percentage of Chinese; </t>
    </r>
    <r>
      <rPr>
        <rFont val="Courier New"/>
        <color theme="1"/>
      </rPr>
      <t>0</t>
    </r>
    <r>
      <rPr>
        <rFont val="Arial"/>
        <color theme="1"/>
      </rPr>
      <t xml:space="preserve"> if no Chinese subtitle track exists</t>
    </r>
  </si>
  <si>
    <t>subtitles</t>
  </si>
  <si>
    <r>
      <rPr>
        <rFont val="Arial"/>
        <color theme="1"/>
      </rPr>
      <t xml:space="preserve">the full list of subtitle tracks the video contains; multiple tracks are separated by </t>
    </r>
    <r>
      <rPr>
        <rFont val="Courier New"/>
        <color theme="1"/>
      </rPr>
      <t>|</t>
    </r>
    <r>
      <rPr>
        <rFont val="Arial"/>
        <color theme="1"/>
      </rPr>
      <t xml:space="preserve">, e.g. </t>
    </r>
    <r>
      <rPr>
        <rFont val="Courier New"/>
        <color theme="1"/>
      </rPr>
      <t>en|zh-HK|yue</t>
    </r>
  </si>
  <si>
    <t>Common Queries</t>
  </si>
  <si>
    <t>Given that the collection of videos is quite large, most users will wish to browse a subset of the collection based on some filter and sort criteria. A few queries have been pre-created for your convenience:</t>
  </si>
  <si>
    <r>
      <rPr>
        <color rgb="FF1155CC"/>
        <u/>
      </rPr>
      <t>Group By Channel, Newest Video First</t>
    </r>
    <r>
      <rPr/>
      <t xml:space="preserve"> - discover a new channel you didn't know about before</t>
    </r>
  </si>
  <si>
    <r>
      <rPr>
        <color rgb="FF1155CC"/>
        <u/>
      </rPr>
      <t>Written Cantonese Subs, Longest Sub First</t>
    </r>
    <r>
      <rPr>
        <color rgb="FF000000"/>
        <u/>
      </rPr>
      <t xml:space="preserve"> - get in some solid reading practice during a longer study session</t>
    </r>
  </si>
  <si>
    <r>
      <rPr>
        <color rgb="FF1155CC"/>
        <u/>
      </rPr>
      <t>Written Cantonese Subs, Longest Video First</t>
    </r>
    <r>
      <rPr>
        <color rgb="FF000000"/>
        <u/>
      </rPr>
      <t xml:space="preserve"> - set it and forget it, these videos can easily be played in the background</t>
    </r>
  </si>
  <si>
    <r>
      <rPr>
        <rFont val="Arial"/>
        <color rgb="FF1155CC"/>
        <u/>
      </rPr>
      <t>Written Cantonese Subs, Newest Video First</t>
    </r>
    <r>
      <rPr>
        <rFont val="Arial"/>
        <color rgb="FF000000"/>
      </rPr>
      <t xml:space="preserve"> - tired of infinite netflix scroll? Use this filter and watch the very first video that shows up, no thinking required</t>
    </r>
  </si>
  <si>
    <r>
      <rPr>
        <rFont val="Arial"/>
        <color theme="1"/>
      </rPr>
      <t xml:space="preserve">To access these filter views from the Videos tab, click
</t>
    </r>
    <r>
      <rPr>
        <rFont val="Courier New"/>
        <color theme="1"/>
      </rPr>
      <t xml:space="preserve">  Data -&gt; Filter Views -&gt; (Name of Filter View)</t>
    </r>
    <r>
      <rPr>
        <rFont val="Arial"/>
        <color theme="1"/>
      </rPr>
      <t xml:space="preserve">.
To dismiss the filter view and return to the full video listing, click the </t>
    </r>
    <r>
      <rPr>
        <rFont val="Courier New"/>
        <color theme="1"/>
      </rPr>
      <t>X</t>
    </r>
    <r>
      <rPr>
        <rFont val="Arial"/>
        <color theme="1"/>
      </rPr>
      <t xml:space="preserve"> in the upper right corner of the filter view header</t>
    </r>
  </si>
  <si>
    <t>Custom Queries</t>
  </si>
  <si>
    <r>
      <rPr/>
      <t xml:space="preserve">To write your own queries, click the "Create a filter" button and select the columns of interest to filter and/or sort. See </t>
    </r>
    <r>
      <rPr>
        <color rgb="FF1155CC"/>
        <u/>
      </rPr>
      <t>Sort &amp; filter your data</t>
    </r>
    <r>
      <rPr/>
      <t xml:space="preserve"> for more details</t>
    </r>
  </si>
  <si>
    <t>Channels Tab</t>
  </si>
  <si>
    <t>The following columns are available for each channel in the Channels tab</t>
  </si>
  <si>
    <t>the id of the channel; this column is hidden by default</t>
  </si>
  <si>
    <t>the name of the channel</t>
  </si>
  <si>
    <t>videos</t>
  </si>
  <si>
    <t>the number of videos indexed for this channel</t>
  </si>
  <si>
    <t>the number of videos containing at least one Chinese subtitle track for the channel</t>
  </si>
  <si>
    <t>the number of videos containing at least one Standard Written Chinese (書面語) subtitle track for the channel</t>
  </si>
  <si>
    <t>the number of videos containing at least one Written Cantonese (口語) subtitle track for the channel</t>
  </si>
  <si>
    <r>
      <rPr>
        <color rgb="FF1155CC"/>
        <sz val="10.0"/>
        <u/>
      </rPr>
      <t>Most Videos First</t>
    </r>
    <r>
      <rPr>
        <sz val="10.0"/>
      </rPr>
      <t xml:space="preserve"> - most prolific channel</t>
    </r>
  </si>
  <si>
    <r>
      <rPr>
        <color rgb="FF1155CC"/>
        <sz val="10.0"/>
        <u/>
      </rPr>
      <t>Most Written Cantonese Subs First</t>
    </r>
    <r>
      <rPr>
        <sz val="10.0"/>
      </rPr>
      <t xml:space="preserve"> - channel with the most accesible videos for Cantonese learners</t>
    </r>
  </si>
  <si>
    <t>Sources</t>
  </si>
  <si>
    <r>
      <rPr>
        <color rgb="FF1155CC"/>
        <sz val="10.0"/>
        <u/>
      </rPr>
      <t>Cantonese Refold</t>
    </r>
    <r>
      <rPr>
        <sz val="10.0"/>
      </rPr>
      <t xml:space="preserve"> Discord Server
zKing's</t>
    </r>
    <r>
      <rPr>
        <color rgb="FF000000"/>
        <sz val="10.0"/>
      </rPr>
      <t xml:space="preserve"> </t>
    </r>
    <r>
      <rPr>
        <color rgb="FF1155CC"/>
        <sz val="10.0"/>
        <u/>
      </rPr>
      <t>Cantonese with spoken form soft subtitles/transcript</t>
    </r>
    <r>
      <rPr>
        <sz val="10.0"/>
      </rPr>
      <t xml:space="preserve"> playlist
</t>
    </r>
    <r>
      <rPr>
        <color rgb="FF1155CC"/>
        <sz val="10.0"/>
        <u/>
      </rPr>
      <t>youglish.com</t>
    </r>
  </si>
  <si>
    <t>Tools</t>
  </si>
  <si>
    <r>
      <rPr>
        <color rgb="FF1155CC"/>
        <u/>
      </rPr>
      <t>yt-dlp</t>
    </r>
    <r>
      <rPr/>
      <t xml:space="preserve"> - a command line tool for downloading videos/subtitles from YouTube and other sites</t>
    </r>
  </si>
  <si>
    <t>UCJ4XVrJuqKHbc9yF9oUFseg</t>
  </si>
  <si>
    <t>cvORaIj9QWM</t>
  </si>
  <si>
    <t>Y</t>
  </si>
  <si>
    <t>zh-HK</t>
  </si>
  <si>
    <t>AM-o74xhKg0</t>
  </si>
  <si>
    <t>zh-HK|zh-Hant</t>
  </si>
  <si>
    <t>UC7U6-j2DrKRIKXmPo4kE7YA</t>
  </si>
  <si>
    <t>cwspYhZf5b0</t>
  </si>
  <si>
    <t>UCoVycxbCXEsd-mrP83EqVWQ</t>
  </si>
  <si>
    <t>AOpHSdPpmag</t>
  </si>
  <si>
    <t>UCXTE-gQCetfrx_lC9yFM2aw</t>
  </si>
  <si>
    <t>BBK6ioVe9og</t>
  </si>
  <si>
    <t>en|en-GB|zh-HK|zh-TW</t>
  </si>
  <si>
    <t>UCO_5XP-qd-udNxBlzzSzgvw</t>
  </si>
  <si>
    <t>d-iV8XpjVZE</t>
  </si>
  <si>
    <t>en|id|ja|zh-CN|zh-HK|zh-TW</t>
  </si>
  <si>
    <t>AV4Bbfq0JK4</t>
  </si>
  <si>
    <t>UCXnWjmQ8BDE0sDIeZLK5yJg</t>
  </si>
  <si>
    <t>B-hXFYVmf7Q</t>
  </si>
  <si>
    <t>en|zh-HK|zh-Hant</t>
  </si>
  <si>
    <t>d3FrcsH5wN0</t>
  </si>
  <si>
    <t>UC6C2hkbggXIgapf5jn_V2Dw</t>
  </si>
  <si>
    <t>AWYZty41Q-g</t>
  </si>
  <si>
    <t>UCs6fW24aVjefTsognevmDnA</t>
  </si>
  <si>
    <t>5OxAfb9VYd4</t>
  </si>
  <si>
    <t>zh-HK|zh-TW</t>
  </si>
  <si>
    <t>d4g0HkwBgS8</t>
  </si>
  <si>
    <t>en|yue-HK|zh-CN|zh-HK</t>
  </si>
  <si>
    <t>UClc7lRdOhLxh3orjosY1R7g</t>
  </si>
  <si>
    <t>d4j9ZrJ-t_Y</t>
  </si>
  <si>
    <t>zh-Hant</t>
  </si>
  <si>
    <t>CzArrk2ed9o</t>
  </si>
  <si>
    <t>dAvGRc6khn0</t>
  </si>
  <si>
    <t>UCT_dMyI3pNselsmfR6FC8tQ</t>
  </si>
  <si>
    <t>d64VjNl2CQQ</t>
  </si>
  <si>
    <t>UCGtyHJ-L_4RDIHe3XaLofQQ</t>
  </si>
  <si>
    <t>AZwZOl3S6mw</t>
  </si>
  <si>
    <t>UCrquuQB6v1Ued2xyRKZreGQ</t>
  </si>
  <si>
    <t>5QNxYvdhC0s</t>
  </si>
  <si>
    <t>UCcmzcWlA96HTGm18VhgtVkg</t>
  </si>
  <si>
    <t>dAh1md0Y9fk</t>
  </si>
  <si>
    <t>yue-HK</t>
  </si>
  <si>
    <t>UCTVpvSswSER2sq1USBTGfnw</t>
  </si>
  <si>
    <t>dsr1_ri1F-c</t>
  </si>
  <si>
    <t>en|yue</t>
  </si>
  <si>
    <t>UC9jW6WpsAPgh-9HqDTvkFzg</t>
  </si>
  <si>
    <t>5Su2Ezz9kGI</t>
  </si>
  <si>
    <t>UCZL6QN6Xs-ZrKY3y6Pv6Emg</t>
  </si>
  <si>
    <t>5UhQY_o8CTI</t>
  </si>
  <si>
    <t>UCyVByegAj5lQHPmoJRj26vg</t>
  </si>
  <si>
    <t>dBstGkEPM0o</t>
  </si>
  <si>
    <t>UCW_n_gfIv4HhRqCk8EnRhJA</t>
  </si>
  <si>
    <t>B58UkyEBLlM</t>
  </si>
  <si>
    <t>Ab9Ovm6QY5o</t>
  </si>
  <si>
    <t>dFNxTQ5D-iQ</t>
  </si>
  <si>
    <t>5Wl9kYg_210</t>
  </si>
  <si>
    <t>dFxZ5OP-dX4</t>
  </si>
  <si>
    <t>UCHrgHYFc5KShMJDZNsDZh4g</t>
  </si>
  <si>
    <t>AeHlrFLbra0</t>
  </si>
  <si>
    <t>en|zh-HK|zh-TW</t>
  </si>
  <si>
    <t>UC-2hWXRgCg-o5Waz36Yt7BA</t>
  </si>
  <si>
    <t>dIntTFPGtT4</t>
  </si>
  <si>
    <t>Ak1O8QO2POo</t>
  </si>
  <si>
    <t>UCg0vuSE0fBF_NvodyYhMcWg</t>
  </si>
  <si>
    <t>5ZL8sqKQknU</t>
  </si>
  <si>
    <t>dMU3GdXTU3g</t>
  </si>
  <si>
    <t>UC97oYK3XMf9RLtkc0lO8C-Q</t>
  </si>
  <si>
    <t>5ZYjhJOQx6E</t>
  </si>
  <si>
    <t>UCBbTnorwzva0ZIMGW0ttwVA</t>
  </si>
  <si>
    <t>Am7nG_2cC6g</t>
  </si>
  <si>
    <t>UCUYkVCKAdb9W7bdYz4qknHA</t>
  </si>
  <si>
    <t>5SVOIH9i8nE</t>
  </si>
  <si>
    <t>l8B1u3HoULQ</t>
  </si>
  <si>
    <t>U3tEs4XAcL4</t>
  </si>
  <si>
    <t>yue-Hant-anMIXjicSL4</t>
  </si>
  <si>
    <t>b3r4brK_LWQ</t>
  </si>
  <si>
    <t>1F8s_cXFGs0</t>
  </si>
  <si>
    <t>TIiaPDdNF98</t>
  </si>
  <si>
    <t>uI4Pw4QtgRM</t>
  </si>
  <si>
    <t>UCHK0CZf9HEXs42qIO1GUouA</t>
  </si>
  <si>
    <t>AqMoDn4z0FM</t>
  </si>
  <si>
    <t>a6ugJlZJpjc</t>
  </si>
  <si>
    <t>ycy6vE2GjkI</t>
  </si>
  <si>
    <t>nLh4hJ76c6s</t>
  </si>
  <si>
    <t>0a84cc3JvcU</t>
  </si>
  <si>
    <t>SIloMj6spKs</t>
  </si>
  <si>
    <t>qhCVSdD4HBU</t>
  </si>
  <si>
    <t>uzPAqU3D9Jo</t>
  </si>
  <si>
    <t>fNtllf3zkCY</t>
  </si>
  <si>
    <t>84mnQKjo4dg</t>
  </si>
  <si>
    <t>WQkYTgBOLa0</t>
  </si>
  <si>
    <t>lje0Rgzqc28</t>
  </si>
  <si>
    <t>HQCfS3TWje8</t>
  </si>
  <si>
    <t>-qQnJmI-M_Q</t>
  </si>
  <si>
    <t>_bOahjuCqIs</t>
  </si>
  <si>
    <t>qwQZnM8bOBQ</t>
  </si>
  <si>
    <t>lsCCSveANaI</t>
  </si>
  <si>
    <t>hLY2GbUrmns</t>
  </si>
  <si>
    <t>H6Ju6HjRyFU</t>
  </si>
  <si>
    <t>Hh-zs1_hTNc</t>
  </si>
  <si>
    <t>UK3ZZchAF-o</t>
  </si>
  <si>
    <t>ykweg7GNkhQ</t>
  </si>
  <si>
    <t>8GaYhrfEZ4c</t>
  </si>
  <si>
    <t>I1Bm_BW1wXs</t>
  </si>
  <si>
    <t>L68qYFN2XiE</t>
  </si>
  <si>
    <t>mKMaaTSIZeU</t>
  </si>
  <si>
    <t>53Keg7PTsYM</t>
  </si>
  <si>
    <t>lPUPAag-wMk</t>
  </si>
  <si>
    <t>66-Vnd75uSc</t>
  </si>
  <si>
    <t>yue-HK|yue-Hant-anMIXjicSL4</t>
  </si>
  <si>
    <t>ganrYTtLtPc</t>
  </si>
  <si>
    <t>pCQJYljZhHk</t>
  </si>
  <si>
    <t>WIkKzNYW-k0</t>
  </si>
  <si>
    <t>qjMNAlzy6-w</t>
  </si>
  <si>
    <t>DO-9SLItV3E</t>
  </si>
  <si>
    <t>gW6qAQOkSDs</t>
  </si>
  <si>
    <t>gPWJfoxOiP0</t>
  </si>
  <si>
    <t>6o6_QLOdQHw</t>
  </si>
  <si>
    <t>zh-Hant-anMIXjicSL4</t>
  </si>
  <si>
    <t>Rm-BUJ5M_mw</t>
  </si>
  <si>
    <t>m_4Qymcx684</t>
  </si>
  <si>
    <t>Lk3EZLJe-hM</t>
  </si>
  <si>
    <t>5tcQe_PZhzo</t>
  </si>
  <si>
    <t>urNUzttzg0M</t>
  </si>
  <si>
    <t>3eJ3LqyUKxw</t>
  </si>
  <si>
    <t>tQ9uyZtxduM</t>
  </si>
  <si>
    <t>OCD2odCoYfQ</t>
  </si>
  <si>
    <t>_WqsEyFM3h4</t>
  </si>
  <si>
    <t>hYIhSTSt05Y</t>
  </si>
  <si>
    <t>vFU3NOOiNjs</t>
  </si>
  <si>
    <t>iLFkhdZLBLk</t>
  </si>
  <si>
    <t>Sh9R0BiL330</t>
  </si>
  <si>
    <t>hGzs-RZgGoo</t>
  </si>
  <si>
    <t>eURyBULfxJI</t>
  </si>
  <si>
    <t>PFgB4ezK-FY</t>
  </si>
  <si>
    <t>FEWXfq9wNco</t>
  </si>
  <si>
    <t>zOKy7DJCUSU</t>
  </si>
  <si>
    <t>2SKLd8HioNU</t>
  </si>
  <si>
    <t>MuR5vSWQOGI</t>
  </si>
  <si>
    <t>6qx1pocJOvI</t>
  </si>
  <si>
    <t>IUXm999yPsg</t>
  </si>
  <si>
    <t>r_G9QW0H6fc</t>
  </si>
  <si>
    <t>tap9Bm61F8s</t>
  </si>
  <si>
    <t>qY6VC0DUpBM</t>
  </si>
  <si>
    <t>SL0J23CNSBE</t>
  </si>
  <si>
    <t>yue-HK|zh-Hant-anMIXjicSL4</t>
  </si>
  <si>
    <t>UCMDQ0yBIh37t3Nm-mnMODCA</t>
  </si>
  <si>
    <t>mKn0kZBD1Vs</t>
  </si>
  <si>
    <t>0PCtpqrStFk</t>
  </si>
  <si>
    <t>qcAB65oQ7r4</t>
  </si>
  <si>
    <t>UkZLYokPuY4</t>
  </si>
  <si>
    <t>OnQzvAjXEus</t>
  </si>
  <si>
    <t>VxuPtCTUiMA</t>
  </si>
  <si>
    <t>xa8Y4teNOOA</t>
  </si>
  <si>
    <t>81kaZG7qyz0</t>
  </si>
  <si>
    <t>3aWidnUkJcU</t>
  </si>
  <si>
    <t>UCXKg0qPRz32bs5Z4mTGF3TQ</t>
  </si>
  <si>
    <t>Awzs8IHECqo</t>
  </si>
  <si>
    <t>UC9_PnptBIpNF0JXbJjd8TsQ</t>
  </si>
  <si>
    <t>B21D39mv73o</t>
  </si>
  <si>
    <t>UCBgWgQyEb5eTzvh4lLcuipQ</t>
  </si>
  <si>
    <t>B56nxfnSV4U</t>
  </si>
  <si>
    <t>BDECYJ1TXAw</t>
  </si>
  <si>
    <t>BKunQjmuZeo</t>
  </si>
  <si>
    <t>BL4_cYX5QQI</t>
  </si>
  <si>
    <t>xGyMlVSE3G8</t>
  </si>
  <si>
    <t>Vaf7c7bFm58</t>
  </si>
  <si>
    <t>4F_5xz6gDng</t>
  </si>
  <si>
    <t>BSImfwVXtZQ</t>
  </si>
  <si>
    <t>BTBK3QD24Bw</t>
  </si>
  <si>
    <t>BU5NbG4kzow</t>
  </si>
  <si>
    <t>BYVH4918qno</t>
  </si>
  <si>
    <t>UCjL61vw5qtDQudezRnnv-ig</t>
  </si>
  <si>
    <t>BZqKuYhJikk</t>
  </si>
  <si>
    <t>BafHg0K_7SE</t>
  </si>
  <si>
    <t>zh|zh-HK</t>
  </si>
  <si>
    <t>Bhcdj-nP7zA</t>
  </si>
  <si>
    <t>UCSBkm4LwpgBmcA3MCtO8vqg</t>
  </si>
  <si>
    <t>5_jlxS85F60</t>
  </si>
  <si>
    <t>yue-HK|zh-HK</t>
  </si>
  <si>
    <t>BiqFXJO9U_Y</t>
  </si>
  <si>
    <t>UCZGVB6g74LXWtkR3fX50ykg</t>
  </si>
  <si>
    <t>21Lns6go9fo</t>
  </si>
  <si>
    <t>28SJdFF5TOk</t>
  </si>
  <si>
    <t>UCkZ3cOWgnhJheCK7Ywpiezw</t>
  </si>
  <si>
    <t>5a_opnQif_g</t>
  </si>
  <si>
    <t>xr4st1JFd6Q</t>
  </si>
  <si>
    <t>UCUEJok-GiWaGlv5nIPwk-GQ</t>
  </si>
  <si>
    <t>5bBCGKNK4vE</t>
  </si>
  <si>
    <t>VCTttbVpTCs</t>
  </si>
  <si>
    <t>0oCP7nZhZJo</t>
  </si>
  <si>
    <t>UCrISkBm7rgsRUAw8018eWvw</t>
  </si>
  <si>
    <t>BnI4Kk3Q3Ig</t>
  </si>
  <si>
    <t>4THNurN1yCg</t>
  </si>
  <si>
    <t>nQdS8GycRt0</t>
  </si>
  <si>
    <t>5cSlAjiAy88</t>
  </si>
  <si>
    <t>UC1u7XM2b3QCHcGOhD6nDypg</t>
  </si>
  <si>
    <t>5dolUb6YP7o</t>
  </si>
  <si>
    <t>Br5RtZEFiaM</t>
  </si>
  <si>
    <t>UC-HXOikkLx7BGEfILGIpYOg</t>
  </si>
  <si>
    <t>Buj0eaDoDwI</t>
  </si>
  <si>
    <t>BxDN1B1S95Q</t>
  </si>
  <si>
    <t>ByyNDCiIEPI</t>
  </si>
  <si>
    <t>C-094zmOpNo</t>
  </si>
  <si>
    <t>C0yvFQoaZ14</t>
  </si>
  <si>
    <t>C1Jujqu4S6Q</t>
  </si>
  <si>
    <t>UCcrhFT95jH5XqVVPyBhRbrA</t>
  </si>
  <si>
    <t>C2Wcf3qX9OI</t>
  </si>
  <si>
    <t>CDokbW9Rq4A</t>
  </si>
  <si>
    <t>CG7kakqp21s</t>
  </si>
  <si>
    <t>en|zh-CN|zh-HK</t>
  </si>
  <si>
    <t>CGtR-ARGBHI</t>
  </si>
  <si>
    <t>CKeatjaKQ94</t>
  </si>
  <si>
    <t>UC2oB9QCXs-RKtaKChrz4dKg</t>
  </si>
  <si>
    <t>CMznNNtoSXc</t>
  </si>
  <si>
    <t>en|yue-HK|zh-Hant|zh-TW</t>
  </si>
  <si>
    <t>CO3yBedryiE</t>
  </si>
  <si>
    <t>UCDoEdJo-PI-EKGNKomwLroQ</t>
  </si>
  <si>
    <t>CRJ0jyl5EZE</t>
  </si>
  <si>
    <t>CVXyNbosKJE</t>
  </si>
  <si>
    <t>C_rumeYevLk</t>
  </si>
  <si>
    <t>dQcG_cy3jNQ</t>
  </si>
  <si>
    <t>UCN-lClAD0VW6OJMMa-kuy8A</t>
  </si>
  <si>
    <t>bNpgwmM2pFQ</t>
  </si>
  <si>
    <t>UCW76wvF8SpMMPS4XD0hGQcg</t>
  </si>
  <si>
    <t>5iigWQ2jGLY</t>
  </si>
  <si>
    <t>en|yue-HK</t>
  </si>
  <si>
    <t>UCDWOYEhVnyD4IHZGVAMLc0g</t>
  </si>
  <si>
    <t>5j1TB8gI50Q</t>
  </si>
  <si>
    <t>CdAfX1f6zxQ</t>
  </si>
  <si>
    <t>UClSNJbCUCp_W4yrS3DlCmjw</t>
  </si>
  <si>
    <t>d9rM0PBoGOE</t>
  </si>
  <si>
    <t>UCXRcbXqjORdIvl63I7MtOLQ</t>
  </si>
  <si>
    <t>5lKEWotgOe8</t>
  </si>
  <si>
    <t>UCIotQRUz6c4H-BRsouLt4YQ</t>
  </si>
  <si>
    <t>5mfwLeW_OZM</t>
  </si>
  <si>
    <t>5oOp2Ha-88k</t>
  </si>
  <si>
    <t>5qFNa-MYe2M</t>
  </si>
  <si>
    <t>5qUW2q4Cauk</t>
  </si>
  <si>
    <t>5r-GV4xXNAw</t>
  </si>
  <si>
    <t>5rfL01MGPgU</t>
  </si>
  <si>
    <t>UCNAqBC6Z1HkymQ7gkG0pCOg</t>
  </si>
  <si>
    <t>xco1xSzbNLc</t>
  </si>
  <si>
    <t>A_2yD8JSTQo</t>
  </si>
  <si>
    <t>rd-cuiUnY7E</t>
  </si>
  <si>
    <t>UCMIcGwp4ssZHqz-nSbkO0yw</t>
  </si>
  <si>
    <t>oF46Q4la_eg</t>
  </si>
  <si>
    <t>O4F6Bv9n8N8</t>
  </si>
  <si>
    <t>-suVDuFFP4I</t>
  </si>
  <si>
    <t>MQYuGSYN53I</t>
  </si>
  <si>
    <t>kVusAQynSww</t>
  </si>
  <si>
    <t>5-NbHkNfR4Q</t>
  </si>
  <si>
    <t>c7vG83nQoRc</t>
  </si>
  <si>
    <t>_i0IuG_g7Ok</t>
  </si>
  <si>
    <t>kt8bECQWvMU</t>
  </si>
  <si>
    <t>NJs0NomBwa0</t>
  </si>
  <si>
    <t>qP8jvoUQxLE</t>
  </si>
  <si>
    <t>vu5QVB8T2FM</t>
  </si>
  <si>
    <t>eRcBGDmUBNM</t>
  </si>
  <si>
    <t>85wneumc2_c</t>
  </si>
  <si>
    <t>DM-5VRh3ACg</t>
  </si>
  <si>
    <t>VOf6291UMyI</t>
  </si>
  <si>
    <t>tfZIU-p_Fes</t>
  </si>
  <si>
    <t>GM_6BxX_feo</t>
  </si>
  <si>
    <t>05YtH5jhtto</t>
  </si>
  <si>
    <t>KqsHPJCU7B0</t>
  </si>
  <si>
    <t>mHby4ZK0fJg</t>
  </si>
  <si>
    <t>KKmy0pb6uvk</t>
  </si>
  <si>
    <t>cbphwmDmJIY</t>
  </si>
  <si>
    <t>NL0ou30ie-g</t>
  </si>
  <si>
    <t>_oxNXH6_CF8</t>
  </si>
  <si>
    <t>12zJeOvlDVQ</t>
  </si>
  <si>
    <t>fTu4TBQUYcQ</t>
  </si>
  <si>
    <t>sMRVjTVRJMk</t>
  </si>
  <si>
    <t>dmc8fk6aPss</t>
  </si>
  <si>
    <t>MEHjxjZp2o0</t>
  </si>
  <si>
    <t>YYoyqkx0UQU</t>
  </si>
  <si>
    <t>Npux7nTxY-M</t>
  </si>
  <si>
    <t>A03xliwualQ</t>
  </si>
  <si>
    <t>ROIb3IVfmKY</t>
  </si>
  <si>
    <t>E2o2g3wHP-0</t>
  </si>
  <si>
    <t>Z-v4-0Q6_2U</t>
  </si>
  <si>
    <t>f7MIapnARiM</t>
  </si>
  <si>
    <t>AIrOcFy1rKM</t>
  </si>
  <si>
    <t>tFJRkGZ9hwg</t>
  </si>
  <si>
    <t>4fcHktuvnKA</t>
  </si>
  <si>
    <t>dmL_Fmqa9Wc</t>
  </si>
  <si>
    <t>uHrFui_k494</t>
  </si>
  <si>
    <t>nNxCO35n980</t>
  </si>
  <si>
    <t>7fr3_LyV6lY</t>
  </si>
  <si>
    <t>j8wNwG-auFo</t>
  </si>
  <si>
    <t>ZKq91ILbD5I</t>
  </si>
  <si>
    <t>T2q1EfHPp-k</t>
  </si>
  <si>
    <t>Gjcaoe6LgZM</t>
  </si>
  <si>
    <t>_UjGj6iAVX0</t>
  </si>
  <si>
    <t>e_Z1ve5RdQA</t>
  </si>
  <si>
    <t>PpionLTO0wg</t>
  </si>
  <si>
    <t>IXmXz4KqOpk</t>
  </si>
  <si>
    <t>MXFSKJWvpTo</t>
  </si>
  <si>
    <t>gpzcIdmtxUY</t>
  </si>
  <si>
    <t>Ra9JyN4La6U</t>
  </si>
  <si>
    <t>zs2Q4HG7JUU</t>
  </si>
  <si>
    <t>ah6v5JDTuHE</t>
  </si>
  <si>
    <t>ubFkO_j8AZM</t>
  </si>
  <si>
    <t>muxTNslbh74</t>
  </si>
  <si>
    <t>ffDVMqVD69U</t>
  </si>
  <si>
    <t>rUTbnhukuFQ</t>
  </si>
  <si>
    <t>XcZuEpy0P3s</t>
  </si>
  <si>
    <t>1e2F5DIrqs4</t>
  </si>
  <si>
    <t>McZwvNIrWuk</t>
  </si>
  <si>
    <t>KM9Lr66wkX4</t>
  </si>
  <si>
    <t>mjbEEJn9fZ4</t>
  </si>
  <si>
    <t>XqSdKp1XJPQ</t>
  </si>
  <si>
    <t>0SvQ3k_F9To</t>
  </si>
  <si>
    <t>ajPWHLvMmlE</t>
  </si>
  <si>
    <t>MXEU3AARX6k</t>
  </si>
  <si>
    <t>AwhrgtSO-xg</t>
  </si>
  <si>
    <t>0Vzo9ozmQLs</t>
  </si>
  <si>
    <t>drenPD3tjTI</t>
  </si>
  <si>
    <t>n_BJoF64UhQ</t>
  </si>
  <si>
    <t>lX9v-WE6SjE</t>
  </si>
  <si>
    <t>eUyxiKK0hx8</t>
  </si>
  <si>
    <t>Oj7de9W3Xjc</t>
  </si>
  <si>
    <t>FtIZKkWZdi4</t>
  </si>
  <si>
    <t>h_KoYqOVn2M</t>
  </si>
  <si>
    <t>wRnM94EJIK0</t>
  </si>
  <si>
    <t>_-UiMtMqtgk</t>
  </si>
  <si>
    <t>YJP_cmZ2WhQ</t>
  </si>
  <si>
    <t>4jgPHOye60g</t>
  </si>
  <si>
    <t>NhuA3wiisWE</t>
  </si>
  <si>
    <t>r2__qC152SE</t>
  </si>
  <si>
    <t>bpcNBnqt8DM</t>
  </si>
  <si>
    <t>xdePbAyTDGQ</t>
  </si>
  <si>
    <t>C9VwlbtQBCE</t>
  </si>
  <si>
    <t>fyP0x8Yygdg</t>
  </si>
  <si>
    <t>ZU90DsWLYAo</t>
  </si>
  <si>
    <t>UCJapEUO27oP6sOVIZ8Ul1tw</t>
  </si>
  <si>
    <t>Hi6adGbKCpA</t>
  </si>
  <si>
    <t>WVfGgEsKhVk</t>
  </si>
  <si>
    <t>RQnle2we5eU</t>
  </si>
  <si>
    <t>VuptlP7NN7A</t>
  </si>
  <si>
    <t>1uF5_QGzhrM</t>
  </si>
  <si>
    <t>uif-pVCQIPA</t>
  </si>
  <si>
    <t>sB4hEdDrh1E</t>
  </si>
  <si>
    <t>f6wohSzjxRk</t>
  </si>
  <si>
    <t>xybdgiqUjbE</t>
  </si>
  <si>
    <t>UCJl_JouBw2qG7vbFGlKjQgA</t>
  </si>
  <si>
    <t>3rOzFUtxOHw</t>
  </si>
  <si>
    <t>W1fER0fAQP8</t>
  </si>
  <si>
    <t>UCGjN2_gFjUMQP7Ukq2U2Dkg</t>
  </si>
  <si>
    <t>WE9ZbetKL8o</t>
  </si>
  <si>
    <t>7meO9HK4AcQ</t>
  </si>
  <si>
    <t>en-GB|zh-HK|zh-TW</t>
  </si>
  <si>
    <t>UCCVn38j5xSJZN-II-TeyomA</t>
  </si>
  <si>
    <t>5xQFxQU9338</t>
  </si>
  <si>
    <t>ek9idNTOCdc</t>
  </si>
  <si>
    <t>VnAkXbWRrug</t>
  </si>
  <si>
    <t>GlUdiVgikyM</t>
  </si>
  <si>
    <t>K1_iJG1yYOs</t>
  </si>
  <si>
    <t>wtGcu7FlOk0</t>
  </si>
  <si>
    <t>bamG1hCt4R8</t>
  </si>
  <si>
    <t>liPPVOEtKBg</t>
  </si>
  <si>
    <t>aTj4Qs6M8V4</t>
  </si>
  <si>
    <t>dMpG4TVvMEs</t>
  </si>
  <si>
    <t>qO9qOOYrJgA</t>
  </si>
  <si>
    <t>en|yue-HK|zh-HK</t>
  </si>
  <si>
    <t>TCd22AZsy8M</t>
  </si>
  <si>
    <t>okh13IG9a1U</t>
  </si>
  <si>
    <t>tPG2n1NPXOQ</t>
  </si>
  <si>
    <t>RdGEFqRe5gg</t>
  </si>
  <si>
    <t>A9ZRVvLLMq4</t>
  </si>
  <si>
    <t>F1koylxVOxY</t>
  </si>
  <si>
    <t>CNLnPHP1WJ8</t>
  </si>
  <si>
    <t>yue-HK|zh-Hant</t>
  </si>
  <si>
    <t>hNE8pdQQ_3c</t>
  </si>
  <si>
    <t>kD_4KzmhlkI</t>
  </si>
  <si>
    <t>WuAPvuO5U0s</t>
  </si>
  <si>
    <t>8XOImPQDkFc</t>
  </si>
  <si>
    <t>en|yue-HK|zh-Hant</t>
  </si>
  <si>
    <t>zvIPLWwXr6Q</t>
  </si>
  <si>
    <t>IbkLWvwrEpY</t>
  </si>
  <si>
    <t>aqdQIu7Tl0Q</t>
  </si>
  <si>
    <t>ZYnop48Tprk</t>
  </si>
  <si>
    <t>en|zh-HK|zh-Hant|zh-TW</t>
  </si>
  <si>
    <t>_PCJ3LfRoRQ</t>
  </si>
  <si>
    <t>xH8me1xhfJU</t>
  </si>
  <si>
    <t>t6vNahXG-Lc</t>
  </si>
  <si>
    <t>4rZ5vl8t5w8</t>
  </si>
  <si>
    <t>MEx4e3vXUos</t>
  </si>
  <si>
    <t>X7bwx3JUS1U</t>
  </si>
  <si>
    <t>BAMMT13liDo</t>
  </si>
  <si>
    <t>av9DhzZmfPA</t>
  </si>
  <si>
    <t>UwuAZRBpm5s</t>
  </si>
  <si>
    <t>cUr0clbTvrM</t>
  </si>
  <si>
    <t>y55IPxP8LLI</t>
  </si>
  <si>
    <t>N882mxjPvFc</t>
  </si>
  <si>
    <t>a3UrbUKg4bY</t>
  </si>
  <si>
    <t>if1QE9bpTiM</t>
  </si>
  <si>
    <t>5NvNxVfB9oQ</t>
  </si>
  <si>
    <t>exooiR6OWfw</t>
  </si>
  <si>
    <t>tPFJJbabo0E</t>
  </si>
  <si>
    <t>vikWFLZLd4E</t>
  </si>
  <si>
    <t>30IMcj1W0yg</t>
  </si>
  <si>
    <t>jK2yVtYT9zA</t>
  </si>
  <si>
    <t>Pq_HmKfChNo</t>
  </si>
  <si>
    <t>rqljWNwejc4</t>
  </si>
  <si>
    <t>UCaEa-LjV-VwFJ3Flc0ndcWg</t>
  </si>
  <si>
    <t>n4ddRhggvnM</t>
  </si>
  <si>
    <t>FemA7HFLY5c</t>
  </si>
  <si>
    <t>Ui_OQaWWY8k</t>
  </si>
  <si>
    <t>Pqy8Jkmig9A</t>
  </si>
  <si>
    <t>7VLbIdPz2Y8</t>
  </si>
  <si>
    <t>jLncmnLxw4g</t>
  </si>
  <si>
    <t>CEAXi6ahVVs</t>
  </si>
  <si>
    <t>mj6yDPrQPLs</t>
  </si>
  <si>
    <t>YS3dZ3ljU0U</t>
  </si>
  <si>
    <t>JqglfSVDRaY</t>
  </si>
  <si>
    <t>7nyur45pt1I</t>
  </si>
  <si>
    <t>8uXLDz84bd4</t>
  </si>
  <si>
    <t>1NRObANJ2lw</t>
  </si>
  <si>
    <t>HscU0e7vELM</t>
  </si>
  <si>
    <t>pmArHoPE-jY</t>
  </si>
  <si>
    <t>muBLZCI5jwQ</t>
  </si>
  <si>
    <t>fU4GSavJdrA</t>
  </si>
  <si>
    <t>Cobsu03p5vk</t>
  </si>
  <si>
    <t>3T9YKA3270Y</t>
  </si>
  <si>
    <t>1YTQL96dKNM</t>
  </si>
  <si>
    <t>-fkxwIjFLdo</t>
  </si>
  <si>
    <t>Sr9shihxQIs</t>
  </si>
  <si>
    <t>loK_pX72bOc</t>
  </si>
  <si>
    <t>YN-Te33oaOc</t>
  </si>
  <si>
    <t>edF5axLbk7U</t>
  </si>
  <si>
    <t>vM-7UHH7xAo</t>
  </si>
  <si>
    <t>RQdSXnEL1SI</t>
  </si>
  <si>
    <t>3u8WdpSvn2Q</t>
  </si>
  <si>
    <t>bsMfTBa3nVk</t>
  </si>
  <si>
    <t>gOv5xU_YBmE</t>
  </si>
  <si>
    <t>WoEI6rc4q8I</t>
  </si>
  <si>
    <t>UL8ZNID_Nb8</t>
  </si>
  <si>
    <t>PNeJ8ePedv0</t>
  </si>
  <si>
    <t>UCYzXNN_GZMEbcTGx7ZBA_PA</t>
  </si>
  <si>
    <t>Rs5BJ0b8dZM</t>
  </si>
  <si>
    <t>6lW-suszZQk</t>
  </si>
  <si>
    <t>Mi5A6ipz1fM</t>
  </si>
  <si>
    <t>Zw9hJ6102R4</t>
  </si>
  <si>
    <t>6kAjdVKza9U</t>
  </si>
  <si>
    <t>RBMyKfitOCA</t>
  </si>
  <si>
    <t>ils-AfcLMmo</t>
  </si>
  <si>
    <t>aPIs42Y_HqQ</t>
  </si>
  <si>
    <t>79bP0nRC03w</t>
  </si>
  <si>
    <t>Nh93mbUvgL0</t>
  </si>
  <si>
    <t>Gi9xivl9-Rs</t>
  </si>
  <si>
    <t>N-mqZ1Mv190</t>
  </si>
  <si>
    <t>R1I_ecuAjSI</t>
  </si>
  <si>
    <t>UK9mEDQSHSA</t>
  </si>
  <si>
    <t>tlrlJFmimco</t>
  </si>
  <si>
    <t>e4B7_0nPi8I</t>
  </si>
  <si>
    <t>GnVlbwRi9Nk</t>
  </si>
  <si>
    <t>LsM-I-5vQHE</t>
  </si>
  <si>
    <t>JF1d3xWehGk</t>
  </si>
  <si>
    <t>en|zh-HK</t>
  </si>
  <si>
    <t>OgBPo7D9Z1o</t>
  </si>
  <si>
    <t>veNSiZm9DnQ</t>
  </si>
  <si>
    <t>_TsORyMlbE4</t>
  </si>
  <si>
    <t>S1MBLXaeeUY</t>
  </si>
  <si>
    <t>SiumlSjlgsU</t>
  </si>
  <si>
    <t>UC7knZNnVYcw_9_zQ3PGOoGw</t>
  </si>
  <si>
    <t>KY-iNwOJhHs</t>
  </si>
  <si>
    <t>YosXwYjJ_s4</t>
  </si>
  <si>
    <t>HMuQk56GxGA</t>
  </si>
  <si>
    <t>-fWcgSvjlLg</t>
  </si>
  <si>
    <t>lZt4x0fDxyA</t>
  </si>
  <si>
    <t>C7TbZlhwP38</t>
  </si>
  <si>
    <t>3kJL6WIj-dQ</t>
  </si>
  <si>
    <t>QlVVzuiN3-s</t>
  </si>
  <si>
    <t>OcYMVR8w4Wk</t>
  </si>
  <si>
    <t>13NOGrujWCc</t>
  </si>
  <si>
    <t>xaEhfjkPFfM</t>
  </si>
  <si>
    <t>dCZVuiYgSLo</t>
  </si>
  <si>
    <t>NRvFjQ4qwPQ</t>
  </si>
  <si>
    <t>OyadiCvAxXE</t>
  </si>
  <si>
    <t>ez193w2RsB8</t>
  </si>
  <si>
    <t>Cqmr7orydEk</t>
  </si>
  <si>
    <t>tVpyAzGOvOg</t>
  </si>
  <si>
    <t>uVfzF2PnIjE</t>
  </si>
  <si>
    <t>-AxX7pczB7I</t>
  </si>
  <si>
    <t>xzCscg5zArE</t>
  </si>
  <si>
    <t>74R7TFLiJGo</t>
  </si>
  <si>
    <t>UuYjTOu42XQ</t>
  </si>
  <si>
    <t>rmUnezwZF2c</t>
  </si>
  <si>
    <t>X5JF_hDln8s</t>
  </si>
  <si>
    <t>xIf6yPGARjc</t>
  </si>
  <si>
    <t>sTqNXpOnyjI</t>
  </si>
  <si>
    <t>h0ZrGWTcU4Q</t>
  </si>
  <si>
    <t>vZWQi_a_vwQ</t>
  </si>
  <si>
    <t>WmolZ_rGA3s</t>
  </si>
  <si>
    <t>hGHQHx_l2zA</t>
  </si>
  <si>
    <t>nlU_1FRh1c4</t>
  </si>
  <si>
    <t>_F72cS6rk_k</t>
  </si>
  <si>
    <t>ZHA5NdJqXGM</t>
  </si>
  <si>
    <t>GQJYvXA2OVo</t>
  </si>
  <si>
    <t>s_R7z4jb5RE</t>
  </si>
  <si>
    <t>UCPIFyB-nsGoCtS6cIikPuhA</t>
  </si>
  <si>
    <t>nalyUlBrTNg</t>
  </si>
  <si>
    <t>Q8oL01f6U9g</t>
  </si>
  <si>
    <t>knrDUhg3YTE</t>
  </si>
  <si>
    <t>OEOGBFeQQj0</t>
  </si>
  <si>
    <t>U9s-uQO-qTU</t>
  </si>
  <si>
    <t>nXpfGrwmU10</t>
  </si>
  <si>
    <t>qIOQkzM6RRg</t>
  </si>
  <si>
    <t>pv1bK-9fS8s</t>
  </si>
  <si>
    <t>Ks1MjsIgs3M</t>
  </si>
  <si>
    <t>xdlKEU7rt0s</t>
  </si>
  <si>
    <t>K1gqs3ApbEo</t>
  </si>
  <si>
    <t>YUbgGx-D12U</t>
  </si>
  <si>
    <t>mPJ-7uM5W08</t>
  </si>
  <si>
    <t>bb-x55FpIGc</t>
  </si>
  <si>
    <t>BjTXMW_84_U</t>
  </si>
  <si>
    <t>NmAg2sydMQk</t>
  </si>
  <si>
    <t>GdkA0qHibq8</t>
  </si>
  <si>
    <t>OKYuRihOu0Q</t>
  </si>
  <si>
    <t>en-US|zh-HK</t>
  </si>
  <si>
    <t>UmKEJLX-VhA</t>
  </si>
  <si>
    <t>AgPdqZReUV8</t>
  </si>
  <si>
    <t>d4wYkPC4XHk</t>
  </si>
  <si>
    <t>6kZGXu4Ci10</t>
  </si>
  <si>
    <t>s_sgo3osuhc</t>
  </si>
  <si>
    <t>UCaJ77iWZ8galtePlS_BtEKw</t>
  </si>
  <si>
    <t>BZxCoxa8hMM</t>
  </si>
  <si>
    <t>sKudZekDN8g</t>
  </si>
  <si>
    <t>CxEYRjr9SC4</t>
  </si>
  <si>
    <t>BMfpJ4OlkCc</t>
  </si>
  <si>
    <t>UCsSO44XVYhs_fQU2zDR82CA</t>
  </si>
  <si>
    <t>QFRZ4x65ORQ</t>
  </si>
  <si>
    <t>kYJkstvIqdw</t>
  </si>
  <si>
    <t>e9ybm1VC0sM</t>
  </si>
  <si>
    <t>uaMa0vcNvyU</t>
  </si>
  <si>
    <t>at9qHbVUYv8</t>
  </si>
  <si>
    <t>rbvA56mZx4E</t>
  </si>
  <si>
    <t>crKLFgK8DnI</t>
  </si>
  <si>
    <t>dq4HnHf5jt8</t>
  </si>
  <si>
    <t>-zRQYAPLSK8</t>
  </si>
  <si>
    <t>rEwyhuwSGhg</t>
  </si>
  <si>
    <t>OdwyBkE1R40</t>
  </si>
  <si>
    <t>U9ko0bt2eLQ</t>
  </si>
  <si>
    <t>6OZ3qbwmC6Y</t>
  </si>
  <si>
    <t>cU-xHxjrVI4</t>
  </si>
  <si>
    <t>vHFiLnagEuA</t>
  </si>
  <si>
    <t>UplvXthVMMg</t>
  </si>
  <si>
    <t>sSNbaVPGYcM</t>
  </si>
  <si>
    <t>YwKxXhfdQZc</t>
  </si>
  <si>
    <t>TbHcYsqKLoc</t>
  </si>
  <si>
    <t>nRkblo6pG_Q</t>
  </si>
  <si>
    <t>BEWqWoQNDb0</t>
  </si>
  <si>
    <t>MrQOYkzJMtk</t>
  </si>
  <si>
    <t>X9cfcBZduWw</t>
  </si>
  <si>
    <t>BUDTPjUN070</t>
  </si>
  <si>
    <t>ikL8cJnq6BI</t>
  </si>
  <si>
    <t>mOmwT9gXfSQ</t>
  </si>
  <si>
    <t>KkT0ly9O97Q</t>
  </si>
  <si>
    <t>ks_PqHeyaSE</t>
  </si>
  <si>
    <t>F3YqZcS7P9g</t>
  </si>
  <si>
    <t>SxmclrW57ag</t>
  </si>
  <si>
    <t>hO5vR6uW-TE</t>
  </si>
  <si>
    <t>6Z1XzdpLeW0</t>
  </si>
  <si>
    <t>yHkcILsUvs8</t>
  </si>
  <si>
    <t>kx7bY8ZBTtw</t>
  </si>
  <si>
    <t>syH7GZ23kfg</t>
  </si>
  <si>
    <t>sj06owanHMM</t>
  </si>
  <si>
    <t>zs2r6G1mizU</t>
  </si>
  <si>
    <t>1LryVVG4Gyg</t>
  </si>
  <si>
    <t>iSUvF7SudfM</t>
  </si>
  <si>
    <t>2S3vcljGiVs</t>
  </si>
  <si>
    <t>hip3UaqAJVs</t>
  </si>
  <si>
    <t>YEQv3dXDCxQ</t>
  </si>
  <si>
    <t>uqfE1lXndeM</t>
  </si>
  <si>
    <t>ZzizXL5Bj_s</t>
  </si>
  <si>
    <t>TYPy5qSVVk0</t>
  </si>
  <si>
    <t>CoaC3ia5HV4</t>
  </si>
  <si>
    <t>NT_gttVhq4s</t>
  </si>
  <si>
    <t>NLJByqLulWA</t>
  </si>
  <si>
    <t>jmOAIbWfCss</t>
  </si>
  <si>
    <t>qAsziVZJzUQ</t>
  </si>
  <si>
    <t>ptbsqtdthj0</t>
  </si>
  <si>
    <t>riZ4n_is6Mk</t>
  </si>
  <si>
    <t>wiYRwSH89Wc</t>
  </si>
  <si>
    <t>8N1HHty4t_I</t>
  </si>
  <si>
    <t>Xser33Gl9Gw</t>
  </si>
  <si>
    <t>p5Di3wv-kY0</t>
  </si>
  <si>
    <t>57MyrbFlszg</t>
  </si>
  <si>
    <t>MEsPsEUgzGk</t>
  </si>
  <si>
    <t>mgU4n89lSBw</t>
  </si>
  <si>
    <t>QEjky07CrME</t>
  </si>
  <si>
    <t>CqoeXQIRYHE</t>
  </si>
  <si>
    <t>2TKHbdFtGiI</t>
  </si>
  <si>
    <t>vQrIEcDilZo</t>
  </si>
  <si>
    <t>9crALV74LFI</t>
  </si>
  <si>
    <t>vSh6eSmeREc</t>
  </si>
  <si>
    <t>aI0oU9WuuUg</t>
  </si>
  <si>
    <t>S8jO8EGlpXo</t>
  </si>
  <si>
    <t>bDim9sVy-PU</t>
  </si>
  <si>
    <t>lAAA5BSEbko</t>
  </si>
  <si>
    <t>esi8dDSKvxA</t>
  </si>
  <si>
    <t>J6WjsPjw2B4</t>
  </si>
  <si>
    <t>2lC6cUxGne0</t>
  </si>
  <si>
    <t>TYOX_xRdV2Q</t>
  </si>
  <si>
    <t>5rOI6NpcxKE</t>
  </si>
  <si>
    <t>xNSyReXzDsQ</t>
  </si>
  <si>
    <t>j79VHckRUzg</t>
  </si>
  <si>
    <t>F4RK38aRAIY</t>
  </si>
  <si>
    <t>s4nqRJJ5fxg</t>
  </si>
  <si>
    <t>Z9Hvz4blFkg</t>
  </si>
  <si>
    <t>UhPHuEsCe-w</t>
  </si>
  <si>
    <t>Na39h3iXWSk</t>
  </si>
  <si>
    <t>bJ-cpzpJHiU</t>
  </si>
  <si>
    <t>TSKIqKA_Brk</t>
  </si>
  <si>
    <t>ya_wQdZ52ow</t>
  </si>
  <si>
    <t>u-ETlH9QnDA</t>
  </si>
  <si>
    <t>ltS2nwRoidw</t>
  </si>
  <si>
    <t>RcoVijEVk3Q</t>
  </si>
  <si>
    <t>pXZgY8p6wHw</t>
  </si>
  <si>
    <t>Ipbt8j-5LH8</t>
  </si>
  <si>
    <t>z59ODWtSxSc</t>
  </si>
  <si>
    <t>HEM1HCk0EyA</t>
  </si>
  <si>
    <t>Am7akZNuqr4</t>
  </si>
  <si>
    <t>3c_f7wUBWQU</t>
  </si>
  <si>
    <t>H9A1x2k1tGo</t>
  </si>
  <si>
    <t>_f0w2kvkIxo</t>
  </si>
  <si>
    <t>kA7n6DQSc-A</t>
  </si>
  <si>
    <t>4YbnqNNgGT0</t>
  </si>
  <si>
    <t>rnByEoGWFPA</t>
  </si>
  <si>
    <t>Ws1LchksrME</t>
  </si>
  <si>
    <t>OrKy0AMkA6A</t>
  </si>
  <si>
    <t>atA4CShcEK8</t>
  </si>
  <si>
    <t>EN7hIYjjKks</t>
  </si>
  <si>
    <t>bPXiO_fooyY</t>
  </si>
  <si>
    <t>PZhK7qsstfM</t>
  </si>
  <si>
    <t>Sjv64PWsUZ4</t>
  </si>
  <si>
    <t>NhNzkwELRYQ</t>
  </si>
  <si>
    <t>X4hMVccbmIM</t>
  </si>
  <si>
    <t>sPSN-8mflJs</t>
  </si>
  <si>
    <t>8j-3rBm9mK0</t>
  </si>
  <si>
    <t>P-Q2gwH2YjQ</t>
  </si>
  <si>
    <t>Eh5Jm3SiLbo</t>
  </si>
  <si>
    <t>1fF7MhwI5H0</t>
  </si>
  <si>
    <t>8tYqiqEGW0U</t>
  </si>
  <si>
    <t>ZZJBQQleoRs</t>
  </si>
  <si>
    <t>6YFJaXFoKAc</t>
  </si>
  <si>
    <t>9KiiDu_PT2I</t>
  </si>
  <si>
    <t>UQYWupGM35k</t>
  </si>
  <si>
    <t>3TOhM_fSHD8</t>
  </si>
  <si>
    <t>I7RMIHtlTMY</t>
  </si>
  <si>
    <t>xR6VzMaFGMg</t>
  </si>
  <si>
    <t>hthMdkGoN7w</t>
  </si>
  <si>
    <t>NxnCEeUQOUc</t>
  </si>
  <si>
    <t>_33UKaDwToM</t>
  </si>
  <si>
    <t>oLnej4Yu4aI</t>
  </si>
  <si>
    <t>cFAJlnYMUDA</t>
  </si>
  <si>
    <t>PMga9oj3fPI</t>
  </si>
  <si>
    <t>QZ4Ex3EXBSo</t>
  </si>
  <si>
    <t>ys6Ddry2ar8</t>
  </si>
  <si>
    <t>NG87LcmcNb4</t>
  </si>
  <si>
    <t>71bY1iJo3Cw</t>
  </si>
  <si>
    <t>sKZFszMJj-4</t>
  </si>
  <si>
    <t>fNnq2NuQOg8</t>
  </si>
  <si>
    <t>p4J1XnHHacM</t>
  </si>
  <si>
    <t>XE8QXeJJ2sA</t>
  </si>
  <si>
    <t>39yqT56L5Xw</t>
  </si>
  <si>
    <t>pQ7qvxO-DfA</t>
  </si>
  <si>
    <t>s7I0T_AS6Hc</t>
  </si>
  <si>
    <t>hOGeq9Rsbio</t>
  </si>
  <si>
    <t>MAkAzfmTes4</t>
  </si>
  <si>
    <t>jhmxcyjtw3o</t>
  </si>
  <si>
    <t>cRJGATYRAUI</t>
  </si>
  <si>
    <t>bzvhZDSgwzY</t>
  </si>
  <si>
    <t>RmDUrhpNjW0</t>
  </si>
  <si>
    <t>PCKlT-bSFxk</t>
  </si>
  <si>
    <t>YEMADdQHTjA</t>
  </si>
  <si>
    <t>QzzoxU8A0QA</t>
  </si>
  <si>
    <t>ygYhKgVyR4E</t>
  </si>
  <si>
    <t>UCPtMLcjxHedjk7xiuOcpP5Q</t>
  </si>
  <si>
    <t>dRZyzIOKV-Y</t>
  </si>
  <si>
    <t>UCe6qQ8zbYQJgTBnZ9wBzm9w</t>
  </si>
  <si>
    <t>dXJdOL-LV5U</t>
  </si>
  <si>
    <t>zh-TW</t>
  </si>
  <si>
    <t>Cg6JBXGCZQE</t>
  </si>
  <si>
    <t>Cgb6nGlMReU</t>
  </si>
  <si>
    <t>UC_ZT2UjRiNSy1I33LEiflJQ</t>
  </si>
  <si>
    <t>24fFFxVI_g4</t>
  </si>
  <si>
    <t>da7iXqxXH1U</t>
  </si>
  <si>
    <t>yue-HK|zh-HK|zh-Hans</t>
  </si>
  <si>
    <t>UC_fpOVl7ujUzxi3TJ663nrA</t>
  </si>
  <si>
    <t>3wEREUIJOxc</t>
  </si>
  <si>
    <t>zzJj__TN8PM</t>
  </si>
  <si>
    <t>UCBiJDTc82IM68KVH873VeAw</t>
  </si>
  <si>
    <t>qJ821LJD-vs</t>
  </si>
  <si>
    <t>yue</t>
  </si>
  <si>
    <t>ajmVO_aSBF0</t>
  </si>
  <si>
    <t>2piKujkvUEA</t>
  </si>
  <si>
    <t>QcXtWEpA0HQ</t>
  </si>
  <si>
    <t>kAnEhESuvyc</t>
  </si>
  <si>
    <t>LBd7LvVEwz0</t>
  </si>
  <si>
    <t>h4Kqe41SJPg</t>
  </si>
  <si>
    <t>BvHjLYsfzdM</t>
  </si>
  <si>
    <t>lnZpQHQmroY</t>
  </si>
  <si>
    <t>T8UAmfC0SFo</t>
  </si>
  <si>
    <t>t0MuGOjZZrc</t>
  </si>
  <si>
    <t>HFOrzlLK_iI</t>
  </si>
  <si>
    <t>UWB-PbIsyjs</t>
  </si>
  <si>
    <t>LoN3UD_GB5o</t>
  </si>
  <si>
    <t>lcCWlQxOEIA</t>
  </si>
  <si>
    <t>WxtpZlZScw0</t>
  </si>
  <si>
    <t>-TRuI8UTjn8</t>
  </si>
  <si>
    <t>nM5oGynCcrc</t>
  </si>
  <si>
    <t>gJ7rFSeaGuc</t>
  </si>
  <si>
    <t>yue|zh</t>
  </si>
  <si>
    <t>q83jEgMWaIU</t>
  </si>
  <si>
    <t>5W5PgKf-uvQ</t>
  </si>
  <si>
    <t>NL0m5iPJbwQ</t>
  </si>
  <si>
    <t>0DYjlUcXYPs</t>
  </si>
  <si>
    <t>k-ybUyFemGc</t>
  </si>
  <si>
    <t>0fEk6BRGg2w</t>
  </si>
  <si>
    <t>LK_vu0MZUDo</t>
  </si>
  <si>
    <t>6p8ngjwXLNo</t>
  </si>
  <si>
    <t>ohpk77X4u54</t>
  </si>
  <si>
    <t>rw46EljD-FI</t>
  </si>
  <si>
    <t>khLHZNnGPLU</t>
  </si>
  <si>
    <t>nLm4AW5y6xA</t>
  </si>
  <si>
    <t>s-eRMAlJrl0</t>
  </si>
  <si>
    <t>5-CTrM3HwJE</t>
  </si>
  <si>
    <t>LM96i0o9HAc</t>
  </si>
  <si>
    <t>gO72ReirU5g</t>
  </si>
  <si>
    <t>Sn8TS8keHfM</t>
  </si>
  <si>
    <t>2EBwTo_eUFw</t>
  </si>
  <si>
    <t>Ba8Q9X2wxck</t>
  </si>
  <si>
    <t>lqrr_3P7PGQ</t>
  </si>
  <si>
    <t>fNGiZ21U78s</t>
  </si>
  <si>
    <t>Z7Gha9Dgtsw</t>
  </si>
  <si>
    <t>oQrpJKpu1w4</t>
  </si>
  <si>
    <t>6CfWYiRd7OE</t>
  </si>
  <si>
    <t>IMfCdoes5Go</t>
  </si>
  <si>
    <t>aDxOJrFDgec</t>
  </si>
  <si>
    <t>lkMPtvnICDA</t>
  </si>
  <si>
    <t>EmxFHh3afXM</t>
  </si>
  <si>
    <t>gcUbJFTwA9I</t>
  </si>
  <si>
    <t>HVzEDwzoJj4</t>
  </si>
  <si>
    <t>UjfrpPn-zkI</t>
  </si>
  <si>
    <t>Wlidd-nDgok</t>
  </si>
  <si>
    <t>ptKvxtB4lw0</t>
  </si>
  <si>
    <t>pzRAvfSP-m8</t>
  </si>
  <si>
    <t>BzXufoA4VBI</t>
  </si>
  <si>
    <t>T79WmjR0Ik0</t>
  </si>
  <si>
    <t>NlxzDBRCxCk</t>
  </si>
  <si>
    <t>O3WupNlfpEQ</t>
  </si>
  <si>
    <t>3IkMSfqzTBE</t>
  </si>
  <si>
    <t>Km52QEH121U</t>
  </si>
  <si>
    <t>r33x2YfWNeg</t>
  </si>
  <si>
    <t>N36HUcUuaJ0</t>
  </si>
  <si>
    <t>dqq83NMpS2w</t>
  </si>
  <si>
    <t>zh</t>
  </si>
  <si>
    <t>PLszD9wCbdU</t>
  </si>
  <si>
    <t>xB8bp65yxic</t>
  </si>
  <si>
    <t>w-nhu5mjydk</t>
  </si>
  <si>
    <t>03yOlSLjIAo</t>
  </si>
  <si>
    <t>GGoDbvADU5c</t>
  </si>
  <si>
    <t>OmNwOVqQQd8</t>
  </si>
  <si>
    <t>9Guf_bZMwdg</t>
  </si>
  <si>
    <t>EFIfYM0XEj4</t>
  </si>
  <si>
    <t>mv8NDoUl2ww</t>
  </si>
  <si>
    <t>SXtywQHWtEQ</t>
  </si>
  <si>
    <t>1FV4uggec9g</t>
  </si>
  <si>
    <t>NdgA2iI7owY</t>
  </si>
  <si>
    <t>AEBZ1-S7ZKw</t>
  </si>
  <si>
    <t>ieR_lLPl094</t>
  </si>
  <si>
    <t>X246sm_C9YI</t>
  </si>
  <si>
    <t>lcdTlUDtNzM</t>
  </si>
  <si>
    <t>_4FJI-_E4Uw</t>
  </si>
  <si>
    <t>y1ecmp_2NIU</t>
  </si>
  <si>
    <t>zkqGFN73Vxg</t>
  </si>
  <si>
    <t>W97m5eah_Do</t>
  </si>
  <si>
    <t>R2G4__LSGIk</t>
  </si>
  <si>
    <t>cfECxdUbIHQ</t>
  </si>
  <si>
    <t>7pj9MzIUWto</t>
  </si>
  <si>
    <t>AZZTrhNVmSw</t>
  </si>
  <si>
    <t>CQAtebdCFVU</t>
  </si>
  <si>
    <t>uwmIdhtw_Wc</t>
  </si>
  <si>
    <t>hyRdY291Vl8</t>
  </si>
  <si>
    <t>RmlDLTU9gbc</t>
  </si>
  <si>
    <t>L5BsFly10no</t>
  </si>
  <si>
    <t>3WtyhC2IdWM</t>
  </si>
  <si>
    <t>rYSJc-UEXHs</t>
  </si>
  <si>
    <t>tqkMvaTXROU</t>
  </si>
  <si>
    <t>lD3mfmPNOno</t>
  </si>
  <si>
    <t>BjWxG6qSI6I</t>
  </si>
  <si>
    <t>ezoC-tS-VOU</t>
  </si>
  <si>
    <t>DqKZ1ikp6Mw</t>
  </si>
  <si>
    <t>WxtoBymlpjQ</t>
  </si>
  <si>
    <t>v5Vop6Y1aQA</t>
  </si>
  <si>
    <t>DU982ox-xvU</t>
  </si>
  <si>
    <t>xBZjEDR-GJw</t>
  </si>
  <si>
    <t>hom6BRKVOec</t>
  </si>
  <si>
    <t>SFKYoHf0_Nc</t>
  </si>
  <si>
    <t>l5lnm6b_Zto</t>
  </si>
  <si>
    <t>ouZlr5JdTjo</t>
  </si>
  <si>
    <t>2lLDLXQxxRc</t>
  </si>
  <si>
    <t>3s5zRjCLuGA</t>
  </si>
  <si>
    <t>P8Jhc-FowBc</t>
  </si>
  <si>
    <t>6mjqA4Uj6M0</t>
  </si>
  <si>
    <t>cQgy4Ph7sT8</t>
  </si>
  <si>
    <t>sz-fzANa61M</t>
  </si>
  <si>
    <t>fq0Sk9SR5uw</t>
  </si>
  <si>
    <t>czg4UoL5J2U</t>
  </si>
  <si>
    <t>pLnMZFzgBz0</t>
  </si>
  <si>
    <t>FXfi1E0ODVk</t>
  </si>
  <si>
    <t>hI6mJndSnJc</t>
  </si>
  <si>
    <t>4jspTzhz7Xw</t>
  </si>
  <si>
    <t>SyN6m2aIJXQ</t>
  </si>
  <si>
    <t>TtZdz51nfCg</t>
  </si>
  <si>
    <t>zh|zh-Hant</t>
  </si>
  <si>
    <t>Rtk-akMMKho</t>
  </si>
  <si>
    <t>hbaVQGPREAw</t>
  </si>
  <si>
    <t>LYqA1IkVlig</t>
  </si>
  <si>
    <t>en|yue|zh</t>
  </si>
  <si>
    <t>Pf7srjbVQZs</t>
  </si>
  <si>
    <t>2YZT67g2ozo</t>
  </si>
  <si>
    <t>4Cxik8ES1Zo</t>
  </si>
  <si>
    <t>rlcItGNUELQ</t>
  </si>
  <si>
    <t>en|yue|zh|zh-TW</t>
  </si>
  <si>
    <t>S6BwIBxhtNk</t>
  </si>
  <si>
    <t>3E2E8yGViNE</t>
  </si>
  <si>
    <t>yue|zh|zh-TW</t>
  </si>
  <si>
    <t>KX7ZaKKDcOA</t>
  </si>
  <si>
    <t>en|zh</t>
  </si>
  <si>
    <t>brwbI64U44I</t>
  </si>
  <si>
    <t>qfDZqeTYg0s</t>
  </si>
  <si>
    <t>en|zh-Hant</t>
  </si>
  <si>
    <t>nVvwAnR3gKY</t>
  </si>
  <si>
    <t>low7KDIesLA</t>
  </si>
  <si>
    <t>PrWwSv01vwo</t>
  </si>
  <si>
    <t>SfsKFPWpXOs</t>
  </si>
  <si>
    <t>Af6KdXcGKv4</t>
  </si>
  <si>
    <t>f4QoLLy2pak</t>
  </si>
  <si>
    <t>zq1NWbVveQc</t>
  </si>
  <si>
    <t>IrYK9vjUs90</t>
  </si>
  <si>
    <t>boJ3TKtM-lg</t>
  </si>
  <si>
    <t>RIOquG064B8</t>
  </si>
  <si>
    <t>JEWkPLKb3FI</t>
  </si>
  <si>
    <t>58H_ltt34Rg</t>
  </si>
  <si>
    <t>g_JPQKvFv2Q</t>
  </si>
  <si>
    <t>KZSxvOwO_vo</t>
  </si>
  <si>
    <t>_uvGfIG9FqQ</t>
  </si>
  <si>
    <t>yue|zh-CN</t>
  </si>
  <si>
    <t>TvJ6YvLRwrY</t>
  </si>
  <si>
    <t>zh-CN|zh-Hant</t>
  </si>
  <si>
    <t>keEyGm9PXbs</t>
  </si>
  <si>
    <t>yue|zh-Hant</t>
  </si>
  <si>
    <t>Kk3_R-VPfcA</t>
  </si>
  <si>
    <t>aCdz10ICPY0</t>
  </si>
  <si>
    <t>MOGS7z07s4Y</t>
  </si>
  <si>
    <t>hX5vC2R4RAk</t>
  </si>
  <si>
    <t>XrkN9_gtRyY</t>
  </si>
  <si>
    <t>SYg1M_ylr00</t>
  </si>
  <si>
    <t>xSSQvbf0dr4</t>
  </si>
  <si>
    <t>FMbzyBXvJPI</t>
  </si>
  <si>
    <t>WBp6l1nDYV4</t>
  </si>
  <si>
    <t>w0QqqgRAgn8</t>
  </si>
  <si>
    <t>oPCGPr2hROE</t>
  </si>
  <si>
    <t>bxs7jZcFRro</t>
  </si>
  <si>
    <t>vYzvxlHGOUo</t>
  </si>
  <si>
    <t>V-uNh-jEUig</t>
  </si>
  <si>
    <t>r8j91QNVJhQ</t>
  </si>
  <si>
    <t>2sS5ql3RoHo</t>
  </si>
  <si>
    <t>gxlWVVIJmY8</t>
  </si>
  <si>
    <t>rdDh89i8Ju4</t>
  </si>
  <si>
    <t>LpzdiB1DBYs</t>
  </si>
  <si>
    <t>5nerYzvlEsg</t>
  </si>
  <si>
    <t>Y9to5qNEhl0</t>
  </si>
  <si>
    <t>cIeXXIzCPs4</t>
  </si>
  <si>
    <t>oCf3Yh13Vrg</t>
  </si>
  <si>
    <t>MEzJJS-vfM8</t>
  </si>
  <si>
    <t>ljcfLfS3ySY</t>
  </si>
  <si>
    <t>ub28AZYCgus</t>
  </si>
  <si>
    <t>xeLofnD3QLA</t>
  </si>
  <si>
    <t>w_zL77gtktI</t>
  </si>
  <si>
    <t>yEfHuptyxVA</t>
  </si>
  <si>
    <t>l6cUd3F_8qw</t>
  </si>
  <si>
    <t>ndgUXtEfq2Y</t>
  </si>
  <si>
    <t>BjQGScdIJK8</t>
  </si>
  <si>
    <t>MDWmfdwJZLM</t>
  </si>
  <si>
    <t>FezAZOyOZCw</t>
  </si>
  <si>
    <t>zQLHEqEWL_M</t>
  </si>
  <si>
    <t>NPY46notpos</t>
  </si>
  <si>
    <t>gJXn2XBllEo</t>
  </si>
  <si>
    <t>UCsT0YIqwnpJCM-mx7-gSA4Q</t>
  </si>
  <si>
    <t>OIJOa7kEViw</t>
  </si>
  <si>
    <t>CkE8Gbl8OGw</t>
  </si>
  <si>
    <t>UCNdV5VO81YBe5rfhOz1wRmA</t>
  </si>
  <si>
    <t>xf3KoRroAgY</t>
  </si>
  <si>
    <t>zh-HK|zh-Hant|zh-TW</t>
  </si>
  <si>
    <t>UCXf8jlTSP9kp6g4ROCfgvbQ</t>
  </si>
  <si>
    <t>266GGMmzMrg</t>
  </si>
  <si>
    <t>UCmdnX8KiF_5ZVmJXNhOXUtw</t>
  </si>
  <si>
    <t>26k1o-g_Uic</t>
  </si>
  <si>
    <t>djy1i-jIEhE</t>
  </si>
  <si>
    <t>dkuGucTy9QQ</t>
  </si>
  <si>
    <t>aXcBCi3DC6k</t>
  </si>
  <si>
    <t>QjfSwUAsyKA</t>
  </si>
  <si>
    <t>4oR5AGf3mII</t>
  </si>
  <si>
    <t>L80PpDRFcXY</t>
  </si>
  <si>
    <t>Ym1W3jRvjr4</t>
  </si>
  <si>
    <t>UC4nsi0oM9WBNFv1RdLh3c2g</t>
  </si>
  <si>
    <t>29-Ew4I0lR4</t>
  </si>
  <si>
    <t>en|zh-HK|zh-Hans|zh-TW</t>
  </si>
  <si>
    <t>CqwSfRnZ2Ds</t>
  </si>
  <si>
    <t>UCvtIbNu3jnYc5wcU0-m6mxw</t>
  </si>
  <si>
    <t>jFBYYqH3cL4</t>
  </si>
  <si>
    <t>VIVGNrWt3Rg</t>
  </si>
  <si>
    <t>UCDMd6CHdLs8FoqZJoRHkJGQ</t>
  </si>
  <si>
    <t>2DbsoK4zZcc</t>
  </si>
  <si>
    <t>en|tr|zh-HK</t>
  </si>
  <si>
    <t>CwBcuKOnQkI</t>
  </si>
  <si>
    <t>khbdnVvzQdQ</t>
  </si>
  <si>
    <t>Cy8edvSSnDs</t>
  </si>
  <si>
    <t>CysYed3jbvI</t>
  </si>
  <si>
    <t>dzLxLZNC_v4</t>
  </si>
  <si>
    <t>UCAuUUnT6oDeKwE6v1NGQxug</t>
  </si>
  <si>
    <t>RcGyVTAoXEU</t>
  </si>
  <si>
    <t>ar|be|bg|bn|bs|ca|ckb|cs|da|de|el|en|es|fa|fi|fr|gl|hi|hr|hu|id|it|iw|ja|ka|ko|ku|lt|lv|mk|mn|mr|my|nl|pl|pt-BR|pt-PT|ro|ru|sk|sl|sq|sr|sv|th|tr|uk|vi|zh-CN|zh-HK|zh-TW</t>
  </si>
  <si>
    <t>UCljo-rxFnc2gl9l8NhhJ66Q</t>
  </si>
  <si>
    <t>e-KlUDBA2Ls</t>
  </si>
  <si>
    <t>UCsooa4yRKGN_zEE8iknghZA</t>
  </si>
  <si>
    <t>cXNTArhA0Jg</t>
  </si>
  <si>
    <t>ar|bg|ca|de|el|en|es|fr|hu|hy|id|it|iw|ja|ko|mn|my|nl|pl|pt-BR|pt-PT|ro|ru|sk|sl|sr|th|tr|uk|vi|zh|zh-CN|zh-HK|zh-TW</t>
  </si>
  <si>
    <t>D-vnGpF58sw</t>
  </si>
  <si>
    <t>e06mgNzpbnY</t>
  </si>
  <si>
    <t>UC8BzJM6_VbZTdiNLD4R1jxQ</t>
  </si>
  <si>
    <t>-wOjGoLTyV8</t>
  </si>
  <si>
    <t>en|es|id|zh-HK|zh-TW</t>
  </si>
  <si>
    <t>e30AmCBQWbY</t>
  </si>
  <si>
    <t>UChJQlg1b_cOttPX3SiIh5gA</t>
  </si>
  <si>
    <t>e3xgKmqtfu0</t>
  </si>
  <si>
    <t>D3EpGsSSSmo</t>
  </si>
  <si>
    <t>--H1e5GNbrU</t>
  </si>
  <si>
    <t>zh-HK|zh-Hans|zh-Hant</t>
  </si>
  <si>
    <t>UCOJ6DAid2DfCUlRpvAF1Ejw</t>
  </si>
  <si>
    <t>-8CpSkTweAg</t>
  </si>
  <si>
    <t>UCCzgNTkFyDel0FDJtVNgEtQ</t>
  </si>
  <si>
    <t>-9izMoKv-pE</t>
  </si>
  <si>
    <t>-BO2uOtlUjM</t>
  </si>
  <si>
    <t>UC-nV0odAiVdjH3gB_uSeTcQ</t>
  </si>
  <si>
    <t>-IGeeHFYi5U</t>
  </si>
  <si>
    <t>-IU0edSIH9I</t>
  </si>
  <si>
    <t>zh-CN|zh-HK|zh-TW</t>
  </si>
  <si>
    <t>-LXe61ixy_E</t>
  </si>
  <si>
    <t>-MSDlcfEnQg</t>
  </si>
  <si>
    <t>UCSbiR1l-cfzk44iTJVSAZVQ</t>
  </si>
  <si>
    <t>-NseOF954lw</t>
  </si>
  <si>
    <t>UCAov0-xtECNVYPn46Ltifeg</t>
  </si>
  <si>
    <t>-Rwew5YsWj0</t>
  </si>
  <si>
    <t>-SMwCgc-ll4</t>
  </si>
  <si>
    <t>-YFzwyuuXPk</t>
  </si>
  <si>
    <t>-aA6_gEMMkU</t>
  </si>
  <si>
    <t>-cDj2uyjnbw</t>
  </si>
  <si>
    <t>-eqv1DAJElU</t>
  </si>
  <si>
    <t>-jrKvn543wQ</t>
  </si>
  <si>
    <t>-m8B2FVY6zo</t>
  </si>
  <si>
    <t>-o4WE7yz-AM</t>
  </si>
  <si>
    <t>-rSj_NVTunc</t>
  </si>
  <si>
    <t>-syjVvojqMw</t>
  </si>
  <si>
    <t>-y_GQbTkmbs</t>
  </si>
  <si>
    <t>00u7U1r2wHQ</t>
  </si>
  <si>
    <t>01JMSu0v3Gw</t>
  </si>
  <si>
    <t>01m6E3ztOUo</t>
  </si>
  <si>
    <t>03Yro3NR6Nw</t>
  </si>
  <si>
    <t>07Kh-NfJhZk</t>
  </si>
  <si>
    <t>09OGY-16AnM</t>
  </si>
  <si>
    <t>09UA-sVxo-k</t>
  </si>
  <si>
    <t>0CZi4AmLmDE</t>
  </si>
  <si>
    <t>UCiKEIxbv4RTzyLCKG17N-AA</t>
  </si>
  <si>
    <t>0Cx5f1MvDXA</t>
  </si>
  <si>
    <t>0GHG54kDagM</t>
  </si>
  <si>
    <t>0Iq8KjJb0VA</t>
  </si>
  <si>
    <t>0J9zgBveC3A</t>
  </si>
  <si>
    <t>en|zh|zh-TW</t>
  </si>
  <si>
    <t>0Kz0OMTe3YY</t>
  </si>
  <si>
    <t>0RDXupXELH0</t>
  </si>
  <si>
    <t>0Sp7tu7MYWw</t>
  </si>
  <si>
    <t>0UfyzTXexMs</t>
  </si>
  <si>
    <t>0aH9lPT0fs4</t>
  </si>
  <si>
    <t>UCNCwcNnkhHviS0xyJHbhX2Q</t>
  </si>
  <si>
    <t>0mf353tAOGE</t>
  </si>
  <si>
    <t>0nV6MUNMGW8</t>
  </si>
  <si>
    <t>0rAWwdlTxEY</t>
  </si>
  <si>
    <t>0tfiRvbi7Jk</t>
  </si>
  <si>
    <t>0xYSUyQFfCE</t>
  </si>
  <si>
    <t>108h2tKDqQo</t>
  </si>
  <si>
    <t>11Mvfmzfxhs</t>
  </si>
  <si>
    <t>11NdlYa8KC0</t>
  </si>
  <si>
    <t>14hcySUmLAk</t>
  </si>
  <si>
    <t>14zJLiYMIV4</t>
  </si>
  <si>
    <t>UCpgb6oSJR0AXWVKWQ0PmeBw</t>
  </si>
  <si>
    <t>18tz3UghGIw</t>
  </si>
  <si>
    <t>1A0Vnz1JmUw</t>
  </si>
  <si>
    <t>UCmIVY_RMlQ0-86vrwdI9gFA</t>
  </si>
  <si>
    <t>1APaxw9YHz0</t>
  </si>
  <si>
    <t>1B-LzRBqKT4</t>
  </si>
  <si>
    <t>1CyjoI8rybs</t>
  </si>
  <si>
    <t>1ErYtJRa9sg</t>
  </si>
  <si>
    <t>UCAnpoZYvOIZUPp66LrWl9OA</t>
  </si>
  <si>
    <t>1JKrMNcEPuM</t>
  </si>
  <si>
    <t>en-GB|zh-HK</t>
  </si>
  <si>
    <t>1JQu_bCBpCQ</t>
  </si>
  <si>
    <t>1K44pi6QzJQ</t>
  </si>
  <si>
    <t>zh|zh-HK|zh-TW</t>
  </si>
  <si>
    <t>1OJlcZgnbZ8</t>
  </si>
  <si>
    <t>1Wxg9aLlEVA</t>
  </si>
  <si>
    <t>1maVE70LfD0</t>
  </si>
  <si>
    <t>1nbJwOUT7fs</t>
  </si>
  <si>
    <t>1qshAyhsSyc</t>
  </si>
  <si>
    <t>1syR-7YwtKQ</t>
  </si>
  <si>
    <t>1v00JuKoTLw</t>
  </si>
  <si>
    <t>UCMosCy_NDf55rDQhzdX_h3w</t>
  </si>
  <si>
    <t>223Z6yHeRGw</t>
  </si>
  <si>
    <t>22LwGqjpJsw</t>
  </si>
  <si>
    <t>23DYFxEe4gI</t>
  </si>
  <si>
    <t>242HuMTZG0I</t>
  </si>
  <si>
    <t>26UkQmihcHc</t>
  </si>
  <si>
    <t>28nhDRVuuYs</t>
  </si>
  <si>
    <t>29vhlupg0hU</t>
  </si>
  <si>
    <t>2FCsR8yC2Ms</t>
  </si>
  <si>
    <t>2HcYeQOi__s</t>
  </si>
  <si>
    <t>2KU8yk-WhQQ</t>
  </si>
  <si>
    <t>2S4C-XDF-GE</t>
  </si>
  <si>
    <t>UCf_jdBZdeOT5esJ2ckHV8OA</t>
  </si>
  <si>
    <t>2SEWjeWjhgY</t>
  </si>
  <si>
    <t>2V_C19vnp-E</t>
  </si>
  <si>
    <t>2WXqca8ZKUg</t>
  </si>
  <si>
    <t>2X5W8mM_Wek</t>
  </si>
  <si>
    <t>2bdC-fxh3oQ</t>
  </si>
  <si>
    <t>2eLZS9Jlqb8</t>
  </si>
  <si>
    <t>2k8bmkv52_I</t>
  </si>
  <si>
    <t>2q2uYUYxezE</t>
  </si>
  <si>
    <t>2q_XmGfb9tY</t>
  </si>
  <si>
    <t>2tM4_ezFdgI</t>
  </si>
  <si>
    <t>en|zh-CN|zh-HK|zh-TW</t>
  </si>
  <si>
    <t>2yV8HG47-Fg</t>
  </si>
  <si>
    <t>2zexGJ9R8CY</t>
  </si>
  <si>
    <t>30NFdhc4P3g</t>
  </si>
  <si>
    <t>3428HkaqA94</t>
  </si>
  <si>
    <t>348auSXwGwE</t>
  </si>
  <si>
    <t>34EQAv5wW8g</t>
  </si>
  <si>
    <t>36ICsWUnoRs</t>
  </si>
  <si>
    <t>39e7bFGn8K0</t>
  </si>
  <si>
    <t>UC9NrLPKByyTyjNa41FCtV1Q</t>
  </si>
  <si>
    <t>3CfQSWniWLc</t>
  </si>
  <si>
    <t>3ETjslcgz0g</t>
  </si>
  <si>
    <t>3G8PpeRoNhU</t>
  </si>
  <si>
    <t>UCeyXZA7ofepOhL9Z9BATC1w</t>
  </si>
  <si>
    <t>3ITFuPulINA</t>
  </si>
  <si>
    <t>3KSdkFWjn_w</t>
  </si>
  <si>
    <t>3LKG0Jp5PMg</t>
  </si>
  <si>
    <t>3M0E0DwB1eU</t>
  </si>
  <si>
    <t>3Q06-gVdpDM</t>
  </si>
  <si>
    <t>3RNe-oHEZvw</t>
  </si>
  <si>
    <t>3Rg0q7_PDx4</t>
  </si>
  <si>
    <t>en|yue-HK|zh-Hans|zh-Hant|zh-TW</t>
  </si>
  <si>
    <t>3S-icubnUuw</t>
  </si>
  <si>
    <t>UCe8jZzHeq8gGiqk5bESfpIw</t>
  </si>
  <si>
    <t>3TtbWGIK4D8</t>
  </si>
  <si>
    <t>3TyLiKULxH8</t>
  </si>
  <si>
    <t>3V0W_oWLrfo</t>
  </si>
  <si>
    <t>en|yue-HK|zh-TW</t>
  </si>
  <si>
    <t>3XCRbIW3qYI</t>
  </si>
  <si>
    <t>en|es|fr|id|ja|zh-CN|zh-HK|zh-TW</t>
  </si>
  <si>
    <t>3Y4erkJL7NQ</t>
  </si>
  <si>
    <t>3ZzYh93uBAc</t>
  </si>
  <si>
    <t>3avKHd32sjA</t>
  </si>
  <si>
    <t>3eiCyF8fobs</t>
  </si>
  <si>
    <t>UCw51gVFijIewmXH4tIR0ufw</t>
  </si>
  <si>
    <t>601GASTCeW0</t>
  </si>
  <si>
    <t>3gKLGxHLgcs</t>
  </si>
  <si>
    <t>yue-8k-bGVCfGYE</t>
  </si>
  <si>
    <t>3k5t91XP7wQ</t>
  </si>
  <si>
    <t>3mCGoPnr4g4</t>
  </si>
  <si>
    <t>3o0U8P-qJuM</t>
  </si>
  <si>
    <t>3phiNSBFfLU</t>
  </si>
  <si>
    <t>3qYURm__QgM</t>
  </si>
  <si>
    <t>3vBeWgrryZY</t>
  </si>
  <si>
    <t>4-8aBAOQA-s</t>
  </si>
  <si>
    <t>4-e9vtn7Jvo</t>
  </si>
  <si>
    <t>UCYfkcllte2OCuDxDycQxsEA</t>
  </si>
  <si>
    <t>40HyCh6hFSQ</t>
  </si>
  <si>
    <t>yue-HK|zh-Hans</t>
  </si>
  <si>
    <t>40hSGLj7J4o</t>
  </si>
  <si>
    <t>yue-HK|zh</t>
  </si>
  <si>
    <t>44OGCdz-NEE</t>
  </si>
  <si>
    <t>47ccUlv21pE</t>
  </si>
  <si>
    <t>4FypxbeUNM0</t>
  </si>
  <si>
    <t>4H7jLptszZc</t>
  </si>
  <si>
    <t>4I2MJtf5Rgo</t>
  </si>
  <si>
    <t>4IL77Y2vYrA</t>
  </si>
  <si>
    <t>4Kvjx9mfcc4</t>
  </si>
  <si>
    <t>4MDnzH6AVNU</t>
  </si>
  <si>
    <t>4Q5CcLs7Ohc</t>
  </si>
  <si>
    <t>4Vy1R0lI8z4</t>
  </si>
  <si>
    <t>4YOJGHrHY6E</t>
  </si>
  <si>
    <t>4YhacmxDIp4</t>
  </si>
  <si>
    <t>UCbu2FeFXZ1RAuhioQDF-npQ</t>
  </si>
  <si>
    <t>4Yj0pBT8lWI</t>
  </si>
  <si>
    <t>4bpV1wiEBJU</t>
  </si>
  <si>
    <t>4caFgQv-Qn8</t>
  </si>
  <si>
    <t>ko|zh-HK|zh-TW</t>
  </si>
  <si>
    <t>4eHonmEz5SM</t>
  </si>
  <si>
    <t>4fjtz5ldW28</t>
  </si>
  <si>
    <t>4gr37YLiVhw</t>
  </si>
  <si>
    <t>4mkHvhgWo5g</t>
  </si>
  <si>
    <t>4rsQacdgu0w</t>
  </si>
  <si>
    <t>4x1IaG5aaTY</t>
  </si>
  <si>
    <t>4zKOeGU3h9s</t>
  </si>
  <si>
    <t>5-MKccgeIcE</t>
  </si>
  <si>
    <t>50YalXggROQ</t>
  </si>
  <si>
    <t>519Vr_DtEJQ</t>
  </si>
  <si>
    <t>UCPBBbFYG51QpjuptQtYfCDA</t>
  </si>
  <si>
    <t>53NeAND_mQc</t>
  </si>
  <si>
    <t>55TIxxEOIjg</t>
  </si>
  <si>
    <t>55ug5Hd7mgI</t>
  </si>
  <si>
    <t>58ERIHGqGFU</t>
  </si>
  <si>
    <t>en-GB|es-419|zh-HK|zh-TW</t>
  </si>
  <si>
    <t>58VKE1mRq8Y</t>
  </si>
  <si>
    <t>5A6bRDii9YA</t>
  </si>
  <si>
    <t>5CJ-Qda6adQ</t>
  </si>
  <si>
    <t>5DwV86ebJzw</t>
  </si>
  <si>
    <t>5Ej0Lf-3HDs</t>
  </si>
  <si>
    <t>5PkNeeffVEw</t>
  </si>
  <si>
    <t>5SHHjnA59so</t>
  </si>
  <si>
    <t>5TFnB6029to</t>
  </si>
  <si>
    <t>5XNCRyxCtY4</t>
  </si>
  <si>
    <t>5cBycJPSchs</t>
  </si>
  <si>
    <t>5hiM22TGywY</t>
  </si>
  <si>
    <t>5sQoT5s7Y6k</t>
  </si>
  <si>
    <t>5smnjDcDVXU</t>
  </si>
  <si>
    <t>638mjjpmQ3w</t>
  </si>
  <si>
    <t>68VEdz_hBLE</t>
  </si>
  <si>
    <t>6C4zbDHlppA</t>
  </si>
  <si>
    <t>6Crjjwy1ot0</t>
  </si>
  <si>
    <t>zh-CN|zh-HK</t>
  </si>
  <si>
    <t>6GxnQlM36Tw</t>
  </si>
  <si>
    <t>6IywW3kABDs</t>
  </si>
  <si>
    <t>6J93zpa7qlg</t>
  </si>
  <si>
    <t>6KbpXBmRC8w</t>
  </si>
  <si>
    <t>6MSbyBl5w5U</t>
  </si>
  <si>
    <t>6NG86lX8s4s</t>
  </si>
  <si>
    <t>6PIQon2M6jo</t>
  </si>
  <si>
    <t>6QVtJHAgFUs</t>
  </si>
  <si>
    <t>6QXvDjabShs</t>
  </si>
  <si>
    <t>6S24OG1l2uc</t>
  </si>
  <si>
    <t>ko|zh-HK</t>
  </si>
  <si>
    <t>6TMQ2RZd_vE</t>
  </si>
  <si>
    <t>6UsSP7DAoao</t>
  </si>
  <si>
    <t>6X-XGaxvOvM</t>
  </si>
  <si>
    <t>6YX6bkOtIHs</t>
  </si>
  <si>
    <t>6_UmKVIXCX0</t>
  </si>
  <si>
    <t>6bOtJ3yFc54</t>
  </si>
  <si>
    <t>6c5XnTE2ug0</t>
  </si>
  <si>
    <t>6gYkAF8pX-I</t>
  </si>
  <si>
    <t>6imU3QjewVk</t>
  </si>
  <si>
    <t>6kSitAisJVs</t>
  </si>
  <si>
    <t>6lnRrIyaDc8</t>
  </si>
  <si>
    <t>6mjTTplDTHU</t>
  </si>
  <si>
    <t>6sNQEu1op_U</t>
  </si>
  <si>
    <t>6tPuvEG61P8</t>
  </si>
  <si>
    <t>6ulYOUIbvlE</t>
  </si>
  <si>
    <t>6uoyS5bBHVQ</t>
  </si>
  <si>
    <t>6vFcdmckglk</t>
  </si>
  <si>
    <t>UCYaL-P-e6KLaA4gdW2GOVVw</t>
  </si>
  <si>
    <t>6wAeadFSi8Y</t>
  </si>
  <si>
    <t>6wWV-pngxAw</t>
  </si>
  <si>
    <t>7-Xdp0yFqdg</t>
  </si>
  <si>
    <t>70NBt-uQHaU</t>
  </si>
  <si>
    <t>72bME6uEfuo</t>
  </si>
  <si>
    <t>74EQLSZEaNM</t>
  </si>
  <si>
    <t>75MG9jOHlPc</t>
  </si>
  <si>
    <t>77_79bKCkFo</t>
  </si>
  <si>
    <t>79-F_wwSVu0</t>
  </si>
  <si>
    <t>7ChmkN9SpRU</t>
  </si>
  <si>
    <t>7E2xO8JZmf0</t>
  </si>
  <si>
    <t>7GjmdiV0UBU</t>
  </si>
  <si>
    <t>7IO3Tudi1Ek</t>
  </si>
  <si>
    <t>7THf8ym0vAM</t>
  </si>
  <si>
    <t>7WNr7fjddUM</t>
  </si>
  <si>
    <t>7dJvajxSBLI</t>
  </si>
  <si>
    <t>7nYj0yLsjfI</t>
  </si>
  <si>
    <t>7p2grTlFQ7E</t>
  </si>
  <si>
    <t>7xJQS8rK0Bc</t>
  </si>
  <si>
    <t>819yQrtCnVw</t>
  </si>
  <si>
    <t>820gJV3ZUM4</t>
  </si>
  <si>
    <t>84iOiy807oo</t>
  </si>
  <si>
    <t>en|ko|zh-HK</t>
  </si>
  <si>
    <t>84qSm4iviDs</t>
  </si>
  <si>
    <t>UCh1k4i86BpiXEO3nzJIYynw</t>
  </si>
  <si>
    <t>64TvrSdVFpU</t>
  </si>
  <si>
    <t>88NXeGYNcB0</t>
  </si>
  <si>
    <t>8AhSIB-ElHo</t>
  </si>
  <si>
    <t>8CCcRuIVSNQ</t>
  </si>
  <si>
    <t>8E3-a0sku1c</t>
  </si>
  <si>
    <t>8NZMK1TsZK8</t>
  </si>
  <si>
    <t>8T6NSyKpB4A</t>
  </si>
  <si>
    <t>8XvXnNJeSR4</t>
  </si>
  <si>
    <t>8diCgBLdau8</t>
  </si>
  <si>
    <t>8e-bI3bkc_I</t>
  </si>
  <si>
    <t>8hsRoOMGR7M</t>
  </si>
  <si>
    <t>8iKzJCrseEo</t>
  </si>
  <si>
    <t>8j8iocLv_NU</t>
  </si>
  <si>
    <t>8r7yFwv18bE</t>
  </si>
  <si>
    <t>9-4XbypMT44</t>
  </si>
  <si>
    <t>9-iVjlyVw4k</t>
  </si>
  <si>
    <t>94ipG9eQOuU</t>
  </si>
  <si>
    <t>94s91XdkuE4</t>
  </si>
  <si>
    <t>95Xe5Kg7png</t>
  </si>
  <si>
    <t>UCE_8XiKCl79p7UZoStMu4RA</t>
  </si>
  <si>
    <t>979uLxBORac</t>
  </si>
  <si>
    <t>99o_5PzPX0g</t>
  </si>
  <si>
    <t>9ATXNTWzsbY</t>
  </si>
  <si>
    <t>9AhpQSlqz28</t>
  </si>
  <si>
    <t>9DidoCn_gIU</t>
  </si>
  <si>
    <t>9GoQoH8HbYA</t>
  </si>
  <si>
    <t>9HdbWWTvPKM</t>
  </si>
  <si>
    <t>9I403diXIfw</t>
  </si>
  <si>
    <t>9JnHukJQ2g0</t>
  </si>
  <si>
    <t>9JrrSWEyuWM</t>
  </si>
  <si>
    <t>UCKXfe4c6jGU9I182dsakGnA</t>
  </si>
  <si>
    <t>9LOVuDyWnHs</t>
  </si>
  <si>
    <t>9M5RV1d1fVs</t>
  </si>
  <si>
    <t>9PnJQpxxrmY</t>
  </si>
  <si>
    <t>UC6ZZDRNS6lxPqk3KvHv22Xg</t>
  </si>
  <si>
    <t>9Qwf4ohhxT8</t>
  </si>
  <si>
    <t>en-GB|yue-HK</t>
  </si>
  <si>
    <t>9RcQA6BTaXc</t>
  </si>
  <si>
    <t>9SexNVaKQb4</t>
  </si>
  <si>
    <t>UC_p2Zg9tZXrKaLHMxQiZkFQ</t>
  </si>
  <si>
    <t>9V7it7U3Qfo</t>
  </si>
  <si>
    <t>9VAXcFJn_gs</t>
  </si>
  <si>
    <t>9WLyY2aEekM</t>
  </si>
  <si>
    <t>9gF6KJCDn9s</t>
  </si>
  <si>
    <t>9hUkyHJbuxU</t>
  </si>
  <si>
    <t>9nyv8H2Ng1Q</t>
  </si>
  <si>
    <t>9oIFPuZ0BlQ</t>
  </si>
  <si>
    <t>yue|zh-Hans</t>
  </si>
  <si>
    <t>9pDJNL936oQ</t>
  </si>
  <si>
    <t>UC0-DuAJ8XNn3RH1aevvJWgA</t>
  </si>
  <si>
    <t>A1GZvg9enIY</t>
  </si>
  <si>
    <t>UC1NxU2rbVZW0Rq6VHmaqoEQ</t>
  </si>
  <si>
    <t>A2uRMap9HdE</t>
  </si>
  <si>
    <t>A5g8LWXtlk4</t>
  </si>
  <si>
    <t>A5rje4bKr2g</t>
  </si>
  <si>
    <t>66uV-FhRdHI</t>
  </si>
  <si>
    <t>A7kv8nu64gg</t>
  </si>
  <si>
    <t>A8_lB2t3TRU</t>
  </si>
  <si>
    <t>AA683y9TZDQ</t>
  </si>
  <si>
    <t>AE4VqlwzE1k</t>
  </si>
  <si>
    <t>AH5keI-ZOZA</t>
  </si>
  <si>
    <t>AIj26mTtGM4</t>
  </si>
  <si>
    <t>AKcGfRuuNlE</t>
  </si>
  <si>
    <t>D63zMumrZuA</t>
  </si>
  <si>
    <t>D6L8I3pOjR0</t>
  </si>
  <si>
    <t>D6jeD5Z38j4</t>
  </si>
  <si>
    <t>D82upBkQ900</t>
  </si>
  <si>
    <t>DAofIy0mAMU</t>
  </si>
  <si>
    <t>DDanq79S3Ac</t>
  </si>
  <si>
    <t>DFvOFmzalWo</t>
  </si>
  <si>
    <t>DVtgQXmLOsQ</t>
  </si>
  <si>
    <t>D_Q1Q9Uirkk</t>
  </si>
  <si>
    <t>DdrtmnIfe9w</t>
  </si>
  <si>
    <t>DnGGcuDfpbU</t>
  </si>
  <si>
    <t>DogAT4_lZQo</t>
  </si>
  <si>
    <t>Dqz_9O8SB0Y</t>
  </si>
  <si>
    <t>DsGdwwQYI00</t>
  </si>
  <si>
    <t>DupdjohTKuo</t>
  </si>
  <si>
    <t>Dx_r47Ms9OA</t>
  </si>
  <si>
    <t>DyljaYAfApE</t>
  </si>
  <si>
    <t>E3Ev9XLptFY</t>
  </si>
  <si>
    <t>E5HyXiUMGEU</t>
  </si>
  <si>
    <t>EBJSTOrIroA</t>
  </si>
  <si>
    <t>EGD5OQWcCBY</t>
  </si>
  <si>
    <t>EH0Dq1F9_yA</t>
  </si>
  <si>
    <t>EHYYI1-Jb7M</t>
  </si>
  <si>
    <t>ESzP0Sp7so0</t>
  </si>
  <si>
    <t>ET15oTAVLbg</t>
  </si>
  <si>
    <t>ETpfg9TDcv4</t>
  </si>
  <si>
    <t>EU00qAzdQpo</t>
  </si>
  <si>
    <t>EYTliy2mKXw</t>
  </si>
  <si>
    <t>EZ0WVJ5QhP4</t>
  </si>
  <si>
    <t>EZhjgCNEYAU</t>
  </si>
  <si>
    <t>EaPfielTxRE</t>
  </si>
  <si>
    <t>EfxaQY8O8KQ</t>
  </si>
  <si>
    <t>EjM0Hb15ITo</t>
  </si>
  <si>
    <t>EjxeCHEo7uw</t>
  </si>
  <si>
    <t>ElbPokQlN90</t>
  </si>
  <si>
    <t>EqvYBDSG0eI</t>
  </si>
  <si>
    <t>ErHRZZa8HM8</t>
  </si>
  <si>
    <t>EuBGhZ9WeTU</t>
  </si>
  <si>
    <t>Ezne2lXf4w0</t>
  </si>
  <si>
    <t>F2WQZ1o8S9A</t>
  </si>
  <si>
    <t>F8pWQs2eN_k</t>
  </si>
  <si>
    <t>FBdob6lcTH4</t>
  </si>
  <si>
    <t>FC7SSq7Lavc</t>
  </si>
  <si>
    <t>FFEJgdexLQI</t>
  </si>
  <si>
    <t>FIwSN7MphQU</t>
  </si>
  <si>
    <t>FJFRC5Ny5vo</t>
  </si>
  <si>
    <t>FK7eTsXRGsI</t>
  </si>
  <si>
    <t>FKZctEXqlcA</t>
  </si>
  <si>
    <t>FNciOnStmNM</t>
  </si>
  <si>
    <t>UCNsL7xLGZvocrljHcCJ71VA</t>
  </si>
  <si>
    <t>FNu6_pqor7M</t>
  </si>
  <si>
    <t>FVtm8NE4ni0</t>
  </si>
  <si>
    <t>FXOTYRdyubE</t>
  </si>
  <si>
    <t>FfPHE1vUz6Y</t>
  </si>
  <si>
    <t>FhZxBzSKmKU</t>
  </si>
  <si>
    <t>69oZXVHYHiE</t>
  </si>
  <si>
    <t>FnrmEWZVDGI</t>
  </si>
  <si>
    <t>Fq4yrEv2iQw</t>
  </si>
  <si>
    <t>Frq2jaRvBhc</t>
  </si>
  <si>
    <t>G-AS0_JMKS4</t>
  </si>
  <si>
    <t>G-I9DU8MJ58</t>
  </si>
  <si>
    <t>G2ff1APTu74</t>
  </si>
  <si>
    <t>G72ZQUn3M_c</t>
  </si>
  <si>
    <t>G7f9DzJDUac</t>
  </si>
  <si>
    <t>G9_uGlYW-Ts</t>
  </si>
  <si>
    <t>GCGl5JgVBxs</t>
  </si>
  <si>
    <t>UCgwEJflQi4WnZ8PU0xdibZQ</t>
  </si>
  <si>
    <t>6A_ROY09pqY</t>
  </si>
  <si>
    <t>GE3XUqi68ec</t>
  </si>
  <si>
    <t>GEynMoYrtOY</t>
  </si>
  <si>
    <t>GGNEeJMeVHQ</t>
  </si>
  <si>
    <t>GJJinlA1ogs</t>
  </si>
  <si>
    <t>GNEtCqsHnDQ</t>
  </si>
  <si>
    <t>GRRycLT_nyc</t>
  </si>
  <si>
    <t>GSr36mp1iH4</t>
  </si>
  <si>
    <t>GZ7Zk215VhU</t>
  </si>
  <si>
    <t>GZLBwBLirdY</t>
  </si>
  <si>
    <t>GbWzx0TIthI</t>
  </si>
  <si>
    <t>Gb_TccT7bvw</t>
  </si>
  <si>
    <t>GerRLSJZB14</t>
  </si>
  <si>
    <t>Gi19KGXynJA</t>
  </si>
  <si>
    <t>Gj4rqqR56N8</t>
  </si>
  <si>
    <t>Gj8tMPA5x7s</t>
  </si>
  <si>
    <t>Gniu_WLzduE</t>
  </si>
  <si>
    <t>GpLEyoqU6PQ</t>
  </si>
  <si>
    <t>GsQHqd29DTU</t>
  </si>
  <si>
    <t>en|zh-HK|zh-Hans|zh-Hant|zh-TW</t>
  </si>
  <si>
    <t>GuvRcOqJrn8</t>
  </si>
  <si>
    <t>GvkeqvRlXII</t>
  </si>
  <si>
    <t>GzjBQkKLCZw</t>
  </si>
  <si>
    <t>H0EfMNC-Vd8</t>
  </si>
  <si>
    <t>H0JjsRfX9hA</t>
  </si>
  <si>
    <t>H1pX4e7R54E</t>
  </si>
  <si>
    <t>HHa4RUkM0HQ</t>
  </si>
  <si>
    <t>HL84Dwb71xM</t>
  </si>
  <si>
    <t>HOAYnVhTVt8</t>
  </si>
  <si>
    <t>HZ7MSo3NFeA</t>
  </si>
  <si>
    <t>Hf0X4O3VU4o</t>
  </si>
  <si>
    <t>HhjBsYXn3W0</t>
  </si>
  <si>
    <t>HhwBKwFKB00</t>
  </si>
  <si>
    <t>HiMy-2iFRkw</t>
  </si>
  <si>
    <t>Hoks9edTDMY</t>
  </si>
  <si>
    <t>HpIQzGnXTbw</t>
  </si>
  <si>
    <t>Hq5JkaRn_e0</t>
  </si>
  <si>
    <t>I0t7gzEM0Tc</t>
  </si>
  <si>
    <t>en|yue-HK|zh-HK|zh-Hant</t>
  </si>
  <si>
    <t>I2zc9zWfj1E</t>
  </si>
  <si>
    <t>I4J1JLvgsQM</t>
  </si>
  <si>
    <t>I6mCLQEI2Ps</t>
  </si>
  <si>
    <t>I6mD9Z8S31k</t>
  </si>
  <si>
    <t>I7BFsaFAke4</t>
  </si>
  <si>
    <t>I980hDWJKHA</t>
  </si>
  <si>
    <t>I9ub7mb_-Kc</t>
  </si>
  <si>
    <t>IDDO9gK3SQc</t>
  </si>
  <si>
    <t>IIkHbEjTs34</t>
  </si>
  <si>
    <t>IQLfMVX9h7k</t>
  </si>
  <si>
    <t>IQtZLWSMOEE</t>
  </si>
  <si>
    <t>IZKWQAfOWWo</t>
  </si>
  <si>
    <t>I_16oCO7gPQ</t>
  </si>
  <si>
    <t>I_cdPWmeY3M</t>
  </si>
  <si>
    <t>IbQbg1M5VoU</t>
  </si>
  <si>
    <t>IfGEXhYREdo</t>
  </si>
  <si>
    <t>IlcVWRhgjGk</t>
  </si>
  <si>
    <t>Imd6UUXYSkw</t>
  </si>
  <si>
    <t>InYWiwfSR80</t>
  </si>
  <si>
    <t>IsfU7wz-_lw</t>
  </si>
  <si>
    <t>Iv5OG9vIe4A</t>
  </si>
  <si>
    <t>Ixu03inyFdQ</t>
  </si>
  <si>
    <t>IyTFCHXLdu0</t>
  </si>
  <si>
    <t>J-GZ8w8RGBg</t>
  </si>
  <si>
    <t>J0_bs69AZzw</t>
  </si>
  <si>
    <t>J1LUNFHXObM</t>
  </si>
  <si>
    <t>J3Cxe5XsIA8</t>
  </si>
  <si>
    <t>J6oBnz95knA</t>
  </si>
  <si>
    <t>J88nO2Lisig</t>
  </si>
  <si>
    <t>J9t3oqFZL2w</t>
  </si>
  <si>
    <t>JA6-nMFpBY8</t>
  </si>
  <si>
    <t>JCjp9ss5M-4</t>
  </si>
  <si>
    <t>JGJkWo778ys</t>
  </si>
  <si>
    <t>JGxu_HN6WqU</t>
  </si>
  <si>
    <t>JIZ7oIzLQlw</t>
  </si>
  <si>
    <t>JKMgVJIWb2U</t>
  </si>
  <si>
    <t>JN6gLf1Nko8</t>
  </si>
  <si>
    <t>JPR_bR2rWk0</t>
  </si>
  <si>
    <t>JPb5618NIR4</t>
  </si>
  <si>
    <t>JPltTkIZ_n8</t>
  </si>
  <si>
    <t>JPtDWQNmIz8</t>
  </si>
  <si>
    <t>zh-Hans</t>
  </si>
  <si>
    <t>JVY8UQjgJPY</t>
  </si>
  <si>
    <t>JX9eh4JnFM0</t>
  </si>
  <si>
    <t>JdBICmrrhT0</t>
  </si>
  <si>
    <t>JdZgKbF60AQ</t>
  </si>
  <si>
    <t>JfYQ8X6Ewgc</t>
  </si>
  <si>
    <t>Jg4uMRiqerw</t>
  </si>
  <si>
    <t>Jh0FB0q7OEU</t>
  </si>
  <si>
    <t>JjEreA7KAz0</t>
  </si>
  <si>
    <t>Jq0ZyQ987fY</t>
  </si>
  <si>
    <t>JqWR-E-18lw</t>
  </si>
  <si>
    <t>Js_qjVG7f3s</t>
  </si>
  <si>
    <t>Jw5e4IshttI</t>
  </si>
  <si>
    <t>Jwp836lhVOU</t>
  </si>
  <si>
    <t>Jz2E0isOa5k</t>
  </si>
  <si>
    <t>K0A0J9vDsx8</t>
  </si>
  <si>
    <t>en|yue|yue-HK|zh-HK|zh-Hant|zh-TW</t>
  </si>
  <si>
    <t>K3fRvuPaMjE</t>
  </si>
  <si>
    <t>K3kJjmklJDg</t>
  </si>
  <si>
    <t>K9gM96TSSmo</t>
  </si>
  <si>
    <t>KA0j4uT4seg</t>
  </si>
  <si>
    <t>UCTo1EIcKtkDYqiUqs4v_NlA</t>
  </si>
  <si>
    <t>KKMmBkHIY-4</t>
  </si>
  <si>
    <t>KKsrHxDcXcs</t>
  </si>
  <si>
    <t>KLaE5QG7a2s</t>
  </si>
  <si>
    <t>KNiOotBrUrw</t>
  </si>
  <si>
    <t>UCAe5UPoAjOBNmqgNJJLOs-A</t>
  </si>
  <si>
    <t>KQ4EObtHF6o</t>
  </si>
  <si>
    <t>en-GB|yue|yue-HK|zh-Hans</t>
  </si>
  <si>
    <t>KQRcIzIjGkQ</t>
  </si>
  <si>
    <t>6Fd3h41AmmU</t>
  </si>
  <si>
    <t>KXcVuO5OVW0</t>
  </si>
  <si>
    <t>en|zh|zh-HK|zh-TW</t>
  </si>
  <si>
    <t>KZAbgzJ8VVk</t>
  </si>
  <si>
    <t>UCOIRq4co3Rj8ATrqe1eq-0g</t>
  </si>
  <si>
    <t>Kd5LnF00Bl4</t>
  </si>
  <si>
    <t>KfYAi_1bFZQ</t>
  </si>
  <si>
    <t>KhEQeEqD2rc</t>
  </si>
  <si>
    <t>Khb_rIIIgH0</t>
  </si>
  <si>
    <t>Ki4W4QVm2Hk</t>
  </si>
  <si>
    <t>KimmiS5gzqk</t>
  </si>
  <si>
    <t>KmCZcEbxlrY</t>
  </si>
  <si>
    <t>KpoMh-btIR8</t>
  </si>
  <si>
    <t>KqHhQN_ngM8</t>
  </si>
  <si>
    <t>KsAr-rmqlTc</t>
  </si>
  <si>
    <t>KwYQfm9YPAE</t>
  </si>
  <si>
    <t>KxM6h_3lSbc</t>
  </si>
  <si>
    <t>L28fzw_vRa8</t>
  </si>
  <si>
    <t>L3PAj9DLWVQ</t>
  </si>
  <si>
    <t>L4a07X3Me8M</t>
  </si>
  <si>
    <t>L6g4QOGqMBY</t>
  </si>
  <si>
    <t>L939OBcsmec</t>
  </si>
  <si>
    <t>LC9pRg1WEyE</t>
  </si>
  <si>
    <t>LHNIEpWEf7I</t>
  </si>
  <si>
    <t>LKH1BxIVbz8</t>
  </si>
  <si>
    <t>LL6nCs59bqA</t>
  </si>
  <si>
    <t>LUr63HhuR70</t>
  </si>
  <si>
    <t>LWi3CEp-BbQ</t>
  </si>
  <si>
    <t>LaP2oCdS8jw</t>
  </si>
  <si>
    <t>LbGrh_yYWRc</t>
  </si>
  <si>
    <t>LfUURms-ZPU</t>
  </si>
  <si>
    <t>LfVyQtXV_Sw</t>
  </si>
  <si>
    <t>UC8KiyunvRWgmUb9OmisoBug</t>
  </si>
  <si>
    <t>LhFGymqWy5k</t>
  </si>
  <si>
    <t>zh-HK|zh-Hans|zh-Hant|zh-TW</t>
  </si>
  <si>
    <t>LmK5SvQQp-M</t>
  </si>
  <si>
    <t>LozkBQ33H4s</t>
  </si>
  <si>
    <t>LqaiGSGJ1Ck</t>
  </si>
  <si>
    <t>LssOHLghuTw</t>
  </si>
  <si>
    <t>M0L_df8tzw8</t>
  </si>
  <si>
    <t>M242tR2TUB4</t>
  </si>
  <si>
    <t>M2umtVXvPhI</t>
  </si>
  <si>
    <t>METyAHLN40E</t>
  </si>
  <si>
    <t>MGXum0Cd900</t>
  </si>
  <si>
    <t>MHFSqgh1hI8</t>
  </si>
  <si>
    <t>MHMIVBrepCQ</t>
  </si>
  <si>
    <t>MIq8UWfh3AA</t>
  </si>
  <si>
    <t>MM4ff_-XPCk</t>
  </si>
  <si>
    <t>MOntjn9gFR0</t>
  </si>
  <si>
    <t>UCcmAegX-cgcOOconZIwqynw</t>
  </si>
  <si>
    <t>MOsf0BcLzlc</t>
  </si>
  <si>
    <t>en-GB|yue-HK|zh-HK</t>
  </si>
  <si>
    <t>UC5gQ01ai9nF2x43fYmO1vow</t>
  </si>
  <si>
    <t>6Gehd5iDPBk</t>
  </si>
  <si>
    <t>MQJOrUKV4hc</t>
  </si>
  <si>
    <t>MQjWxurri4s</t>
  </si>
  <si>
    <t>MVJZU4ctbpA</t>
  </si>
  <si>
    <t>MbDJr_-LyxA</t>
  </si>
  <si>
    <t>Mcg8_bwdX1o</t>
  </si>
  <si>
    <t>Me6Rx2JcjBQ</t>
  </si>
  <si>
    <t>MhFkwsWbAhQ</t>
  </si>
  <si>
    <t>MhIP_U3ytv0</t>
  </si>
  <si>
    <t>MisdgiRE3G4</t>
  </si>
  <si>
    <t>MjcmtlO8cVU</t>
  </si>
  <si>
    <t>Mkr_6qEJb0E</t>
  </si>
  <si>
    <t>MnxUoxwdA1s</t>
  </si>
  <si>
    <t>MoQyUMDH45I</t>
  </si>
  <si>
    <t>MqUtk4ze5dA</t>
  </si>
  <si>
    <t>MuAw0uaOH08</t>
  </si>
  <si>
    <t>UC2O7jKdvvUKr5K3lZv77dww</t>
  </si>
  <si>
    <t>MuZeYM0sEpA</t>
  </si>
  <si>
    <t>N-lGzjt7sMg</t>
  </si>
  <si>
    <t>N0MZ-FP8A-0</t>
  </si>
  <si>
    <t>N0WHl-xTKkU</t>
  </si>
  <si>
    <t>N1O48Ay23Nw</t>
  </si>
  <si>
    <t>N3SwKV0jbic</t>
  </si>
  <si>
    <t>N3jLNFhMfwM</t>
  </si>
  <si>
    <t>N94_7XooGxs</t>
  </si>
  <si>
    <t>NEx9J5V1J5Y</t>
  </si>
  <si>
    <t>NIUwDCQ86P4</t>
  </si>
  <si>
    <t>en|yue-HK|zh-HK|zh-Hans</t>
  </si>
  <si>
    <t>NKLcBW_dLuY</t>
  </si>
  <si>
    <t>NOWyF-kMmvw</t>
  </si>
  <si>
    <t>NQxyAVv9u38</t>
  </si>
  <si>
    <t>NSjBoZqc7b0</t>
  </si>
  <si>
    <t>NVZa2aRQwxk</t>
  </si>
  <si>
    <t>NbWg8tHkLFY</t>
  </si>
  <si>
    <t>Nh5fnZoVYsI</t>
  </si>
  <si>
    <t>No6ONoLGxQc</t>
  </si>
  <si>
    <t>Nre1vFSAbXc</t>
  </si>
  <si>
    <t>O-us3nrQSYM</t>
  </si>
  <si>
    <t>O0fKO1W87Oo</t>
  </si>
  <si>
    <t>O6Vg0wtdRf8</t>
  </si>
  <si>
    <t>UCUtm1awT2EO9D7uJ2OlMcTQ</t>
  </si>
  <si>
    <t>6JFkgI9FE6U</t>
  </si>
  <si>
    <t>en|yue-HK|zh-Hans|zh-Hant</t>
  </si>
  <si>
    <t>O8Vx9ty44DQ</t>
  </si>
  <si>
    <t>O97yb8EyqGI</t>
  </si>
  <si>
    <t>ODFDxaNikJw</t>
  </si>
  <si>
    <t>OJpgKz0zQRU</t>
  </si>
  <si>
    <t>OLiEtrbDL24</t>
  </si>
  <si>
    <t>OQ7vhIN_LLw</t>
  </si>
  <si>
    <t>OQGvlFgfrhE</t>
  </si>
  <si>
    <t>OSK__qndQmk</t>
  </si>
  <si>
    <t>OSvzz-EIe24</t>
  </si>
  <si>
    <t>UCk25FUc8pLiP3A6Zniknxbg</t>
  </si>
  <si>
    <t>6JLjkEv21qM</t>
  </si>
  <si>
    <t>OWqGhRQfE1o</t>
  </si>
  <si>
    <t>OYeC-z3Sqkc</t>
  </si>
  <si>
    <t>OZZps1xuEtA</t>
  </si>
  <si>
    <t>ObIlyv0UmKI</t>
  </si>
  <si>
    <t>Ofnnjt0KJcQ</t>
  </si>
  <si>
    <t>OkRApedmz0Y</t>
  </si>
  <si>
    <t>OkmYC3okXCI</t>
  </si>
  <si>
    <t>OlxM8h_UrcY</t>
  </si>
  <si>
    <t>Omk4ZeA3Yws</t>
  </si>
  <si>
    <t>OoMyWbMtRRU</t>
  </si>
  <si>
    <t>P-feUxPW34A</t>
  </si>
  <si>
    <t>P0WSpQi9HBI</t>
  </si>
  <si>
    <t>PEHx6NWX3MI</t>
  </si>
  <si>
    <t>PNqqaapnvQc</t>
  </si>
  <si>
    <t>PO_9R4WGhR8</t>
  </si>
  <si>
    <t>UCDykDDjpIjJ54JTBpJGuH2A</t>
  </si>
  <si>
    <t>PW8gFLw3Tk8</t>
  </si>
  <si>
    <t>PX2mbq7V8mc</t>
  </si>
  <si>
    <t>PXsIpYoq3Jk</t>
  </si>
  <si>
    <t>PeZqFkwoomE</t>
  </si>
  <si>
    <t>Pev2zh_l5WI</t>
  </si>
  <si>
    <t>Pf9kn4Kv250</t>
  </si>
  <si>
    <t>UC_ozVYyGkVQBaaXI9jrCFqQ</t>
  </si>
  <si>
    <t>PjJEJvpfMgE</t>
  </si>
  <si>
    <t>PmSL3EnRYq4</t>
  </si>
  <si>
    <t>6KmCVdmNIew</t>
  </si>
  <si>
    <t>en|yue-HK|zh-Hans|zh-TW</t>
  </si>
  <si>
    <t>PowSrrhkDFI</t>
  </si>
  <si>
    <t>PpH-VzNnIik</t>
  </si>
  <si>
    <t>Ps041FlT_Aw</t>
  </si>
  <si>
    <t>Psuk9ng8RBU</t>
  </si>
  <si>
    <t>PuWyjB7TWoc</t>
  </si>
  <si>
    <t>Pvv6uU6T5m0</t>
  </si>
  <si>
    <t>Px6-rRB7jQU</t>
  </si>
  <si>
    <t>Q-hrguJb-yw</t>
  </si>
  <si>
    <t>Q10XLnNKo1U</t>
  </si>
  <si>
    <t>Q55luNPmcDo</t>
  </si>
  <si>
    <t>Q8LvXjgNbKI</t>
  </si>
  <si>
    <t>QCa-pZdgPBQ</t>
  </si>
  <si>
    <t>QHVXittAWzE</t>
  </si>
  <si>
    <t>QIYvFIz9CPk</t>
  </si>
  <si>
    <t>QMPe8zsg5k0</t>
  </si>
  <si>
    <t>QMYx_h_n66A</t>
  </si>
  <si>
    <t>QM_qXqP1lAk</t>
  </si>
  <si>
    <t>QXt1iEbvAfU</t>
  </si>
  <si>
    <t>Qal5ti9gbNU</t>
  </si>
  <si>
    <t>QcuoAFVeyFg</t>
  </si>
  <si>
    <t>QdXHhiv9sos</t>
  </si>
  <si>
    <t>Qe_nvSLKCSk</t>
  </si>
  <si>
    <t>QfCh4Z3mpwA</t>
  </si>
  <si>
    <t>Qgw5d1Gre0A</t>
  </si>
  <si>
    <t>QkV28sV4nOU</t>
  </si>
  <si>
    <t>QkYeni-p3P0</t>
  </si>
  <si>
    <t>QpDDpv5tUoY</t>
  </si>
  <si>
    <t>QpolcXpqnEE</t>
  </si>
  <si>
    <t>QrUi5RUq-Sc</t>
  </si>
  <si>
    <t>QtbhlLyyDhw</t>
  </si>
  <si>
    <t>Qw3E56OLNX4</t>
  </si>
  <si>
    <t>QxOIgK4hL5E</t>
  </si>
  <si>
    <t>QzgmQowGWMk</t>
  </si>
  <si>
    <t>R-Up_auP_pw</t>
  </si>
  <si>
    <t>R0nnTh3JWg0</t>
  </si>
  <si>
    <t>UC-PIt5m-WOg8UVBkt2RnN0g</t>
  </si>
  <si>
    <t>6LuQUHYf2AQ</t>
  </si>
  <si>
    <t>R4GZESER1HY</t>
  </si>
  <si>
    <t>R5lUzgjJV5A</t>
  </si>
  <si>
    <t>R8Bu5_6z6kc</t>
  </si>
  <si>
    <t>R8ljsQYLAuw</t>
  </si>
  <si>
    <t>RDIEwkomgB8</t>
  </si>
  <si>
    <t>RFg1XBr5GIM</t>
  </si>
  <si>
    <t>RGIFjdzC6JI</t>
  </si>
  <si>
    <t>RGTlmKEnw4E</t>
  </si>
  <si>
    <t>RH7JDTgsML4</t>
  </si>
  <si>
    <t>RHDjf-2-AF4</t>
  </si>
  <si>
    <t>RKNMT8sOOpE</t>
  </si>
  <si>
    <t>RKeTY2Gm-MU</t>
  </si>
  <si>
    <t>RTPvojNKops</t>
  </si>
  <si>
    <t>RZ_s5qNyqwY</t>
  </si>
  <si>
    <t>R_rwqExT9n4</t>
  </si>
  <si>
    <t>RakFUOwLdbU</t>
  </si>
  <si>
    <t>RbQQKu7wWUk</t>
  </si>
  <si>
    <t>Rgvi4kvzGec</t>
  </si>
  <si>
    <t>RhApTeQWbZU</t>
  </si>
  <si>
    <t>RisXc1GQsjU</t>
  </si>
  <si>
    <t>RjRpTkUjWiY</t>
  </si>
  <si>
    <t>Rpyek4ln2F8</t>
  </si>
  <si>
    <t>Rw2tsqeTBWQ</t>
  </si>
  <si>
    <t>RwwSsBKLcOk</t>
  </si>
  <si>
    <t>RzkuacEJBPk</t>
  </si>
  <si>
    <t>S1aXkS5FDu0</t>
  </si>
  <si>
    <t>S5SqgmZYJZk</t>
  </si>
  <si>
    <t>S821OACxkXI</t>
  </si>
  <si>
    <t>S9NE0NEv6Ls</t>
  </si>
  <si>
    <t>SB2m7Gk1_0s</t>
  </si>
  <si>
    <t>SBpSA0VmICE</t>
  </si>
  <si>
    <t>SDNLxbVui_I</t>
  </si>
  <si>
    <t>SFXG6KzA-HQ</t>
  </si>
  <si>
    <t>SI77UCJ6m7Q</t>
  </si>
  <si>
    <t>SJKKd5P3FJw</t>
  </si>
  <si>
    <t>SK6-OgkRTyY</t>
  </si>
  <si>
    <t>SP2JjBBe8mU</t>
  </si>
  <si>
    <t>SSDx7_kKKP4</t>
  </si>
  <si>
    <t>STLQwC4Uyds</t>
  </si>
  <si>
    <t>SWokgvinePE</t>
  </si>
  <si>
    <t>SX1c1hF4FRI</t>
  </si>
  <si>
    <t>SZDV_S8Eur4</t>
  </si>
  <si>
    <t>S_evg53muw4</t>
  </si>
  <si>
    <t>SbJGaQzNimg</t>
  </si>
  <si>
    <t>ShooK_y1FcI</t>
  </si>
  <si>
    <t>SnmoOVaGZKQ</t>
  </si>
  <si>
    <t>Spl6yfTczI8</t>
  </si>
  <si>
    <t>Spn5uZqM7y8</t>
  </si>
  <si>
    <t>SqQCv_iW8Hg</t>
  </si>
  <si>
    <t>SrVjEkx4esc</t>
  </si>
  <si>
    <t>SzTXdBAIY9U</t>
  </si>
  <si>
    <t>T2OqqYf7T48</t>
  </si>
  <si>
    <t>T3J0smnKK1E</t>
  </si>
  <si>
    <t>T51tWYC2jwI</t>
  </si>
  <si>
    <t>T6HOrSV8l5o</t>
  </si>
  <si>
    <t>T9Pzpbfn6Bg</t>
  </si>
  <si>
    <t>T9WRdizoWXg</t>
  </si>
  <si>
    <t>T9_LsVTlTjw</t>
  </si>
  <si>
    <t>TA52WmNU9kA</t>
  </si>
  <si>
    <t>TB2D48rO1p4</t>
  </si>
  <si>
    <t>THcb-lHWMMc</t>
  </si>
  <si>
    <t>TIgZdg7w8C8</t>
  </si>
  <si>
    <t>TMDFxthGizQ</t>
  </si>
  <si>
    <t>TMSOUVFiTcI</t>
  </si>
  <si>
    <t>TNiLRA60B3U</t>
  </si>
  <si>
    <t>TP-EJWzEpLw</t>
  </si>
  <si>
    <t>TR5manlTzC8</t>
  </si>
  <si>
    <t>TSzAc3gvoV8</t>
  </si>
  <si>
    <t>TXOEmIjR3ZE</t>
  </si>
  <si>
    <t>TZJzC19dO3g</t>
  </si>
  <si>
    <t>TfgIHQsR7xk</t>
  </si>
  <si>
    <t>TguOxTpSdZM</t>
  </si>
  <si>
    <t>Tjg1JC3TCaQ</t>
  </si>
  <si>
    <t>TkATqTcbu8A</t>
  </si>
  <si>
    <t>Tmdcqk3UbDY</t>
  </si>
  <si>
    <t>TmrkjF3q3pE</t>
  </si>
  <si>
    <t>TnDOdzmJWLc</t>
  </si>
  <si>
    <t>TpVEhOqBudA</t>
  </si>
  <si>
    <t>TpvjM7ue7xw</t>
  </si>
  <si>
    <t>TsQWyNBcDO8</t>
  </si>
  <si>
    <t>TvIxD8md7wk</t>
  </si>
  <si>
    <t>TxJFZb5wjMM</t>
  </si>
  <si>
    <t>U2_jX9qM_YU</t>
  </si>
  <si>
    <t>U6bjCGlYTkg</t>
  </si>
  <si>
    <t>U7Byc_WX4io</t>
  </si>
  <si>
    <t>U7ZZzLb1zpw</t>
  </si>
  <si>
    <t>U8V7vfBkKps</t>
  </si>
  <si>
    <t>UGCbBhbBRYY</t>
  </si>
  <si>
    <t>UGI0cz8wKPY</t>
  </si>
  <si>
    <t>UGgBRSK0FXw</t>
  </si>
  <si>
    <t>UI3FsvrAaRk</t>
  </si>
  <si>
    <t>UNmBO5j6q2c</t>
  </si>
  <si>
    <t>UNuU-4kMNnI</t>
  </si>
  <si>
    <t>6PGCsCqgYb8</t>
  </si>
  <si>
    <t>UOEfImdcPKA</t>
  </si>
  <si>
    <t>UP-t7jJYk1M</t>
  </si>
  <si>
    <t>URlFzetYTBM</t>
  </si>
  <si>
    <t>UVtVpkmQI0I</t>
  </si>
  <si>
    <t>UZPwRD55o6o</t>
  </si>
  <si>
    <t>UfYtvYKaA4A</t>
  </si>
  <si>
    <t>UjgAsl886Mo</t>
  </si>
  <si>
    <t>Un2k89iCOts</t>
  </si>
  <si>
    <t>UpRgXeVSmnA</t>
  </si>
  <si>
    <t>UqLmq7YX_jU</t>
  </si>
  <si>
    <t>Uqnk8FqgvKQ</t>
  </si>
  <si>
    <t>Ur8dJpN3sxc</t>
  </si>
  <si>
    <t>Uvba7QPobn0</t>
  </si>
  <si>
    <t>UwG7aEOgugI</t>
  </si>
  <si>
    <t>UxIXbvlHsFI</t>
  </si>
  <si>
    <t>V3b70xyj2P8</t>
  </si>
  <si>
    <t>VAEyTKwPa2o</t>
  </si>
  <si>
    <t>VC4PVZ4cPcw</t>
  </si>
  <si>
    <t>VHQlBNG-jN4</t>
  </si>
  <si>
    <t>VKez5AXbzcA</t>
  </si>
  <si>
    <t>VQECj7FHRT0</t>
  </si>
  <si>
    <t>VWTI2BJ2e2g</t>
  </si>
  <si>
    <t>VXvtyk2xf8M</t>
  </si>
  <si>
    <t>en|ko|yue-HK|zh-Hant</t>
  </si>
  <si>
    <t>VZJ0WN5_Ptg</t>
  </si>
  <si>
    <t>VZTsLQTor3g</t>
  </si>
  <si>
    <t>VavKj-5JWzo</t>
  </si>
  <si>
    <t>Vd5AjbnHo8o</t>
  </si>
  <si>
    <t>VeZOK4k5YVc</t>
  </si>
  <si>
    <t>Voto-q1VXnU</t>
  </si>
  <si>
    <t>VpJXX_Xo5xQ</t>
  </si>
  <si>
    <t>Vqs1eu5lixY</t>
  </si>
  <si>
    <t>VxlphkRbBAU</t>
  </si>
  <si>
    <t>W0DYur63-W8</t>
  </si>
  <si>
    <t>W697ZahoR90</t>
  </si>
  <si>
    <t>W7XnRTRAk84</t>
  </si>
  <si>
    <t>WB8EZxVdXYw</t>
  </si>
  <si>
    <t>WCukcrxTOjc</t>
  </si>
  <si>
    <t>WEWBIlifsBY</t>
  </si>
  <si>
    <t>WEc-8Myjeag</t>
  </si>
  <si>
    <t>WGgVyKsnFGY</t>
  </si>
  <si>
    <t>WMx-SWUrSCw</t>
  </si>
  <si>
    <t>WSYAm6qP2Xw</t>
  </si>
  <si>
    <t>WVUGu0-9X8k</t>
  </si>
  <si>
    <t>en|fr|id|ja|zh-CN|zh-HK|zh-TW</t>
  </si>
  <si>
    <t>WWjlnMh3K5I</t>
  </si>
  <si>
    <t>WXkEFy_9trk</t>
  </si>
  <si>
    <t>WZxaqf9dfkk</t>
  </si>
  <si>
    <t>We4C3UP0S18</t>
  </si>
  <si>
    <t>WfAC5e0FiuA</t>
  </si>
  <si>
    <t>WhCrleiOAB8</t>
  </si>
  <si>
    <t>en|yue-8k-bGVCfGYE</t>
  </si>
  <si>
    <t>Wi8jA8Mi348</t>
  </si>
  <si>
    <t>WiF3FLugmQw</t>
  </si>
  <si>
    <t>Wmh5BRVtZLA</t>
  </si>
  <si>
    <t>WnEBJUEJM3M</t>
  </si>
  <si>
    <t>WvP5ULY96Yo</t>
  </si>
  <si>
    <t>WwMHNUsVgkc</t>
  </si>
  <si>
    <t>Wyxv-oeYCdY</t>
  </si>
  <si>
    <t>X0Q1zYu1rWk</t>
  </si>
  <si>
    <t>X4_GtCT0cYk</t>
  </si>
  <si>
    <t>X4k_cMt5KDQ</t>
  </si>
  <si>
    <t>vi|zh-HK</t>
  </si>
  <si>
    <t>X5ZB5evooEI</t>
  </si>
  <si>
    <t>X64IJ_01KsE</t>
  </si>
  <si>
    <t>XAb6ViVYNgw</t>
  </si>
  <si>
    <t>XEB58JRQe-c</t>
  </si>
  <si>
    <t>XJ6UWIx6deQ</t>
  </si>
  <si>
    <t>XMrjcexy-GE</t>
  </si>
  <si>
    <t>XS8gSY2qKOI</t>
  </si>
  <si>
    <t>XUGGjKjA9P0</t>
  </si>
  <si>
    <t>XVVG2uc0bLo</t>
  </si>
  <si>
    <t>XVleAlTr6Ro</t>
  </si>
  <si>
    <t>XZqogaxxDtg</t>
  </si>
  <si>
    <t>XaW2Z6tnHzU</t>
  </si>
  <si>
    <t>XfME9LCQPls</t>
  </si>
  <si>
    <t>XfbXOcL635w</t>
  </si>
  <si>
    <t>XkCeWcwftf8</t>
  </si>
  <si>
    <t>XqEGdLi1s8M</t>
  </si>
  <si>
    <t>XqM2B4C0dV0</t>
  </si>
  <si>
    <t>XuRKfdopM9I</t>
  </si>
  <si>
    <t>Xup8Gj3DsYk</t>
  </si>
  <si>
    <t>Xv5v4fLu8XU</t>
  </si>
  <si>
    <t>Xw3KQkRBJ18</t>
  </si>
  <si>
    <t>zh-Hant|zh-TW</t>
  </si>
  <si>
    <t>Y1B_Cat-H5c</t>
  </si>
  <si>
    <t>Y4fFFzNFR6E</t>
  </si>
  <si>
    <t>Y9Bj8mGR0mQ</t>
  </si>
  <si>
    <t>YFTuT5xCstw</t>
  </si>
  <si>
    <t>YH9QsJ2h7XY</t>
  </si>
  <si>
    <t>YKs7wVT3QNw</t>
  </si>
  <si>
    <t>YNLY7ahW5xU</t>
  </si>
  <si>
    <t>YTJ3bEXAtYw</t>
  </si>
  <si>
    <t>YZXizYP-vTc</t>
  </si>
  <si>
    <t>YcBJjqZagw0</t>
  </si>
  <si>
    <t>YfED7Noqwew</t>
  </si>
  <si>
    <t>YkAJRDHrZ6o</t>
  </si>
  <si>
    <t>Yl_LVYhN8Qc</t>
  </si>
  <si>
    <t>YmlDyecM_zc</t>
  </si>
  <si>
    <t>YrGhgjv_mHU</t>
  </si>
  <si>
    <t>yue-HK-8k-bGVCfGYE</t>
  </si>
  <si>
    <t>YraHcclyWGs</t>
  </si>
  <si>
    <t>Yt2lFpV1UJQ</t>
  </si>
  <si>
    <t>YtYjHmxEK8o</t>
  </si>
  <si>
    <t>YuiUhGy9ADk</t>
  </si>
  <si>
    <t>YwiIZTa3k9A</t>
  </si>
  <si>
    <t>Ywq_KuA4YqI</t>
  </si>
  <si>
    <t>Z2rDEgRaI-E</t>
  </si>
  <si>
    <t>Z3h-0il2KU8</t>
  </si>
  <si>
    <t>ZRJB_9fkol4</t>
  </si>
  <si>
    <t>ZSlaUeu8F4c</t>
  </si>
  <si>
    <t>ZUOsEc3PyQA</t>
  </si>
  <si>
    <t>ZV9F8u0wLkU</t>
  </si>
  <si>
    <t>ZVmh5mmze4U</t>
  </si>
  <si>
    <t>ZVu-LMpscMw</t>
  </si>
  <si>
    <t>ZYHGAM0pgq4</t>
  </si>
  <si>
    <t>ZaIVbTTYNcc</t>
  </si>
  <si>
    <t>Zkwse7Vb7Po</t>
  </si>
  <si>
    <t>ZmDP1iuYIec</t>
  </si>
  <si>
    <t>ZpfLKYAF-CU</t>
  </si>
  <si>
    <t>Zv0BaX3H1yY</t>
  </si>
  <si>
    <t>ZzijsC3doNI</t>
  </si>
  <si>
    <t>_3kEMqI-o0A</t>
  </si>
  <si>
    <t>en|zh|zh-HK</t>
  </si>
  <si>
    <t>_53B5renjAU</t>
  </si>
  <si>
    <t>_5hcdEK9csA</t>
  </si>
  <si>
    <t>_7eYdxg-DsQ</t>
  </si>
  <si>
    <t>_DgcgnCgT_I</t>
  </si>
  <si>
    <t>_DhgwD-NGlc</t>
  </si>
  <si>
    <t>_GXVsS_SJzI</t>
  </si>
  <si>
    <t>_Gk6xychGXI</t>
  </si>
  <si>
    <t>_RwJUsspMkM</t>
  </si>
  <si>
    <t>_T2sktndkTk</t>
  </si>
  <si>
    <t>_Tg4Li0DS84</t>
  </si>
  <si>
    <t>_X7aGkFIsSU</t>
  </si>
  <si>
    <t>_aW3brYRqIQ</t>
  </si>
  <si>
    <t>_hJeqzy0JrE</t>
  </si>
  <si>
    <t>_nqN5nUadME</t>
  </si>
  <si>
    <t>_sNtUfuASSA</t>
  </si>
  <si>
    <t>_ylESgra3mc</t>
  </si>
  <si>
    <t>a-XdqEeYJRw</t>
  </si>
  <si>
    <t>a4Dz7yvlf3k</t>
  </si>
  <si>
    <t>a5_8kXlN3cY</t>
  </si>
  <si>
    <t>en|id|ja|th|zh-CN|zh-HK|zh-TW</t>
  </si>
  <si>
    <t>a6Ps9dsBRvI</t>
  </si>
  <si>
    <t>a9-bRv0FNRo</t>
  </si>
  <si>
    <t>aF0v1MZhR0I</t>
  </si>
  <si>
    <t>aPeTJGTtSM8</t>
  </si>
  <si>
    <t>aQ6oYQ89wfQ</t>
  </si>
  <si>
    <t>aQ_Lp_MhE34</t>
  </si>
  <si>
    <t>aT8GpTf9Tz8</t>
  </si>
  <si>
    <t>aaEHESBz6qo</t>
  </si>
  <si>
    <t>afHQ8ZCjlzk</t>
  </si>
  <si>
    <t>afUVN8Egd1Q</t>
  </si>
  <si>
    <t>afx2j9-D5z0</t>
  </si>
  <si>
    <t>ag63tVO25SQ</t>
  </si>
  <si>
    <t>aiXaBZlzq5Y</t>
  </si>
  <si>
    <t>ajE-VOuwHfc</t>
  </si>
  <si>
    <t>ar9gHzMJDKU</t>
  </si>
  <si>
    <t>auhuePQk6AE</t>
  </si>
  <si>
    <t>aw_P8c9V0aM</t>
  </si>
  <si>
    <t>axGzUsxA6vs</t>
  </si>
  <si>
    <t>b-7GgdTak9E</t>
  </si>
  <si>
    <t>b-jAuW7pdHY</t>
  </si>
  <si>
    <t>b5-5tyRda0Q</t>
  </si>
  <si>
    <t>b7NOXSiXBUk</t>
  </si>
  <si>
    <t>bA-nUw23Jeo</t>
  </si>
  <si>
    <t>bGiwXBCODZY</t>
  </si>
  <si>
    <t>bKz59DhRRsY</t>
  </si>
  <si>
    <t>bNMEERb1CpY</t>
  </si>
  <si>
    <t>bOde62WegyU</t>
  </si>
  <si>
    <t>bP_0_NuwWtE</t>
  </si>
  <si>
    <t>bUVhO3m7OeE</t>
  </si>
  <si>
    <t>bZ1DCNji9x8</t>
  </si>
  <si>
    <t>bdR437agWxw</t>
  </si>
  <si>
    <t>bh6ZU2khg88</t>
  </si>
  <si>
    <t>bhhCcRKQt5o</t>
  </si>
  <si>
    <t>bhxAIOxpYYc</t>
  </si>
  <si>
    <t>bkSqjFYYljU</t>
  </si>
  <si>
    <t>blYrZlNMfL8</t>
  </si>
  <si>
    <t>bmFPcQEElGA</t>
  </si>
  <si>
    <t>bnpSyrHLX0k</t>
  </si>
  <si>
    <t>bq5gC92fnp8</t>
  </si>
  <si>
    <t>bvW7VMyiCH0</t>
  </si>
  <si>
    <t>bwOqOpwmhhk</t>
  </si>
  <si>
    <t>byLyt55hgc0</t>
  </si>
  <si>
    <t>c6svfgFzzZo</t>
  </si>
  <si>
    <t>cCTJo5cfJGM</t>
  </si>
  <si>
    <t>6Wb6TuMplWE</t>
  </si>
  <si>
    <t>cCsKIAcagKA</t>
  </si>
  <si>
    <t>cEIpZcR3BZg</t>
  </si>
  <si>
    <t>cGALUoOWc8o</t>
  </si>
  <si>
    <t>en-GB|ja|zh-HK|zh-TW</t>
  </si>
  <si>
    <t>cJ2uQuYoLPQ</t>
  </si>
  <si>
    <t>cN7679ii4eo</t>
  </si>
  <si>
    <t>yue|zh|zh-Hans|zh-TW</t>
  </si>
  <si>
    <t>cOMsb-dtY1s</t>
  </si>
  <si>
    <t>cS3n19ZRhEM</t>
  </si>
  <si>
    <t>cTCSFD8l3YY</t>
  </si>
  <si>
    <t>cVqnE55GRtY</t>
  </si>
  <si>
    <t>cY5alPGEpJQ</t>
  </si>
  <si>
    <t>c_k0bNi1pRc</t>
  </si>
  <si>
    <t>cfXXyFl0YRo</t>
  </si>
  <si>
    <t>clX821fIHU4</t>
  </si>
  <si>
    <t>cnOFoMPVGMI</t>
  </si>
  <si>
    <t>csTC-9d3qWE</t>
  </si>
  <si>
    <t>e5Mv-B4DgcA</t>
  </si>
  <si>
    <t>e6Ho4p8kZAk</t>
  </si>
  <si>
    <t>e6zDNBVW13M</t>
  </si>
  <si>
    <t>e8NvGQOCMBs</t>
  </si>
  <si>
    <t>e8V-iOoDkoM</t>
  </si>
  <si>
    <t>e9zBr8IRN7A</t>
  </si>
  <si>
    <t>eAd6NP65s4s</t>
  </si>
  <si>
    <t>eB7P0iVOr1Q</t>
  </si>
  <si>
    <t>eDpRIYMtaqc</t>
  </si>
  <si>
    <t>eIN0ovGd_D4</t>
  </si>
  <si>
    <t>eLmfP_HXv30</t>
  </si>
  <si>
    <t>eOC45sbzBvA</t>
  </si>
  <si>
    <t>eOk0PJWuvhI</t>
  </si>
  <si>
    <t>eXZkPedzCEM</t>
  </si>
  <si>
    <t>en|pt|zh-CN|zh-HK|zh-TW</t>
  </si>
  <si>
    <t>UCgGUmm04nVyj-ftaCxVcyBg</t>
  </si>
  <si>
    <t>6Y9BrbNuq_8</t>
  </si>
  <si>
    <t>eXhLJfxX7FQ</t>
  </si>
  <si>
    <t>eYCqCteGs9E</t>
  </si>
  <si>
    <t>eZu3Ue8G_08</t>
  </si>
  <si>
    <t>ecLS6Cti0pY</t>
  </si>
  <si>
    <t>ed7CnQCmgPg</t>
  </si>
  <si>
    <t>eigoLCKv0Zw</t>
  </si>
  <si>
    <t>ejjcdMaIxTc</t>
  </si>
  <si>
    <t>eoCCF4foFjE</t>
  </si>
  <si>
    <t>en|zh-TW</t>
  </si>
  <si>
    <t>erO45CadS5Q</t>
  </si>
  <si>
    <t>f-7JoUjKkeg</t>
  </si>
  <si>
    <t>f5F50zqwUBc</t>
  </si>
  <si>
    <t>UCOioTRIWn0mvBWxySe-zN_w</t>
  </si>
  <si>
    <t>fC8WodRYY94</t>
  </si>
  <si>
    <t>fFPLepFcF9A</t>
  </si>
  <si>
    <t>fFa6U2qFBUA</t>
  </si>
  <si>
    <t>fGIcgWdRnB4</t>
  </si>
  <si>
    <t>fH42HMz1xPo</t>
  </si>
  <si>
    <t>fHp9DszAUKg</t>
  </si>
  <si>
    <t>fKJU0KrnVJM</t>
  </si>
  <si>
    <t>fLkQEWrZ_ac</t>
  </si>
  <si>
    <t>fPAjKeLLh4w</t>
  </si>
  <si>
    <t>fRlaRvlYeVY</t>
  </si>
  <si>
    <t>fVoaDNv2A-o</t>
  </si>
  <si>
    <t>fZMMqmkGcFY</t>
  </si>
  <si>
    <t>f_dlDjChxJ0</t>
  </si>
  <si>
    <t>fbnUaGxtIhA</t>
  </si>
  <si>
    <t>feng0Mnv9xE</t>
  </si>
  <si>
    <t>yue-HK|zh-HK|zh-Hans|zh-Hant</t>
  </si>
  <si>
    <t>fiXmJbudYKY</t>
  </si>
  <si>
    <t>fiZMi1QdSpA</t>
  </si>
  <si>
    <t>fnC4uzX7zJU</t>
  </si>
  <si>
    <t>fpECe5Rl9p8</t>
  </si>
  <si>
    <t>fxJ1M_BmtEU</t>
  </si>
  <si>
    <t>g41pTxabbXw</t>
  </si>
  <si>
    <t>g52TpP861_c</t>
  </si>
  <si>
    <t>g85UxqwTTjo</t>
  </si>
  <si>
    <t>gIGXi3c2iWo</t>
  </si>
  <si>
    <t>gL-AmZsPQOE</t>
  </si>
  <si>
    <t>gS1QmZUdhik</t>
  </si>
  <si>
    <t>en|yue|zh-Hant</t>
  </si>
  <si>
    <t>gSGFRn3rNDo</t>
  </si>
  <si>
    <t>gTO4dXvxPV0</t>
  </si>
  <si>
    <t>gWwdYHZnY8A</t>
  </si>
  <si>
    <t>gemB2_cfRUc</t>
  </si>
  <si>
    <t>ggtiLW45B4s</t>
  </si>
  <si>
    <t>gi3w9MkSp2k</t>
  </si>
  <si>
    <t>giX_hZvdg-o</t>
  </si>
  <si>
    <t>gjgJ6ZVwnCk</t>
  </si>
  <si>
    <t>gpf3M0g6HCw</t>
  </si>
  <si>
    <t>grppXnR1FMM</t>
  </si>
  <si>
    <t>gtEeMo33pN0</t>
  </si>
  <si>
    <t>UCO6pB-ZN4XJ6MVkibvuEe0A</t>
  </si>
  <si>
    <t>6ZwlNjYQfYQ</t>
  </si>
  <si>
    <t>gy6RaO8ERn0</t>
  </si>
  <si>
    <t>h47MbttQkfs</t>
  </si>
  <si>
    <t>h7tBioLDHKw</t>
  </si>
  <si>
    <t>h8ZrE7mDDoY</t>
  </si>
  <si>
    <t>hD9pLGE-iFQ</t>
  </si>
  <si>
    <t>hFlrxIAW3Zs</t>
  </si>
  <si>
    <t>hH6WbgT3E2M</t>
  </si>
  <si>
    <t>hKa1R7FRnxw</t>
  </si>
  <si>
    <t>hTr6V6tH9J0</t>
  </si>
  <si>
    <t>hUNb3AFUF9s</t>
  </si>
  <si>
    <t>UCWSXwnh1qdF4GOX6QrUB7Dw</t>
  </si>
  <si>
    <t>hVhOJraliuM</t>
  </si>
  <si>
    <t>hVsmozbw23c</t>
  </si>
  <si>
    <t>hYEf8Cp5sUA</t>
  </si>
  <si>
    <t>hZtY6zCQac4</t>
  </si>
  <si>
    <t>hds8BUI01W4</t>
  </si>
  <si>
    <t>hgTSe25hZFQ</t>
  </si>
  <si>
    <t>hkPhMBkRcD8</t>
  </si>
  <si>
    <t>hky-cxsPK_4</t>
  </si>
  <si>
    <t>hl6OqnPHv00</t>
  </si>
  <si>
    <t>hnpu-bbgO3g</t>
  </si>
  <si>
    <t>hq9DiCkKxw4</t>
  </si>
  <si>
    <t>hsa5Hsu0q4c</t>
  </si>
  <si>
    <t>hvEFG6NExCo</t>
  </si>
  <si>
    <t>hytL5P5GpCA</t>
  </si>
  <si>
    <t>i2EmoPxVobk</t>
  </si>
  <si>
    <t>i2uj-8glKP0</t>
  </si>
  <si>
    <t>i33WH1EFZ20</t>
  </si>
  <si>
    <t>i5iH22iGTe0</t>
  </si>
  <si>
    <t>i6hGbLoePBI</t>
  </si>
  <si>
    <t>i82Jo9j5FSY</t>
  </si>
  <si>
    <t>i8qPdaHIEx8</t>
  </si>
  <si>
    <t>iDXlDj9LLg0</t>
  </si>
  <si>
    <t>iF_JJBGXjiI</t>
  </si>
  <si>
    <t>iInKT38cqP8</t>
  </si>
  <si>
    <t>iMz27gLYD9c</t>
  </si>
  <si>
    <t>iOYY7cRQ5WE</t>
  </si>
  <si>
    <t>iQz4OwINqdY</t>
  </si>
  <si>
    <t>iVib0m6X5TA</t>
  </si>
  <si>
    <t>iacetqGzMBk</t>
  </si>
  <si>
    <t>ibqFi4WIoRw</t>
  </si>
  <si>
    <t>ibzIfiSzeK0</t>
  </si>
  <si>
    <t>idRitXOBf24</t>
  </si>
  <si>
    <t>ihX9MBzos-c</t>
  </si>
  <si>
    <t>ii2GqP8tyKk</t>
  </si>
  <si>
    <t>ipbTBIPEnmM</t>
  </si>
  <si>
    <t>irnfKBxsDhY</t>
  </si>
  <si>
    <t>itUaiNhJtJY</t>
  </si>
  <si>
    <t>itakBdOYTzo</t>
  </si>
  <si>
    <t>ixRXshp7bls</t>
  </si>
  <si>
    <t>j0Ywntum7vg</t>
  </si>
  <si>
    <t>j0cjj0myzcM</t>
  </si>
  <si>
    <t>j46xOJbdx3U</t>
  </si>
  <si>
    <t>j6u335nE7fY</t>
  </si>
  <si>
    <t>j7liAVo6yzE</t>
  </si>
  <si>
    <t>j80zTC7IxJ0</t>
  </si>
  <si>
    <t>jDiGbHKuLVM</t>
  </si>
  <si>
    <t>jFuzPgEOwQM</t>
  </si>
  <si>
    <t>jNW6-Uf7QQc</t>
  </si>
  <si>
    <t>jW-eLMjhG-Y</t>
  </si>
  <si>
    <t>jWys03diflE</t>
  </si>
  <si>
    <t>jdtHAKwHxYA</t>
  </si>
  <si>
    <t>jk5cgWU0mHk</t>
  </si>
  <si>
    <t>jk7GUHJS1NU</t>
  </si>
  <si>
    <t>jtO7fZMzBnc</t>
  </si>
  <si>
    <t>jxeHLOTtxSA</t>
  </si>
  <si>
    <t>k-CjWSf_keA</t>
  </si>
  <si>
    <t>k1E9GNtn7G4</t>
  </si>
  <si>
    <t>k3_nsic0z_c</t>
  </si>
  <si>
    <t>k3zN10lbpp4</t>
  </si>
  <si>
    <t>k57ysryUc64</t>
  </si>
  <si>
    <t>kDulFBuQYDQ</t>
  </si>
  <si>
    <t>kEmYmXTXiWU</t>
  </si>
  <si>
    <t>kQDj3-0kjtU</t>
  </si>
  <si>
    <t>kTpohYxN5Ic</t>
  </si>
  <si>
    <t>kZlS1Ogt1ME</t>
  </si>
  <si>
    <t>kogRnQpDGcY</t>
  </si>
  <si>
    <t>ksoSO5fuJ5M</t>
  </si>
  <si>
    <t>ktKkbGQPx9g</t>
  </si>
  <si>
    <t>ku9Jh_K7acI</t>
  </si>
  <si>
    <t>l0XO8iUjmEc</t>
  </si>
  <si>
    <t>l2_2C2044hw</t>
  </si>
  <si>
    <t>l2cbEsvfbwg</t>
  </si>
  <si>
    <t>l6hSVSR4iPs</t>
  </si>
  <si>
    <t>lDelLrZiuE0</t>
  </si>
  <si>
    <t>lHb8jZe8rPE</t>
  </si>
  <si>
    <t>lJA9R5kWZ8M</t>
  </si>
  <si>
    <t>lJC--9tY0AM</t>
  </si>
  <si>
    <t>lKrn53vE3Ck</t>
  </si>
  <si>
    <t>lNFHmoZ0V9M</t>
  </si>
  <si>
    <t>en-nDnW6s0qq8A|yue</t>
  </si>
  <si>
    <t>lPeOU6gmwd8</t>
  </si>
  <si>
    <t>lRJI1vAyOY0</t>
  </si>
  <si>
    <t>lW5vZOLvzL4</t>
  </si>
  <si>
    <t>lWi9k5yJczc</t>
  </si>
  <si>
    <t>lX0PnYzEX_k</t>
  </si>
  <si>
    <t>lZFFZnX9Nf4</t>
  </si>
  <si>
    <t>ladpQO8KmAg</t>
  </si>
  <si>
    <t>6cdnNzMBI7E</t>
  </si>
  <si>
    <t>lcUhaIT6Br0</t>
  </si>
  <si>
    <t>lcqYQ8y_U7o</t>
  </si>
  <si>
    <t>lcsYb95M2BY</t>
  </si>
  <si>
    <t>lf-99BFHHEI</t>
  </si>
  <si>
    <t>lf9QkuQS7z8</t>
  </si>
  <si>
    <t>loZmaTaRLyI</t>
  </si>
  <si>
    <t>lryNSAuT12s</t>
  </si>
  <si>
    <t>lsqmMsH-cTs</t>
  </si>
  <si>
    <t>lw6iDBzXskk</t>
  </si>
  <si>
    <t>m2SLn6e9euI</t>
  </si>
  <si>
    <t>m3OSphRiZnM</t>
  </si>
  <si>
    <t>m3rP-39R3yE</t>
  </si>
  <si>
    <t>m89WbeVFMBI</t>
  </si>
  <si>
    <t>mIHT7vG1F6A</t>
  </si>
  <si>
    <t>mL16eCi7F8M</t>
  </si>
  <si>
    <t>mLf99HmLJ3Q</t>
  </si>
  <si>
    <t>mS5tyuopxg0</t>
  </si>
  <si>
    <t>mWLFCXrhiYg</t>
  </si>
  <si>
    <t>m_9H1V1c1IY</t>
  </si>
  <si>
    <t>maww82O_IfA</t>
  </si>
  <si>
    <t>mdIFvy5NlV4</t>
  </si>
  <si>
    <t>meU1ifng7lo</t>
  </si>
  <si>
    <t>mjSAsGZrzu0</t>
  </si>
  <si>
    <t>mqRBf1kPwpw</t>
  </si>
  <si>
    <t>6eLoLkxhb-Q</t>
  </si>
  <si>
    <t>mubn3i0I0Sg</t>
  </si>
  <si>
    <t>n4oZzcKLYCI</t>
  </si>
  <si>
    <t>n5H6P5toin8</t>
  </si>
  <si>
    <t>n5iEbylhi_0</t>
  </si>
  <si>
    <t>n85qOF00z4U</t>
  </si>
  <si>
    <t>nC95AxIOlp4</t>
  </si>
  <si>
    <t>nF3U9-d9nWw</t>
  </si>
  <si>
    <t>nGLAemucJzY</t>
  </si>
  <si>
    <t>yue-HK|zh-CN|zh-HK</t>
  </si>
  <si>
    <t>6ef8GOgP1Dc</t>
  </si>
  <si>
    <t>nGLqp3pD3_M</t>
  </si>
  <si>
    <t>nLWm-XFchYE</t>
  </si>
  <si>
    <t>nU_FvKSx778</t>
  </si>
  <si>
    <t>nYC3tDc6uf4</t>
  </si>
  <si>
    <t>nYP75EoOL3g</t>
  </si>
  <si>
    <t>ngjm8xUNLUo</t>
  </si>
  <si>
    <t>nhEl8CY8oSc</t>
  </si>
  <si>
    <t>nlxuJE5jAL8</t>
  </si>
  <si>
    <t>nly3i4VYt94</t>
  </si>
  <si>
    <t>nnWkNV7PozY</t>
  </si>
  <si>
    <t>noAOjB_i9lo</t>
  </si>
  <si>
    <t>nrW5oc4fnbA</t>
  </si>
  <si>
    <t>ntKJ4p9uekg</t>
  </si>
  <si>
    <t>o-S7aSg8Jo0</t>
  </si>
  <si>
    <t>o0QmLP-bjOA</t>
  </si>
  <si>
    <t>o8qIdO6NJe4</t>
  </si>
  <si>
    <t>oFKQeDldtMs</t>
  </si>
  <si>
    <t>oFvuKXdzFaw</t>
  </si>
  <si>
    <t>oJIooYGc1mo</t>
  </si>
  <si>
    <t>oKHkxq0CoaE</t>
  </si>
  <si>
    <t>oR1O1IyQkGg</t>
  </si>
  <si>
    <t>oShIQ_QXhC4</t>
  </si>
  <si>
    <t>o_GPqT7V2YA</t>
  </si>
  <si>
    <t>ofeF2G5j5tI</t>
  </si>
  <si>
    <t>og0yhMz5HpA</t>
  </si>
  <si>
    <t>ohzKIawlX3c</t>
  </si>
  <si>
    <t>ok6Qt5wBqrI</t>
  </si>
  <si>
    <t>olWXP9nuGBM</t>
  </si>
  <si>
    <t>omHILgoIyHc</t>
  </si>
  <si>
    <t>onVpgRcEaa4</t>
  </si>
  <si>
    <t>opI6Thev0CI</t>
  </si>
  <si>
    <t>opZNRxEu4fc</t>
  </si>
  <si>
    <t>oqx74_kcKFg</t>
  </si>
  <si>
    <t>owS9pVfZHX0</t>
  </si>
  <si>
    <t>ozfBWxMNReo</t>
  </si>
  <si>
    <t>p1GtYcPxioE</t>
  </si>
  <si>
    <t>p1mUl_vBBqo</t>
  </si>
  <si>
    <t>p4xwF9WQrJA</t>
  </si>
  <si>
    <t>p7TS8geZU4k</t>
  </si>
  <si>
    <t>p9qd6AZuSLA</t>
  </si>
  <si>
    <t>pASEgEDIMjE</t>
  </si>
  <si>
    <t>pAneUh6H_xw</t>
  </si>
  <si>
    <t>pAxtboW5tbg</t>
  </si>
  <si>
    <t>pBoSH2DmcE8</t>
  </si>
  <si>
    <t>pBzG3tzwzig</t>
  </si>
  <si>
    <t>pJ6gobQA_GM</t>
  </si>
  <si>
    <t>pN_xl-vjTUY</t>
  </si>
  <si>
    <t>pP0Z4B9hdqk</t>
  </si>
  <si>
    <t>pU9ZYmh4Xeg</t>
  </si>
  <si>
    <t>p_VjRA8KhdY</t>
  </si>
  <si>
    <t>pbb3yuP25SI</t>
  </si>
  <si>
    <t>pkgTrBQMEiE</t>
  </si>
  <si>
    <t>pkyKttEIgyE</t>
  </si>
  <si>
    <t>pp8alUHgGtc</t>
  </si>
  <si>
    <t>ppNofbsxDLM</t>
  </si>
  <si>
    <t>pwpr7CE6oss</t>
  </si>
  <si>
    <t>pyXQprpJZss</t>
  </si>
  <si>
    <t>pz2FU6nCC5I</t>
  </si>
  <si>
    <t>pzUguqt-_3I</t>
  </si>
  <si>
    <t>q2f4D3GEvOM</t>
  </si>
  <si>
    <t>q2t174Rrb6Q</t>
  </si>
  <si>
    <t>q3hM_wT08IY</t>
  </si>
  <si>
    <t>q5VM2YIThnM</t>
  </si>
  <si>
    <t>q8S3AfPJDsc</t>
  </si>
  <si>
    <t>q8cs3L9WqZg</t>
  </si>
  <si>
    <t>q9AxYPn6HEY</t>
  </si>
  <si>
    <t>q9wTrVDaOQM</t>
  </si>
  <si>
    <t>qAp3-x5kGRo</t>
  </si>
  <si>
    <t>qBbzitvoubw</t>
  </si>
  <si>
    <t>qDtqRqyIZPQ</t>
  </si>
  <si>
    <t>qEWWp-kjFtI</t>
  </si>
  <si>
    <t>qJ7Hd02CGRk</t>
  </si>
  <si>
    <t>qK48yxOh-tU</t>
  </si>
  <si>
    <t>qLlkDm8gTuk</t>
  </si>
  <si>
    <t>qMgvwiJFhYo</t>
  </si>
  <si>
    <t>qMhUsmQZFOA</t>
  </si>
  <si>
    <t>qNWGCu4Odpw</t>
  </si>
  <si>
    <t>qSfNXRD9Bbs</t>
  </si>
  <si>
    <t>qWEh0axFMBw</t>
  </si>
  <si>
    <t>qXbSRgHCA-U</t>
  </si>
  <si>
    <t>qZQLxmxYlNQ</t>
  </si>
  <si>
    <t>qbBPjycDUlQ</t>
  </si>
  <si>
    <t>qe6A7Ndv9Yk</t>
  </si>
  <si>
    <t>qfWG0E0UZLk</t>
  </si>
  <si>
    <t>qfhYZUnYadE</t>
  </si>
  <si>
    <t>qg8xoc8o9J4</t>
  </si>
  <si>
    <t>qgWNAPuJ0Bg</t>
  </si>
  <si>
    <t>qjGp162-Dq0</t>
  </si>
  <si>
    <t>qjXJcdD2U_Q</t>
  </si>
  <si>
    <t>qjeKRIb2G04</t>
  </si>
  <si>
    <t>ql0qN0D9k4k</t>
  </si>
  <si>
    <t>qpV5jK0nXYU</t>
  </si>
  <si>
    <t>qrD400h4cXI</t>
  </si>
  <si>
    <t>qrLx8TksWKk</t>
  </si>
  <si>
    <t>qrbjJj1S_6s</t>
  </si>
  <si>
    <t>quOAQU8pO9I</t>
  </si>
  <si>
    <t>qxkM7qJEN_U</t>
  </si>
  <si>
    <t>qzRefs7UMcA</t>
  </si>
  <si>
    <t>r1ORUNDiVdc</t>
  </si>
  <si>
    <t>r2pQF9AQtZA</t>
  </si>
  <si>
    <t>r3pL56Waj8E</t>
  </si>
  <si>
    <t>r7oI9ikl8pE</t>
  </si>
  <si>
    <t>r7pIqaaoQS0</t>
  </si>
  <si>
    <t>rB7xIz5ulFA</t>
  </si>
  <si>
    <t>rDZw6S9aeA0</t>
  </si>
  <si>
    <t>rF4-0buWznM</t>
  </si>
  <si>
    <t>rGDDk04q4_Q</t>
  </si>
  <si>
    <t>rMEQaF4elRQ</t>
  </si>
  <si>
    <t>rPntSoMEoX0</t>
  </si>
  <si>
    <t>rRL5p7lScCw</t>
  </si>
  <si>
    <t>rXXDXGNU5SI</t>
  </si>
  <si>
    <t>zh|zh-TW</t>
  </si>
  <si>
    <t>rg8f0zGHcjk</t>
  </si>
  <si>
    <t>riJPgjPVXbo</t>
  </si>
  <si>
    <t>riQmRpIxx3M</t>
  </si>
  <si>
    <t>rjOsFBP7AU4</t>
  </si>
  <si>
    <t>rn7e5u-4WJ8</t>
  </si>
  <si>
    <t>rp9oupPEh9o</t>
  </si>
  <si>
    <t>rq_IvmLQ6Zs</t>
  </si>
  <si>
    <t>rsmzhaCck3Q</t>
  </si>
  <si>
    <t>rwyhJl7OloE</t>
  </si>
  <si>
    <t>rzbSHIhHs5I</t>
  </si>
  <si>
    <t>s0LBHp8NtR0</t>
  </si>
  <si>
    <t>s14xjQ_5G2Y</t>
  </si>
  <si>
    <t>s7-lcfBE4aE</t>
  </si>
  <si>
    <t>s8TmiG2p2ag</t>
  </si>
  <si>
    <t>sC2Y8UcIziU</t>
  </si>
  <si>
    <t>sEitQVVTy-g</t>
  </si>
  <si>
    <t>sKEkaKWDFic</t>
  </si>
  <si>
    <t>sNOw_r0B4EE</t>
  </si>
  <si>
    <t>sNXHwGhpCFw</t>
  </si>
  <si>
    <t>sPzBOm0d2Uw</t>
  </si>
  <si>
    <t>sSEQAaffL8Q</t>
  </si>
  <si>
    <t>ja|zh-HK</t>
  </si>
  <si>
    <t>sTVbrE9vAW0</t>
  </si>
  <si>
    <t>sU6fwiA8FNk</t>
  </si>
  <si>
    <t>sWZ_gDWkQ_0</t>
  </si>
  <si>
    <t>sXJvVE9JbQQ</t>
  </si>
  <si>
    <t>sawZjGIhe_o</t>
  </si>
  <si>
    <t>sfZ-E7cYwH8</t>
  </si>
  <si>
    <t>snzGPq0psNQ</t>
  </si>
  <si>
    <t>swA592ePg-M</t>
  </si>
  <si>
    <t>sx8Wu6wm8dQ</t>
  </si>
  <si>
    <t>t05BdWFtxjo</t>
  </si>
  <si>
    <t>t1CApMphVYw</t>
  </si>
  <si>
    <t>6nHdzGIxyRw</t>
  </si>
  <si>
    <t>t4oOa_h8eJw</t>
  </si>
  <si>
    <t>t503xMJy36M</t>
  </si>
  <si>
    <t>tCDFzL2SSD8</t>
  </si>
  <si>
    <t>tDS7HoaG0TI</t>
  </si>
  <si>
    <t>tJh_6RdZZVo</t>
  </si>
  <si>
    <t>tKe2uhovcBI</t>
  </si>
  <si>
    <t>6o-H9o7e0rY</t>
  </si>
  <si>
    <t>tMl-T0vLLKU</t>
  </si>
  <si>
    <t>tQYA_mcvmQ4</t>
  </si>
  <si>
    <t>tSPnVySUBDQ</t>
  </si>
  <si>
    <t>tUde7d9RcZ8</t>
  </si>
  <si>
    <t>tWWxhBWYwOI</t>
  </si>
  <si>
    <t>tZ6aU8g8E4k</t>
  </si>
  <si>
    <t>t_tmCZGECSg</t>
  </si>
  <si>
    <t>th9bG8FNSA8</t>
  </si>
  <si>
    <t>tl_ZyfAxR3c</t>
  </si>
  <si>
    <t>tnnBDs51X6g</t>
  </si>
  <si>
    <t>toU93TS-wyI</t>
  </si>
  <si>
    <t>tpO3s4eDvow</t>
  </si>
  <si>
    <t>tq3Gml79QlE</t>
  </si>
  <si>
    <t>tr-WsmxZhJ8</t>
  </si>
  <si>
    <t>trtbhjX3oeI</t>
  </si>
  <si>
    <t>en|ja|zh-HK</t>
  </si>
  <si>
    <t>tsLdCqYBrBg</t>
  </si>
  <si>
    <t>twDQAcNYLtU</t>
  </si>
  <si>
    <t>txo4xXq3ozY</t>
  </si>
  <si>
    <t>u-H5o0PAVWw</t>
  </si>
  <si>
    <t>u-bw0sZRo1U</t>
  </si>
  <si>
    <t>u3Dq3rbE9Mk</t>
  </si>
  <si>
    <t>u4CxRH1Mpz8</t>
  </si>
  <si>
    <t>uA7UDrz9R2k</t>
  </si>
  <si>
    <t>uAs1DeSfdk8</t>
  </si>
  <si>
    <t>uBJVDRkSnpI</t>
  </si>
  <si>
    <t>uDmi-csjYfY</t>
  </si>
  <si>
    <t>uJ9SjwsWzKU</t>
  </si>
  <si>
    <t>uLSBZiYHLVU</t>
  </si>
  <si>
    <t>uLskc8YxtsQ</t>
  </si>
  <si>
    <t>uPQno_63ND0</t>
  </si>
  <si>
    <t>uQL2AFEyxN8</t>
  </si>
  <si>
    <t>u_bSQ9ncH00</t>
  </si>
  <si>
    <t>ue_B83mt6M8</t>
  </si>
  <si>
    <t>ufSHfzt7xDQ</t>
  </si>
  <si>
    <t>6plKCLcjsVs</t>
  </si>
  <si>
    <t>uiTp9xeJIEg</t>
  </si>
  <si>
    <t>uizQgRxmmQU</t>
  </si>
  <si>
    <t>um21DzQOuLg</t>
  </si>
  <si>
    <t>upscjvYjFL8</t>
  </si>
  <si>
    <t>ustCEv7oKG4</t>
  </si>
  <si>
    <t>uw1MRYcjEiU</t>
  </si>
  <si>
    <t>v0l5lbCKrMM</t>
  </si>
  <si>
    <t>v4fZyCJgFAY</t>
  </si>
  <si>
    <t>UC0lbhIloP3pcKJT07YosZlQ</t>
  </si>
  <si>
    <t>6qZpzUZgukA</t>
  </si>
  <si>
    <t>vCK35T-vArE</t>
  </si>
  <si>
    <t>vD4bQWDjef4</t>
  </si>
  <si>
    <t>vDYor3jhoCo</t>
  </si>
  <si>
    <t>vDjHZLK0wsQ</t>
  </si>
  <si>
    <t>vHYOtuTSd4U</t>
  </si>
  <si>
    <t>vJFkXMa8zTI</t>
  </si>
  <si>
    <t>vJMuc8D0c90</t>
  </si>
  <si>
    <t>vK2yoiqOxXM</t>
  </si>
  <si>
    <t>vNkf7ESQQGE</t>
  </si>
  <si>
    <t>vO9afEpXEek</t>
  </si>
  <si>
    <t>vSHEpk2fmrE</t>
  </si>
  <si>
    <t>vZ22OvlOrpQ</t>
  </si>
  <si>
    <t>v_3Py8LCxko</t>
  </si>
  <si>
    <t>v_qrqia9Dgw</t>
  </si>
  <si>
    <t>va9uBxvFm9Q</t>
  </si>
  <si>
    <t>vb4mtra366Q</t>
  </si>
  <si>
    <t>vdGLzVvQbCo</t>
  </si>
  <si>
    <t>vfPMDi4nCNI</t>
  </si>
  <si>
    <t>vghPVMVG3n0</t>
  </si>
  <si>
    <t>vkYCPJZ8Kuk</t>
  </si>
  <si>
    <t>vodL3CzxB1c</t>
  </si>
  <si>
    <t>vppOsqu-H38</t>
  </si>
  <si>
    <t>vseLcaO0YKA</t>
  </si>
  <si>
    <t>vuy9KPinW4s</t>
  </si>
  <si>
    <t>vxBosekJRRk</t>
  </si>
  <si>
    <t>w2Dn6kNA74I</t>
  </si>
  <si>
    <t>w4vQYYCeE6c</t>
  </si>
  <si>
    <t>yue|zh-CN|zh-Hans</t>
  </si>
  <si>
    <t>w69E1hgby7g</t>
  </si>
  <si>
    <t>w6V0_ZbKJ4g</t>
  </si>
  <si>
    <t>w7LH25vOd58</t>
  </si>
  <si>
    <t>w7XIJOU6cZc</t>
  </si>
  <si>
    <t>w7YTwgC9XaM</t>
  </si>
  <si>
    <t>w9qPWWdLO0M</t>
  </si>
  <si>
    <t>wCZCOe7rc7k</t>
  </si>
  <si>
    <t>wDJ6tgueYaw</t>
  </si>
  <si>
    <t>wHdEPGu8Wvg</t>
  </si>
  <si>
    <t>wI9LjlKdEAw</t>
  </si>
  <si>
    <t>6ri-7Lg6cn8</t>
  </si>
  <si>
    <t>wLh5m17DIYc</t>
  </si>
  <si>
    <t>wOiWf7WP0kc</t>
  </si>
  <si>
    <t>wSZbvkuoMYM</t>
  </si>
  <si>
    <t>wZzx9XkA-_E</t>
  </si>
  <si>
    <t>w_xUM83NkW8</t>
  </si>
  <si>
    <t>waT6Scyqhbw</t>
  </si>
  <si>
    <t>weyPQJ6hnZg</t>
  </si>
  <si>
    <t>wgFOhCZB9Kk</t>
  </si>
  <si>
    <t>wiXYyaaoH2g</t>
  </si>
  <si>
    <t>wix7BHTLtDw</t>
  </si>
  <si>
    <t>wjDFYGNapo4</t>
  </si>
  <si>
    <t>wkuXorOIQJs</t>
  </si>
  <si>
    <t>wlBVFppGGzA</t>
  </si>
  <si>
    <t>wzIhEc6OS7o</t>
  </si>
  <si>
    <t>x-zfrLG5bNE</t>
  </si>
  <si>
    <t>x4UZ3SG6hpw</t>
  </si>
  <si>
    <t>x58rerxBJ-Q</t>
  </si>
  <si>
    <t>x6KYNgQIY44</t>
  </si>
  <si>
    <t>x8VFbYcb9BA</t>
  </si>
  <si>
    <t>x9eu3aIb638</t>
  </si>
  <si>
    <t>xDApCdl_jnQ</t>
  </si>
  <si>
    <t>xFvEZJnv8rw</t>
  </si>
  <si>
    <t>xI0vzA5vLJU</t>
  </si>
  <si>
    <t>xK7PBJJzvis</t>
  </si>
  <si>
    <t>xMAi_vi1uPk</t>
  </si>
  <si>
    <t>xUOMQVubmCg</t>
  </si>
  <si>
    <t>xebBKH5XCZ0</t>
  </si>
  <si>
    <t>xeeEIBW1K-w</t>
  </si>
  <si>
    <t>xgS_yDCmAJk</t>
  </si>
  <si>
    <t>xj26oHydbyE</t>
  </si>
  <si>
    <t>xjLHKA380xs</t>
  </si>
  <si>
    <t>xjfVBRpNlcs</t>
  </si>
  <si>
    <t>xlB7aq8ACWE</t>
  </si>
  <si>
    <t>xmVsgju_AKw</t>
  </si>
  <si>
    <t>xnsQwIT5-YM</t>
  </si>
  <si>
    <t>y1n4hlsJXWc</t>
  </si>
  <si>
    <t>y2Bd8XdCVfM</t>
  </si>
  <si>
    <t>yue-HK|zh-HK|zh-TW</t>
  </si>
  <si>
    <t>y2UAmYKGFiI</t>
  </si>
  <si>
    <t>yChCItT67J8</t>
  </si>
  <si>
    <t>yKXvAiDzWDw</t>
  </si>
  <si>
    <t>yOGVFYUuiag</t>
  </si>
  <si>
    <t>yWXe2S1KT0Q</t>
  </si>
  <si>
    <t>yX4nQujapMA</t>
  </si>
  <si>
    <t>yXzB1nJY27c</t>
  </si>
  <si>
    <t>yYlDE6BGo3Q</t>
  </si>
  <si>
    <t>y_1X2HnL5YE</t>
  </si>
  <si>
    <t>ybgbnonn6kU</t>
  </si>
  <si>
    <t>ykTdNBZz1Lk</t>
  </si>
  <si>
    <t>6u1K1uV6-zM</t>
  </si>
  <si>
    <t>ynmKN3QQ_b8</t>
  </si>
  <si>
    <t>z2509qnSrI4</t>
  </si>
  <si>
    <t>z8-k-qsPUnA</t>
  </si>
  <si>
    <t>zBKeKKbpbE0</t>
  </si>
  <si>
    <t>zCKs0nM1wQ4</t>
  </si>
  <si>
    <t>en-GB|fi|ko|zh|zh-HK|zh-TW</t>
  </si>
  <si>
    <t>zF4K4Bm3vaI</t>
  </si>
  <si>
    <t>zH5hP-idyic</t>
  </si>
  <si>
    <t>zLapayIuUD0</t>
  </si>
  <si>
    <t>zOiPW0zoZxk</t>
  </si>
  <si>
    <t>zTBJo2K-yw4</t>
  </si>
  <si>
    <t>zW2H20G04H8</t>
  </si>
  <si>
    <t>zYirtuU1Wn4</t>
  </si>
  <si>
    <t>6vOy8BhOBRU</t>
  </si>
  <si>
    <t>UC0Da4Jp5vYSPa6hCI6MOrCQ</t>
  </si>
  <si>
    <t>6wj8YBzDiU0</t>
  </si>
  <si>
    <t>UCFT-PtLfmdMIShkQMynOEMQ</t>
  </si>
  <si>
    <t>6zolEexlUCY</t>
  </si>
  <si>
    <t>7-OwFmKd1ak</t>
  </si>
  <si>
    <t>2NrHf-b5-jE</t>
  </si>
  <si>
    <t>--D1NmeF6Xk</t>
  </si>
  <si>
    <t>-06fNRmFHYw</t>
  </si>
  <si>
    <t>-Xg24v7_MgA</t>
  </si>
  <si>
    <t>-ajuM8NVcME</t>
  </si>
  <si>
    <t>-s7OEkSxGEM</t>
  </si>
  <si>
    <t>UCxtXeFNKwTorEUE-vzRqj6w</t>
  </si>
  <si>
    <t>0Ab00qDvmlA</t>
  </si>
  <si>
    <t>0WZQrLAUDi4</t>
  </si>
  <si>
    <t>UC1WLQD_3Lblql-PFN6Qgcqw</t>
  </si>
  <si>
    <t>0cTxamM04cA</t>
  </si>
  <si>
    <t>39J-zgGp0Gk</t>
  </si>
  <si>
    <t>39qkixCs3t0</t>
  </si>
  <si>
    <t>3Yspv6TgNWk</t>
  </si>
  <si>
    <t>UCd-qu6Ke0IfUTsaAQPUBFRA</t>
  </si>
  <si>
    <t>3g611yGFrj8</t>
  </si>
  <si>
    <t>4H8XVpfS6Ns</t>
  </si>
  <si>
    <t>4J3NtRZSqzg</t>
  </si>
  <si>
    <t>4LX5uMb7GRU</t>
  </si>
  <si>
    <t>4M7ihXSwlLg</t>
  </si>
  <si>
    <t>4e4gY1xi0fs</t>
  </si>
  <si>
    <t>4jr_pFIGXlM</t>
  </si>
  <si>
    <t>5PDvWu2hu9M</t>
  </si>
  <si>
    <t>5X80Lrv2Zg4</t>
  </si>
  <si>
    <t>UC0eKbQhA3WQMYatHo36y1Fg</t>
  </si>
  <si>
    <t>5aIvuWU5mLo</t>
  </si>
  <si>
    <t>yue|zh-HK</t>
  </si>
  <si>
    <t>IOdJ7jPbfEI</t>
  </si>
  <si>
    <t>UC5zsYYGsHjv4GK20FjPDjkg</t>
  </si>
  <si>
    <t>6F6ri3YjEo4</t>
  </si>
  <si>
    <t>en-GB|zh-CN|zh-HK|zh-TW</t>
  </si>
  <si>
    <t>6OjanobA9bM</t>
  </si>
  <si>
    <t>UCycdIv0INFmRwGf1UgluUmw</t>
  </si>
  <si>
    <t>6_wG9lkvNbA</t>
  </si>
  <si>
    <t>en-GB|zh-CN|zh-HK|zh-Hant</t>
  </si>
  <si>
    <t>UCRaC6ToPRzGZT5nGgz9vzGw</t>
  </si>
  <si>
    <t>6kxMa8aeN4Q</t>
  </si>
  <si>
    <t>7L7c7stz9FU</t>
  </si>
  <si>
    <t>7bbqeEVznnE</t>
  </si>
  <si>
    <t>8pVpq99f0E0</t>
  </si>
  <si>
    <t>8v0huese3tA</t>
  </si>
  <si>
    <t>9HveXPpqJdM</t>
  </si>
  <si>
    <t>en|yue-HK|zh-CN|zh-HK|zh-TW</t>
  </si>
  <si>
    <t>9X-SygqMnJs</t>
  </si>
  <si>
    <t>AMEEaABdfuE</t>
  </si>
  <si>
    <t>AmO7rAoKaBY</t>
  </si>
  <si>
    <t>UClMVl1_PFbycHqKVCI70H5g</t>
  </si>
  <si>
    <t>BIb4RS1LQY8</t>
  </si>
  <si>
    <t>BK8y1dQeKJA</t>
  </si>
  <si>
    <t>BurOE0CaaiI</t>
  </si>
  <si>
    <t>BxHbQmvD0L8</t>
  </si>
  <si>
    <t>yue|yue-HK|zh-HK|zh-TW</t>
  </si>
  <si>
    <t>UCf1_EVN2qSOxiLZskBGsElA</t>
  </si>
  <si>
    <t>BxSBRdxe9NU</t>
  </si>
  <si>
    <t>C57ha7w-M4Q</t>
  </si>
  <si>
    <t>CPQMm9x6qgc</t>
  </si>
  <si>
    <t>CZdCea9nEqU</t>
  </si>
  <si>
    <t>CoCgPFtXHvc</t>
  </si>
  <si>
    <t>UCdOPwpYEgZs3JP8_5NtStBw</t>
  </si>
  <si>
    <t>CwEGD2tgbA0</t>
  </si>
  <si>
    <t>DWW-jV0e2hM</t>
  </si>
  <si>
    <t>DXDzmXsiv7U</t>
  </si>
  <si>
    <t>E_s6BiQXolU</t>
  </si>
  <si>
    <t>EghASSVOePY</t>
  </si>
  <si>
    <t>Ez2xuHR-bMg</t>
  </si>
  <si>
    <t>FJxHUuulCgQ</t>
  </si>
  <si>
    <t>FNZ2sG7cDbk</t>
  </si>
  <si>
    <t>GKK52cFahO8</t>
  </si>
  <si>
    <t>yue-HK|zh-TW</t>
  </si>
  <si>
    <t>GRuBMmZEyRw</t>
  </si>
  <si>
    <t>GcJf8lW__oQ</t>
  </si>
  <si>
    <t>UCEX0s8i81dVNy9fYQARifvw</t>
  </si>
  <si>
    <t>Gw-Al1CxgKg</t>
  </si>
  <si>
    <t>HF81URjKuYw</t>
  </si>
  <si>
    <t>HLwtyaCf5dI</t>
  </si>
  <si>
    <t>HT4zDydB-BQ</t>
  </si>
  <si>
    <t>UC-PjzWeAaYroDUGAuAVY6jA</t>
  </si>
  <si>
    <t>HZ0smK720Jk</t>
  </si>
  <si>
    <t>HjC0WownLRM</t>
  </si>
  <si>
    <t>HjwuzOMVEQ4</t>
  </si>
  <si>
    <t>Ihe2sauXOSs</t>
  </si>
  <si>
    <t>IjwqTfz_uII</t>
  </si>
  <si>
    <t>IujEZH-GyfM</t>
  </si>
  <si>
    <t>IuurypAt-Wk</t>
  </si>
  <si>
    <t>J7c1jtuKUXk</t>
  </si>
  <si>
    <t>J9nswdZ2V1g</t>
  </si>
  <si>
    <t>JgXn_ykJOaE</t>
  </si>
  <si>
    <t>KZ0AXKAZRDM</t>
  </si>
  <si>
    <t>Kts5adtnFCQ</t>
  </si>
  <si>
    <t>L7xS9MFQCMw</t>
  </si>
  <si>
    <t>L8N0vHwP72k</t>
  </si>
  <si>
    <t>UC_HW6aVLpyvPIhc7w8YA8Ag</t>
  </si>
  <si>
    <t>LDWcQndR8T0</t>
  </si>
  <si>
    <t>La9t0S22pMg</t>
  </si>
  <si>
    <t>UC1wI6SR8g6dsx3FB_O-NB0w</t>
  </si>
  <si>
    <t>LaKwhF7Kan4</t>
  </si>
  <si>
    <t>zh-HK|zh-Hans</t>
  </si>
  <si>
    <t>LhZxDtm_MTo</t>
  </si>
  <si>
    <t>MfP819DP420</t>
  </si>
  <si>
    <t>Mm5jr_OvN_k</t>
  </si>
  <si>
    <t>Myy5xFXMYIA</t>
  </si>
  <si>
    <t>UCyyruuN0VecuYxPNR4un88Q</t>
  </si>
  <si>
    <t>Njl6DC1PRhc</t>
  </si>
  <si>
    <t>NrEc3AuW68I</t>
  </si>
  <si>
    <t>Nwku6eye6ak</t>
  </si>
  <si>
    <t>O1uLY1017Hc</t>
  </si>
  <si>
    <t>O6Djj_lfZZo</t>
  </si>
  <si>
    <t>O6wRCjS0AXk</t>
  </si>
  <si>
    <t>yue-HK|zh-HK|zh-Hant|zh-TW</t>
  </si>
  <si>
    <t>OECe7w9Db7c</t>
  </si>
  <si>
    <t>OKHOcFUMXak</t>
  </si>
  <si>
    <t>OhsznhZmT1E</t>
  </si>
  <si>
    <t>OnnFcGjTT6c</t>
  </si>
  <si>
    <t>PEsyx77zyGA</t>
  </si>
  <si>
    <t>PGZPgMd_ruc</t>
  </si>
  <si>
    <t>Pi0MgVRjIsc</t>
  </si>
  <si>
    <t>QX2qs4-BMKY</t>
  </si>
  <si>
    <t>QaPZgcBYVss</t>
  </si>
  <si>
    <t>Qz2Wzl24Q8A</t>
  </si>
  <si>
    <t>RESKexG7VS8</t>
  </si>
  <si>
    <t>RLFd-95bz3c</t>
  </si>
  <si>
    <t>RxzN3oKm79Q</t>
  </si>
  <si>
    <t>S8cobY9mp64</t>
  </si>
  <si>
    <t>T0Bzkk5moCI</t>
  </si>
  <si>
    <t>TX2fAVojLaU</t>
  </si>
  <si>
    <t>TZpeITOYAI0</t>
  </si>
  <si>
    <t>TdOxhWB3AB0</t>
  </si>
  <si>
    <t>TpSW3XcMarE</t>
  </si>
  <si>
    <t>TttqEHGBEvg</t>
  </si>
  <si>
    <t>TuI9J7V4T1w</t>
  </si>
  <si>
    <t>ULa1CHt9cn4</t>
  </si>
  <si>
    <t>UPAlYqkhPm4</t>
  </si>
  <si>
    <t>UYJ4V8CSizc</t>
  </si>
  <si>
    <t>UcDRt-mo3kI</t>
  </si>
  <si>
    <t>en|zh-CN|zh-HK|zh-Hans|zh-Hant|zh-TW</t>
  </si>
  <si>
    <t>V-mI2MVG7NA</t>
  </si>
  <si>
    <t>VYvJY6aNPTM</t>
  </si>
  <si>
    <t>UCHSv3CokIaHLrvXMoVlxwwA</t>
  </si>
  <si>
    <t>VZN_gf4_vFQ</t>
  </si>
  <si>
    <t>UC4QJZlYvqZ-Fv3A5GfSDSGQ</t>
  </si>
  <si>
    <t>V_YPWsdxbLg</t>
  </si>
  <si>
    <t>VnaLsAyNwY4</t>
  </si>
  <si>
    <t>W4jspoT-aqQ</t>
  </si>
  <si>
    <t>W6J-DiDbjuo</t>
  </si>
  <si>
    <t>WRnC4OH1HoE</t>
  </si>
  <si>
    <t>WfxZ4PtgI-8</t>
  </si>
  <si>
    <t>WrMW64JFeDE</t>
  </si>
  <si>
    <t>XQTJ0F50vHo</t>
  </si>
  <si>
    <t>XT1AnCRw9mM</t>
  </si>
  <si>
    <t>X_WC1UX6MaI</t>
  </si>
  <si>
    <t>Xw53a8BDBIQ</t>
  </si>
  <si>
    <t>Y3m4Fx2u3-8</t>
  </si>
  <si>
    <t>YlTbc2napFk</t>
  </si>
  <si>
    <t>Z1s-xp4esTA</t>
  </si>
  <si>
    <t>Z8qaH2dc6GM</t>
  </si>
  <si>
    <t>ZVhWRImcoNM</t>
  </si>
  <si>
    <t>Zj1J7G2RsOY</t>
  </si>
  <si>
    <t>Zpe7aTxb5ho</t>
  </si>
  <si>
    <t>_YcFdDnntUU</t>
  </si>
  <si>
    <t>_pA3wLCczbk</t>
  </si>
  <si>
    <t>en|ko|yue-HK|zh-Hans|zh-Hant</t>
  </si>
  <si>
    <t>_y-EwNJNpM4</t>
  </si>
  <si>
    <t>_z7erRWcKBI</t>
  </si>
  <si>
    <t>a7cMpHnT5CQ</t>
  </si>
  <si>
    <t>aYg54hZs8Fo</t>
  </si>
  <si>
    <t>aziRZivYWTk</t>
  </si>
  <si>
    <t>b1pqa1wr4HY</t>
  </si>
  <si>
    <t>b6Nk_vuKLtw</t>
  </si>
  <si>
    <t>bAiUBNewy74</t>
  </si>
  <si>
    <t>bCnuBBC2rWk</t>
  </si>
  <si>
    <t>bLUGwPLbEpM</t>
  </si>
  <si>
    <t>bTQ6tVpPDes</t>
  </si>
  <si>
    <t>beb8o5iPVXY</t>
  </si>
  <si>
    <t>bzQgmhWEcSk</t>
  </si>
  <si>
    <t>cR6BPJ2HKBM</t>
  </si>
  <si>
    <t>cWopKYXZp80</t>
  </si>
  <si>
    <t>ckX9iy3X1EQ</t>
  </si>
  <si>
    <t>cwKgYKuYAfI</t>
  </si>
  <si>
    <t>czrZM98XlzA</t>
  </si>
  <si>
    <t>doeOQVZZIIE</t>
  </si>
  <si>
    <t>dw9uKv7pHD8</t>
  </si>
  <si>
    <t>dyPUKNk3XzQ</t>
  </si>
  <si>
    <t>ebIpcrz4ctw</t>
  </si>
  <si>
    <t>ernLNvpGO44</t>
  </si>
  <si>
    <t>ew4VboR5WEE</t>
  </si>
  <si>
    <t>UCzR28gUEv3vTNXxjFHh5gyQ</t>
  </si>
  <si>
    <t>exJBa8ZMAOY</t>
  </si>
  <si>
    <t>fJFG-A6xgfg</t>
  </si>
  <si>
    <t>fTIp3STGSJE</t>
  </si>
  <si>
    <t>g0ieQ2ttLUo</t>
  </si>
  <si>
    <t>gFTcbGTFZSE</t>
  </si>
  <si>
    <t>h4ATvsrN5AQ</t>
  </si>
  <si>
    <t>UCpI228_lftkv227eL7uEnhA</t>
  </si>
  <si>
    <t>i8CqAsyrmlI</t>
  </si>
  <si>
    <t>iOQN8RYrFdM</t>
  </si>
  <si>
    <t>iwH0hG2Kozs</t>
  </si>
  <si>
    <t>j2GI2zNdeLI</t>
  </si>
  <si>
    <t>jCr7EAu6yBg</t>
  </si>
  <si>
    <t>jIsjUWf2epg</t>
  </si>
  <si>
    <t>jLFZJ_27unQ</t>
  </si>
  <si>
    <t>jNXNEL2ySF8</t>
  </si>
  <si>
    <t>jfw83ntgdxs</t>
  </si>
  <si>
    <t>ju5NqWpqC50</t>
  </si>
  <si>
    <t>UCgSbuhAD48A7RxbvflQfdjQ</t>
  </si>
  <si>
    <t>k0MZSdVvHR4</t>
  </si>
  <si>
    <t>k5dt7Y-f7cs</t>
  </si>
  <si>
    <t>kqN8pfEBkbQ</t>
  </si>
  <si>
    <t>lFBAH6qgSoQ</t>
  </si>
  <si>
    <t>lFnS10ttdJA</t>
  </si>
  <si>
    <t>lJgIDs2ugbo</t>
  </si>
  <si>
    <t>UC_1nPGQdXmjWGSwL8QAmQOA</t>
  </si>
  <si>
    <t>lQnYfoYQ27s</t>
  </si>
  <si>
    <t>lii4fdBsWNg</t>
  </si>
  <si>
    <t>lwyzytgswiQ</t>
  </si>
  <si>
    <t>m79NZNU-bbk</t>
  </si>
  <si>
    <t>UCmi1257Mo7v4ors9-ekOq1w</t>
  </si>
  <si>
    <t>mLChF5n0smk</t>
  </si>
  <si>
    <t>meS0F-TkegY</t>
  </si>
  <si>
    <t>nCbbCinJFs0</t>
  </si>
  <si>
    <t>nsTXjqELrM4</t>
  </si>
  <si>
    <t>oMc43TZ_sZs</t>
  </si>
  <si>
    <t>p0OlMBfEmDI</t>
  </si>
  <si>
    <t>p5Q6RlU-6R0</t>
  </si>
  <si>
    <t>p7ac0neoxmk</t>
  </si>
  <si>
    <t>pRFyaDHq3i0</t>
  </si>
  <si>
    <t>pXj_weFh9Mg</t>
  </si>
  <si>
    <t>pcQEC8O3l4Q</t>
  </si>
  <si>
    <t>pfvi_60ENCo</t>
  </si>
  <si>
    <t>qwPhGnawwec</t>
  </si>
  <si>
    <t>r6u1OL8vDEI</t>
  </si>
  <si>
    <t>rJJOWAc-1Fo</t>
  </si>
  <si>
    <t>rboYPaqqy4E</t>
  </si>
  <si>
    <t>UC1bjU1Xe0pdyq-rOjQf6Ecg</t>
  </si>
  <si>
    <t>s4GMbMK_Erk</t>
  </si>
  <si>
    <t>sMpF5O6VzLw</t>
  </si>
  <si>
    <t>t8TXG7Wpq1M</t>
  </si>
  <si>
    <t>UCHQoZ0_MHDXIgWeRvPTLTJw</t>
  </si>
  <si>
    <t>tuuZH8bjsJI</t>
  </si>
  <si>
    <t>uuUTEixOc30</t>
  </si>
  <si>
    <t>vXThUftzWZY</t>
  </si>
  <si>
    <t>voU1DufVXF0</t>
  </si>
  <si>
    <t>zh|zh-HK|zh-Hant|zh-TW</t>
  </si>
  <si>
    <t>wD8qFoEL6Aw</t>
  </si>
  <si>
    <t>wDrWKFSTmkg</t>
  </si>
  <si>
    <t>wDwFmt6HuIY</t>
  </si>
  <si>
    <t>wFfHYD3xWd4</t>
  </si>
  <si>
    <t>wLDQTyhgKA4</t>
  </si>
  <si>
    <t>wssLmj7_9aI</t>
  </si>
  <si>
    <t>x-FWB-Y_aIo</t>
  </si>
  <si>
    <t>x6Lh1oM7FNQ</t>
  </si>
  <si>
    <t>xG80dhRUrgA</t>
  </si>
  <si>
    <t>xWg26DfuUZc</t>
  </si>
  <si>
    <t>xYqdspmwUQw</t>
  </si>
  <si>
    <t>y7tz7F-hWoo</t>
  </si>
  <si>
    <t>yN2hLbTEX_o</t>
  </si>
  <si>
    <t>ygs2R_JMPhs</t>
  </si>
  <si>
    <t>za6XppW6g20</t>
  </si>
  <si>
    <t>zhAIpMhO8JE</t>
  </si>
  <si>
    <t>zhMB_2kp668</t>
  </si>
  <si>
    <t>zkAFcKRXsI8</t>
  </si>
  <si>
    <t>zndPVN4q1_I</t>
  </si>
  <si>
    <t>znkv7Dr3vJo</t>
  </si>
  <si>
    <t>zqKn2NGt5D4</t>
  </si>
  <si>
    <t>ztKhkNB4QSQ</t>
  </si>
  <si>
    <t>zxqVK4DPtfU</t>
  </si>
  <si>
    <t>zzfHQB54ghc</t>
  </si>
  <si>
    <t>UCSuH-OhqmtA_2OladWB56Xw</t>
  </si>
  <si>
    <t>7Bf0NvQqMus</t>
  </si>
  <si>
    <t>7CSVA_sIuQ0</t>
  </si>
  <si>
    <t>UCxRXNy5P6fLtHYpawxoiqJQ</t>
  </si>
  <si>
    <t>7CiDLXQLGh0</t>
  </si>
  <si>
    <t>yue|yue-HK|zh|zh-CN|zh-HK|zh-Hans|zh-Hant|zh-SG|zh-TW</t>
  </si>
  <si>
    <t>7CjLm5Gmm9w</t>
  </si>
  <si>
    <t>7Cyj2rysozE</t>
  </si>
  <si>
    <t>7Jp-2Zd48TQ</t>
  </si>
  <si>
    <t>7LD9r3tb5oY</t>
  </si>
  <si>
    <t>7Pm49o8weI0</t>
  </si>
  <si>
    <t>UCr_L9cZdbBU_XDsKDHBBlew</t>
  </si>
  <si>
    <t>7R6rDcfcQI0</t>
  </si>
  <si>
    <t>7VAfdsYty9Y</t>
  </si>
  <si>
    <t>UCejZUW4khvxoA4uL2Afz20g</t>
  </si>
  <si>
    <t>7XkY7HpP45Q</t>
  </si>
  <si>
    <t>UCrZG5sGryxwgSDQSlHgmZTw</t>
  </si>
  <si>
    <t>7bp15zUm3_8</t>
  </si>
  <si>
    <t>7e-MWWaRTMM</t>
  </si>
  <si>
    <t>7e-hThVCoo8</t>
  </si>
  <si>
    <t>7eqNvN7HcIs</t>
  </si>
  <si>
    <t>yue-HK-gS9KETgkurk</t>
  </si>
  <si>
    <t>7gKPAZCROcg</t>
  </si>
  <si>
    <t>7hprIxY_vj0</t>
  </si>
  <si>
    <t>7o4tp1iiHOw</t>
  </si>
  <si>
    <t>7oFTfllrUIw</t>
  </si>
  <si>
    <t>7pb8nEolC7o</t>
  </si>
  <si>
    <t>7pkfYV66sGA</t>
  </si>
  <si>
    <t>7qwsjU4eyEo</t>
  </si>
  <si>
    <t>7tLQ7eN_ny0</t>
  </si>
  <si>
    <t>UC0CojhLcc0VESgaG633m5kA</t>
  </si>
  <si>
    <t>7zKsVIfgqrA</t>
  </si>
  <si>
    <t>89EM6XCCzVk</t>
  </si>
  <si>
    <t>8A09uQONaeI</t>
  </si>
  <si>
    <t>8B1b0lBzcLw</t>
  </si>
  <si>
    <t>UC_w7pV_Xz9XO0ChNFxMtV0w</t>
  </si>
  <si>
    <t>8C4nlyQpAt8</t>
  </si>
  <si>
    <t>8FWp5ZPTG4A</t>
  </si>
  <si>
    <t>8II6D_Gih2E</t>
  </si>
  <si>
    <t>8IIR781B3p8</t>
  </si>
  <si>
    <t>8IsRZ-YQnB4</t>
  </si>
  <si>
    <t>8KvxBFcvXkM</t>
  </si>
  <si>
    <t>8LgOx3bvxBM</t>
  </si>
  <si>
    <t>UC03mRlT2h1B4LohYaIj9lHg</t>
  </si>
  <si>
    <t>8PG398xdVqQ</t>
  </si>
  <si>
    <t>8Q3gm4bfqyU</t>
  </si>
  <si>
    <t>8Q62JePKC7s</t>
  </si>
  <si>
    <t>8RWcx9ls3VI</t>
  </si>
  <si>
    <t>8T4TTcod3so</t>
  </si>
  <si>
    <t>8THDIXCVBLM</t>
  </si>
  <si>
    <t>UCMqrlsr-AECPc6_3oDr8m9w</t>
  </si>
  <si>
    <t>8UeoI_hN6Q4</t>
  </si>
  <si>
    <t>8ZncfH-eINc</t>
  </si>
  <si>
    <t>8ZykuUOnS5o</t>
  </si>
  <si>
    <t>UCrFrg50t0JqgqV2dkIrH5Hg</t>
  </si>
  <si>
    <t>8bjO8N4c-uc</t>
  </si>
  <si>
    <t>8g3VLeM8xQU</t>
  </si>
  <si>
    <t>8iUX5T8mHhk</t>
  </si>
  <si>
    <t>8j0GCVlyztM</t>
  </si>
  <si>
    <t>8noE7ltsDfA</t>
  </si>
  <si>
    <t>8oI6R84vX5Y</t>
  </si>
  <si>
    <t>8pwCHiI43sM</t>
  </si>
  <si>
    <t>8qPelQHh0Gg</t>
  </si>
  <si>
    <t>8sP-xG7KnEw</t>
  </si>
  <si>
    <t>8soDntoe8KU</t>
  </si>
  <si>
    <t>8uCoklaW4gw</t>
  </si>
  <si>
    <t>8ufuO7ZAyO0</t>
  </si>
  <si>
    <t>8yV6njoGNDU</t>
  </si>
  <si>
    <t>92WE_EAs2ZI</t>
  </si>
  <si>
    <t>94nC6YPKYLQ</t>
  </si>
  <si>
    <t>996MDyqPjkU</t>
  </si>
  <si>
    <t>9CGflkNvQFA</t>
  </si>
  <si>
    <t>9D61HWBPX-M</t>
  </si>
  <si>
    <t>9FUc20kV1B0</t>
  </si>
  <si>
    <t>9Qgi-s9OaoE</t>
  </si>
  <si>
    <t>UCP7XhYDgUbvjvaHxIhjTd_g</t>
  </si>
  <si>
    <t>9TQbkhuzIfQ</t>
  </si>
  <si>
    <t>9TjsCz6z7eQ</t>
  </si>
  <si>
    <t>9UHGUBNcWwU</t>
  </si>
  <si>
    <t>UC7GnES6AEQlDzaP04UqtyjA</t>
  </si>
  <si>
    <t>9X-q1kQUZog</t>
  </si>
  <si>
    <t>9Xw3ctQHDUw</t>
  </si>
  <si>
    <t>9YNVi3pQIfs</t>
  </si>
  <si>
    <t>9_93kkmHGOM</t>
  </si>
  <si>
    <t>9c-5AZ0b9zo</t>
  </si>
  <si>
    <t>9fR7w3-WEKw</t>
  </si>
  <si>
    <t>9gBXqCngRxk</t>
  </si>
  <si>
    <t>9gVUfGC1S6o</t>
  </si>
  <si>
    <t>9gyEcZQ11WQ</t>
  </si>
  <si>
    <t>9iKi9ldpwf0</t>
  </si>
  <si>
    <t>9iLXMoVMgS0</t>
  </si>
  <si>
    <t>UCBYGm7Iz6ck8jeno5AFiriw</t>
  </si>
  <si>
    <t>9k1bjOnjS-w</t>
  </si>
  <si>
    <t>9kpy4VHFHb0</t>
  </si>
  <si>
    <t>9lIf8rKxqg0</t>
  </si>
  <si>
    <t>9q7joniW4Hs</t>
  </si>
  <si>
    <t>9tJYUpruajg</t>
  </si>
  <si>
    <t>9xAIZlLqiSY</t>
  </si>
  <si>
    <t>9yVuUNB4RRU</t>
  </si>
  <si>
    <t>9yd-mT13CBU</t>
  </si>
  <si>
    <t>A0OONI5Qjcg</t>
  </si>
  <si>
    <t>A2Eyfu5dhGA</t>
  </si>
  <si>
    <t>A45YDHGhoT4</t>
  </si>
  <si>
    <t>A8LyFKCPlWY</t>
  </si>
  <si>
    <t>A9Om9eCv1DE</t>
  </si>
  <si>
    <t>AC5O4xPWE5Y</t>
  </si>
  <si>
    <t>AHSmjL-09yU</t>
  </si>
  <si>
    <t>AKvlny4HmZk</t>
  </si>
  <si>
    <t>AL5yXx2ER84</t>
  </si>
  <si>
    <t>ALSyaCEwB1M</t>
  </si>
  <si>
    <t>ANkKTsNxHIc</t>
  </si>
  <si>
    <t>APRmI3OpLoY</t>
  </si>
  <si>
    <t>UCi6CqLjdoCN_ijofoCJFpCw</t>
  </si>
  <si>
    <t>AQcAmyHh6o4</t>
  </si>
  <si>
    <t>ATlBpX14Avk</t>
  </si>
  <si>
    <t>UC66MLu04omGMa98EZ7oic2g</t>
  </si>
  <si>
    <t>AUi--YPsLHQ</t>
  </si>
  <si>
    <t>AYey88LEOhc</t>
  </si>
  <si>
    <t>AdLiYfz6ITs</t>
  </si>
  <si>
    <t>Aek-ThzOBNo</t>
  </si>
  <si>
    <t>UCD9J1GJowhJBq_yrJ7mdUHQ</t>
  </si>
  <si>
    <t>AfRfTbZfa1Y</t>
  </si>
  <si>
    <t>Af_syY6DZGU</t>
  </si>
  <si>
    <t>AhpP1bG_b-k</t>
  </si>
  <si>
    <t>AkF64HeDVEg</t>
  </si>
  <si>
    <t>AmH0Xe4pdn4</t>
  </si>
  <si>
    <t>AnhWGzNuf1Y</t>
  </si>
  <si>
    <t>Apoa3otbweA</t>
  </si>
  <si>
    <t>AsCveESfMXw</t>
  </si>
  <si>
    <t>Ash9vY784BM</t>
  </si>
  <si>
    <t>Aspfe9j8DdI</t>
  </si>
  <si>
    <t>AuOyqctmSO0</t>
  </si>
  <si>
    <t>Avrw4RsOFQg</t>
  </si>
  <si>
    <t>B-GrKu08AdI</t>
  </si>
  <si>
    <t>B-I-QZTQ4o8</t>
  </si>
  <si>
    <t>B-kF5UNg9Lg</t>
  </si>
  <si>
    <t>B1h5ORhbc8E</t>
  </si>
  <si>
    <t>B5iues7Jx9s</t>
  </si>
  <si>
    <t>B69lLtQJ2dA</t>
  </si>
  <si>
    <t>B6tMlUeXY0M</t>
  </si>
  <si>
    <t>B8VFnpXn8ik</t>
  </si>
  <si>
    <t>B8fpIM3ZPrU</t>
  </si>
  <si>
    <t>B9XeY_d0Mmw</t>
  </si>
  <si>
    <t>UCS6TtQSjGUpGHJTCHTTFe9g</t>
  </si>
  <si>
    <t>BAHx-gjMFHs</t>
  </si>
  <si>
    <t>BE_DurJ1gEQ</t>
  </si>
  <si>
    <t>BK4xi73wVFY</t>
  </si>
  <si>
    <t>BLJuB5MoMvk</t>
  </si>
  <si>
    <t>UCy5bjMXbFPglSBNDXfivtOA</t>
  </si>
  <si>
    <t>BM_d3hRbnak</t>
  </si>
  <si>
    <t>BOcD44cY2WE</t>
  </si>
  <si>
    <t>BOethF3SWww</t>
  </si>
  <si>
    <t>BQDmWW30YK4</t>
  </si>
  <si>
    <t>BRzaSjvKgY0</t>
  </si>
  <si>
    <t>BX1Yqqp1IiU</t>
  </si>
  <si>
    <t>BXULifcaB98</t>
  </si>
  <si>
    <t>BXXB-EAlbg0</t>
  </si>
  <si>
    <t>BYX2aS-nduI</t>
  </si>
  <si>
    <t>Bc3p15Mlvo0</t>
  </si>
  <si>
    <t>Bc9HYusFWyk</t>
  </si>
  <si>
    <t>BdVFdewwCAM</t>
  </si>
  <si>
    <t>Be6lSbc5dv0</t>
  </si>
  <si>
    <t>Be82OMXIino</t>
  </si>
  <si>
    <t>BhAqwF39O_k</t>
  </si>
  <si>
    <t>BibtuK_hgDM</t>
  </si>
  <si>
    <t>BlppmMW2fyU</t>
  </si>
  <si>
    <t>BnYCC1NDAIA</t>
  </si>
  <si>
    <t>BnasDqGFcFg</t>
  </si>
  <si>
    <t>Bp9I0M-7IfE</t>
  </si>
  <si>
    <t>BptUPJIPeS4</t>
  </si>
  <si>
    <t>Bqz56NympzI</t>
  </si>
  <si>
    <t>BsGAAf_3U70</t>
  </si>
  <si>
    <t>BxCtUad_rd4</t>
  </si>
  <si>
    <t>C1aQt6uaq9M</t>
  </si>
  <si>
    <t>C7e8aAlS-fk</t>
  </si>
  <si>
    <t>C9ekOm2KRF8</t>
  </si>
  <si>
    <t>UCgJoYo1q9vX1SfS3VgH_2BA</t>
  </si>
  <si>
    <t>CIpHbVBKSAE</t>
  </si>
  <si>
    <t>CKfjqCM6Ci4</t>
  </si>
  <si>
    <t>CLBaRd85ZIg</t>
  </si>
  <si>
    <t>COM01klGhWM</t>
  </si>
  <si>
    <t>COcnRy8Pgss</t>
  </si>
  <si>
    <t>CPYXYTrCOXU</t>
  </si>
  <si>
    <t>CSsfsKDxYCQ</t>
  </si>
  <si>
    <t>CVRatOU__AA</t>
  </si>
  <si>
    <t>UC4zLFvnyN0zLbeqV5Xqh0sQ</t>
  </si>
  <si>
    <t>CW7tx3UUYEg</t>
  </si>
  <si>
    <t>zh-CN|zh-HK|zh-Hans|zh-Hant|zh-SG|zh-TW</t>
  </si>
  <si>
    <t>CXnEvddB_K0</t>
  </si>
  <si>
    <t>CZM_dkIdOAU</t>
  </si>
  <si>
    <t>C_y4Ur2l6IA</t>
  </si>
  <si>
    <t>Ca7kwi61CAs</t>
  </si>
  <si>
    <t>UCFOFvhsNWMPHwvbfHl7K6qw</t>
  </si>
  <si>
    <t>CezXxoX9Y4M</t>
  </si>
  <si>
    <t>CgkHozH9scY</t>
  </si>
  <si>
    <t>Cgm2lEmZYLw</t>
  </si>
  <si>
    <t>Cj52Vao4EAU</t>
  </si>
  <si>
    <t>Cjq3PvxwmEk</t>
  </si>
  <si>
    <t>CkjgYkxHgBA</t>
  </si>
  <si>
    <t>CkohH9OHQm0</t>
  </si>
  <si>
    <t>CorbTpDaVTQ</t>
  </si>
  <si>
    <t>CrCE-WejEQk</t>
  </si>
  <si>
    <t>Ct4PDyl_4MI</t>
  </si>
  <si>
    <t>CxIAsmKpWfY</t>
  </si>
  <si>
    <t>D0qMjVPiVI4</t>
  </si>
  <si>
    <t>UC1CFGd0qQVW6icz6Zv7bseQ</t>
  </si>
  <si>
    <t>D2JrVIowmxE</t>
  </si>
  <si>
    <t>D6zCQqEsySw</t>
  </si>
  <si>
    <t>D9hF7MABhD0</t>
  </si>
  <si>
    <t>DDO7EdVx824</t>
  </si>
  <si>
    <t>DDiQ5-ahXQ8</t>
  </si>
  <si>
    <t>DEKazlltBS0</t>
  </si>
  <si>
    <t>DJZy_Fmx8Bc</t>
  </si>
  <si>
    <t>DKEXQy5oa5w</t>
  </si>
  <si>
    <t>DO62FrlA2wU</t>
  </si>
  <si>
    <t>DP0uy9Txo8s</t>
  </si>
  <si>
    <t>DQ1as6xk4D0</t>
  </si>
  <si>
    <t>DTa6FzTzmnQ</t>
  </si>
  <si>
    <t>DUs584vq2O0</t>
  </si>
  <si>
    <t>DVFnPNg5heE</t>
  </si>
  <si>
    <t>DXgw_NPleMk</t>
  </si>
  <si>
    <t>DY0CSK5Vt4I</t>
  </si>
  <si>
    <t>UCVMEQdIDLjHcKAsEwhVXEoQ</t>
  </si>
  <si>
    <t>Dj3t2Wr5ImM</t>
  </si>
  <si>
    <t>DkG69DfNrd8</t>
  </si>
  <si>
    <t>DkUiVpmoPO8</t>
  </si>
  <si>
    <t>DnLwepUzaZo</t>
  </si>
  <si>
    <t>DoNg5Ag0IkY</t>
  </si>
  <si>
    <t>Dp1C3ZU6-JE</t>
  </si>
  <si>
    <t>DsF9bB0ydz0</t>
  </si>
  <si>
    <t>DtT0xiDUY5c</t>
  </si>
  <si>
    <t>Du7Z8PkEAiY</t>
  </si>
  <si>
    <t>E-8s40s1Vck</t>
  </si>
  <si>
    <t>E0W649iTq-Y</t>
  </si>
  <si>
    <t>E1Koc4xBHR8</t>
  </si>
  <si>
    <t>E7xWrOyL3zU</t>
  </si>
  <si>
    <t>E9x-Kl7efYA</t>
  </si>
  <si>
    <t>EANHQXYK2Ek</t>
  </si>
  <si>
    <t>EBZ4tWUJY-c</t>
  </si>
  <si>
    <t>EBiQVLPo7Vw</t>
  </si>
  <si>
    <t>ED4x-rgergM</t>
  </si>
  <si>
    <t>EGGAD0650u8</t>
  </si>
  <si>
    <t>ELURK60uy1o</t>
  </si>
  <si>
    <t>EPc1DILqgcI</t>
  </si>
  <si>
    <t>ESgVVoqEI1s</t>
  </si>
  <si>
    <t>EUNYgtBnqlU</t>
  </si>
  <si>
    <t>EUgjIUYUNfY</t>
  </si>
  <si>
    <t>EVPh2HbfSps</t>
  </si>
  <si>
    <t>EX3mvkTn1k4</t>
  </si>
  <si>
    <t>EXSjM7ga-q4</t>
  </si>
  <si>
    <t>EXojXKybgPg</t>
  </si>
  <si>
    <t>EYHaA6QPda4</t>
  </si>
  <si>
    <t>E_aO25Tx25E</t>
  </si>
  <si>
    <t>EbobMstfF0w</t>
  </si>
  <si>
    <t>EbxN2p_PzII</t>
  </si>
  <si>
    <t>Eiz5iABkUf0</t>
  </si>
  <si>
    <t>EsuIfUBkmus</t>
  </si>
  <si>
    <t>EwQvfoEsBxQ</t>
  </si>
  <si>
    <t>UC_kQIuKI5cZjV3OZsSuaj_Q</t>
  </si>
  <si>
    <t>Ewi1FADGwIM</t>
  </si>
  <si>
    <t>EyscoLMK8Ko</t>
  </si>
  <si>
    <t>F3O3KzpQYKc</t>
  </si>
  <si>
    <t>zh|zh-CN|zh-HK|zh-Hans|zh-Hant|zh-SG|zh-TW</t>
  </si>
  <si>
    <t>F4WfkEbO5UQ</t>
  </si>
  <si>
    <t>F4gHplatyT4</t>
  </si>
  <si>
    <t>F5Dve-q0A4k</t>
  </si>
  <si>
    <t>F8V3edK_WNo</t>
  </si>
  <si>
    <t>FAXHyd4JKLw</t>
  </si>
  <si>
    <t>FBNsTDPZqhE</t>
  </si>
  <si>
    <t>FEjRpDwyY9Y</t>
  </si>
  <si>
    <t>FK_B8bKLSfg</t>
  </si>
  <si>
    <t>UCEZ8fnigqno2a1z2_JSYjxQ</t>
  </si>
  <si>
    <t>FKl1-QW9C5s</t>
  </si>
  <si>
    <t>FMPO8xSQ0yU</t>
  </si>
  <si>
    <t>FMwL-nmI6Qw</t>
  </si>
  <si>
    <t>FN1uJKY_KWo</t>
  </si>
  <si>
    <t>FPODeS_0yd4</t>
  </si>
  <si>
    <t>FQi3kAMQ-_Y</t>
  </si>
  <si>
    <t>FSKyA1v4ACM</t>
  </si>
  <si>
    <t>FWPZOX3CaXM</t>
  </si>
  <si>
    <t>FWT7xBzXz08</t>
  </si>
  <si>
    <t>FYn2anSUupU</t>
  </si>
  <si>
    <t>FZf3ZadEZOE</t>
  </si>
  <si>
    <t>FZrB9RsJI-k</t>
  </si>
  <si>
    <t>F_caOHp9cOk</t>
  </si>
  <si>
    <t>FalcqV7OriE</t>
  </si>
  <si>
    <t>FcT3DytiN_g</t>
  </si>
  <si>
    <t>FdNdynqGhYw</t>
  </si>
  <si>
    <t>FdtLKGCueg8</t>
  </si>
  <si>
    <t>FehHiHD4k5Y</t>
  </si>
  <si>
    <t>FfU4g5WHwXM</t>
  </si>
  <si>
    <t>FfiuVt_Oaso</t>
  </si>
  <si>
    <t>FgH-aB1mFGM</t>
  </si>
  <si>
    <t>FhI2-VfrZOs</t>
  </si>
  <si>
    <t>FieGJ55GWYw</t>
  </si>
  <si>
    <t>Fj5mBM4oTsY</t>
  </si>
  <si>
    <t>UCk9_geXNUStgv0wjm75vX5Q</t>
  </si>
  <si>
    <t>Ax0Ufi_KWv8</t>
  </si>
  <si>
    <t>UCHiP6GctzJdIkYP20_9k-zg</t>
  </si>
  <si>
    <t>0sz1jHnFbd0</t>
  </si>
  <si>
    <t>1nsS94z-EvM</t>
  </si>
  <si>
    <t>UCvE0FPIL24o2mnUQIqcSHYA</t>
  </si>
  <si>
    <t>26vRj9MwKVg</t>
  </si>
  <si>
    <t>2om5Ztmeut8</t>
  </si>
  <si>
    <t>319Cts6WQv4</t>
  </si>
  <si>
    <t>3VVsWrj7V48</t>
  </si>
  <si>
    <t>3Wl1fg-EBEA</t>
  </si>
  <si>
    <t>4GjfHCzpSP8</t>
  </si>
  <si>
    <t>6FK4sfvoy00</t>
  </si>
  <si>
    <t>7gdiXXRfO5E</t>
  </si>
  <si>
    <t>7uvDIk8EcPk</t>
  </si>
  <si>
    <t>8V27-mTmPKo</t>
  </si>
  <si>
    <t>UCpCqWazROmkURP9Jy8mVvEg</t>
  </si>
  <si>
    <t>8a3sx_7-3WI</t>
  </si>
  <si>
    <t>9R_HJR81H3A</t>
  </si>
  <si>
    <t>FlekK08XI80</t>
  </si>
  <si>
    <t>Flqx4m1YexU</t>
  </si>
  <si>
    <t>yue-HK-gS9KETgkurk|zh-HK</t>
  </si>
  <si>
    <t>9nzYV2k6hv4</t>
  </si>
  <si>
    <t>CtFuzAydLa4</t>
  </si>
  <si>
    <t>DLUPk60c-GQ</t>
  </si>
  <si>
    <t>FmoDEP78plk</t>
  </si>
  <si>
    <t>GbqKMq3GTbY</t>
  </si>
  <si>
    <t>H1ACklDDYqg</t>
  </si>
  <si>
    <t>IjtT8io9PVI</t>
  </si>
  <si>
    <t>K6YIf3CT7n4</t>
  </si>
  <si>
    <t>KVhVnx2HaTg</t>
  </si>
  <si>
    <t>Ld7hQPW4n6I</t>
  </si>
  <si>
    <t>M6n4V05oLeY</t>
  </si>
  <si>
    <t>PUrfmnBbg0Q</t>
  </si>
  <si>
    <t>PjWcOSoB6oY</t>
  </si>
  <si>
    <t>Q2zWRXirbuc</t>
  </si>
  <si>
    <t>RrT1sxQFRQo</t>
  </si>
  <si>
    <t>S6ayAOiF0R4</t>
  </si>
  <si>
    <t>SKwj05_nmmU</t>
  </si>
  <si>
    <t>SUVD5ascxqg</t>
  </si>
  <si>
    <t>SfCeIiZiHkw</t>
  </si>
  <si>
    <t>Ub4VcWLwN5w</t>
  </si>
  <si>
    <t>VNafHULE7MM</t>
  </si>
  <si>
    <t>VZiGBuAhd00</t>
  </si>
  <si>
    <t>W7LmHNMTeSM</t>
  </si>
  <si>
    <t>YcCYMeL8Xik</t>
  </si>
  <si>
    <t>FrsRjWDFYjA</t>
  </si>
  <si>
    <t>ZNoqHeazB-E</t>
  </si>
  <si>
    <t>asBK5wI3HcI</t>
  </si>
  <si>
    <t>awoXYf5LATI</t>
  </si>
  <si>
    <t>bFaVilwbAqg</t>
  </si>
  <si>
    <t>bp_r5mpX__M</t>
  </si>
  <si>
    <t>Fsv-o0GsTlI</t>
  </si>
  <si>
    <t>cTlBuG43FD4</t>
  </si>
  <si>
    <t>eLfklrKnQ3A</t>
  </si>
  <si>
    <t>hPG2GgzoTl4</t>
  </si>
  <si>
    <t>hsAnOuRxSjY</t>
  </si>
  <si>
    <t>iLUackU7Ars</t>
  </si>
  <si>
    <t>jdeuy5bbWsQ</t>
  </si>
  <si>
    <t>lFOnylCcw8g</t>
  </si>
  <si>
    <t>meLNOMPxeXc</t>
  </si>
  <si>
    <t>ndUAKjA7XRo</t>
  </si>
  <si>
    <t>BAzJcaKAtUE</t>
  </si>
  <si>
    <t>q7sOpWTlRFw</t>
  </si>
  <si>
    <t>qUCmPcn42FQ</t>
  </si>
  <si>
    <t>rxDZmSiucgA</t>
  </si>
  <si>
    <t>s2yc-ELLA38</t>
  </si>
  <si>
    <t>sCfe3ZZEraU</t>
  </si>
  <si>
    <t>tkNyrHTMekc</t>
  </si>
  <si>
    <t>UCo4ZdGbAJUKfBYIQ8JJ1pWg</t>
  </si>
  <si>
    <t>vL3DK7evxGs</t>
  </si>
  <si>
    <t>UCKEsq3qTGKScljpPMrGqFxQ</t>
  </si>
  <si>
    <t>BGiEdOUpkXk</t>
  </si>
  <si>
    <t>wovH8YAHRLg</t>
  </si>
  <si>
    <t>zOT83SxW6y8</t>
  </si>
  <si>
    <t>9l8-fn4mxg0</t>
  </si>
  <si>
    <t>EYktHu69oJA</t>
  </si>
  <si>
    <t>MHcN07zuSGA</t>
  </si>
  <si>
    <t>NZLdBR2dSSw</t>
  </si>
  <si>
    <t>QizIjZ-0cyo</t>
  </si>
  <si>
    <t>j4NOUVyShxs</t>
  </si>
  <si>
    <t>m1cwc8qHXsg</t>
  </si>
  <si>
    <t>u5DGvdiiqHE</t>
  </si>
  <si>
    <t>y6PKP-4EtoI</t>
  </si>
  <si>
    <t>FwaczZ4JhtY</t>
  </si>
  <si>
    <t>Fx_0CPdePiw</t>
  </si>
  <si>
    <t>Fyg6_gpw6s8</t>
  </si>
  <si>
    <t>G1D_tnHpm9o</t>
  </si>
  <si>
    <t>UC_vZsUCJrwYrbIRPHacAS_Q</t>
  </si>
  <si>
    <t>-z67EAxrGMc</t>
  </si>
  <si>
    <t>G8mx_nBcD-E</t>
  </si>
  <si>
    <t>GBCBLSNM9vg</t>
  </si>
  <si>
    <t>GCxdphA1j2A</t>
  </si>
  <si>
    <t>UCThO2xnH7XMg6plE8OgJm_w</t>
  </si>
  <si>
    <t>0VYxhQsujnI</t>
  </si>
  <si>
    <t>0WkDpxOCaDY</t>
  </si>
  <si>
    <t>UCO4mttl54gQ0UW-DqyVrvLQ</t>
  </si>
  <si>
    <t>0Zlymg0sm6E</t>
  </si>
  <si>
    <t>UCZVmFDfn5WnixrHNf25MeJQ</t>
  </si>
  <si>
    <t>0cSDh3YLc3U</t>
  </si>
  <si>
    <t>0dA6YLYk3_k</t>
  </si>
  <si>
    <t>GFGWCFWX0qg</t>
  </si>
  <si>
    <t>GHW8DQlaLr8</t>
  </si>
  <si>
    <t>GHyVtYj_NXE</t>
  </si>
  <si>
    <t>GNThTVw5WGw</t>
  </si>
  <si>
    <t>UCARY68c_VZHHXPsEDg9Bptw</t>
  </si>
  <si>
    <t>0u0QoyQ2s64</t>
  </si>
  <si>
    <t>1-7OjH59f30</t>
  </si>
  <si>
    <t>GQ44wechJB0</t>
  </si>
  <si>
    <t>11wScCKKTeg</t>
  </si>
  <si>
    <t>16Af_HF_BMc</t>
  </si>
  <si>
    <t>GRWhlU9Agbg</t>
  </si>
  <si>
    <t>UCldJqbxFCPolSR6V9lszWDA</t>
  </si>
  <si>
    <t>1Dz67XzsDyw</t>
  </si>
  <si>
    <t>yue|zh-TW</t>
  </si>
  <si>
    <t>GTC8X_pVmVw</t>
  </si>
  <si>
    <t>UCwz2_BsHZOaUO1zvS5zJBTw</t>
  </si>
  <si>
    <t>1FCrb-ohsNk</t>
  </si>
  <si>
    <t>GYTS7EkYBqk</t>
  </si>
  <si>
    <t>UCKmwhu-hyadoBCzzM0TBDHQ</t>
  </si>
  <si>
    <t>1cWkLG-vAp0</t>
  </si>
  <si>
    <t>af|ar|be|bg|bn|cs|da|de|el|en|es|et|fa|fi|fil|fr|hu|id|is|it|iw|ja|kk|km|ko|lo|lt|lv|ms|my|ne|nl|no|pa|pl|pt|ro|ru|sk|sl|sr|sv|th|tr|uk|uz|vi|zh-HK|zh-Hans</t>
  </si>
  <si>
    <t>G_-UiPkxqmw</t>
  </si>
  <si>
    <t>1x092LM3wuM</t>
  </si>
  <si>
    <t>UC4sYIzNtzgaJudHQcDGtuJA</t>
  </si>
  <si>
    <t>G_ia90B9mQA</t>
  </si>
  <si>
    <t>UCahNh5t4wkQhSjS2-u0vSlA</t>
  </si>
  <si>
    <t>23iwI7UhK4s</t>
  </si>
  <si>
    <t>GiO7DtWimvk</t>
  </si>
  <si>
    <t>Glveu8qF6_o</t>
  </si>
  <si>
    <t>Gn7zTCJGgNI</t>
  </si>
  <si>
    <t>GnV4_Pwzg2s</t>
  </si>
  <si>
    <t>GoXpv-5y4H8</t>
  </si>
  <si>
    <t>GpsKMEGwzXU</t>
  </si>
  <si>
    <t>3H_lWtpWErg</t>
  </si>
  <si>
    <t>3J76D-vnRRg</t>
  </si>
  <si>
    <t>Gt1qF0kIh7E</t>
  </si>
  <si>
    <t>GxDzSjPg38k</t>
  </si>
  <si>
    <t>GxzY9Lf5BLw</t>
  </si>
  <si>
    <t>3lr_ou2iRtQ</t>
  </si>
  <si>
    <t>H-fU56XID2g</t>
  </si>
  <si>
    <t>H2Na_RgOdEE</t>
  </si>
  <si>
    <t>H320yL7lqho</t>
  </si>
  <si>
    <t>4IXWR09i4D8</t>
  </si>
  <si>
    <t>H7crgmnGLSA</t>
  </si>
  <si>
    <t>H8mW7OuygGg</t>
  </si>
  <si>
    <t>H9P72xYfyaQ</t>
  </si>
  <si>
    <t>HAeK9GsIVVo</t>
  </si>
  <si>
    <t>UCdEFfJveKJdmyeIBNg8zTCQ</t>
  </si>
  <si>
    <t>56knYim6NeE</t>
  </si>
  <si>
    <t>HDIvDq6Y4NY</t>
  </si>
  <si>
    <t>57xZ1DMYwWU</t>
  </si>
  <si>
    <t>HI-Ovg4QD5s</t>
  </si>
  <si>
    <t>HIo4m4Hvmj4</t>
  </si>
  <si>
    <t>5I7G2DA4UQU</t>
  </si>
  <si>
    <t>HLIQ6C_aWTk</t>
  </si>
  <si>
    <t>HLcEcJ8i9m0</t>
  </si>
  <si>
    <t>6EX20ZAAgB4</t>
  </si>
  <si>
    <t>6PhTkkkcWzY</t>
  </si>
  <si>
    <t>6VT0kdObJm4</t>
  </si>
  <si>
    <t>6jOp36hnrVA</t>
  </si>
  <si>
    <t>HRmYdIRe9V0</t>
  </si>
  <si>
    <t>6oVDjaqAHjU</t>
  </si>
  <si>
    <t>6qZG2leQgKA</t>
  </si>
  <si>
    <t>76Sc0vIAyhM</t>
  </si>
  <si>
    <t>H_2xl-4gQXo</t>
  </si>
  <si>
    <t>7nEhtYNr76g</t>
  </si>
  <si>
    <t>HbE5POjLz4g</t>
  </si>
  <si>
    <t>8Djbelr9JrY</t>
  </si>
  <si>
    <t>8JbJycSGBu0</t>
  </si>
  <si>
    <t>8arSA3GDp_g</t>
  </si>
  <si>
    <t>8duRRzChXbo</t>
  </si>
  <si>
    <t>Hm0E_UDc6bE</t>
  </si>
  <si>
    <t>HmDdXwDpjIk</t>
  </si>
  <si>
    <t>8m0R3UWhOSs</t>
  </si>
  <si>
    <t>HpS9ZdaYboI</t>
  </si>
  <si>
    <t>Hq0hnLgl77w</t>
  </si>
  <si>
    <t>8ryiG-C_Lfk</t>
  </si>
  <si>
    <t>8u-DWxOvhr4</t>
  </si>
  <si>
    <t>Hrt0rptKu8I</t>
  </si>
  <si>
    <t>HvdMIuqWwho</t>
  </si>
  <si>
    <t>HzLApgPnB3w</t>
  </si>
  <si>
    <t>en-US|zh-Hant</t>
  </si>
  <si>
    <t>I33DEjQ3JnA</t>
  </si>
  <si>
    <t>I7KMGhHi8GY</t>
  </si>
  <si>
    <t>A2s0ezY_Cqc</t>
  </si>
  <si>
    <t>af|ar|be|bg|bn|da|de|el|en|es|et|fa|fi|fil|fr|hu|id|is|it|iw|ja|ko|lt|ms|my|ne|nl|no|pl|pt|ro|ru|sv|th|uk|vi|zh-HK|zh-Hans</t>
  </si>
  <si>
    <t>I9aK84bX3dQ</t>
  </si>
  <si>
    <t>IBGvzoSdce4</t>
  </si>
  <si>
    <t>ICpiORVHqtw</t>
  </si>
  <si>
    <t>IDXQu7kXaM0</t>
  </si>
  <si>
    <t>IDw6exwHecA</t>
  </si>
  <si>
    <t>UCZ_hzCBwc6ATeXfyQYUk5WQ</t>
  </si>
  <si>
    <t>IDyhPrEev7c</t>
  </si>
  <si>
    <t>AIbVbdB73o4</t>
  </si>
  <si>
    <t>IGWq7B1lJOU</t>
  </si>
  <si>
    <t>IK86z1rbHCI</t>
  </si>
  <si>
    <t>ILquJRGteak</t>
  </si>
  <si>
    <t>IQ2m1qhHRAU</t>
  </si>
  <si>
    <t>IQP1Pg7J6As</t>
  </si>
  <si>
    <t>CG1q9idwH44</t>
  </si>
  <si>
    <t>CG4ftpIrkBU</t>
  </si>
  <si>
    <t>IUBBBL8PfVg</t>
  </si>
  <si>
    <t>IWl9DGxC7m4</t>
  </si>
  <si>
    <t>IWlDAFpx79g</t>
  </si>
  <si>
    <t>CGsVhPFxSxE</t>
  </si>
  <si>
    <t>IZWFFAdvkVk</t>
  </si>
  <si>
    <t>Cb2RCEeDDlQ</t>
  </si>
  <si>
    <t>CiVT19c8ywE</t>
  </si>
  <si>
    <t>UC-RAzAVCKwf_o0XUlmoWGuQ</t>
  </si>
  <si>
    <t>D5H9t31jlmA</t>
  </si>
  <si>
    <t>DGnh6awuboM</t>
  </si>
  <si>
    <t>UCK4AnMZq28qFthWA54mtdww</t>
  </si>
  <si>
    <t>DLZebGFRCO8</t>
  </si>
  <si>
    <t>DR21QYV9cLg</t>
  </si>
  <si>
    <t>Ic3RzeaNJgQ</t>
  </si>
  <si>
    <t>DZmZglacobs</t>
  </si>
  <si>
    <t>DyrsC6txT1w</t>
  </si>
  <si>
    <t>IfdE_vKinME</t>
  </si>
  <si>
    <t>Ig7tAX9vbEQ</t>
  </si>
  <si>
    <t>IgFHJaVfWns</t>
  </si>
  <si>
    <t>IhDCMX0UZVw</t>
  </si>
  <si>
    <t>IhpElRLnNN4</t>
  </si>
  <si>
    <t>IiVTOuEq25A</t>
  </si>
  <si>
    <t>IjAbF_Wkxp0</t>
  </si>
  <si>
    <t>IjufrM_YE6c</t>
  </si>
  <si>
    <t>E7Gdp_VJbp0</t>
  </si>
  <si>
    <t>InSsPQV-nMA</t>
  </si>
  <si>
    <t>InqI9Ref20E</t>
  </si>
  <si>
    <t>EWs8brqAlgo</t>
  </si>
  <si>
    <t>Iobn5ovRQpA</t>
  </si>
  <si>
    <t>Ir6GtXeihXs</t>
  </si>
  <si>
    <t>IrbcgUS2yaA</t>
  </si>
  <si>
    <t>Ec8yKuqBdsw</t>
  </si>
  <si>
    <t>IsxQv7Pdhas</t>
  </si>
  <si>
    <t>ItpL5nwWCIw</t>
  </si>
  <si>
    <t>ItwfkXLAuuo</t>
  </si>
  <si>
    <t>Iu0z-yI9Twk</t>
  </si>
  <si>
    <t>IvUn4aMW5qo</t>
  </si>
  <si>
    <t>EqZN9m-Ida0</t>
  </si>
  <si>
    <t>IxaZuraq9JQ</t>
  </si>
  <si>
    <t>FJt6L49NKSc</t>
  </si>
  <si>
    <t>FRiGgvEHaq4</t>
  </si>
  <si>
    <t>UCA33kwNRGDbO7jg-8czNOJQ</t>
  </si>
  <si>
    <t>FaL9E4pB414</t>
  </si>
  <si>
    <t>Fij2eC-UrhE</t>
  </si>
  <si>
    <t>FkxypZXsthE</t>
  </si>
  <si>
    <t>GByrz2A42uY</t>
  </si>
  <si>
    <t>GDsKyDirFhE</t>
  </si>
  <si>
    <t>GGhFU3uYvKI</t>
  </si>
  <si>
    <t>J6CBxcnGHYs</t>
  </si>
  <si>
    <t>GToX5OS-9n4</t>
  </si>
  <si>
    <t>JAFrWMMWuPM</t>
  </si>
  <si>
    <t>JDnk1AcQW8k</t>
  </si>
  <si>
    <t>JF_VTAHQgIQ</t>
  </si>
  <si>
    <t>GxJ4QfIcIk4</t>
  </si>
  <si>
    <t>JIljRt0ohZc</t>
  </si>
  <si>
    <t>JLcLbWd0ZMA</t>
  </si>
  <si>
    <t>HBxpGzMuLqk</t>
  </si>
  <si>
    <t>HFrkRjH7iRc</t>
  </si>
  <si>
    <t>JNyrTpcLiCg</t>
  </si>
  <si>
    <t>yue-HK|yue-HK-gS9KETgkurk</t>
  </si>
  <si>
    <t>JObqsWa44vQ</t>
  </si>
  <si>
    <t>JT7skrtAPW4</t>
  </si>
  <si>
    <t>JX_kW5qseEc</t>
  </si>
  <si>
    <t>JYELvxLTK9U</t>
  </si>
  <si>
    <t>JZWS3WCIj_I</t>
  </si>
  <si>
    <t>J_Cae0IeKg4</t>
  </si>
  <si>
    <t>HzwewyCmOxs</t>
  </si>
  <si>
    <t>af|ar|be|bg|bn|cs|da|de|el|en|es|fa|fi|fil|fr|hu|id|is|it|iw|ja|kk|km|ko|lt|lv|mk|ms|my|ne|nl|no|pa|pl|pt|ro|ru|th|uk|uz|vi|zh-HK|zh-Hans</t>
  </si>
  <si>
    <t>JfOthLMsRpc</t>
  </si>
  <si>
    <t>JgC_uyQ-458</t>
  </si>
  <si>
    <t>I2kkEbjdgns</t>
  </si>
  <si>
    <t>IIuwgdlo31w</t>
  </si>
  <si>
    <t>JgvJKNg6P5Y</t>
  </si>
  <si>
    <t>Jiddbu23oeg</t>
  </si>
  <si>
    <t>IfQ5nKs49lg</t>
  </si>
  <si>
    <t>UCuRYdsKaDjx7EwEBidiEc3g</t>
  </si>
  <si>
    <t>IgD_R_UO048</t>
  </si>
  <si>
    <t>JlzBbkGhf1Y</t>
  </si>
  <si>
    <t>JnYbnPZ0f44</t>
  </si>
  <si>
    <t>IpKF1MLPCEA</t>
  </si>
  <si>
    <t>JomRyWXFbd4</t>
  </si>
  <si>
    <t>Jph77-NX2j8</t>
  </si>
  <si>
    <t>IyOwcARLcGY</t>
  </si>
  <si>
    <t>Jtd81Q47AiU</t>
  </si>
  <si>
    <t>Ju2U3X-zWLY</t>
  </si>
  <si>
    <t>Jh3rhjvPUqc</t>
  </si>
  <si>
    <t>JvzMRCk9F3Y</t>
  </si>
  <si>
    <t>JycTZRtWhtE</t>
  </si>
  <si>
    <t>JyQxMYzJkec</t>
  </si>
  <si>
    <t>Jy_7BMiNNCc</t>
  </si>
  <si>
    <t>K4H3vXvc8Yc</t>
  </si>
  <si>
    <t>UCo0lvDJ5ikc3hhD30ttGznw</t>
  </si>
  <si>
    <t>K0qKu3-GKmg</t>
  </si>
  <si>
    <t>K1B5fShzOKQ</t>
  </si>
  <si>
    <t>K64FOAF3DOc</t>
  </si>
  <si>
    <t>L9tqU1ul2LA</t>
  </si>
  <si>
    <t>LAdd0kMHpI4</t>
  </si>
  <si>
    <t>LZWska0hsMU</t>
  </si>
  <si>
    <t>LjfDnI5OMyY</t>
  </si>
  <si>
    <t>LvDrBHmfnxk</t>
  </si>
  <si>
    <t>LvHfF6Q-SUY</t>
  </si>
  <si>
    <t>KGiP2YULJ-k</t>
  </si>
  <si>
    <t>en|yue-HK|zh</t>
  </si>
  <si>
    <t>KGp8SYV-Uok</t>
  </si>
  <si>
    <t>KGwPoYGb4Rw</t>
  </si>
  <si>
    <t>KHRcETvKyQE</t>
  </si>
  <si>
    <t>MCq3vCFDTS8</t>
  </si>
  <si>
    <t>MImgqUe8XBY</t>
  </si>
  <si>
    <t>MO0U1pnzZOw</t>
  </si>
  <si>
    <t>KOzJF2udq3Y</t>
  </si>
  <si>
    <t>MeCE2Z3cpiE</t>
  </si>
  <si>
    <t>KUva65E6zyg</t>
  </si>
  <si>
    <t>KVUGmzVh9tQ</t>
  </si>
  <si>
    <t>KVqJ6-GGifU</t>
  </si>
  <si>
    <t>KWKU2VkmI-I</t>
  </si>
  <si>
    <t>KXdGr9oM7v8</t>
  </si>
  <si>
    <t>NEr9rVL5HiQ</t>
  </si>
  <si>
    <t>KZ8StZn_bv0</t>
  </si>
  <si>
    <t>K_0IZESCx1s</t>
  </si>
  <si>
    <t>K__cYHb2LQQ</t>
  </si>
  <si>
    <t>KacT991Dmwg</t>
  </si>
  <si>
    <t>KiWKMGZn5GU</t>
  </si>
  <si>
    <t>KifYl2bcLqA</t>
  </si>
  <si>
    <t>KjTOg0DoRBA</t>
  </si>
  <si>
    <t>KjaMe9VjLlQ</t>
  </si>
  <si>
    <t>Kl5ccMixXZs</t>
  </si>
  <si>
    <t>NZsocXIIfig</t>
  </si>
  <si>
    <t>KoRtEPQbaWA</t>
  </si>
  <si>
    <t>KojQoU4rqXg</t>
  </si>
  <si>
    <t>UCDXW0EMCl6VoonWyvIWAT7Q</t>
  </si>
  <si>
    <t>OQi8sJK_WPk</t>
  </si>
  <si>
    <t>OUO2sl7fGJI</t>
  </si>
  <si>
    <t>OVWKmgpw2IU</t>
  </si>
  <si>
    <t>en-GB|zh-HK|zh-Hant</t>
  </si>
  <si>
    <t>Ksmy1aA6P50</t>
  </si>
  <si>
    <t>Ol0mCdzuG6Q</t>
  </si>
  <si>
    <t>Ou7kagawK-Y</t>
  </si>
  <si>
    <t>Kz0F4WaHqXI</t>
  </si>
  <si>
    <t>Kzw-0VsLA7I</t>
  </si>
  <si>
    <t>L0IFtj8WZ_U</t>
  </si>
  <si>
    <t>L0JpIhO7AsM</t>
  </si>
  <si>
    <t>L21nYwwn0zE</t>
  </si>
  <si>
    <t>L3-OxFi0yUE</t>
  </si>
  <si>
    <t>L4BNhLBp9G4</t>
  </si>
  <si>
    <t>L4d9NqZCzIU</t>
  </si>
  <si>
    <t>L7yQ-FhAlUA</t>
  </si>
  <si>
    <t>LAZSc7jQNi4</t>
  </si>
  <si>
    <t>PMsEQr8-rSU</t>
  </si>
  <si>
    <t>PbFjrNpvSqo</t>
  </si>
  <si>
    <t>LHfmdwnVAhQ</t>
  </si>
  <si>
    <t>LKsz8lq2vCM</t>
  </si>
  <si>
    <t>LMTfJH_2p9s</t>
  </si>
  <si>
    <t>LMiRH1VI9BA</t>
  </si>
  <si>
    <t>LN2HdTxf0cA</t>
  </si>
  <si>
    <t>LNOOjkK27Ag</t>
  </si>
  <si>
    <t>Phx8hJMfVkw</t>
  </si>
  <si>
    <t>QEHKS3lpVYQ</t>
  </si>
  <si>
    <t>LRCpe6nQKDI</t>
  </si>
  <si>
    <t>LSiWdWZ1JA8</t>
  </si>
  <si>
    <t>LTMqbcYWFMY</t>
  </si>
  <si>
    <t>Q_RxlG9R4iI</t>
  </si>
  <si>
    <t>LUf9S3CG3CA</t>
  </si>
  <si>
    <t>QfDZExijrcE</t>
  </si>
  <si>
    <t>QnlAuMY9ZHk</t>
  </si>
  <si>
    <t>LbVPRioYsPw</t>
  </si>
  <si>
    <t>LcsDYqkV0zI</t>
  </si>
  <si>
    <t>Lhh3ISeLgHU</t>
  </si>
  <si>
    <t>RNXxys26ajs</t>
  </si>
  <si>
    <t>RQkoh22MzjI</t>
  </si>
  <si>
    <t>RbyixfAcsP0</t>
  </si>
  <si>
    <t>Lp1AZSUTFFk</t>
  </si>
  <si>
    <t>RzvkcitMajY</t>
  </si>
  <si>
    <t>SGqxPqNusP0</t>
  </si>
  <si>
    <t>S_YlGYQmESA</t>
  </si>
  <si>
    <t>SahjSltyORE</t>
  </si>
  <si>
    <t>Lr6Y9jZJJk4</t>
  </si>
  <si>
    <t>LuZMmT3N17A</t>
  </si>
  <si>
    <t>LvfCxizLUOg</t>
  </si>
  <si>
    <t>Lvtl9HfjIis</t>
  </si>
  <si>
    <t>Lwv4P__-Z3k</t>
  </si>
  <si>
    <t>LxCEOtX5FHA</t>
  </si>
  <si>
    <t>Srnl15JChn4</t>
  </si>
  <si>
    <t>M-YtCciXzdo</t>
  </si>
  <si>
    <t>M028hkrXIe8</t>
  </si>
  <si>
    <t>SxOXppx4LrE</t>
  </si>
  <si>
    <t>M2Uc8oD5GFM</t>
  </si>
  <si>
    <t>M2gJzCPTTxw</t>
  </si>
  <si>
    <t>M66H7eyF9h8</t>
  </si>
  <si>
    <t>M7k-nDtuviY</t>
  </si>
  <si>
    <t>TO6w17jPCB4</t>
  </si>
  <si>
    <t>M9CZ2FpH8-8</t>
  </si>
  <si>
    <t>TOpyeorvL7k</t>
  </si>
  <si>
    <t>af|ar|be|bg|bn|cs|da|de|el|en|es|et|fa|fi|fil|fr|hu|id|is|it|iw|ja|kk|km|ko|lt|lv|ms|my|ne|nl|no|pa|pl|pt|ro|ru|sk|sr|sv|th|uk|uz|vi|zh-HK|zh-Hans</t>
  </si>
  <si>
    <t>MBC57UneGXY</t>
  </si>
  <si>
    <t>TYiFZV1rpBo</t>
  </si>
  <si>
    <t>MDwijnaZsGY</t>
  </si>
  <si>
    <t>TgtpW3homjI</t>
  </si>
  <si>
    <t>MGAJro9H4UQ</t>
  </si>
  <si>
    <t>UMaXiEsfm9A</t>
  </si>
  <si>
    <t>UQlywezDi8M</t>
  </si>
  <si>
    <t>MLmzN-A7b1I</t>
  </si>
  <si>
    <t>MLpWB4oqN_k</t>
  </si>
  <si>
    <t>MOW35mmIIHI</t>
  </si>
  <si>
    <t>MPDmj-TGYmA</t>
  </si>
  <si>
    <t>MPODAed0IDE</t>
  </si>
  <si>
    <t>UnuRuvZThPU</t>
  </si>
  <si>
    <t>UwsnbVbN8_8</t>
  </si>
  <si>
    <t>MPPzOud3yKo</t>
  </si>
  <si>
    <t>MPxPJR5-kl0</t>
  </si>
  <si>
    <t>MRmUJdBlrsA</t>
  </si>
  <si>
    <t>MUfYTk8l9oY</t>
  </si>
  <si>
    <t>MW1dNPBWMq4</t>
  </si>
  <si>
    <t>MX6hL4gLF4Q</t>
  </si>
  <si>
    <t>MYXQaeKVpyw</t>
  </si>
  <si>
    <t>Vp-_lVyEyIE</t>
  </si>
  <si>
    <t>WBzouMBmCBY</t>
  </si>
  <si>
    <t>Mfr3LQOXjsA</t>
  </si>
  <si>
    <t>WFVOY2js-2U</t>
  </si>
  <si>
    <t>Mh2nKMst5uE</t>
  </si>
  <si>
    <t>WRwoTMzSrNQ</t>
  </si>
  <si>
    <t>MibVFD9Ux0s</t>
  </si>
  <si>
    <t>WZ6ggfIA5io</t>
  </si>
  <si>
    <t>af|ar|be|bg|bn|cs|da|de|el|en|es|et|fa|fi|fil|fr|hu|id|is|it|iw|ja|kk|km|ko|lo|lt|lv|ms|my|ne|nl|no|pa|pl|pt|ro|ru|sk|sl|sr|sv|th|uk|uz|vi|zh-HK|zh-Hans</t>
  </si>
  <si>
    <t>WZCfHOvDHAA</t>
  </si>
  <si>
    <t>MmCrZcAx-SU</t>
  </si>
  <si>
    <t>MnBkRaQBAlk</t>
  </si>
  <si>
    <t>Mo6PF7eeh60</t>
  </si>
  <si>
    <t>Xk94VYe9Prk</t>
  </si>
  <si>
    <t>XpPYz78iX3Q</t>
  </si>
  <si>
    <t>XqqIaqjpVgw</t>
  </si>
  <si>
    <t>Y-QZQL4V2qw</t>
  </si>
  <si>
    <t>MuX1S4wtBIQ</t>
  </si>
  <si>
    <t>MwDAtlIK30Q</t>
  </si>
  <si>
    <t>MwwLnsvseHA</t>
  </si>
  <si>
    <t>MxcBeMcVFYE</t>
  </si>
  <si>
    <t>YRQeyHoBO3M</t>
  </si>
  <si>
    <t>YUpkt21v1Bs</t>
  </si>
  <si>
    <t>YfO_hqhJhjE</t>
  </si>
  <si>
    <t>Mznexxvs_ww</t>
  </si>
  <si>
    <t>N0nWrmRk8M8</t>
  </si>
  <si>
    <t>N15y6mW5pZ4</t>
  </si>
  <si>
    <t>N1Cipqbagg8</t>
  </si>
  <si>
    <t>N2zw-mgL5aw</t>
  </si>
  <si>
    <t>N4DjG4_9kuk</t>
  </si>
  <si>
    <t>N5s3A-fy7h4</t>
  </si>
  <si>
    <t>N7gQaz6VnFc</t>
  </si>
  <si>
    <t>ZHt_KKh1VfE</t>
  </si>
  <si>
    <t>ZQJrbb_OPLE</t>
  </si>
  <si>
    <t>ZUnlS5_L00o</t>
  </si>
  <si>
    <t>ZnfSxeOIwT0</t>
  </si>
  <si>
    <t>_8D0ty80dss</t>
  </si>
  <si>
    <t>NBVs4sMZecU</t>
  </si>
  <si>
    <t>NCNZ5nJ2gSk</t>
  </si>
  <si>
    <t>_ilRRrIoeCA</t>
  </si>
  <si>
    <t>NGKDgU7EiAc</t>
  </si>
  <si>
    <t>NGcWAcAVWl8</t>
  </si>
  <si>
    <t>NJkAjZOYC-M</t>
  </si>
  <si>
    <t>aC8HEy9JHzc</t>
  </si>
  <si>
    <t>NLlcdK3WpMg</t>
  </si>
  <si>
    <t>NNfKWGqyUzA</t>
  </si>
  <si>
    <t>NOdX2fCi2Q8</t>
  </si>
  <si>
    <t>NPkAdDkNsuI</t>
  </si>
  <si>
    <t>aQm3P8pm8EM</t>
  </si>
  <si>
    <t>NUnYr33uyaA</t>
  </si>
  <si>
    <t>NUv69_QR_7o</t>
  </si>
  <si>
    <t>UCEg3pOlQs_nMQ8ArSOacL4Q</t>
  </si>
  <si>
    <t>NUvODfe6FNw</t>
  </si>
  <si>
    <t>NWgQCN3E30k</t>
  </si>
  <si>
    <t>b6DBMx3TaBI</t>
  </si>
  <si>
    <t>b6qBImO4o44</t>
  </si>
  <si>
    <t>Ncm1LRzCo-0</t>
  </si>
  <si>
    <t>NdtZJ7kLpa0</t>
  </si>
  <si>
    <t>NfVPbursqI8</t>
  </si>
  <si>
    <t>bEqvM6du42s</t>
  </si>
  <si>
    <t>be|de|en-GB|es|fi|fil|fr|id|it|ja|ko|ms|nl|pt|ru|sv|th|ur|vi|zh-Hans|zh-Hant</t>
  </si>
  <si>
    <t>NhgkZR0D9Is</t>
  </si>
  <si>
    <t>bXB2OUEiaC4</t>
  </si>
  <si>
    <t>Njr51gohkaI</t>
  </si>
  <si>
    <t>Nk0BcNWDX_k</t>
  </si>
  <si>
    <t>Nl5pDiqTTTA</t>
  </si>
  <si>
    <t>Nm01jszc52k</t>
  </si>
  <si>
    <t>Nmnx6D31OQ4</t>
  </si>
  <si>
    <t>NogsFrU1_pE</t>
  </si>
  <si>
    <t>Nr4Xv4nXlvk</t>
  </si>
  <si>
    <t>NrWFQ2L6Pq4</t>
  </si>
  <si>
    <t>boxGqZzRAPY</t>
  </si>
  <si>
    <t>cHLLUrvIzq8</t>
  </si>
  <si>
    <t>cJi4hVqYU14</t>
  </si>
  <si>
    <t>NsN7kflR-uo</t>
  </si>
  <si>
    <t>NvfI8BRClK8</t>
  </si>
  <si>
    <t>Nw02sr6h6e8</t>
  </si>
  <si>
    <t>cp4-NI01cXQ</t>
  </si>
  <si>
    <t>cp9V6oRXcKg</t>
  </si>
  <si>
    <t>NyLvnVSyhZY</t>
  </si>
  <si>
    <t>O-6NUGwVMq4</t>
  </si>
  <si>
    <t>O1QdQ9xL2N0</t>
  </si>
  <si>
    <t>O3eXdvnhI8o</t>
  </si>
  <si>
    <t>O4f129T_23o</t>
  </si>
  <si>
    <t>O4wTEP1QrDg</t>
  </si>
  <si>
    <t>O5UwL3nKfpo</t>
  </si>
  <si>
    <t>dBls19uWQvw</t>
  </si>
  <si>
    <t>dDdGvugZkos</t>
  </si>
  <si>
    <t>dFRO5WKD2-4</t>
  </si>
  <si>
    <t>OB5Hvb1uCes</t>
  </si>
  <si>
    <t>OCBRckXtFF8</t>
  </si>
  <si>
    <t>dJEH-PHnyWg</t>
  </si>
  <si>
    <t>OHJcTbmu8IY</t>
  </si>
  <si>
    <t>OH_ZnVgOpr0</t>
  </si>
  <si>
    <t>OHi4WsqVCDA</t>
  </si>
  <si>
    <t>duRpZQU8s64</t>
  </si>
  <si>
    <t>eE-Zae9A2qk</t>
  </si>
  <si>
    <t>ONRRJth4-S4</t>
  </si>
  <si>
    <t>ONjOxOZAoic</t>
  </si>
  <si>
    <t>ePuYB536ARw</t>
  </si>
  <si>
    <t>eQ1hjYvdxlI</t>
  </si>
  <si>
    <t>OOiZeaVz38c</t>
  </si>
  <si>
    <t>ORNPSg4igtM</t>
  </si>
  <si>
    <t>OS5b4eVE8kQ</t>
  </si>
  <si>
    <t>OS8ssU3VUAA</t>
  </si>
  <si>
    <t>OTLMVIj3Yts</t>
  </si>
  <si>
    <t>UCjn1kWmv_eC0Fzkx5gmjnVA</t>
  </si>
  <si>
    <t>OU9AnkVOapg</t>
  </si>
  <si>
    <t>UC3B69fgm6HOS1YUxjgjxe1g</t>
  </si>
  <si>
    <t>OUkdrQOocRg</t>
  </si>
  <si>
    <t>OWhNyurO008</t>
  </si>
  <si>
    <t>fJWLS8Swuck</t>
  </si>
  <si>
    <t>UCp9bdEcTMtHShgQW9OFUU4A</t>
  </si>
  <si>
    <t>fLNDdRAp5J8</t>
  </si>
  <si>
    <t>fYNZ4wXOPTw</t>
  </si>
  <si>
    <t>OYSTlOj6Jlo</t>
  </si>
  <si>
    <t>OZF-fqZK_bc</t>
  </si>
  <si>
    <t>O_SW0IgJeWs</t>
  </si>
  <si>
    <t>Oa_QLhqckxo</t>
  </si>
  <si>
    <t>ObxsNLbShFA</t>
  </si>
  <si>
    <t>OdgW65j_uhY</t>
  </si>
  <si>
    <t>OeGmObUleBM</t>
  </si>
  <si>
    <t>OfUdmQ8fH_I</t>
  </si>
  <si>
    <t>Oil5XZaEe5w</t>
  </si>
  <si>
    <t>OjfwlZBLhwE</t>
  </si>
  <si>
    <t>UCLYDpGywwns7EhzIgxSKqDw</t>
  </si>
  <si>
    <t>OlyU5DNwGR8</t>
  </si>
  <si>
    <t>zh-Hans|zh-Hant</t>
  </si>
  <si>
    <t>OoJC2TMDpTM</t>
  </si>
  <si>
    <t>OqUUDasQRXg</t>
  </si>
  <si>
    <t>Ou3PP4GL958</t>
  </si>
  <si>
    <t>OvSdVIXzJUA</t>
  </si>
  <si>
    <t>gACzVc8PhsY</t>
  </si>
  <si>
    <t>gHeyIi5fklU</t>
  </si>
  <si>
    <t>gIYv29z6kXE</t>
  </si>
  <si>
    <t>OvvwBmUiAis</t>
  </si>
  <si>
    <t>gXGU1aFZeWw</t>
  </si>
  <si>
    <t>gepEOC0LS5I</t>
  </si>
  <si>
    <t>gfwKS9PxhH4</t>
  </si>
  <si>
    <t>P-8CBleUtlg</t>
  </si>
  <si>
    <t>gvFBpy-OEiA</t>
  </si>
  <si>
    <t>P-owhZc_b9A</t>
  </si>
  <si>
    <t>P0io115dGGc</t>
  </si>
  <si>
    <t>P2J5eElt1Ng</t>
  </si>
  <si>
    <t>P4t_lc8vlGc</t>
  </si>
  <si>
    <t>UC3oZHuZrkBs5OgXwZePWHMA</t>
  </si>
  <si>
    <t>P5CESkjA2k4</t>
  </si>
  <si>
    <t>h9j0s4AXKVY</t>
  </si>
  <si>
    <t>hYXkyZthj7U</t>
  </si>
  <si>
    <t>UCcetU9127QglBECLbGfRofQ</t>
  </si>
  <si>
    <t>PAqdnDUBA3E</t>
  </si>
  <si>
    <t>PAuERCpXPLk</t>
  </si>
  <si>
    <t>PBNiMrmq9Rk</t>
  </si>
  <si>
    <t>PD5bTuarsnM</t>
  </si>
  <si>
    <t>hjwOXBZyAkE</t>
  </si>
  <si>
    <t>PEST-RQ6zAE</t>
  </si>
  <si>
    <t>PEdbCTs19Co</t>
  </si>
  <si>
    <t>PFUjZtkxLhE</t>
  </si>
  <si>
    <t>PGXoB2kM4Jw</t>
  </si>
  <si>
    <t>PIaKPMExKVQ</t>
  </si>
  <si>
    <t>PJTKmDEWuos</t>
  </si>
  <si>
    <t>PLZ37Uv1Qlk</t>
  </si>
  <si>
    <t>PM2fOWztfOw</t>
  </si>
  <si>
    <t>iAynuPxDumU</t>
  </si>
  <si>
    <t>POdz4BwLmPY</t>
  </si>
  <si>
    <t>POp1yNGhD0U</t>
  </si>
  <si>
    <t>iW10Wzfaxwg</t>
  </si>
  <si>
    <t>iYjNMN99sLE</t>
  </si>
  <si>
    <t>PR27fZiLcqI</t>
  </si>
  <si>
    <t>PSJUh42LXY8</t>
  </si>
  <si>
    <t>isakuKztbIY</t>
  </si>
  <si>
    <t>PZjGKU_Sd6E</t>
  </si>
  <si>
    <t>PdFUSudW0l0</t>
  </si>
  <si>
    <t>PdnyA2j7DAQ</t>
  </si>
  <si>
    <t>Pf1IRGiY8B0</t>
  </si>
  <si>
    <t>PgrjeSujfC8</t>
  </si>
  <si>
    <t>jWM-ZIaWEi4</t>
  </si>
  <si>
    <t>UCvU4k0Z8HUSWZUrqDodvlAg</t>
  </si>
  <si>
    <t>PhFRxoSLaGE</t>
  </si>
  <si>
    <t>PjMp5cpT2L8</t>
  </si>
  <si>
    <t>jczv04B9di4</t>
  </si>
  <si>
    <t>PnvlPoVBd2I</t>
  </si>
  <si>
    <t>PpXFa7bPgvo</t>
  </si>
  <si>
    <t>PpvXKX7JIYE</t>
  </si>
  <si>
    <t>k4kxW6FSedk</t>
  </si>
  <si>
    <t>kJog0VbRvck</t>
  </si>
  <si>
    <t>kRfSKglKt0g</t>
  </si>
  <si>
    <t>PriVVw8kxFw</t>
  </si>
  <si>
    <t>PsBOve1oKeg</t>
  </si>
  <si>
    <t>Ptp323meEhM</t>
  </si>
  <si>
    <t>PuSEZ_kFNHg</t>
  </si>
  <si>
    <t>kcPWB4wyPRI</t>
  </si>
  <si>
    <t>km1zhTUE2iE</t>
  </si>
  <si>
    <t>Q5_kY8j74zc</t>
  </si>
  <si>
    <t>Q8WBkFYcpqo</t>
  </si>
  <si>
    <t>Q9xZz4f_9L8</t>
  </si>
  <si>
    <t>QB9vA9cOdTY</t>
  </si>
  <si>
    <t>lo2Bl6q2df0</t>
  </si>
  <si>
    <t>lxSZ_3zSx3s</t>
  </si>
  <si>
    <t>m-m8DF7y2I8</t>
  </si>
  <si>
    <t>QEa6dme1T-0</t>
  </si>
  <si>
    <t>QFj8Nbd1VW8</t>
  </si>
  <si>
    <t>mHsPqh0lhEo</t>
  </si>
  <si>
    <t>QJeNY4GtNmI</t>
  </si>
  <si>
    <t>mRwIKOo1vtY</t>
  </si>
  <si>
    <t>QMXtgiT3ABc</t>
  </si>
  <si>
    <t>QNBYqBUxDfg</t>
  </si>
  <si>
    <t>QR1kpxndmiU</t>
  </si>
  <si>
    <t>ml8-wMUxdxc</t>
  </si>
  <si>
    <t>en|yue|zh-TW</t>
  </si>
  <si>
    <t>QTzF8P8rNzI</t>
  </si>
  <si>
    <t>QZDkkmKfG7g</t>
  </si>
  <si>
    <t>nAdB6ejxYns</t>
  </si>
  <si>
    <t>nCRl9voafvk</t>
  </si>
  <si>
    <t>Q_nhuy38bBU</t>
  </si>
  <si>
    <t>UCVhXcNB9UMxRZsOibNndFIQ</t>
  </si>
  <si>
    <t>nr-iIm144bU</t>
  </si>
  <si>
    <t>QcbrKVUIKTo</t>
  </si>
  <si>
    <t>nwgQipvGqB0</t>
  </si>
  <si>
    <t>oBfkTSDlEwc</t>
  </si>
  <si>
    <t>oBlOmQy5ILc</t>
  </si>
  <si>
    <t>oD_hM6zjqv0</t>
  </si>
  <si>
    <t>af|ar|be|bg|bn|cs|da|de|el|en|es|et|fa|fi|fil|fr|hu|id|is|it|iw|ja|kk|km|ko|lt|lv|mk|ms|my|ne|nl|no|pa|pl|pt|ro|ru|sk|sl|sr|sv|th|uk|uz|vi|zh-HK|zh-Hans</t>
  </si>
  <si>
    <t>QiPvJtUHw_Q</t>
  </si>
  <si>
    <t>Qjh1SIX1s10</t>
  </si>
  <si>
    <t>Qk73AyuZFGc</t>
  </si>
  <si>
    <t>QlNQ1avPGdM</t>
  </si>
  <si>
    <t>QmUpF-RZivw</t>
  </si>
  <si>
    <t>QmnHitrFVA8</t>
  </si>
  <si>
    <t>oSrXuKwjXOo</t>
  </si>
  <si>
    <t>ocoTXKVnGz8</t>
  </si>
  <si>
    <t>odzzgn9EmNI</t>
  </si>
  <si>
    <t>osZ3IeYocM8</t>
  </si>
  <si>
    <t>QnaYeLo81j0</t>
  </si>
  <si>
    <t>QnasiDTMSPY</t>
  </si>
  <si>
    <t>Qq5iC6H7OmE</t>
  </si>
  <si>
    <t>p5kd9H-ol68</t>
  </si>
  <si>
    <t>Qs8oRN1Rjes</t>
  </si>
  <si>
    <t>QtKNyvaSjhc</t>
  </si>
  <si>
    <t>Qupv2DUYuSg</t>
  </si>
  <si>
    <t>QwCiEwuruHE</t>
  </si>
  <si>
    <t>QwkFCIkq00Q</t>
  </si>
  <si>
    <t>QxMuW8Ca7zg</t>
  </si>
  <si>
    <t>pDI_qNfz0zE</t>
  </si>
  <si>
    <t>R-aCVLPUwIo</t>
  </si>
  <si>
    <t>R0bM_vULuqM</t>
  </si>
  <si>
    <t>pOujmiPCgQ4</t>
  </si>
  <si>
    <t>R1r-Z-hotWw</t>
  </si>
  <si>
    <t>R5V0yiKcaSo</t>
  </si>
  <si>
    <t>pVkWjnmVDrU</t>
  </si>
  <si>
    <t>R7fTvnUnwvY</t>
  </si>
  <si>
    <t>R952ct_Rk_Y</t>
  </si>
  <si>
    <t>RAg8Datv_yI</t>
  </si>
  <si>
    <t>RDO8ekaKu2Q</t>
  </si>
  <si>
    <t>q1QB55bqSdQ</t>
  </si>
  <si>
    <t>RDqeP7tj5UM</t>
  </si>
  <si>
    <t>qNIJLgiHcnI</t>
  </si>
  <si>
    <t>RKQk5Q6p1EA</t>
  </si>
  <si>
    <t>qPAUEwmb5UY</t>
  </si>
  <si>
    <t>af|ar|be|bg|bn|cs|da|de|el|en|es|et|fa|fi|fil|fr|hu|id|is|it|iw|ja|km|ko|lt|lv|mk|mn|ms|my|ne|nl|no|pa|pl|pt-BR|pt-PT|ro|ru|sk|sl|sv|th|uk|uz|vi|zh-HK|zh-Hans</t>
  </si>
  <si>
    <t>RNn4mYIvQx8</t>
  </si>
  <si>
    <t>qPiR2QSD_yM</t>
  </si>
  <si>
    <t>qvyTdX1Tnwc</t>
  </si>
  <si>
    <t>RWCYwjSz5m4</t>
  </si>
  <si>
    <t>RYg7oZ11VbA</t>
  </si>
  <si>
    <t>rnCOnBDeXy0</t>
  </si>
  <si>
    <t>ryCzoLx9suc</t>
  </si>
  <si>
    <t>s9FHGa0K3yI</t>
  </si>
  <si>
    <t>sM3xa-BBdtI</t>
  </si>
  <si>
    <t>sNZp1fImly4</t>
  </si>
  <si>
    <t>sPGa5myEeco</t>
  </si>
  <si>
    <t>sRwVBWd-Dps</t>
  </si>
  <si>
    <t>RcPheByzD54</t>
  </si>
  <si>
    <t>RfQYzaHlWok</t>
  </si>
  <si>
    <t>scQcguZRw-w</t>
  </si>
  <si>
    <t>Rje3ygbS5x8</t>
  </si>
  <si>
    <t>Rjm2MILr6zQ</t>
  </si>
  <si>
    <t>RkszA31OUSs</t>
  </si>
  <si>
    <t>UCPF6eNKcvhsgwJTf8kUKXfg</t>
  </si>
  <si>
    <t>svSqBICCmPY</t>
  </si>
  <si>
    <t>Rl2bjXHmeXk</t>
  </si>
  <si>
    <t>Rs28aavxOnY</t>
  </si>
  <si>
    <t>RvlMB7w_Mqs</t>
  </si>
  <si>
    <t>tOAtRMnZCk8</t>
  </si>
  <si>
    <t>RyjJFklTjU8</t>
  </si>
  <si>
    <t>Ryq0JZSKzMs</t>
  </si>
  <si>
    <t>uPI8mLb37BI</t>
  </si>
  <si>
    <t>uRLDfJOKEH0</t>
  </si>
  <si>
    <t>uVO62RBYgkM</t>
  </si>
  <si>
    <t>SDkU4gN8hyc</t>
  </si>
  <si>
    <t>SEINq-jBOdk</t>
  </si>
  <si>
    <t>uqONXM64jLQ</t>
  </si>
  <si>
    <t>uwbttPP6cJ8</t>
  </si>
  <si>
    <t>SMLopm_pxqc</t>
  </si>
  <si>
    <t>SNQJCH6diBE</t>
  </si>
  <si>
    <t>UCjJcc0em0PqOtUUQr9KxBuQ</t>
  </si>
  <si>
    <t>SOoM-aPhZZs</t>
  </si>
  <si>
    <t>v5yHaMWxgW0</t>
  </si>
  <si>
    <t>SUWi-CYMpX4</t>
  </si>
  <si>
    <t>SV93AAzPunw</t>
  </si>
  <si>
    <t>SVcZJSTbxRc</t>
  </si>
  <si>
    <t>vItXhBmL3CQ</t>
  </si>
  <si>
    <t>UCR8uMeI5ZXlx0gpD0WTOCmg</t>
  </si>
  <si>
    <t>vTSLbk2Lq2Q</t>
  </si>
  <si>
    <t>SZF3hGO30i4</t>
  </si>
  <si>
    <t>SZPAny8HHGk</t>
  </si>
  <si>
    <t>SbXP4hoKbDA</t>
  </si>
  <si>
    <t>Sdc2eAQwkXM</t>
  </si>
  <si>
    <t>SeVfZHolQUM</t>
  </si>
  <si>
    <t>w40wAzuY3ho</t>
  </si>
  <si>
    <t>w5mBnj1OZ2k</t>
  </si>
  <si>
    <t>ShCirg-TXVY</t>
  </si>
  <si>
    <t>SiduzQ6sB98</t>
  </si>
  <si>
    <t>Sk5kwttpUak</t>
  </si>
  <si>
    <t>SkNwwTjekZc</t>
  </si>
  <si>
    <t>wX_9IABvZ_s</t>
  </si>
  <si>
    <t>wXsOIaLCKFM</t>
  </si>
  <si>
    <t>wg_GV60kB4A</t>
  </si>
  <si>
    <t>wkFh2Nm3nsg</t>
  </si>
  <si>
    <t>wur6cOqOUgI</t>
  </si>
  <si>
    <t>SnSrqtevNJM</t>
  </si>
  <si>
    <t>SoCZn1V_9kA</t>
  </si>
  <si>
    <t>SqGXPeWwQEw</t>
  </si>
  <si>
    <t>SrUSSoCL9wY</t>
  </si>
  <si>
    <t>StaO1A2Weo8</t>
  </si>
  <si>
    <t>SuuDJIWkxwk</t>
  </si>
  <si>
    <t>Svg4fUR4hLo</t>
  </si>
  <si>
    <t>SvqEWoTT4ZY</t>
  </si>
  <si>
    <t>xnVWRLJlBPA</t>
  </si>
  <si>
    <t>xoPhWFPgkmM</t>
  </si>
  <si>
    <t>xtkXH_3VqB4</t>
  </si>
  <si>
    <t>xwQTc6bIeGk</t>
  </si>
  <si>
    <t>SwjSkV0YAVc</t>
  </si>
  <si>
    <t>SylLLtbDYZw</t>
  </si>
  <si>
    <t>T0EH2nNJsYc</t>
  </si>
  <si>
    <t>T1yAR0y1-zg</t>
  </si>
  <si>
    <t>T2a6CvnTb60</t>
  </si>
  <si>
    <t>T2bPwvKfuqk</t>
  </si>
  <si>
    <t>yHqPeS2bCkI</t>
  </si>
  <si>
    <t>yNbGTfwjHfk</t>
  </si>
  <si>
    <t>y_2JxFiRI3c</t>
  </si>
  <si>
    <t>T6XthOFKr30</t>
  </si>
  <si>
    <t>T9Gn8QoW6Uk</t>
  </si>
  <si>
    <t>TBXFQg8b29o</t>
  </si>
  <si>
    <t>z1-7bE9_eas</t>
  </si>
  <si>
    <t>TBaKOL2Tx7Q</t>
  </si>
  <si>
    <t>z4Nh8IWnr0w</t>
  </si>
  <si>
    <t>TDlPhhS0VZo</t>
  </si>
  <si>
    <t>TEY0YpXaRXI</t>
  </si>
  <si>
    <t>TEkCJLARuIU</t>
  </si>
  <si>
    <t>TGucrSewNyQ</t>
  </si>
  <si>
    <t>z_yELqcmnVY</t>
  </si>
  <si>
    <t>TJv-EvxtGXc</t>
  </si>
  <si>
    <t>TKcaZ6TbR0I</t>
  </si>
  <si>
    <t>TMEDvxJRS28</t>
  </si>
  <si>
    <t>--sKO7gd-Pg</t>
  </si>
  <si>
    <t>-0f-2iadtRc</t>
  </si>
  <si>
    <t>UC_AM43evME8LaRFzElYdjpg</t>
  </si>
  <si>
    <t>-2TzNbX2NhI</t>
  </si>
  <si>
    <t>-6Px1f7m6XE</t>
  </si>
  <si>
    <t>-7yiOj0RuLo</t>
  </si>
  <si>
    <t>-BLexzW18Rk</t>
  </si>
  <si>
    <t>-Bo5dwRqFy4</t>
  </si>
  <si>
    <t>-D9N8ts6TNY</t>
  </si>
  <si>
    <t>-EZQgf8AtAI</t>
  </si>
  <si>
    <t>-KZX-dpHhNk</t>
  </si>
  <si>
    <t>-OU-fQ_MN6g</t>
  </si>
  <si>
    <t>-OVl6ijSRKo</t>
  </si>
  <si>
    <t>-P5W2gOQ3SQ</t>
  </si>
  <si>
    <t>-TQCLC5RC_Y</t>
  </si>
  <si>
    <t>-V4xP2pVyms</t>
  </si>
  <si>
    <t>-WDZmMomVu8</t>
  </si>
  <si>
    <t>-WiEe_afklQ</t>
  </si>
  <si>
    <t>-Ws1Ncimtpc</t>
  </si>
  <si>
    <t>-YWzMW1TbZw</t>
  </si>
  <si>
    <t>-Z19G7k9agw</t>
  </si>
  <si>
    <t>-_VIClN-dTY</t>
  </si>
  <si>
    <t>-cg0uoE-J9U</t>
  </si>
  <si>
    <t>-d2sohTbLus</t>
  </si>
  <si>
    <t>-dv37PyfDlI</t>
  </si>
  <si>
    <t>-eP1q-evNY4</t>
  </si>
  <si>
    <t>-hMa0xrxA2w</t>
  </si>
  <si>
    <t>-iQCu40p1JI</t>
  </si>
  <si>
    <t>-jBn0MV1VWI</t>
  </si>
  <si>
    <t>-jkqAaG5UMc</t>
  </si>
  <si>
    <t>-keJy5nswVw</t>
  </si>
  <si>
    <t>-l2WLfSFlQ4</t>
  </si>
  <si>
    <t>-mVaw_EyT_w</t>
  </si>
  <si>
    <t>-mwWoCORK9o</t>
  </si>
  <si>
    <t>-oclRcGRt9U</t>
  </si>
  <si>
    <t>-qubqYM8mm8</t>
  </si>
  <si>
    <t>-r53DTLxAuw</t>
  </si>
  <si>
    <t>-rc1Tv64Mwc</t>
  </si>
  <si>
    <t>-shkvPYRygI</t>
  </si>
  <si>
    <t>en-US|yue-HK|zh-Hans|zh-Hant</t>
  </si>
  <si>
    <t>-vy0xDt4ev0</t>
  </si>
  <si>
    <t>-zjqemBeeo4</t>
  </si>
  <si>
    <t>0-eIkx_dmIc</t>
  </si>
  <si>
    <t>00FsaBTYZf8</t>
  </si>
  <si>
    <t>00JmTQfKheA</t>
  </si>
  <si>
    <t>01mrGtVQSlY</t>
  </si>
  <si>
    <t>025USBnaWKU</t>
  </si>
  <si>
    <t>03m4kZCHzNo</t>
  </si>
  <si>
    <t>UCLE4O4nN6oSFkxSmfm18h3g</t>
  </si>
  <si>
    <t>06VlfBoWA-w</t>
  </si>
  <si>
    <t>0BnGur1xtAo</t>
  </si>
  <si>
    <t>0ECtsQjM2x8</t>
  </si>
  <si>
    <t>UCxG_Sl8LTqDJyzurpOSKW0Q</t>
  </si>
  <si>
    <t>0F0BEisSRVw</t>
  </si>
  <si>
    <t>0JnMMwD0u74</t>
  </si>
  <si>
    <t>0L6JBoSHuEo</t>
  </si>
  <si>
    <t>0PMGPJMo7KE</t>
  </si>
  <si>
    <t>0T2WDjdZpIA</t>
  </si>
  <si>
    <t>0UOUiBzgyh4</t>
  </si>
  <si>
    <t>0_RqM61rCYM</t>
  </si>
  <si>
    <t>0eBeT9yfwrw</t>
  </si>
  <si>
    <t>0fj-Si4cX-M</t>
  </si>
  <si>
    <t>0ob2XCtFArg</t>
  </si>
  <si>
    <t>0rGjArBHuHc</t>
  </si>
  <si>
    <t>0rqM2H7FVLo</t>
  </si>
  <si>
    <t>0sNVmXGEIhA</t>
  </si>
  <si>
    <t>0yba-Ioc2Rc</t>
  </si>
  <si>
    <t>10cv3FcNIms</t>
  </si>
  <si>
    <t>12u5wxvGMyw</t>
  </si>
  <si>
    <t>14r2dpP1DI0</t>
  </si>
  <si>
    <t>179s9J_JMEc</t>
  </si>
  <si>
    <t>17jK6iIKJSA</t>
  </si>
  <si>
    <t>19PhsYVfo-A</t>
  </si>
  <si>
    <t>19ttrggN_BY</t>
  </si>
  <si>
    <t>1LtIqxGfP2M</t>
  </si>
  <si>
    <t>1M2BoA6kG88</t>
  </si>
  <si>
    <t>1M_xUTVEN0s</t>
  </si>
  <si>
    <t>1OmjqC64xsY</t>
  </si>
  <si>
    <t>1R68CKBg9rk</t>
  </si>
  <si>
    <t>1RVpLlCB1UM</t>
  </si>
  <si>
    <t>1Ybpx3kCqyM</t>
  </si>
  <si>
    <t>1ZnQSfxVx9o</t>
  </si>
  <si>
    <t>1cPVetBsP2U</t>
  </si>
  <si>
    <t>1chiL54SDxU</t>
  </si>
  <si>
    <t>1djtCH4zWv0</t>
  </si>
  <si>
    <t>1gg9dM_t_lo</t>
  </si>
  <si>
    <t>1hhLgYw-XvA</t>
  </si>
  <si>
    <t>1jJiDVXpJUA</t>
  </si>
  <si>
    <t>1k8SFr8kcTs</t>
  </si>
  <si>
    <t>1kOcsVDx5lQ</t>
  </si>
  <si>
    <t>1mO0oyX4QrM</t>
  </si>
  <si>
    <t>1nOpsmTi9po</t>
  </si>
  <si>
    <t>1qCD-u9D4vQ</t>
  </si>
  <si>
    <t>1t_GZdzjDEE</t>
  </si>
  <si>
    <t>1uKGB1gLcDw</t>
  </si>
  <si>
    <t>UCtQBCR1P2QdYPV1HqfFluCA</t>
  </si>
  <si>
    <t>1vrDIDr6cS8</t>
  </si>
  <si>
    <t>1w1kg9Tl7sE</t>
  </si>
  <si>
    <t>22A8vaYS6Iw</t>
  </si>
  <si>
    <t>25CUl1IL2Sc</t>
  </si>
  <si>
    <t>26oElB-DM18</t>
  </si>
  <si>
    <t>2A8asvjsOq8</t>
  </si>
  <si>
    <t>2C4Rp1wcDsc</t>
  </si>
  <si>
    <t>2E_e8pXskcE</t>
  </si>
  <si>
    <t>2EuGIfJ9JBM</t>
  </si>
  <si>
    <t>2GWoljxTTBI</t>
  </si>
  <si>
    <t>2HEm26ucD7Y</t>
  </si>
  <si>
    <t>2Jf1qDwCrFU</t>
  </si>
  <si>
    <t>2Ndp43QaZxs</t>
  </si>
  <si>
    <t>2RgWaMC5Mi0</t>
  </si>
  <si>
    <t>2TI3zNaEjtI</t>
  </si>
  <si>
    <t>2UMo8wdPa5I</t>
  </si>
  <si>
    <t>2VN9e2nKHek</t>
  </si>
  <si>
    <t>UCGO_BBmwEXblglcSmr5Zcpg</t>
  </si>
  <si>
    <t>2bV_m-L9FNw</t>
  </si>
  <si>
    <t>2lgdZds5_Qk</t>
  </si>
  <si>
    <t>2q3OxVQ5wtU</t>
  </si>
  <si>
    <t>2rZZI3zvf5s</t>
  </si>
  <si>
    <t>2twns45UGpE</t>
  </si>
  <si>
    <t>2v2HITreBc4</t>
  </si>
  <si>
    <t>2vZPViM7wYw</t>
  </si>
  <si>
    <t>2yltotku-Ic</t>
  </si>
  <si>
    <t>2zKWlFByJLc</t>
  </si>
  <si>
    <t>2zrpJxwfGoo</t>
  </si>
  <si>
    <t>3-PCAJppf5U</t>
  </si>
  <si>
    <t>32Ed49M8GtE</t>
  </si>
  <si>
    <t>32OqCa6TDlc</t>
  </si>
  <si>
    <t>34xAi-8re-E</t>
  </si>
  <si>
    <t>36jaIEYMS3w</t>
  </si>
  <si>
    <t>37ChQdUDE10</t>
  </si>
  <si>
    <t>3AK-_K9yGGY</t>
  </si>
  <si>
    <t>3BwtAfnOkQU</t>
  </si>
  <si>
    <t>3CDI9YgLl5g</t>
  </si>
  <si>
    <t>3CPk1TAySRU</t>
  </si>
  <si>
    <t>3ChNxfFSjQI</t>
  </si>
  <si>
    <t>3DyAa1_Tm54</t>
  </si>
  <si>
    <t>3FBGtiC56Qc</t>
  </si>
  <si>
    <t>3HG5inw4wxU</t>
  </si>
  <si>
    <t>3I2YeCSUXoI</t>
  </si>
  <si>
    <t>3JMFSiYrQyI</t>
  </si>
  <si>
    <t>3JT4dsd-R9k</t>
  </si>
  <si>
    <t>3JVqWNT2RbA</t>
  </si>
  <si>
    <t>3Kw6rEJMFTI</t>
  </si>
  <si>
    <t>3MLPK3ju6hY</t>
  </si>
  <si>
    <t>3SY6cQqrRfM</t>
  </si>
  <si>
    <t>3TukSjzs6GU</t>
  </si>
  <si>
    <t>3WSbMIdCX2E</t>
  </si>
  <si>
    <t>3WoG-8lEI3Y</t>
  </si>
  <si>
    <t>3WqHeNwAQeg</t>
  </si>
  <si>
    <t>3YODm1tDTGs</t>
  </si>
  <si>
    <t>3YRAkWDNFlk</t>
  </si>
  <si>
    <t>3ZD36CsJ9dE</t>
  </si>
  <si>
    <t>3fHTzeyRWKM</t>
  </si>
  <si>
    <t>3goxgaZEJJc</t>
  </si>
  <si>
    <t>3h9BeS1zJDQ</t>
  </si>
  <si>
    <t>3ivmPODrRgU</t>
  </si>
  <si>
    <t>3kFUk-FiR2I</t>
  </si>
  <si>
    <t>3kk5PscS8Hs</t>
  </si>
  <si>
    <t>3ndiJO9Bkkg</t>
  </si>
  <si>
    <t>3pyW8OQoiuY</t>
  </si>
  <si>
    <t>3rXP2SYbiIk</t>
  </si>
  <si>
    <t>3vHR2Dtgc80</t>
  </si>
  <si>
    <t>3z1FQ-nVg5k</t>
  </si>
  <si>
    <t>4-oeS7QtpHo</t>
  </si>
  <si>
    <t>448dby-gzMs</t>
  </si>
  <si>
    <t>45Ul8yI6bvE</t>
  </si>
  <si>
    <t>4AybklO_hTQ</t>
  </si>
  <si>
    <t>4Bax9wAbb1k</t>
  </si>
  <si>
    <t>4HiRSrWPZbg</t>
  </si>
  <si>
    <t>4JDKuhRhAgM</t>
  </si>
  <si>
    <t>4LGxycWFfbw</t>
  </si>
  <si>
    <t>4OpHy5av96A</t>
  </si>
  <si>
    <t>4QRAKGYSxuQ</t>
  </si>
  <si>
    <t>4WQzRBO7lI4</t>
  </si>
  <si>
    <t>4WjLaelEu5o</t>
  </si>
  <si>
    <t>4XGojhWpjdk</t>
  </si>
  <si>
    <t>4YrKATPfXis</t>
  </si>
  <si>
    <t>4_21Jb3OpyI</t>
  </si>
  <si>
    <t>4a3_1CiYTZU</t>
  </si>
  <si>
    <t>4hl38Pv11aU</t>
  </si>
  <si>
    <t>4hv26lJfngA</t>
  </si>
  <si>
    <t>4jLznEK5Guc</t>
  </si>
  <si>
    <t>4ll9SPKpoAU</t>
  </si>
  <si>
    <t>4mRuPqPVBPQ</t>
  </si>
  <si>
    <t>4n2Rz7wXHK0</t>
  </si>
  <si>
    <t>4nwr9fWQ3nI</t>
  </si>
  <si>
    <t>4od4obnSQ1Q</t>
  </si>
  <si>
    <t>4su1vrSCFVs</t>
  </si>
  <si>
    <t>4u-YJvKhdgo</t>
  </si>
  <si>
    <t>4v6gJDj3-7U</t>
  </si>
  <si>
    <t>4y4PA3Uj0Wo</t>
  </si>
  <si>
    <t>4zFKUoctuok</t>
  </si>
  <si>
    <t>5-36hj2sQTc</t>
  </si>
  <si>
    <t>51Fap-ghxzU</t>
  </si>
  <si>
    <t>52WO6aAWc6k</t>
  </si>
  <si>
    <t>53fsvCVtb80</t>
  </si>
  <si>
    <t>58wJQeg4bOE</t>
  </si>
  <si>
    <t>5ALfQalWzp8</t>
  </si>
  <si>
    <t>5CVgn2xbbIk</t>
  </si>
  <si>
    <t>5Gn4QOt6Baw</t>
  </si>
  <si>
    <t>5I8XguT9KAM</t>
  </si>
  <si>
    <t>5NFEEyAxFLk</t>
  </si>
  <si>
    <t>TNsM4cYF9GY</t>
  </si>
  <si>
    <t>TOgRPmF_8b0</t>
  </si>
  <si>
    <t>TQiHNfWDU1o</t>
  </si>
  <si>
    <t>TVG4axqFc7Y</t>
  </si>
  <si>
    <t>TVS4Ozx_n_E</t>
  </si>
  <si>
    <t>TWTSscHKL40</t>
  </si>
  <si>
    <t>TZJENuTAEDc</t>
  </si>
  <si>
    <t>TZTJDbRYAS8</t>
  </si>
  <si>
    <t>T_tZhOcIORo</t>
  </si>
  <si>
    <t>TbPOno01S1g</t>
  </si>
  <si>
    <t>en-GB|zh-TW</t>
  </si>
  <si>
    <t>Tbapsd1_gOs</t>
  </si>
  <si>
    <t>TcXtROCcu68</t>
  </si>
  <si>
    <t>Tes3SGTF5Kw</t>
  </si>
  <si>
    <t>TfPRu4jQsOM</t>
  </si>
  <si>
    <t>TfZWhzFjiME</t>
  </si>
  <si>
    <t>TlLoKy1D0Vc</t>
  </si>
  <si>
    <t>TlclTlaw9Ns</t>
  </si>
  <si>
    <t>Tqe335LxvT4</t>
  </si>
  <si>
    <t>TsIFqMqn8fk</t>
  </si>
  <si>
    <t>TvovqN6Pp3c</t>
  </si>
  <si>
    <t>TwWEH4mZBYU</t>
  </si>
  <si>
    <t>TzUDjNeCB4g</t>
  </si>
  <si>
    <t>UC71ezGBToBHIpb0nOSwCJyg</t>
  </si>
  <si>
    <t>U-3BmtNHqrE</t>
  </si>
  <si>
    <t>U2kCgr-SXjg</t>
  </si>
  <si>
    <t>U4RUgAwbJKc</t>
  </si>
  <si>
    <t>U4T6C7AWPoQ</t>
  </si>
  <si>
    <t>U8k8N8P06uQ</t>
  </si>
  <si>
    <t>U9c7uCNRKws</t>
  </si>
  <si>
    <t>UBsyNzJX50c</t>
  </si>
  <si>
    <t>UEzxTBqZ4Wc</t>
  </si>
  <si>
    <t>UGCexulpHvY</t>
  </si>
  <si>
    <t>UH5V3cjQO1c</t>
  </si>
  <si>
    <t>UILEqkyf0q0</t>
  </si>
  <si>
    <t>UOqU5kJ9-ys</t>
  </si>
  <si>
    <t>URR0GHTCKfs</t>
  </si>
  <si>
    <t>URw38zP4v_E</t>
  </si>
  <si>
    <t>URwCNVxnlcE</t>
  </si>
  <si>
    <t>US1XpZAUQG4</t>
  </si>
  <si>
    <t>UVB7xKVecgc</t>
  </si>
  <si>
    <t>UaazYIu6iDk</t>
  </si>
  <si>
    <t>UcW0mxsrBTc</t>
  </si>
  <si>
    <t>Ui-lZD_W2tU</t>
  </si>
  <si>
    <t>UkHyOEGIH1U</t>
  </si>
  <si>
    <t>UkQqf3Ls9_0</t>
  </si>
  <si>
    <t>UlehcqRY_cw</t>
  </si>
  <si>
    <t>Uq5ambTagkw</t>
  </si>
  <si>
    <t>UqMf0sv-Ll4</t>
  </si>
  <si>
    <t>UqZUG0116WQ</t>
  </si>
  <si>
    <t>UrT-WkDTXrs</t>
  </si>
  <si>
    <t>UsJLiIN1_o4</t>
  </si>
  <si>
    <t>UsT46IsaPR8</t>
  </si>
  <si>
    <t>UwIXJTp4HNA</t>
  </si>
  <si>
    <t>V-zIF3_Hoos</t>
  </si>
  <si>
    <t>V0H1_HNfN10</t>
  </si>
  <si>
    <t>V8tdR-s60gE</t>
  </si>
  <si>
    <t>V93Cq7_Wm9Q</t>
  </si>
  <si>
    <t>V9TUn_dTi0I</t>
  </si>
  <si>
    <t>VADtf-CZL_E</t>
  </si>
  <si>
    <t>VCYrIc1VHqo</t>
  </si>
  <si>
    <t>VEU_ZeyBHgM</t>
  </si>
  <si>
    <t>VEacqZQCc78</t>
  </si>
  <si>
    <t>VFcMUAULn0c</t>
  </si>
  <si>
    <t>VGWoy8T5zQU</t>
  </si>
  <si>
    <t>VHP22y1QViU</t>
  </si>
  <si>
    <t>VIaWGSOnhiM</t>
  </si>
  <si>
    <t>VIjJgozV93E</t>
  </si>
  <si>
    <t>VKV_IiM3-vw</t>
  </si>
  <si>
    <t>VVrB4pivYJg</t>
  </si>
  <si>
    <t>VWoTGUwumz0</t>
  </si>
  <si>
    <t>VXXb0ToP6eU</t>
  </si>
  <si>
    <t>VZmnCXL62aw</t>
  </si>
  <si>
    <t>VaTgrE4OG_0</t>
  </si>
  <si>
    <t>VeM8KPYan2E</t>
  </si>
  <si>
    <t>Vhx33Pp1-4Y</t>
  </si>
  <si>
    <t>VilpZfW5Jbg</t>
  </si>
  <si>
    <t>Vo3NbPE7TbU</t>
  </si>
  <si>
    <t>Vrv201N_1M0</t>
  </si>
  <si>
    <t>Vt-iodoOCKU</t>
  </si>
  <si>
    <t>VwWu3CQcTp8</t>
  </si>
  <si>
    <t>W0K5XVWu2bM</t>
  </si>
  <si>
    <t>W2bcV3GxWEU</t>
  </si>
  <si>
    <t>W3mIYqEgWhU</t>
  </si>
  <si>
    <t>W6i7EWrDToE</t>
  </si>
  <si>
    <t>W9ocYGuxU3w</t>
  </si>
  <si>
    <t>WCGa_lgvr_E</t>
  </si>
  <si>
    <t>WGJJ5o7pOfc</t>
  </si>
  <si>
    <t>WGU-rbgZC60</t>
  </si>
  <si>
    <t>WHlsGTAmRN0</t>
  </si>
  <si>
    <t>WKU0YNxYiN0</t>
  </si>
  <si>
    <t>WKlGK0uKfEc</t>
  </si>
  <si>
    <t>WN7cmSzUZhA</t>
  </si>
  <si>
    <t>WQSY5qWxe70</t>
  </si>
  <si>
    <t>WTTtspGYeQE</t>
  </si>
  <si>
    <t>WTUoSip_s7M</t>
  </si>
  <si>
    <t>WTXE2o5lY_w</t>
  </si>
  <si>
    <t>WUd0sJTh-0w</t>
  </si>
  <si>
    <t>WVNd8qtKZRU</t>
  </si>
  <si>
    <t>WWMYWtW1TYI</t>
  </si>
  <si>
    <t>WXBFo7p7zA8</t>
  </si>
  <si>
    <t>WYLFRp7WKOg</t>
  </si>
  <si>
    <t>WcQF2TqrQwk</t>
  </si>
  <si>
    <t>WcjJ5f9ES7s</t>
  </si>
  <si>
    <t>Wd62XE74PHE</t>
  </si>
  <si>
    <t>WdD30FPx-1Y</t>
  </si>
  <si>
    <t>WerzoP3quJI</t>
  </si>
  <si>
    <t>WjHt8LBoI-4</t>
  </si>
  <si>
    <t>Wlk-1GoyUkE</t>
  </si>
  <si>
    <t>WoKvVA8P2lE</t>
  </si>
  <si>
    <t>Wu6IcvuG1j4</t>
  </si>
  <si>
    <t>WyJTNRv4ePs</t>
  </si>
  <si>
    <t>UCEf8tnbLkl2bLZwxGigSvSw</t>
  </si>
  <si>
    <t>WzdESOoLzbI</t>
  </si>
  <si>
    <t>X1oCUYxsvAY</t>
  </si>
  <si>
    <t>X2101OjFUh4</t>
  </si>
  <si>
    <t>X64rFfNjp7U</t>
  </si>
  <si>
    <t>X6Pu7Q03bdQ</t>
  </si>
  <si>
    <t>X9NfEhGWfw4</t>
  </si>
  <si>
    <t>XAXTHTp5wGk</t>
  </si>
  <si>
    <t>XDNzxf9z06w</t>
  </si>
  <si>
    <t>XDcOExh2M9s</t>
  </si>
  <si>
    <t>XDuZ0sTCdo8</t>
  </si>
  <si>
    <t>XEQoM22DgfQ</t>
  </si>
  <si>
    <t>XGYUseWuvfs</t>
  </si>
  <si>
    <t>XGpmWHHGZd0</t>
  </si>
  <si>
    <t>XKyT_Y4Kq9I</t>
  </si>
  <si>
    <t>XNWQzN9ryN4</t>
  </si>
  <si>
    <t>XNqWsegOoGg</t>
  </si>
  <si>
    <t>XTjJTlb0otY</t>
  </si>
  <si>
    <t>X_rtZGee7oI</t>
  </si>
  <si>
    <t>UCRWbxsxc-oDcMKNNPTxM9Bw</t>
  </si>
  <si>
    <t>XaQkVYkfDoU</t>
  </si>
  <si>
    <t>XarcXC4XMPI</t>
  </si>
  <si>
    <t>Xb3Ip1bKWI4</t>
  </si>
  <si>
    <t>XdVWRoV_r3w</t>
  </si>
  <si>
    <t>XfY4nZGk6Tg</t>
  </si>
  <si>
    <t>XgFKsC1IC4s</t>
  </si>
  <si>
    <t>XgbfGKJxrNk</t>
  </si>
  <si>
    <t>XiCeM-3pSKA</t>
  </si>
  <si>
    <t>XiWmoIHE2yA</t>
  </si>
  <si>
    <t>XjDNZKSjVjI</t>
  </si>
  <si>
    <t>XmJXM30hRrY</t>
  </si>
  <si>
    <t>XmTSDynUKbs</t>
  </si>
  <si>
    <t>Xp7U9Kffoec</t>
  </si>
  <si>
    <t>XpV9bF3pm2o</t>
  </si>
  <si>
    <t>XqCQfzC6O50</t>
  </si>
  <si>
    <t>XrbdndU1S2w</t>
  </si>
  <si>
    <t>Xu4j0Jix1hc</t>
  </si>
  <si>
    <t>XvTNNi8rKFU</t>
  </si>
  <si>
    <t>XwaB1mhTTvA</t>
  </si>
  <si>
    <t>Xz09qliAkbM</t>
  </si>
  <si>
    <t>Y51ToANjvoM</t>
  </si>
  <si>
    <t>Y5Ox6I1umPI</t>
  </si>
  <si>
    <t>Y5cqNEAfK2k</t>
  </si>
  <si>
    <t>Y8Si0QaoIys</t>
  </si>
  <si>
    <t>Y92BlfUvzLE</t>
  </si>
  <si>
    <t>Y9L-C5UJ1Us</t>
  </si>
  <si>
    <t>YA1Vmv6Qv00</t>
  </si>
  <si>
    <t>YBMWVs-bnKY</t>
  </si>
  <si>
    <t>YK2ThdVQxwk</t>
  </si>
  <si>
    <t>YQrQyBcM394</t>
  </si>
  <si>
    <t>YRNs0kwkjRo</t>
  </si>
  <si>
    <t>YcuRWt7fzDI</t>
  </si>
  <si>
    <t>Ye5owvzU7Ro</t>
  </si>
  <si>
    <t>YfDtLhLuGkI</t>
  </si>
  <si>
    <t>YgFSrKVjY28</t>
  </si>
  <si>
    <t>Yi-BdX4TB48</t>
  </si>
  <si>
    <t>YjgfOMYUYE0</t>
  </si>
  <si>
    <t>YkZdq9KcCbY</t>
  </si>
  <si>
    <t>YlOm3G8j2Hw</t>
  </si>
  <si>
    <t>YmGa-4nBJv8</t>
  </si>
  <si>
    <t>Ymh-74Y00R4</t>
  </si>
  <si>
    <t>YqRTemYVK2U</t>
  </si>
  <si>
    <t>Ys66vdfQC-s</t>
  </si>
  <si>
    <t>YsKKwZTQd6c</t>
  </si>
  <si>
    <t>Yvcqxv0Crjk</t>
  </si>
  <si>
    <t>YwpBtwUWQK8</t>
  </si>
  <si>
    <t>Yz5BapKFxr0</t>
  </si>
  <si>
    <t>Z0QNT1By7fA</t>
  </si>
  <si>
    <t>Z0vs9bimDpE</t>
  </si>
  <si>
    <t>Z2dohO3uQ6E</t>
  </si>
  <si>
    <t>Z4JaOp1cWEM</t>
  </si>
  <si>
    <t>Z6XD1VYnc8s</t>
  </si>
  <si>
    <t>Z9T1ZOcDB28</t>
  </si>
  <si>
    <t>ZDsAguuf7qM</t>
  </si>
  <si>
    <t>ZH-oBRcGGtI</t>
  </si>
  <si>
    <t>ZJ54sd4fwWo</t>
  </si>
  <si>
    <t>ZLRlufiucxU</t>
  </si>
  <si>
    <t>ZLdhM3B4GC8</t>
  </si>
  <si>
    <t>ZQQSC3VI6Fw</t>
  </si>
  <si>
    <t>ZQoK2ZN-Oog</t>
  </si>
  <si>
    <t>ZR6slqfd8oE</t>
  </si>
  <si>
    <t>ZSBYW8o84nw</t>
  </si>
  <si>
    <t>ZWGWxm9xb8k</t>
  </si>
  <si>
    <t>ZXfnx7LpR1E</t>
  </si>
  <si>
    <t>ZYaNQH7JUoc</t>
  </si>
  <si>
    <t>ZbYj7VjjXiY</t>
  </si>
  <si>
    <t>ZcjzCLN7b9w</t>
  </si>
  <si>
    <t>ZhK7iJ3D22Q</t>
  </si>
  <si>
    <t>Zhvp1p7f9ww</t>
  </si>
  <si>
    <t>Zl6CI2jcDAc</t>
  </si>
  <si>
    <t>ZmWwp7YUopA</t>
  </si>
  <si>
    <t>ZocBST2FBe8</t>
  </si>
  <si>
    <t>Zok8ClMHnD0</t>
  </si>
  <si>
    <t>ZpY0lr9wIVQ</t>
  </si>
  <si>
    <t>ZtAWTRL9vjw</t>
  </si>
  <si>
    <t>ZwJZK9ykdB8</t>
  </si>
  <si>
    <t>Zylbex867uE</t>
  </si>
  <si>
    <t>ZzYVULWVLjY</t>
  </si>
  <si>
    <t>_0vPCaF3348</t>
  </si>
  <si>
    <t>_4hot2PI90w</t>
  </si>
  <si>
    <t>_5gDRjb8WiE</t>
  </si>
  <si>
    <t>_6l7Yljhhd4</t>
  </si>
  <si>
    <t>_7G_p-W5Dw8</t>
  </si>
  <si>
    <t>_AmKMFaksvA</t>
  </si>
  <si>
    <t>_BKbLFyyGWM</t>
  </si>
  <si>
    <t>_BQEDhpWpwo</t>
  </si>
  <si>
    <t>_Fq0UnjKWmw</t>
  </si>
  <si>
    <t>_HJbDKvUrVw</t>
  </si>
  <si>
    <t>_HPnGreDEYE</t>
  </si>
  <si>
    <t>_IHUbR2Mpqw</t>
  </si>
  <si>
    <t>_R6iyE0e5ZM</t>
  </si>
  <si>
    <t>_RdTzWCMlZ0</t>
  </si>
  <si>
    <t>_SF8GQYj8Ek</t>
  </si>
  <si>
    <t>_WD-CQyp3d4</t>
  </si>
  <si>
    <t>_X2tVvIOOKo</t>
  </si>
  <si>
    <t>_YWMi8-LqSA</t>
  </si>
  <si>
    <t>_YfNceXCoCg</t>
  </si>
  <si>
    <t>_ZswlkTHpF4</t>
  </si>
  <si>
    <t>__jzAm3usTY</t>
  </si>
  <si>
    <t>_clVMsNIxmg</t>
  </si>
  <si>
    <t>_eE1yIhGtzI</t>
  </si>
  <si>
    <t>_eYcMqDFYLA</t>
  </si>
  <si>
    <t>_kReLNK1zxA</t>
  </si>
  <si>
    <t>_poXy_mltF0</t>
  </si>
  <si>
    <t>_qmPpH9bxLk</t>
  </si>
  <si>
    <t>_ro_lYStCeU</t>
  </si>
  <si>
    <t>_uweK8CzTjQ</t>
  </si>
  <si>
    <t>_voenXZTtFc</t>
  </si>
  <si>
    <t>a0gAMnLCdhU</t>
  </si>
  <si>
    <t>a1MeFxUxl5Y</t>
  </si>
  <si>
    <t>a4gq5JECr5s</t>
  </si>
  <si>
    <t>a9GGI6yUB-E</t>
  </si>
  <si>
    <t>aGjsJvGqAYo</t>
  </si>
  <si>
    <t>aGucrmAEKtk</t>
  </si>
  <si>
    <t>aHKPRaMXicE</t>
  </si>
  <si>
    <t>aIp3bnqEIOQ</t>
  </si>
  <si>
    <t>aNdNi09129E</t>
  </si>
  <si>
    <t>aQ8ZKXsldwE</t>
  </si>
  <si>
    <t>aQcySia_pu0</t>
  </si>
  <si>
    <t>aSTS93M1Rg8</t>
  </si>
  <si>
    <t>aScJK2h7qGw</t>
  </si>
  <si>
    <t>aUceXKMIVJo</t>
  </si>
  <si>
    <t>aVRnMlVu8p4</t>
  </si>
  <si>
    <t>aXpMqHxdluk</t>
  </si>
  <si>
    <t>aYurS9Edqq0</t>
  </si>
  <si>
    <t>aZVIfB-FzJA</t>
  </si>
  <si>
    <t>afPBt-6aEMI</t>
  </si>
  <si>
    <t>afdCwaJlTZY</t>
  </si>
  <si>
    <t>aiyFpxWGiYE</t>
  </si>
  <si>
    <t>alxBn8Ki11I</t>
  </si>
  <si>
    <t>am88hQa4tT0</t>
  </si>
  <si>
    <t>asI22FNYIKc</t>
  </si>
  <si>
    <t>atv-6nQgQms</t>
  </si>
  <si>
    <t>au9pg4hytXo</t>
  </si>
  <si>
    <t>ax-U8EC32yI</t>
  </si>
  <si>
    <t>axCN2CcOmKQ</t>
  </si>
  <si>
    <t>azK88U5K5Qk</t>
  </si>
  <si>
    <t>azMz85jeTL8</t>
  </si>
  <si>
    <t>b05vZovzPQU</t>
  </si>
  <si>
    <t>b0p3EO1yunQ</t>
  </si>
  <si>
    <t>b1XcPwxv_3I</t>
  </si>
  <si>
    <t>b3a-uUMoxcs</t>
  </si>
  <si>
    <t>b3vy4-TJSe8</t>
  </si>
  <si>
    <t>en|ko|yue-HK</t>
  </si>
  <si>
    <t>b5m0yDM88fk</t>
  </si>
  <si>
    <t>bAwray36xqo</t>
  </si>
  <si>
    <t>bBH2Ir9ZFNk</t>
  </si>
  <si>
    <t>bKoqVwFjkkQ</t>
  </si>
  <si>
    <t>bO7OeU1WhEQ</t>
  </si>
  <si>
    <t>bPGA_fV04wQ</t>
  </si>
  <si>
    <t>bRHOKHgf8UU</t>
  </si>
  <si>
    <t>bTJaikMU7bw</t>
  </si>
  <si>
    <t>UC1Hs0hel0FjqRV_bVlUvTdQ</t>
  </si>
  <si>
    <t>bWKTGntrlAg</t>
  </si>
  <si>
    <t>b_dZJ_JNkCQ</t>
  </si>
  <si>
    <t>bc93a-ix9xU</t>
  </si>
  <si>
    <t>bcP0XnGQeNs</t>
  </si>
  <si>
    <t>beh6lM9Qis4</t>
  </si>
  <si>
    <t>bgAkdP6vEO4</t>
  </si>
  <si>
    <t>bhh3FW6Ebe4</t>
  </si>
  <si>
    <t>biS3aYkDWOM</t>
  </si>
  <si>
    <t>bkcdU4r8xjQ</t>
  </si>
  <si>
    <t>bloGKqbieug</t>
  </si>
  <si>
    <t>blrk6DgqqHY</t>
  </si>
  <si>
    <t>bpM3iehlMxU</t>
  </si>
  <si>
    <t>brnYrnKFxPw</t>
  </si>
  <si>
    <t>buHOED3q0BA</t>
  </si>
  <si>
    <t>bvCIjXyN2n4</t>
  </si>
  <si>
    <t>bysuanqtlXM</t>
  </si>
  <si>
    <t>c82xTTKcVUI</t>
  </si>
  <si>
    <t>UCe4WrIB00UzAcU9EWDcxQ8Q</t>
  </si>
  <si>
    <t>c9Hja3_y-9Y</t>
  </si>
  <si>
    <t>cAvZEi5zr3Y</t>
  </si>
  <si>
    <t>cB3BaV5TjMc</t>
  </si>
  <si>
    <t>cETH1fUitPo</t>
  </si>
  <si>
    <t>cHMQXDzT0DI</t>
  </si>
  <si>
    <t>cK6Q5RTw9wM</t>
  </si>
  <si>
    <t>cL3pR15e0SA</t>
  </si>
  <si>
    <t>cLkz-pkxxPk</t>
  </si>
  <si>
    <t>cLzyJ9Tu0Xo</t>
  </si>
  <si>
    <t>cQyIPaB3CZ4</t>
  </si>
  <si>
    <t>cREytM8X5dQ</t>
  </si>
  <si>
    <t>cUyQZmZzCMg</t>
  </si>
  <si>
    <t>cWyhPT_mLA0</t>
  </si>
  <si>
    <t>c_SJxEv00AQ</t>
  </si>
  <si>
    <t>c_ZDAR3rcfw</t>
  </si>
  <si>
    <t>cc4E6weUayY</t>
  </si>
  <si>
    <t>ccXJhpfvcCs</t>
  </si>
  <si>
    <t>cci6x_8P6XQ</t>
  </si>
  <si>
    <t>cdWbohqppYg</t>
  </si>
  <si>
    <t>ciPOtIsLLNQ</t>
  </si>
  <si>
    <t>ciyIzG0YvTQ</t>
  </si>
  <si>
    <t>cjajw_dDhKQ</t>
  </si>
  <si>
    <t>ckGkRZ6eJto</t>
  </si>
  <si>
    <t>cm4NH0rxa4I</t>
  </si>
  <si>
    <t>cmA4wD7hwLo</t>
  </si>
  <si>
    <t>cpXuqY6KDWg</t>
  </si>
  <si>
    <t>cqR9zxMvlEA</t>
  </si>
  <si>
    <t>cr1i_3ah8X4</t>
  </si>
  <si>
    <t>crdHz8IEHjg</t>
  </si>
  <si>
    <t>ctLpAJkywew</t>
  </si>
  <si>
    <t>cuKNQvyuevk</t>
  </si>
  <si>
    <t>cx1poxeRRLg</t>
  </si>
  <si>
    <t>d0DMOmqWCgk</t>
  </si>
  <si>
    <t>d67985Yv0GM</t>
  </si>
  <si>
    <t>d7_Ic4sOcpg</t>
  </si>
  <si>
    <t>d8dbRje1Aoc</t>
  </si>
  <si>
    <t>d9DIGYH-VQM</t>
  </si>
  <si>
    <t>dA_YhcUX3yU</t>
  </si>
  <si>
    <t>dArlMLSWhh8</t>
  </si>
  <si>
    <t>dE68sg4YgKM</t>
  </si>
  <si>
    <t>dERgLKQC46Q</t>
  </si>
  <si>
    <t>dEc6WEw_njA</t>
  </si>
  <si>
    <t>dFzLPseU8GI</t>
  </si>
  <si>
    <t>dITk4NGv38I</t>
  </si>
  <si>
    <t>dLNUQ3AnqAs</t>
  </si>
  <si>
    <t>dNoARKlrwJA</t>
  </si>
  <si>
    <t>dON1ybaXKUU</t>
  </si>
  <si>
    <t>dXlbgJrNGY4</t>
  </si>
  <si>
    <t>dZu5gN02gXY</t>
  </si>
  <si>
    <t>deyjcv6esC0</t>
  </si>
  <si>
    <t>dlqr8zKRfWc</t>
  </si>
  <si>
    <t>dpI9_x9kpeA</t>
  </si>
  <si>
    <t>dsIPyo47ML4</t>
  </si>
  <si>
    <t>dvYoK7-7y9k</t>
  </si>
  <si>
    <t>dyoRr6UpvsQ</t>
  </si>
  <si>
    <t>dzfuTZvyopo</t>
  </si>
  <si>
    <t>e-hlcUbus3M</t>
  </si>
  <si>
    <t>e496JsbInUA</t>
  </si>
  <si>
    <t>e4wYoey8z6o</t>
  </si>
  <si>
    <t>e5akXfUqzHg</t>
  </si>
  <si>
    <t>e7Wmw4YlEyI</t>
  </si>
  <si>
    <t>e8rFNYGKwz8</t>
  </si>
  <si>
    <t>e9rdudjo9rM</t>
  </si>
  <si>
    <t>eBD0Yimy1ew</t>
  </si>
  <si>
    <t>eGX9JK8Jud4</t>
  </si>
  <si>
    <t>eH8g7Kp-CqI</t>
  </si>
  <si>
    <t>eIWOqJ4l6N0</t>
  </si>
  <si>
    <t>eL4B7XRVLlA</t>
  </si>
  <si>
    <t>eMDpjWbJ3zA</t>
  </si>
  <si>
    <t>eQmfXbKcRIA</t>
  </si>
  <si>
    <t>eReK1v3sjv0</t>
  </si>
  <si>
    <t>eSjTL9izTbI</t>
  </si>
  <si>
    <t>eTSOakpbc-E</t>
  </si>
  <si>
    <t>eYv3KAIGkFg</t>
  </si>
  <si>
    <t>e_4g3lxI4T8</t>
  </si>
  <si>
    <t>e_J5m2XqhYY</t>
  </si>
  <si>
    <t>e_a_cUE0f6c</t>
  </si>
  <si>
    <t>ed2BhLy5Sfg</t>
  </si>
  <si>
    <t>ee0TWWrjZJw</t>
  </si>
  <si>
    <t>ef3Dz2C5G3c</t>
  </si>
  <si>
    <t>efIgqGX7vCc</t>
  </si>
  <si>
    <t>eiOYimb4a9Q</t>
  </si>
  <si>
    <t>eshLkHs-_LQ</t>
  </si>
  <si>
    <t>eu03-ZHUi3k</t>
  </si>
  <si>
    <t>eun7P8A8O4E</t>
  </si>
  <si>
    <t>evd2eIZBlto</t>
  </si>
  <si>
    <t>f1XmTm9ReD0</t>
  </si>
  <si>
    <t>f25lBAz0-4k</t>
  </si>
  <si>
    <t>f9JL812bf2E</t>
  </si>
  <si>
    <t>fBJnlsWM5R0</t>
  </si>
  <si>
    <t>fDjJ7it_AM8</t>
  </si>
  <si>
    <t>fEkg7X2kJsI</t>
  </si>
  <si>
    <t>fFC_-HDw2NI</t>
  </si>
  <si>
    <t>fFaaSYzQJ8M</t>
  </si>
  <si>
    <t>fFiWHHe-_ZQ</t>
  </si>
  <si>
    <t>fJNalt3SD5c</t>
  </si>
  <si>
    <t>fKEaj3fHLcE</t>
  </si>
  <si>
    <t>fKEuck8ik-I</t>
  </si>
  <si>
    <t>fKUGZD_y99s</t>
  </si>
  <si>
    <t>fNElQbUUP9o</t>
  </si>
  <si>
    <t>fPTz10MfFss</t>
  </si>
  <si>
    <t>fSv52lEDAC8</t>
  </si>
  <si>
    <t>fUcB75Uv7rY</t>
  </si>
  <si>
    <t>fXDjGuZokcE</t>
  </si>
  <si>
    <t>fYrtspo-Czc</t>
  </si>
  <si>
    <t>fa6j7zzs4E0</t>
  </si>
  <si>
    <t>fb8y65xBfc0</t>
  </si>
  <si>
    <t>fdaQXtl5eq0</t>
  </si>
  <si>
    <t>ffpH55lA4Fk</t>
  </si>
  <si>
    <t>fgNH_N-mlkU</t>
  </si>
  <si>
    <t>fiqA19F8A64</t>
  </si>
  <si>
    <t>fj2ZkiyckV0</t>
  </si>
  <si>
    <t>fjJVMKQUrRY</t>
  </si>
  <si>
    <t>fkDQP7xdgUk</t>
  </si>
  <si>
    <t>fkHaj3_EXyE</t>
  </si>
  <si>
    <t>fkRWBQn6q3c</t>
  </si>
  <si>
    <t>fkp7W6M6Vzg</t>
  </si>
  <si>
    <t>fm5dZfIlYF8</t>
  </si>
  <si>
    <t>fmNGtpDPFu8</t>
  </si>
  <si>
    <t>fqUtlPvvUw4</t>
  </si>
  <si>
    <t>frrWPg-F9R8</t>
  </si>
  <si>
    <t>ftc0D_N8bKQ</t>
  </si>
  <si>
    <t>fvxrGysHmx4</t>
  </si>
  <si>
    <t>fyLK1bpsZJI</t>
  </si>
  <si>
    <t>g2TAr4QDG8Q</t>
  </si>
  <si>
    <t>g2nn438ju9s</t>
  </si>
  <si>
    <t>g8mvTkE3TLw</t>
  </si>
  <si>
    <t>gCupZo3z7y8</t>
  </si>
  <si>
    <t>gFtocLcwl4w</t>
  </si>
  <si>
    <t>gM9lUySV_P0</t>
  </si>
  <si>
    <t>gTAHs7_9UUM</t>
  </si>
  <si>
    <t>gTwf2ULioq8</t>
  </si>
  <si>
    <t>gUv0hOHLQxg</t>
  </si>
  <si>
    <t>gX7gqnmeKuA</t>
  </si>
  <si>
    <t>gXG0UEccqO4</t>
  </si>
  <si>
    <t>gbxtU-AzrD8</t>
  </si>
  <si>
    <t>gcMFYqxnWAg</t>
  </si>
  <si>
    <t>gc_q5hk2wU0</t>
  </si>
  <si>
    <t>gdMaPbhgFjw</t>
  </si>
  <si>
    <t>gdr6DG65Ctg</t>
  </si>
  <si>
    <t>geY2_WIGeb0</t>
  </si>
  <si>
    <t>UCHE_U3Smiy1iccuBdbdiJAg</t>
  </si>
  <si>
    <t>gh3BZWITyTs</t>
  </si>
  <si>
    <t>giNfGVeMzUg</t>
  </si>
  <si>
    <t>gkHaLRZ50XU</t>
  </si>
  <si>
    <t>gkZAFYeB_7o</t>
  </si>
  <si>
    <t>gojwVCU6mzU</t>
  </si>
  <si>
    <t>grWCSOyQaEI</t>
  </si>
  <si>
    <t>UC4VI_WmdfVMTkT4vKCiZA4A</t>
  </si>
  <si>
    <t>grtNv5nl8-Y</t>
  </si>
  <si>
    <t>gvkVbssv8iI</t>
  </si>
  <si>
    <t>gxYo3J5DtpM</t>
  </si>
  <si>
    <t>gxnMxtLAxSI</t>
  </si>
  <si>
    <t>h-SRIlBa9A4</t>
  </si>
  <si>
    <t>h0J_wLQjx1A</t>
  </si>
  <si>
    <t>h17B3g7pev8</t>
  </si>
  <si>
    <t>h4RYOgVa2WQ</t>
  </si>
  <si>
    <t>h5sAKuJ3JJc</t>
  </si>
  <si>
    <t>h64OKw1UETg</t>
  </si>
  <si>
    <t>h7OcbGNXz8A</t>
  </si>
  <si>
    <t>h8I-6OPei3Y</t>
  </si>
  <si>
    <t>hAS1fcNOOSE</t>
  </si>
  <si>
    <t>hDXwa25ljd8</t>
  </si>
  <si>
    <t>hG92ycwLBZk</t>
  </si>
  <si>
    <t>hGH_15M9CS8</t>
  </si>
  <si>
    <t>hJeRfb04xf0</t>
  </si>
  <si>
    <t>hMAl2QEQrBk</t>
  </si>
  <si>
    <t>hMN2-aU6LPg</t>
  </si>
  <si>
    <t>hM_hoYwRqus</t>
  </si>
  <si>
    <t>hPUXZjDZRuQ</t>
  </si>
  <si>
    <t>hPwkp2hITPs</t>
  </si>
  <si>
    <t>hTYolmWjyTk</t>
  </si>
  <si>
    <t>hUCfFTmj-P4</t>
  </si>
  <si>
    <t>hUp8NtPijjQ</t>
  </si>
  <si>
    <t>hWbhqx73W2g</t>
  </si>
  <si>
    <t>hXQcVry2qSw</t>
  </si>
  <si>
    <t>hYqLw4_RIIY</t>
  </si>
  <si>
    <t>haAPKbU42DE</t>
  </si>
  <si>
    <t>hdUH0K50tZ0</t>
  </si>
  <si>
    <t>hfFL9aEXPsc</t>
  </si>
  <si>
    <t>hiHkV4SnE1o</t>
  </si>
  <si>
    <t>hj1h9uxrghQ</t>
  </si>
  <si>
    <t>hk4EY-_s3Xk</t>
  </si>
  <si>
    <t>hlTAQB6Lpds</t>
  </si>
  <si>
    <t>hmJXPkbYIVs</t>
  </si>
  <si>
    <t>hp6hfnpOwUY</t>
  </si>
  <si>
    <t>hq872h756iE</t>
  </si>
  <si>
    <t>hqpacWc4tIg</t>
  </si>
  <si>
    <t>hztIqEHXd0g</t>
  </si>
  <si>
    <t>i-zd34iqeFE</t>
  </si>
  <si>
    <t>i0pYeinWIGA</t>
  </si>
  <si>
    <t>i1WG3Od1NRY</t>
  </si>
  <si>
    <t>i4V56hdUano</t>
  </si>
  <si>
    <t>i8vcIjr2xCA</t>
  </si>
  <si>
    <t>iDA2h6aPnUo</t>
  </si>
  <si>
    <t>iEFRkMVNVj4</t>
  </si>
  <si>
    <t>iEfqEJw-l3E</t>
  </si>
  <si>
    <t>iFHGeNM8DI8</t>
  </si>
  <si>
    <t>iHIoTxmX3Wk</t>
  </si>
  <si>
    <t>iI-32rhNwVU</t>
  </si>
  <si>
    <t>iM6ul-jJtA0</t>
  </si>
  <si>
    <t>iMhdnXULTa0</t>
  </si>
  <si>
    <t>iVyLjN5GAm8</t>
  </si>
  <si>
    <t>iWIBvudJ5_Y</t>
  </si>
  <si>
    <t>iZU7eOZot3E</t>
  </si>
  <si>
    <t>icIf-Fnzizk</t>
  </si>
  <si>
    <t>ie3Bkcbe0-8</t>
  </si>
  <si>
    <t>if8D_jHb3k8</t>
  </si>
  <si>
    <t>imFQ11e1cSA</t>
  </si>
  <si>
    <t>ip_tMVty2zk</t>
  </si>
  <si>
    <t>iwFOFHlySDk</t>
  </si>
  <si>
    <t>ixrlkGpR16M</t>
  </si>
  <si>
    <t>iy9maN-PbvE</t>
  </si>
  <si>
    <t>iz_QFgHzOVc</t>
  </si>
  <si>
    <t>j-LHEFnj13o</t>
  </si>
  <si>
    <t>j-grYDG89EM</t>
  </si>
  <si>
    <t>j3u53mHePwY</t>
  </si>
  <si>
    <t>j433E3kDdNw</t>
  </si>
  <si>
    <t>j5YaW7RCktE</t>
  </si>
  <si>
    <t>j8yXuKezn5I</t>
  </si>
  <si>
    <t>jAdK5SmfmKg</t>
  </si>
  <si>
    <t>jCn0T4WO7no</t>
  </si>
  <si>
    <t>jDB-dV8B3eg</t>
  </si>
  <si>
    <t>jDMxeToplgU</t>
  </si>
  <si>
    <t>jFwnlaBzZfw</t>
  </si>
  <si>
    <t>jW4wirpD9WQ</t>
  </si>
  <si>
    <t>jWMlwQCvDuw</t>
  </si>
  <si>
    <t>j_elejTrWAU</t>
  </si>
  <si>
    <t>jd4SG50-Rjk</t>
  </si>
  <si>
    <t>jfKqA67ls9I</t>
  </si>
  <si>
    <t>jkVBSjlY0Mo</t>
  </si>
  <si>
    <t>jl8zQWrgH6A</t>
  </si>
  <si>
    <t>jq1fodJp1wg</t>
  </si>
  <si>
    <t>jq8ZYXZpOOA</t>
  </si>
  <si>
    <t>jqyjOmY5OgE</t>
  </si>
  <si>
    <t>jsF1quoNDfw</t>
  </si>
  <si>
    <t>jtUNQa6IxIo</t>
  </si>
  <si>
    <t>juhuCjnrRDY</t>
  </si>
  <si>
    <t>jv4Rfmrv1_M</t>
  </si>
  <si>
    <t>jwRcLLmpgac</t>
  </si>
  <si>
    <t>jyiIrNmhfOY</t>
  </si>
  <si>
    <t>jyqeLD68_JA</t>
  </si>
  <si>
    <t>k0jyTOx5N5s</t>
  </si>
  <si>
    <t>k1G6T8Ei8K8</t>
  </si>
  <si>
    <t>k285kWt5imo</t>
  </si>
  <si>
    <t>k2uBpeRuDKU</t>
  </si>
  <si>
    <t>k9f_8AuSHNE</t>
  </si>
  <si>
    <t>kARhyjpNGKw</t>
  </si>
  <si>
    <t>kEx_pzzuQqc</t>
  </si>
  <si>
    <t>kG1Vjb_WxHc</t>
  </si>
  <si>
    <t>kIBGnJLbucQ</t>
  </si>
  <si>
    <t>kIWnwt4XcX0</t>
  </si>
  <si>
    <t>kIeiMwXXwnc</t>
  </si>
  <si>
    <t>kJroUJ_ho_o</t>
  </si>
  <si>
    <t>kMEBkVjaU6U</t>
  </si>
  <si>
    <t>kPDY4OfpgtA</t>
  </si>
  <si>
    <t>kPqxrRJ3kgE</t>
  </si>
  <si>
    <t>kSEK5GDxIk4</t>
  </si>
  <si>
    <t>kaZbPDhXVSI</t>
  </si>
  <si>
    <t>kiI8CkVG8Oc</t>
  </si>
  <si>
    <t>kkLm3TAkOW8</t>
  </si>
  <si>
    <t>klyITssocgw</t>
  </si>
  <si>
    <t>kqUn6KSpJAs</t>
  </si>
  <si>
    <t>ksLVN8A-LRA</t>
  </si>
  <si>
    <t>ku0UCmgjd3I</t>
  </si>
  <si>
    <t>kvljfJU7CL8</t>
  </si>
  <si>
    <t>kz4zbd5ldpI</t>
  </si>
  <si>
    <t>kzucMBtPrB8</t>
  </si>
  <si>
    <t>l61wiDppgLc</t>
  </si>
  <si>
    <t>UCeU642KPDehjsxLtyjdi2ww</t>
  </si>
  <si>
    <t>l6jEotEmnqs</t>
  </si>
  <si>
    <t>l9rkulrH9qw</t>
  </si>
  <si>
    <t>lDlKzhPmz-8</t>
  </si>
  <si>
    <t>lHFMHqkQr38</t>
  </si>
  <si>
    <t>lIY2msh6q94</t>
  </si>
  <si>
    <t>lK96iiTkrxY</t>
  </si>
  <si>
    <t>lKe6JETbPRE</t>
  </si>
  <si>
    <t>lL1_75WyeL8</t>
  </si>
  <si>
    <t>lMoM3FlAq4Q</t>
  </si>
  <si>
    <t>lQg0ZgjST0k</t>
  </si>
  <si>
    <t>lRYsA8Yba-A</t>
  </si>
  <si>
    <t>lUDLGRyJB4I</t>
  </si>
  <si>
    <t>lY3qqRVgiHg</t>
  </si>
  <si>
    <t>le04vSGPbH4</t>
  </si>
  <si>
    <t>lhiwEl4diZ0</t>
  </si>
  <si>
    <t>ljd2jjnhybI</t>
  </si>
  <si>
    <t>loqdYbPTRWs</t>
  </si>
  <si>
    <t>luMuAjvOG5o</t>
  </si>
  <si>
    <t>lxE9S4IeZhk</t>
  </si>
  <si>
    <t>m-xI1G9vNiI</t>
  </si>
  <si>
    <t>m2YdrYXHDMQ</t>
  </si>
  <si>
    <t>m3xmaMeF37w</t>
  </si>
  <si>
    <t>m5DEtTtRoDw</t>
  </si>
  <si>
    <t>m5jjIFbCDxY</t>
  </si>
  <si>
    <t>m6vC1jucdf4</t>
  </si>
  <si>
    <t>mHIRlo6ch8c</t>
  </si>
  <si>
    <t>mMhVOToRbY0</t>
  </si>
  <si>
    <t>mNdKtIg7LK0</t>
  </si>
  <si>
    <t>mOSC2boUgSI</t>
  </si>
  <si>
    <t>mOSix2P57E8</t>
  </si>
  <si>
    <t>mRtMiMksQI0</t>
  </si>
  <si>
    <t>mZW5XgglncM</t>
  </si>
  <si>
    <t>mcvgT9ICI4Y</t>
  </si>
  <si>
    <t>mgh77yiLRiw</t>
  </si>
  <si>
    <t>miDHc06eyfs</t>
  </si>
  <si>
    <t>miIev_LcEeM</t>
  </si>
  <si>
    <t>mjo8OhnWdnk</t>
  </si>
  <si>
    <t>mpE3yTuGmAk</t>
  </si>
  <si>
    <t>mq6ZJLUgDT8</t>
  </si>
  <si>
    <t>msLskDp5pG0</t>
  </si>
  <si>
    <t>msPM4OM1fUI</t>
  </si>
  <si>
    <t>mvsHkYc1bek</t>
  </si>
  <si>
    <t>mweeZcWQzHQ</t>
  </si>
  <si>
    <t>mwkN9ZQ1KHY</t>
  </si>
  <si>
    <t>mxsk9g3yln8</t>
  </si>
  <si>
    <t>n3WAxFcaORM</t>
  </si>
  <si>
    <t>n5eNZR-yb8Q</t>
  </si>
  <si>
    <t>n72AisbHuXY</t>
  </si>
  <si>
    <t>nA8sg5zM_90</t>
  </si>
  <si>
    <t>nCc-iDCNCyI</t>
  </si>
  <si>
    <t>nDCEmPEHyFk</t>
  </si>
  <si>
    <t>nN-OCWg_ax0</t>
  </si>
  <si>
    <t>nNZ0QKP3rHM</t>
  </si>
  <si>
    <t>nPREpxZUMjM</t>
  </si>
  <si>
    <t>nSJ-QD-5Rio</t>
  </si>
  <si>
    <t>nTeAq8UZh4w</t>
  </si>
  <si>
    <t>nUErTd90J2k</t>
  </si>
  <si>
    <t>nVejQTBUmnw</t>
  </si>
  <si>
    <t>nYr97zg5AKE</t>
  </si>
  <si>
    <t>UC_QC82uUObu9fk1-k3vx5rQ</t>
  </si>
  <si>
    <t>najbtmH3WoY</t>
  </si>
  <si>
    <t>de-CH|zh-Hant</t>
  </si>
  <si>
    <t>nchkEcgkULI</t>
  </si>
  <si>
    <t>ndATRkkfmCk</t>
  </si>
  <si>
    <t>ndE43D7f8G0</t>
  </si>
  <si>
    <t>nhyqzTIqs8E</t>
  </si>
  <si>
    <t>nm6oiRDxjRc</t>
  </si>
  <si>
    <t>nq8Wq3tRaJc</t>
  </si>
  <si>
    <t>nqaXVgshG44</t>
  </si>
  <si>
    <t>nrbO4XUYxIA</t>
  </si>
  <si>
    <t>nsSvTrcpn48</t>
  </si>
  <si>
    <t>ntx919et69I</t>
  </si>
  <si>
    <t>nwwjnDhNVD8</t>
  </si>
  <si>
    <t>nyevejc3nO8</t>
  </si>
  <si>
    <t>nzGkkaDh0QA</t>
  </si>
  <si>
    <t>o-b_du7E2no</t>
  </si>
  <si>
    <t>o1V6O6Tb9SM</t>
  </si>
  <si>
    <t>o3NCsEqBZDs</t>
  </si>
  <si>
    <t>o5Ku8Ciwip0</t>
  </si>
  <si>
    <t>o9_ix3olGaI</t>
  </si>
  <si>
    <t>oEDdUMwPt8Y</t>
  </si>
  <si>
    <t>oJNCIzRjIqU</t>
  </si>
  <si>
    <t>oNUsjUml_zY</t>
  </si>
  <si>
    <t>oQiQAQAJ5Cs</t>
  </si>
  <si>
    <t>oQyRsQIy9ik</t>
  </si>
  <si>
    <t>oWQ-okiPZbs</t>
  </si>
  <si>
    <t>ol7DLv-D2v4</t>
  </si>
  <si>
    <t>orT7Nb8nmpM</t>
  </si>
  <si>
    <t>ossD39OKC-Q</t>
  </si>
  <si>
    <t>otKlLuDqkpc</t>
  </si>
  <si>
    <t>othIP-_pOaQ</t>
  </si>
  <si>
    <t>ovEnyjdGb8g</t>
  </si>
  <si>
    <t>ovu96HpBUoE</t>
  </si>
  <si>
    <t>oxRqRefKzHQ</t>
  </si>
  <si>
    <t>UC8h5Q0hXYtUExbA4dutQ1yw</t>
  </si>
  <si>
    <t>oxxjTsHxOWI</t>
  </si>
  <si>
    <t>ozCv8Tt-4ho</t>
  </si>
  <si>
    <t>ozmwRI8HHtA</t>
  </si>
  <si>
    <t>p-TfUn-7TAA</t>
  </si>
  <si>
    <t>p63TBZrMhSo</t>
  </si>
  <si>
    <t>pCQ9I9fQUu4</t>
  </si>
  <si>
    <t>pKINarrKgZQ</t>
  </si>
  <si>
    <t>pL8FBG0DjCI</t>
  </si>
  <si>
    <t>pLG2lbkJglg</t>
  </si>
  <si>
    <t>pM5Ers_dGbk</t>
  </si>
  <si>
    <t>pMM3SaSc1hY</t>
  </si>
  <si>
    <t>pOBazY4vY4A</t>
  </si>
  <si>
    <t>pQY1lNm5LxA</t>
  </si>
  <si>
    <t>pRYZI7yxMQk</t>
  </si>
  <si>
    <t>pSPSTdsFWSM</t>
  </si>
  <si>
    <t>pSqRecRZVSw</t>
  </si>
  <si>
    <t>pTmKnrQcZrU</t>
  </si>
  <si>
    <t>pU66hT1iCek</t>
  </si>
  <si>
    <t>pUe_lHiXytU</t>
  </si>
  <si>
    <t>pZ85CCfjocc</t>
  </si>
  <si>
    <t>pfE-NLqKfKM</t>
  </si>
  <si>
    <t>pgQ8c-6npiM</t>
  </si>
  <si>
    <t>phGRAQNavRU</t>
  </si>
  <si>
    <t>pl6JDXXdEww</t>
  </si>
  <si>
    <t>pp2-NsevGDo</t>
  </si>
  <si>
    <t>pq3Ucjk_X-A</t>
  </si>
  <si>
    <t>psi2jqUcoP4</t>
  </si>
  <si>
    <t>ptonEpFVPoM</t>
  </si>
  <si>
    <t>pv3fah2jKAg</t>
  </si>
  <si>
    <t>pxD-5ct3POE</t>
  </si>
  <si>
    <t>py7sDe5ynpc</t>
  </si>
  <si>
    <t>pztgLWljSmI</t>
  </si>
  <si>
    <t>q1JgJasYNVc</t>
  </si>
  <si>
    <t>q3C_dTlKXOY</t>
  </si>
  <si>
    <t>q3Q9necwJ9M</t>
  </si>
  <si>
    <t>q4Sc6Pl21wg</t>
  </si>
  <si>
    <t>q5SXmVLE66k</t>
  </si>
  <si>
    <t>qCJkB7jC89Q</t>
  </si>
  <si>
    <t>qLaKpdYDWAQ</t>
  </si>
  <si>
    <t>qQikggkiFgc</t>
  </si>
  <si>
    <t>qSmJ5fWaqtk</t>
  </si>
  <si>
    <t>qVZ-lhy7cpY</t>
  </si>
  <si>
    <t>qX_SKPlXnz0</t>
  </si>
  <si>
    <t>qXuTJN_A5mU</t>
  </si>
  <si>
    <t>qds2BgDLjEw</t>
  </si>
  <si>
    <t>qhctM2q2J9o</t>
  </si>
  <si>
    <t>qiTDYDUHgJo</t>
  </si>
  <si>
    <t>qjEBNBq1wQ4</t>
  </si>
  <si>
    <t>qpFcvNexR8w</t>
  </si>
  <si>
    <t>qpj8WvzpP-I</t>
  </si>
  <si>
    <t>qsGIJ--SSsU</t>
  </si>
  <si>
    <t>qstyEvObtlE</t>
  </si>
  <si>
    <t>qyLvR89nwoM</t>
  </si>
  <si>
    <t>qzxaWsscLpE</t>
  </si>
  <si>
    <t>r-DYcd-Czv4</t>
  </si>
  <si>
    <t>r-RL13AC6Y0</t>
  </si>
  <si>
    <t>r-rgq94SAN4</t>
  </si>
  <si>
    <t>r24KMeoDl4A</t>
  </si>
  <si>
    <t>r2IbY3d8HWI</t>
  </si>
  <si>
    <t>r2LiMyFSxKU</t>
  </si>
  <si>
    <t>r3i-3vwkza8</t>
  </si>
  <si>
    <t>r3uhzQk1V6E</t>
  </si>
  <si>
    <t>r41oD2DvcGY</t>
  </si>
  <si>
    <t>r4VxZS8AKY0</t>
  </si>
  <si>
    <t>rBSD3MAWTjk</t>
  </si>
  <si>
    <t>rD9ePoSp0bQ</t>
  </si>
  <si>
    <t>rDdzDAfH7sI</t>
  </si>
  <si>
    <t>rLCxrl1uatw</t>
  </si>
  <si>
    <t>rOtw4idiBhE</t>
  </si>
  <si>
    <t>rQ6txU_gt6g</t>
  </si>
  <si>
    <t>rRI9FFVxpfA</t>
  </si>
  <si>
    <t>rS2y2pXlTPU</t>
  </si>
  <si>
    <t>rXWzh-9_nOA</t>
  </si>
  <si>
    <t>rY8P3tZtSGw</t>
  </si>
  <si>
    <t>raMVJnoHc-k</t>
  </si>
  <si>
    <t>raUYL65zbfo</t>
  </si>
  <si>
    <t>rcOdgdnUi2I</t>
  </si>
  <si>
    <t>rdUS7TTcZ5I</t>
  </si>
  <si>
    <t>reYUFpDXVQA</t>
  </si>
  <si>
    <t>rggumJhflRw</t>
  </si>
  <si>
    <t>rhqjKzl6MTk</t>
  </si>
  <si>
    <t>rl9lmFj5F4E</t>
  </si>
  <si>
    <t>rmHj9weoPD0</t>
  </si>
  <si>
    <t>rqDw69dYuWI</t>
  </si>
  <si>
    <t>rrZYxW8H5mE</t>
  </si>
  <si>
    <t>rrkk7kjVwWU</t>
  </si>
  <si>
    <t>rtRCaE2byVA</t>
  </si>
  <si>
    <t>ruR0FXlvRA8</t>
  </si>
  <si>
    <t>UCt9dS9dN_3Vy8s7KVN0ei0g</t>
  </si>
  <si>
    <t>rucn6VqEKw4</t>
  </si>
  <si>
    <t>rvZ-X8q8L_0</t>
  </si>
  <si>
    <t>rxaC077KmsE</t>
  </si>
  <si>
    <t>rz5Rw-iR1q0</t>
  </si>
  <si>
    <t>rz8m6Q32Mr0</t>
  </si>
  <si>
    <t>s-7JXCMqPIQ</t>
  </si>
  <si>
    <t>s-zV3YdUnVw</t>
  </si>
  <si>
    <t>s5YnIg-VHN0</t>
  </si>
  <si>
    <t>s6jjrSmw5Ls</t>
  </si>
  <si>
    <t>s8MEbWhE1uM</t>
  </si>
  <si>
    <t>sCgb3baS-nY</t>
  </si>
  <si>
    <t>sCh3hN7lRM0</t>
  </si>
  <si>
    <t>sFOKbRwfimA</t>
  </si>
  <si>
    <t>sGnxkZHDLhc</t>
  </si>
  <si>
    <t>sLdNyvDC-uQ</t>
  </si>
  <si>
    <t>sNECmATSt90</t>
  </si>
  <si>
    <t>sON1e3_SNo4</t>
  </si>
  <si>
    <t>sOkxZZU_eh8</t>
  </si>
  <si>
    <t>sPe8ZBAHVkE</t>
  </si>
  <si>
    <t>sRRE6ZRAyWM</t>
  </si>
  <si>
    <t>sSRlpHIePF4</t>
  </si>
  <si>
    <t>sU5gyoFz08g</t>
  </si>
  <si>
    <t>sV9rnY6S0fY</t>
  </si>
  <si>
    <t>sVenInt1GHg</t>
  </si>
  <si>
    <t>sYMei8aVyqM</t>
  </si>
  <si>
    <t>sYe-KaYOw4Q</t>
  </si>
  <si>
    <t>sZ9VFCM3B7w</t>
  </si>
  <si>
    <t>saKrht25zAQ</t>
  </si>
  <si>
    <t>scCFN_F9RAc</t>
  </si>
  <si>
    <t>se914gl5aBc</t>
  </si>
  <si>
    <t>shPCSRJ_xq8</t>
  </si>
  <si>
    <t>slaXXgrRphw</t>
  </si>
  <si>
    <t>snduLCUfOzA</t>
  </si>
  <si>
    <t>so_FyLpon58</t>
  </si>
  <si>
    <t>spHGfzirJjU</t>
  </si>
  <si>
    <t>sqIUvL9Epnk</t>
  </si>
  <si>
    <t>sthbbpW6GUY</t>
  </si>
  <si>
    <t>swbR_CRJBaE</t>
  </si>
  <si>
    <t>t0HwTTFwew4</t>
  </si>
  <si>
    <t>t1jQV_Vm5F0</t>
  </si>
  <si>
    <t>t3DM_eRllS8</t>
  </si>
  <si>
    <t>t3O1jyn-hmc</t>
  </si>
  <si>
    <t>t5Ra_2PXX5k</t>
  </si>
  <si>
    <t>t7YhE03Btyo</t>
  </si>
  <si>
    <t>t9bZaYtGWCk</t>
  </si>
  <si>
    <t>tAIjs1Q-4cY</t>
  </si>
  <si>
    <t>tFsY-RHEU3s</t>
  </si>
  <si>
    <t>tIbtIjo-iyk</t>
  </si>
  <si>
    <t>tJREDc42dTM</t>
  </si>
  <si>
    <t>tJrjes6Uoaw</t>
  </si>
  <si>
    <t>tPBbL0Kb-fg</t>
  </si>
  <si>
    <t>tPbRCwAWgMo</t>
  </si>
  <si>
    <t>tQf1jP5UZjY</t>
  </si>
  <si>
    <t>tRmfLshxdws</t>
  </si>
  <si>
    <t>tSGjQICTo3w</t>
  </si>
  <si>
    <t>tUVXz-MYSeU</t>
  </si>
  <si>
    <t>tcUzyz7rLrM</t>
  </si>
  <si>
    <t>tdVCKX34XNA</t>
  </si>
  <si>
    <t>thbpv4NsP2Y</t>
  </si>
  <si>
    <t>tjsPZ6fTcqE</t>
  </si>
  <si>
    <t>yue-HK-gS9KETgkurk|zh-Hant</t>
  </si>
  <si>
    <t>tpae_u1LjiY</t>
  </si>
  <si>
    <t>trxYqw2eN8U</t>
  </si>
  <si>
    <t>tta2T3dOYWA</t>
  </si>
  <si>
    <t>tteWzr-rfjI</t>
  </si>
  <si>
    <t>tuUcAYi48Rw</t>
  </si>
  <si>
    <t>tziuw2X5WIs</t>
  </si>
  <si>
    <t>u-Odd-pE0Kg</t>
  </si>
  <si>
    <t>u1tofasofbQ</t>
  </si>
  <si>
    <t>u2zB185trps</t>
  </si>
  <si>
    <t>u58lxvFW-X8</t>
  </si>
  <si>
    <t>u88P_tVr-q0</t>
  </si>
  <si>
    <t>u8hkdcOKpuk</t>
  </si>
  <si>
    <t>u9fWfEZCOl0</t>
  </si>
  <si>
    <t>uABDV7Z2JXc</t>
  </si>
  <si>
    <t>uC2AS563b9o</t>
  </si>
  <si>
    <t>uCflHQT7yLA</t>
  </si>
  <si>
    <t>uEkLFBOXgyw</t>
  </si>
  <si>
    <t>uF0LPR7CS30</t>
  </si>
  <si>
    <t>uH5lgipz1cE</t>
  </si>
  <si>
    <t>uHIG2QFNSTE</t>
  </si>
  <si>
    <t>uHbeGBExjNM</t>
  </si>
  <si>
    <t>uTmDrDGB-V8</t>
  </si>
  <si>
    <t>uUnIdfRoNnk</t>
  </si>
  <si>
    <t>uVUljvRgBCM</t>
  </si>
  <si>
    <t>uVXFejURjlk</t>
  </si>
  <si>
    <t>uVuAAd4BtPI</t>
  </si>
  <si>
    <t>uWWwImdLRqk</t>
  </si>
  <si>
    <t>uXtaWpZC5p4</t>
  </si>
  <si>
    <t>ub49j6x6d8k</t>
  </si>
  <si>
    <t>ubKb9FwHTtc</t>
  </si>
  <si>
    <t>ucMn1yckoR0</t>
  </si>
  <si>
    <t>ue-uM3OMVIw</t>
  </si>
  <si>
    <t>ueX3RObuy2M</t>
  </si>
  <si>
    <t>ugNE1QIOKuE</t>
  </si>
  <si>
    <t>uh4QR3PeIis</t>
  </si>
  <si>
    <t>uiN8jfEtEN4</t>
  </si>
  <si>
    <t>ukp4pEXDE4U</t>
  </si>
  <si>
    <t>uotdjtgj-w8</t>
  </si>
  <si>
    <t>us313QEU4Tc</t>
  </si>
  <si>
    <t>v0mIVO6KAYE</t>
  </si>
  <si>
    <t>v1sL2eodIHc</t>
  </si>
  <si>
    <t>v37Ch07VnaU</t>
  </si>
  <si>
    <t>v3gYyikQcMs</t>
  </si>
  <si>
    <t>v4GAlXQ6kAg</t>
  </si>
  <si>
    <t>v6hMr2Ty8c0</t>
  </si>
  <si>
    <t>v84qnjmVZdE</t>
  </si>
  <si>
    <t>v8PnV_zEZ5s</t>
  </si>
  <si>
    <t>vAnGHfMnU1U</t>
  </si>
  <si>
    <t>vJOCa1uFhpY</t>
  </si>
  <si>
    <t>vKDFOvPqxk0</t>
  </si>
  <si>
    <t>vKkYSYFKmqc</t>
  </si>
  <si>
    <t>vNS_keymmKk</t>
  </si>
  <si>
    <t>vNUafxTiOBU</t>
  </si>
  <si>
    <t>vPx3hddDuS0</t>
  </si>
  <si>
    <t>vPxsFjQD2Lw</t>
  </si>
  <si>
    <t>vQlqhUrHNI4</t>
  </si>
  <si>
    <t>vSb2pd55RSw</t>
  </si>
  <si>
    <t>vSxuOxtgYXE</t>
  </si>
  <si>
    <t>vU1VLMetD1o</t>
  </si>
  <si>
    <t>vWi2Uh7qJuc</t>
  </si>
  <si>
    <t>vWwe7uGdz1Q</t>
  </si>
  <si>
    <t>vX4qDF0HgOQ</t>
  </si>
  <si>
    <t>vZYeNvjFhEI</t>
  </si>
  <si>
    <t>vaKTB6dtlpE</t>
  </si>
  <si>
    <t>vcrtQTjYZbI</t>
  </si>
  <si>
    <t>vkiOqRhn5_c</t>
  </si>
  <si>
    <t>vnQVXUMNCyI</t>
  </si>
  <si>
    <t>vnpaMdwFJ_E</t>
  </si>
  <si>
    <t>vrAVmuVFg-w</t>
  </si>
  <si>
    <t>vrQIAqbF5Rw</t>
  </si>
  <si>
    <t>vsnl9_khjHE</t>
  </si>
  <si>
    <t>vuaTvc3Kns4</t>
  </si>
  <si>
    <t>w-1VVWIxvUg</t>
  </si>
  <si>
    <t>w2PX-H-hk3A</t>
  </si>
  <si>
    <t>w6nirfIb1Qw</t>
  </si>
  <si>
    <t>wBesnDGWAWA</t>
  </si>
  <si>
    <t>wBrkn-y7iiM</t>
  </si>
  <si>
    <t>wCAWfeQgSWw</t>
  </si>
  <si>
    <t>wEPRILrPiJI</t>
  </si>
  <si>
    <t>wH9EaAC4V5E</t>
  </si>
  <si>
    <t>wJgqFW33FOg</t>
  </si>
  <si>
    <t>wLHofyke_Tw</t>
  </si>
  <si>
    <t>wLxQF54iBTE</t>
  </si>
  <si>
    <t>wSRtc_8QH0Q</t>
  </si>
  <si>
    <t>wTkxd29S6Us</t>
  </si>
  <si>
    <t>wU46uH2fSCU</t>
  </si>
  <si>
    <t>wVG0Zh_sxR4</t>
  </si>
  <si>
    <t>we9yh1q1ixU</t>
  </si>
  <si>
    <t>weu27PF4Nx0</t>
  </si>
  <si>
    <t>wgo5nGZLSfI</t>
  </si>
  <si>
    <t>wijLORvtBKc</t>
  </si>
  <si>
    <t>wnhG3wdXfjM</t>
  </si>
  <si>
    <t>wp7EY0L8g9U</t>
  </si>
  <si>
    <t>wrFOAguMvZE</t>
  </si>
  <si>
    <t>wvGsxrKWv8M</t>
  </si>
  <si>
    <t>wxg_tQyGjUM</t>
  </si>
  <si>
    <t>x-iHUapDB_4</t>
  </si>
  <si>
    <t>x1wqgz2V6TY</t>
  </si>
  <si>
    <t>x3GL4lca5kc</t>
  </si>
  <si>
    <t>x3exwvSy1L8</t>
  </si>
  <si>
    <t>x5l-mqode1Q</t>
  </si>
  <si>
    <t>x5s3MODtQg8</t>
  </si>
  <si>
    <t>xAWDth4SpMc</t>
  </si>
  <si>
    <t>xFY6RIuhOI8</t>
  </si>
  <si>
    <t>xFk8Pb2agPY</t>
  </si>
  <si>
    <t>xMuUBpt58-s</t>
  </si>
  <si>
    <t>xNuGbqmK88M</t>
  </si>
  <si>
    <t>xORmDAGGhA0</t>
  </si>
  <si>
    <t>xPzfqotkJ9c</t>
  </si>
  <si>
    <t>xQjgvISlrbs</t>
  </si>
  <si>
    <t>xVjb6UWTy6s</t>
  </si>
  <si>
    <t>xc517h6fAnA</t>
  </si>
  <si>
    <t>xcUE_cKlqVU</t>
  </si>
  <si>
    <t>xdhDY_iy1OY</t>
  </si>
  <si>
    <t>xopepZB8KeI</t>
  </si>
  <si>
    <t>xrkJZsNVS7M</t>
  </si>
  <si>
    <t>xt1QVRWqvaY</t>
  </si>
  <si>
    <t>xtM22NbQ320</t>
  </si>
  <si>
    <t>xvfsSGX-4iE</t>
  </si>
  <si>
    <t>xwaW5kfy82I</t>
  </si>
  <si>
    <t>xwyI0RDX3XA</t>
  </si>
  <si>
    <t>y1ofogvtgRc</t>
  </si>
  <si>
    <t>y7dqR3HtdwA</t>
  </si>
  <si>
    <t>y8P_xA0gO5Y</t>
  </si>
  <si>
    <t>y9OewX0IC3U</t>
  </si>
  <si>
    <t>yGkeyhP6CrQ</t>
  </si>
  <si>
    <t>yKNIFzMsAaQ</t>
  </si>
  <si>
    <t>yLGG5RfvuCs</t>
  </si>
  <si>
    <t>yLthC7iGITM</t>
  </si>
  <si>
    <t>yN81WTMvaEU</t>
  </si>
  <si>
    <t>yNOfPCo0Zs4</t>
  </si>
  <si>
    <t>yOCYmJZmz4o</t>
  </si>
  <si>
    <t>yTA6zIoGjg8</t>
  </si>
  <si>
    <t>yVs8MCod8Aw</t>
  </si>
  <si>
    <t>yYHLPYqX6a8</t>
  </si>
  <si>
    <t>y_c_i8dShXY</t>
  </si>
  <si>
    <t>ybJdrwp4GLY</t>
  </si>
  <si>
    <t>ycVCnzmJH0o</t>
  </si>
  <si>
    <t>ykQV83FE-v8</t>
  </si>
  <si>
    <t>yl7v5mysvV0</t>
  </si>
  <si>
    <t>ytjmuQm3c_M</t>
  </si>
  <si>
    <t>yu3oXUevbP4</t>
  </si>
  <si>
    <t>yv1q6gga7Ow</t>
  </si>
  <si>
    <t>en-US|zh-HK|zh-TW</t>
  </si>
  <si>
    <t>yw4pIFr965o</t>
  </si>
  <si>
    <t>z1pKNVzhzHc</t>
  </si>
  <si>
    <t>z1u1cTBbS3I</t>
  </si>
  <si>
    <t>z2vNlhjl4YQ</t>
  </si>
  <si>
    <t>z4WP4bieLd8</t>
  </si>
  <si>
    <t>z75zw34yurc</t>
  </si>
  <si>
    <t>z7W0TfiFaPw</t>
  </si>
  <si>
    <t>z8cUzD7Me34</t>
  </si>
  <si>
    <t>zDF7wPFXnvw</t>
  </si>
  <si>
    <t>zJEKlfJF4vo</t>
  </si>
  <si>
    <t>zO7O3QiQ-u8</t>
  </si>
  <si>
    <t>zRDkGiV-KdA</t>
  </si>
  <si>
    <t>zSojPOn2u8k</t>
  </si>
  <si>
    <t>zSvrQtm8mB8</t>
  </si>
  <si>
    <t>zSz9IUsBzTE</t>
  </si>
  <si>
    <t>zTDaln5WZQo</t>
  </si>
  <si>
    <t>zUC5pGqyPeI</t>
  </si>
  <si>
    <t>zV-pmfgdFFI</t>
  </si>
  <si>
    <t>zXRMWMP58OE</t>
  </si>
  <si>
    <t>zY5W-aCgl4I</t>
  </si>
  <si>
    <t>z_GpVLHQn9o</t>
  </si>
  <si>
    <t>zdNzcaFgx1U</t>
  </si>
  <si>
    <t>zerE1vRSNZM</t>
  </si>
  <si>
    <t>zexKMiuG6Nw</t>
  </si>
  <si>
    <t>zfcwWlrCK10</t>
  </si>
  <si>
    <t>zgeIBc7NPGI</t>
  </si>
  <si>
    <t>zjpV5HsAS1I</t>
  </si>
  <si>
    <t>zm_eFiBZ51k</t>
  </si>
  <si>
    <t>zmmcz9ihWIw</t>
  </si>
  <si>
    <t>znAmIrtHrCs</t>
  </si>
  <si>
    <t>zo67xO11tk8</t>
  </si>
  <si>
    <t>zoGUxWOHR7M</t>
  </si>
  <si>
    <t>zrIpVt_v4V0</t>
  </si>
  <si>
    <t>zux0LbyYB4Q</t>
  </si>
  <si>
    <t>zwNcpTv07xM</t>
  </si>
  <si>
    <t>zyA8aGTWlu0</t>
  </si>
  <si>
    <t>UCVAUtDUarzrjTzhSMiLvK6w</t>
  </si>
  <si>
    <t>-32dUGG-mRk</t>
  </si>
  <si>
    <t>UCbsM9POBZ0TVvG74xL3WH0A</t>
  </si>
  <si>
    <t>-FveT8VwkR4</t>
  </si>
  <si>
    <t>UCXI73R-C4EI8U_rISlD1S2w</t>
  </si>
  <si>
    <t>0W657_86fxU</t>
  </si>
  <si>
    <t>UCnwki8IA26JP-E4-xovIgQQ</t>
  </si>
  <si>
    <t>0_D78TQfB08</t>
  </si>
  <si>
    <t>UCxCZqbizSsnntlz6w0fN8hA</t>
  </si>
  <si>
    <t>130J6eUpYVo</t>
  </si>
  <si>
    <t>UCZgs3pLaFisZ-TKVOwFEe8Q</t>
  </si>
  <si>
    <t>1G6_kR-s-1Y</t>
  </si>
  <si>
    <t>1qoMauIfsMQ</t>
  </si>
  <si>
    <t>1suokXIHqfA</t>
  </si>
  <si>
    <t>1yVJ9bXgyL8</t>
  </si>
  <si>
    <t>1ziRyz6FLMI</t>
  </si>
  <si>
    <t>2egilpfPRtM</t>
  </si>
  <si>
    <t>48Vs1gBnKCc</t>
  </si>
  <si>
    <t>4FOWfE_vpB0</t>
  </si>
  <si>
    <t>UCNCPYSqReQl2lQEShit-tLg</t>
  </si>
  <si>
    <t>4P9ykpLARR0</t>
  </si>
  <si>
    <t>4zvqxTUcgB8</t>
  </si>
  <si>
    <t>UC7fISB1mlKcudvvKIszN_nw</t>
  </si>
  <si>
    <t>68rI7UR4ob4</t>
  </si>
  <si>
    <t>UCHPhAP0i8BxEF2lBgNfLB1g</t>
  </si>
  <si>
    <t>6NPFiQNeJDc</t>
  </si>
  <si>
    <t>6q2LKaPShvk</t>
  </si>
  <si>
    <t>6unXEl-XsHk</t>
  </si>
  <si>
    <t>UC5LH_cGEFwywuAxuEVRHriQ</t>
  </si>
  <si>
    <t>71wrBhkRwT4</t>
  </si>
  <si>
    <t>7aJufvl-hAA</t>
  </si>
  <si>
    <t>7nJRNF4r1-c</t>
  </si>
  <si>
    <t>7pfxFxC9bsI</t>
  </si>
  <si>
    <t>en|en-GB|zh|zh-HK|zh-TW</t>
  </si>
  <si>
    <t>7yhUgfxfIek</t>
  </si>
  <si>
    <t>9BSIz_uf1wA</t>
  </si>
  <si>
    <t>9NY8zeWVV0I</t>
  </si>
  <si>
    <t>9e5mDKA7kGw</t>
  </si>
  <si>
    <t>9gbJ48itxqM</t>
  </si>
  <si>
    <t>AbDPcrMBqB4</t>
  </si>
  <si>
    <t>AuFQ0OGxr9k</t>
  </si>
  <si>
    <t>BwQxdnN_8E4</t>
  </si>
  <si>
    <t>CM-82U9Au74</t>
  </si>
  <si>
    <t>CMQHvhMNMdw</t>
  </si>
  <si>
    <t>CVkQVXsRLXA</t>
  </si>
  <si>
    <t>DGmTM8zdv88</t>
  </si>
  <si>
    <t>DJAPDEBmO5E</t>
  </si>
  <si>
    <t>D_wgKMLmq2E</t>
  </si>
  <si>
    <t>EaCIBECWAlM</t>
  </si>
  <si>
    <t>en-GB|zh|zh-HK|zh-TW</t>
  </si>
  <si>
    <t>FWZ6bYzj2Ws</t>
  </si>
  <si>
    <t>G3H0mEs79Rg</t>
  </si>
  <si>
    <t>GhaCVpJ2Gk0</t>
  </si>
  <si>
    <t>HX0S7q9XPGU</t>
  </si>
  <si>
    <t>Hrh0jmxCSF4</t>
  </si>
  <si>
    <t>en|ms|zh|zh-HK</t>
  </si>
  <si>
    <t>I2FM4BNSklM</t>
  </si>
  <si>
    <t>Iy05gwgMcEA</t>
  </si>
  <si>
    <t>JDalBirl1u0</t>
  </si>
  <si>
    <t>Ju-6vYJN8iw</t>
  </si>
  <si>
    <t>KCwlGZhDCpM</t>
  </si>
  <si>
    <t>KTpkI7Ktuxc</t>
  </si>
  <si>
    <t>LCmyAYT-a98</t>
  </si>
  <si>
    <t>LayGaK8A8H4</t>
  </si>
  <si>
    <t>LdYAHVYTO1U</t>
  </si>
  <si>
    <t>Movo8Cfiv60</t>
  </si>
  <si>
    <t>N7li-v1kygQ</t>
  </si>
  <si>
    <t>NefIu1QJiNE</t>
  </si>
  <si>
    <t>Nr0RTLfiiy0</t>
  </si>
  <si>
    <t>Nxe-ZTi_YX4</t>
  </si>
  <si>
    <t>OAdZbS5g7DE</t>
  </si>
  <si>
    <t>Ojz62OKGxOY</t>
  </si>
  <si>
    <t>UCoYTqgjIEplB9SLB74794TA</t>
  </si>
  <si>
    <t>OpjvRMyoAAs</t>
  </si>
  <si>
    <t>P4vMJKdKaTE</t>
  </si>
  <si>
    <t>PSHpfs1dn3E</t>
  </si>
  <si>
    <t>Q1uDXzN7WuA</t>
  </si>
  <si>
    <t>QGR3A6Vro_M</t>
  </si>
  <si>
    <t>QHHQzJbhzuw</t>
  </si>
  <si>
    <t>QWkzEpD-PtY</t>
  </si>
  <si>
    <t>RI-BzAd9M5E</t>
  </si>
  <si>
    <t>RI5YyHEpjZ0</t>
  </si>
  <si>
    <t>RTM6Nro8jQw</t>
  </si>
  <si>
    <t>Sz8v-2VeIQk</t>
  </si>
  <si>
    <t>TGOPSWxk0wM</t>
  </si>
  <si>
    <t>TNsyIQl25VI</t>
  </si>
  <si>
    <t>TiNhRd8xPeA</t>
  </si>
  <si>
    <t>UIcVrJIS128</t>
  </si>
  <si>
    <t>VXbMYmhJxG8</t>
  </si>
  <si>
    <t>VsVqOdYLHNo</t>
  </si>
  <si>
    <t>W0iVB2DikGM</t>
  </si>
  <si>
    <t>WUdseXxXuLU</t>
  </si>
  <si>
    <t>Wks-aqvb5Jg</t>
  </si>
  <si>
    <t>WwAHiUunla0</t>
  </si>
  <si>
    <t>XVa4_EhIyB4</t>
  </si>
  <si>
    <t>XVnFDoH-hck</t>
  </si>
  <si>
    <t>Xfe4b5e1hvE</t>
  </si>
  <si>
    <t>XgKH7xOvUQU</t>
  </si>
  <si>
    <t>XmMcNlRHJps</t>
  </si>
  <si>
    <t>YHhj4D7A5W4</t>
  </si>
  <si>
    <t>YriOEibgLEk</t>
  </si>
  <si>
    <t>ZBNUVTNAsQc</t>
  </si>
  <si>
    <t>ZM801NxnRvw</t>
  </si>
  <si>
    <t>ZdBHLESPmtg</t>
  </si>
  <si>
    <t>_va_A66oGLg</t>
  </si>
  <si>
    <t>b-tnfL1yRyg</t>
  </si>
  <si>
    <t>bkKEkmROduw</t>
  </si>
  <si>
    <t>bvTxvcXgmBE</t>
  </si>
  <si>
    <t>c1hnfsBYgdA</t>
  </si>
  <si>
    <t>cxYycB0bZus</t>
  </si>
  <si>
    <t>fJmBOHroeNY</t>
  </si>
  <si>
    <t>glDY2ViYmig</t>
  </si>
  <si>
    <t>gzau3dztZus</t>
  </si>
  <si>
    <t>h1xoDjuua_s</t>
  </si>
  <si>
    <t>hLH2foQ682M</t>
  </si>
  <si>
    <t>hhccsH1fs54</t>
  </si>
  <si>
    <t>iNmv0G8am9A</t>
  </si>
  <si>
    <t>UCGq7xle9PrLHpmdxrk0IlLw</t>
  </si>
  <si>
    <t>iPQLLUX6BRQ</t>
  </si>
  <si>
    <t>iR0HfkAdf6E</t>
  </si>
  <si>
    <t>jtj0AbLW95M</t>
  </si>
  <si>
    <t>kWYSnF_O2zs</t>
  </si>
  <si>
    <t>kjO5Z5o6XgA</t>
  </si>
  <si>
    <t>lEhH6uuw8WY</t>
  </si>
  <si>
    <t>lORPzYyXtx8</t>
  </si>
  <si>
    <t>ldw0oqxkCaY</t>
  </si>
  <si>
    <t>m7E8Mea-l80</t>
  </si>
  <si>
    <t>mi_jr--EYfI</t>
  </si>
  <si>
    <t>n1gJRS8SxO0</t>
  </si>
  <si>
    <t>nnJ3U9OJIYY</t>
  </si>
  <si>
    <t>no72YGh0tts</t>
  </si>
  <si>
    <t>ojm-jLTwZLw</t>
  </si>
  <si>
    <t>pN2PojZE9X8</t>
  </si>
  <si>
    <t>pRaVPpvpZ7U</t>
  </si>
  <si>
    <t>UCgMBZ9epGac-dKeoZ4vsX8A</t>
  </si>
  <si>
    <t>pdHDtra1QJs</t>
  </si>
  <si>
    <t>pweqwFu9XsA</t>
  </si>
  <si>
    <t>qFaPjOJY7YI</t>
  </si>
  <si>
    <t>qjfTgT5fp6I</t>
  </si>
  <si>
    <t>rL9OoVjLUp4</t>
  </si>
  <si>
    <t>rRG0byFL_D8</t>
  </si>
  <si>
    <t>seF2TIRObBs</t>
  </si>
  <si>
    <t>tj0shOJx5xI</t>
  </si>
  <si>
    <t>tjw_6PCZnyM</t>
  </si>
  <si>
    <t>tp35mmxtbes</t>
  </si>
  <si>
    <t>uXNV-uQ8gYc</t>
  </si>
  <si>
    <t>v1-JBZrVEww</t>
  </si>
  <si>
    <t>v5Su3USlNbs</t>
  </si>
  <si>
    <t>v6NpkO4OlT8</t>
  </si>
  <si>
    <t>UCeL19f2UTTlwHf95hPxsr1A</t>
  </si>
  <si>
    <t>vLaZFdvPlus</t>
  </si>
  <si>
    <t>x5V5ySxgXQI</t>
  </si>
  <si>
    <t>xG6UbKPXbzY</t>
  </si>
  <si>
    <t>UCdkZStyZBhw59KE6vMe1MJA</t>
  </si>
  <si>
    <t>xdxT1OEAbvg</t>
  </si>
  <si>
    <t>z8eoOwo3UsE</t>
  </si>
  <si>
    <t>z8er-N_sIQ4</t>
  </si>
  <si>
    <t>zijOzpues4o</t>
  </si>
  <si>
    <t>znYTxzAhjR0</t>
  </si>
  <si>
    <t>1fVett_o4ck</t>
  </si>
  <si>
    <t>2plce0TF9_4</t>
  </si>
  <si>
    <t>3JE9GCYTqcY</t>
  </si>
  <si>
    <t>5SEE5qFjj7s</t>
  </si>
  <si>
    <t>5rGrhYRtneo</t>
  </si>
  <si>
    <t>9W2JxgA3BX8</t>
  </si>
  <si>
    <t>A3C7oB_p6ZA</t>
  </si>
  <si>
    <t>AqKpqNqNEpY</t>
  </si>
  <si>
    <t>ArdnBi1PEr0</t>
  </si>
  <si>
    <t>yue-HK|zh|zh-CN|zh-HK|zh-Hans|zh-Hant|zh-SG|zh-TW</t>
  </si>
  <si>
    <t>B2GsKJF71c4</t>
  </si>
  <si>
    <t>Cv1631DzOF4</t>
  </si>
  <si>
    <t>DcZ6nt9FPn0</t>
  </si>
  <si>
    <t>ESfVwxZ9w-w</t>
  </si>
  <si>
    <t>G6vcNaVvQp4</t>
  </si>
  <si>
    <t>HhpOs1sgWLE</t>
  </si>
  <si>
    <t>HqAhwG9g05s</t>
  </si>
  <si>
    <t>ITFcyfmfeik</t>
  </si>
  <si>
    <t>IXcHcQvi8h4</t>
  </si>
  <si>
    <t>J6ISqwyQrj0</t>
  </si>
  <si>
    <t>JR3pB6zjLhM</t>
  </si>
  <si>
    <t>JsEK7q5ny0Q</t>
  </si>
  <si>
    <t>MatxIdZrLcs</t>
  </si>
  <si>
    <t>NxoyHEg_CSo</t>
  </si>
  <si>
    <t>O99Y2V7guLo</t>
  </si>
  <si>
    <t>QA3w6Y1uHzg</t>
  </si>
  <si>
    <t>RD-egd3AtB8</t>
  </si>
  <si>
    <t>Tn2frPdVIa8</t>
  </si>
  <si>
    <t>Tv7itP8sVYs</t>
  </si>
  <si>
    <t>VkwRAGpsG4g</t>
  </si>
  <si>
    <t>ZEoqXt5Ex7s</t>
  </si>
  <si>
    <t>ZFYo5xziG_U</t>
  </si>
  <si>
    <t>_KjuKr81Hv0</t>
  </si>
  <si>
    <t>bliR1ixv9cc</t>
  </si>
  <si>
    <t>bvWMPSpxPhM</t>
  </si>
  <si>
    <t>cA9CuvYEEx4</t>
  </si>
  <si>
    <t>ddDeBN0tHvs</t>
  </si>
  <si>
    <t>dfPDoW4sGgo</t>
  </si>
  <si>
    <t>gqc-Y6aZ8zQ</t>
  </si>
  <si>
    <t>hqNN3SaeLUo</t>
  </si>
  <si>
    <t>iQ1vKJL9RuY</t>
  </si>
  <si>
    <t>mIaj5wC7t1k</t>
  </si>
  <si>
    <t>mSnyoVbZwmE</t>
  </si>
  <si>
    <t>nhLVRSR2yh0</t>
  </si>
  <si>
    <t>oMqaB_R8dxo</t>
  </si>
  <si>
    <t>oq5HzGmTgeM</t>
  </si>
  <si>
    <t>ovfbHHjlxhc</t>
  </si>
  <si>
    <t>qCo_VETN9oc</t>
  </si>
  <si>
    <t>qv3BGKLHXTA</t>
  </si>
  <si>
    <t>rqvuQ_SCKUw</t>
  </si>
  <si>
    <t>sXJ8grj3rzs</t>
  </si>
  <si>
    <t>shNXXw0mIhM</t>
  </si>
  <si>
    <t>srUN0tx4anY</t>
  </si>
  <si>
    <t>u8P6yThSkxk</t>
  </si>
  <si>
    <t>uXmxxgA01h4</t>
  </si>
  <si>
    <t>xC1KpXtCsys</t>
  </si>
  <si>
    <t>zh13E0xxdHM</t>
  </si>
  <si>
    <t>zmUTNQIl6p0</t>
  </si>
  <si>
    <t>fJyMUYy-RFU</t>
  </si>
  <si>
    <t>smh3Xx7wm-Q</t>
  </si>
  <si>
    <t>WmjHJRl2QEI</t>
  </si>
  <si>
    <t>gw77ME9zYXY</t>
  </si>
  <si>
    <t>HjNgayX2Hfs</t>
  </si>
  <si>
    <t>qacwo-N_tCM</t>
  </si>
  <si>
    <t>wHyO9gIoGXo</t>
  </si>
  <si>
    <t>e9kFbVSylcI</t>
  </si>
  <si>
    <t>9TEdYRAuDus</t>
  </si>
  <si>
    <t>Cs8_5TXdQts</t>
  </si>
  <si>
    <t>WSIFO9TSXxc</t>
  </si>
  <si>
    <t>npqq4Nl8j3E</t>
  </si>
  <si>
    <t>NNbzULJnT3w</t>
  </si>
  <si>
    <t>UC6cnrd8SMMC2x9rud3RfqlA</t>
  </si>
  <si>
    <t>RKKpi_B1kh8</t>
  </si>
  <si>
    <t>EVcs7k3roVI</t>
  </si>
  <si>
    <t>UCaLz7sztAy-dSGi2ovFIP8A</t>
  </si>
  <si>
    <t>GyyZTSG_7Yo</t>
  </si>
  <si>
    <t>hq6lcSGV56k</t>
  </si>
  <si>
    <t>YEORoHcquAk</t>
  </si>
  <si>
    <t>UCHhCH095Bq2gVGufjYNTi6A</t>
  </si>
  <si>
    <t>VRjJqJl8Qj0</t>
  </si>
  <si>
    <t>PYS4Gh0d_JM</t>
  </si>
  <si>
    <t>gMao5aZ4cuM</t>
  </si>
  <si>
    <t>en|en-GB|en-IN|en-US|yue|yue-HK|zh|zh-CN|zh-HK|zh-Hans|zh-Hant|zh-SG|zh-TW</t>
  </si>
  <si>
    <t>ie5wLA5o5nM</t>
  </si>
  <si>
    <t>XN1GAb6TjW0</t>
  </si>
  <si>
    <t>Z6Z69mWc2zU</t>
  </si>
  <si>
    <t>FPX0EBqNt_Y</t>
  </si>
  <si>
    <t>IIs2mjEsQC8</t>
  </si>
  <si>
    <t>v5kuXWy3KTw</t>
  </si>
  <si>
    <t>HinrqiAIS1o</t>
  </si>
  <si>
    <t>fZho2NX7vpw</t>
  </si>
  <si>
    <t>wKs_Ym6Gjv8</t>
  </si>
  <si>
    <t>-0QIFDQWg4k</t>
  </si>
  <si>
    <t>IjgP9DjaXFU</t>
  </si>
  <si>
    <t>7mxccLbf0P0</t>
  </si>
  <si>
    <t>xZajWkenLg4</t>
  </si>
  <si>
    <t>v2jSrCb7ezE</t>
  </si>
  <si>
    <t>nRiuBL08VgE</t>
  </si>
  <si>
    <t>_D8TKidD2IE</t>
  </si>
  <si>
    <t>hc2D6KAlHNQ</t>
  </si>
  <si>
    <t>2PzgEeg1uc4</t>
  </si>
  <si>
    <t>Xhl7pXudN3g</t>
  </si>
  <si>
    <t>RGoBjEtSDpY</t>
  </si>
  <si>
    <t>x94imOZiRZM</t>
  </si>
  <si>
    <t>UCbC9qw58e03MLeYCacIeNcg</t>
  </si>
  <si>
    <t>cVhAlFzm3xw</t>
  </si>
  <si>
    <t>vUXubYI1rcg</t>
  </si>
  <si>
    <t>UTrO1uRutDk</t>
  </si>
  <si>
    <t>en|en-GB|en-IN|en-US|yue-HK|zh|zh-CN|zh-HK|zh-Hans|zh-Hant|zh-SG|zh-TW</t>
  </si>
  <si>
    <t>ifhrE2OtmkM</t>
  </si>
  <si>
    <t>hzwMepVOp7U</t>
  </si>
  <si>
    <t>gcub_ScNjp0</t>
  </si>
  <si>
    <t>sMkgBel-TNw</t>
  </si>
  <si>
    <t>zn22wrIJ5k8</t>
  </si>
  <si>
    <t>Yz0jvu1B2FY</t>
  </si>
  <si>
    <t>HYKhqMJtPww</t>
  </si>
  <si>
    <t>EuujZss0gw0</t>
  </si>
  <si>
    <t>6E4xosBznSQ</t>
  </si>
  <si>
    <t>lmSUBHwQyVU</t>
  </si>
  <si>
    <t>IrxfpYRV95Y</t>
  </si>
  <si>
    <t>2v5SEwFY9-w</t>
  </si>
  <si>
    <t>GEaktoVBDuM</t>
  </si>
  <si>
    <t>Ho1xtJC0p7w</t>
  </si>
  <si>
    <t>EXbwpmiQBH8</t>
  </si>
  <si>
    <t>5FYuBI0JDyw</t>
  </si>
  <si>
    <t>UCTH_IecfGTuKdew5dTb_D6A</t>
  </si>
  <si>
    <t>xMSmizZBfjw</t>
  </si>
  <si>
    <t>UCA0QJrZz9EI9KHWab321JAg</t>
  </si>
  <si>
    <t>8myKQhlC9BQ</t>
  </si>
  <si>
    <t>TSgq5lvTVNE</t>
  </si>
  <si>
    <t>6TBJENOf9IE</t>
  </si>
  <si>
    <t>AbNySOLvfMo</t>
  </si>
  <si>
    <t>4TlduBX4t7Q</t>
  </si>
  <si>
    <t>5Bjp3TwMpRc</t>
  </si>
  <si>
    <t>UCLnYG1yjAoOH-05SwvsQaKQ</t>
  </si>
  <si>
    <t>6z5akWEKxD4</t>
  </si>
  <si>
    <t>Q-LzETLG6YY</t>
  </si>
  <si>
    <t>Gl8Z34YMG6c</t>
  </si>
  <si>
    <t>v5T7F9leKa0</t>
  </si>
  <si>
    <t>cF304OLTyL0</t>
  </si>
  <si>
    <t>8v6cel6XeXA</t>
  </si>
  <si>
    <t>3-pluxW9FQY</t>
  </si>
  <si>
    <t>NGSIQbknpnY</t>
  </si>
  <si>
    <t>EvDN2CpXx28</t>
  </si>
  <si>
    <t>YXvhkduYUUU</t>
  </si>
  <si>
    <t>umAFeIiWEkg</t>
  </si>
  <si>
    <t>en-US|yue-HK|zh-Hans|zh-TW</t>
  </si>
  <si>
    <t>vWYBCLndpSI</t>
  </si>
  <si>
    <t>YkGoqzN5D7A</t>
  </si>
  <si>
    <t>UCcQ5WlinXufbKizIJHlI4LQ</t>
  </si>
  <si>
    <t>naGbtWIAChA</t>
  </si>
  <si>
    <t>F8Pfyo0jrps</t>
  </si>
  <si>
    <t>H-LOc5Nwf4Y</t>
  </si>
  <si>
    <t>w14m-IvX3OE</t>
  </si>
  <si>
    <t>euD1pnCyduo</t>
  </si>
  <si>
    <t>1uZTA9ogoWY</t>
  </si>
  <si>
    <t>s-utt7ny9c0</t>
  </si>
  <si>
    <t>DF3qGiwL4S4</t>
  </si>
  <si>
    <t>LDDIl5gGscQ</t>
  </si>
  <si>
    <t>usqubgS5FSc</t>
  </si>
  <si>
    <t>NoExU8PSMPo</t>
  </si>
  <si>
    <t>WqZawKMQ2QM</t>
  </si>
  <si>
    <t>P8kUmS2cACY</t>
  </si>
  <si>
    <t>_eornSsJEDM</t>
  </si>
  <si>
    <t>1x_MupElcGs</t>
  </si>
  <si>
    <t>l1h544lWUr4</t>
  </si>
  <si>
    <t>yi3FtLQD32k</t>
  </si>
  <si>
    <t>sCC4-hONR3Y</t>
  </si>
  <si>
    <t>YS9M-CQi2ak</t>
  </si>
  <si>
    <t>0iXazxaO-uM</t>
  </si>
  <si>
    <t>esu34GPqbTA</t>
  </si>
  <si>
    <t>t9HC22ri24Q</t>
  </si>
  <si>
    <t>bZ5623ZVyPI</t>
  </si>
  <si>
    <t>XrYNnezM_YA</t>
  </si>
  <si>
    <t>VAlx4KsJQHs</t>
  </si>
  <si>
    <t>9w3BsdCHg8U</t>
  </si>
  <si>
    <t>yC6e1BRUROA</t>
  </si>
  <si>
    <t>JmyqS1lpF8o</t>
  </si>
  <si>
    <t>JtcHV9m8ggw</t>
  </si>
  <si>
    <t>47dqVcjFtLQ</t>
  </si>
  <si>
    <t>xN5M-4gXYYQ</t>
  </si>
  <si>
    <t>KtQLWiS-9m4</t>
  </si>
  <si>
    <t>xhOyWm0zfFc</t>
  </si>
  <si>
    <t>cGA8zw3VsfU</t>
  </si>
  <si>
    <t>ZX9aH8lzsw8</t>
  </si>
  <si>
    <t>qdC5atyiuL0</t>
  </si>
  <si>
    <t>BNkE1ZkFwPM</t>
  </si>
  <si>
    <t>GxBiTX3de54</t>
  </si>
  <si>
    <t>tU7CiOxzFlA</t>
  </si>
  <si>
    <t>WlweVSeVdBs</t>
  </si>
  <si>
    <t>yFHa0bx01A4</t>
  </si>
  <si>
    <t>aTcXWNmIV80</t>
  </si>
  <si>
    <t>CdofosLGGss</t>
  </si>
  <si>
    <t>7XkK5L8nOWg</t>
  </si>
  <si>
    <t>zQ4KO59iERY</t>
  </si>
  <si>
    <t>QGBTr5zWkFQ</t>
  </si>
  <si>
    <t>F4kh2jDhMcY</t>
  </si>
  <si>
    <t>eN17IbKMaoU</t>
  </si>
  <si>
    <t>J9rFQBKiUek</t>
  </si>
  <si>
    <t>i1FFZPP6DLE</t>
  </si>
  <si>
    <t>F5i5dA0buHE</t>
  </si>
  <si>
    <t>S2YECTqAWeQ</t>
  </si>
  <si>
    <t>UW3z67qx8vY</t>
  </si>
  <si>
    <t>tIMYHZTp3q0</t>
  </si>
  <si>
    <t>GyVvYlzeCRQ</t>
  </si>
  <si>
    <t>KVY9PUCR3U4</t>
  </si>
  <si>
    <t>iAi7ijtjvfM</t>
  </si>
  <si>
    <t>8WbijQe6FUg</t>
  </si>
  <si>
    <t>UCNGJxsR8Xsc3LS-8FvvLiaw</t>
  </si>
  <si>
    <t>ep3PnWcq6fM</t>
  </si>
  <si>
    <t>CwT_lu9i8h8</t>
  </si>
  <si>
    <t>KkY1H5nIU4A</t>
  </si>
  <si>
    <t>GPw682RIuLU</t>
  </si>
  <si>
    <t>wqehgNswTgQ</t>
  </si>
  <si>
    <t>wqPIZtEdZ4w</t>
  </si>
  <si>
    <t>Rd2eAcRoFrk</t>
  </si>
  <si>
    <t>9cMq3GB4N5M</t>
  </si>
  <si>
    <t>OP_H5JgRQrc</t>
  </si>
  <si>
    <t>iwghj7UWVbY</t>
  </si>
  <si>
    <t>Mm8qWBJ6a5c</t>
  </si>
  <si>
    <t>8JBIo3GnASs</t>
  </si>
  <si>
    <t>7aHR-AsdNDM</t>
  </si>
  <si>
    <t>_DWrPu6tkUU</t>
  </si>
  <si>
    <t>vI4UqRcDgkc</t>
  </si>
  <si>
    <t>JwHzgv7Oklg</t>
  </si>
  <si>
    <t>KErED0967s4</t>
  </si>
  <si>
    <t>Seuq8vBpQHE</t>
  </si>
  <si>
    <t>sWFqhC3w5lA</t>
  </si>
  <si>
    <t>kPKoQxwGp-U</t>
  </si>
  <si>
    <t>4OR5RTTYoTM</t>
  </si>
  <si>
    <t>hMs3Vne8Btk</t>
  </si>
  <si>
    <t>J2o1-GvDnyI</t>
  </si>
  <si>
    <t>CMeySZ7CioY</t>
  </si>
  <si>
    <t>eR3AI8UMzjA</t>
  </si>
  <si>
    <t>ZNHHXayBSts</t>
  </si>
  <si>
    <t>laUbR8SUlwY</t>
  </si>
  <si>
    <t>jfAezGjVlgw</t>
  </si>
  <si>
    <t>BCWyAwy2FJs</t>
  </si>
  <si>
    <t>-YYV1-jWbUE</t>
  </si>
  <si>
    <t>aq9i7OjVNTI</t>
  </si>
  <si>
    <t>H9xbbO7nv4w</t>
  </si>
  <si>
    <t>hy38PQspbQk</t>
  </si>
  <si>
    <t>N4K05vdiAPk</t>
  </si>
  <si>
    <t>SpmooX1FY8I</t>
  </si>
  <si>
    <t>lTilh3o0whk</t>
  </si>
  <si>
    <t>Aorqo3fsQXM</t>
  </si>
  <si>
    <t>60TXZpVvByQ</t>
  </si>
  <si>
    <t>eCNnEyQk79g</t>
  </si>
  <si>
    <t>EjnIYwNLveU</t>
  </si>
  <si>
    <t>2SaX0GVa1Hs</t>
  </si>
  <si>
    <t>dkBGXOZNsUM</t>
  </si>
  <si>
    <t>k_mQXJZasxQ</t>
  </si>
  <si>
    <t>nlW9uuB50-o</t>
  </si>
  <si>
    <t>SFHdKA7r-4I</t>
  </si>
  <si>
    <t>EPLJoFxGgQg</t>
  </si>
  <si>
    <t>FVPhEOGYVNw</t>
  </si>
  <si>
    <t>yJ1VVR6ksBk</t>
  </si>
  <si>
    <t>NNVjaCOjxbQ</t>
  </si>
  <si>
    <t>160uZhRRT9A</t>
  </si>
  <si>
    <t>Ape0uQrJc2I</t>
  </si>
  <si>
    <t>rjEh284IHtw</t>
  </si>
  <si>
    <t>k3KHhQW12V0</t>
  </si>
  <si>
    <t>0ehxtUNrhNA</t>
  </si>
  <si>
    <t>7lBytsdUMaE</t>
  </si>
  <si>
    <t>x5qN2asJPLk</t>
  </si>
  <si>
    <t>xjNq8iM3Sj0</t>
  </si>
  <si>
    <t>C2C0oo9xQlw</t>
  </si>
  <si>
    <t>ohTyqhoHfAk</t>
  </si>
  <si>
    <t>T7NomXzXKpU</t>
  </si>
  <si>
    <t>AFepSp8exP0</t>
  </si>
  <si>
    <t>ZTAZlbsMKIM</t>
  </si>
  <si>
    <t>TzUtxISXhGM</t>
  </si>
  <si>
    <t>TaMj0qGb0UA</t>
  </si>
  <si>
    <t>7gT2yESNRQM</t>
  </si>
  <si>
    <t>ATpSSc7kPPc</t>
  </si>
  <si>
    <t>z_2HsMo8qkk</t>
  </si>
  <si>
    <t>zcB2Ny6Gh9I</t>
  </si>
  <si>
    <t>Y9UOOtz1Kac</t>
  </si>
  <si>
    <t>1fHkWSd8GXo</t>
  </si>
  <si>
    <t>Il0p0tuhiP8</t>
  </si>
  <si>
    <t>o_RUoXcNYNU</t>
  </si>
  <si>
    <t>Fw20k8ncwTo</t>
  </si>
  <si>
    <t>dAON-QmlFiI</t>
  </si>
  <si>
    <t>UC8_4V541ZqVTev0mWbp10oA</t>
  </si>
  <si>
    <t>d9X2FINm-YM</t>
  </si>
  <si>
    <t>wfXX5e-G-Xc</t>
  </si>
  <si>
    <t>vtsuHm0uYFA</t>
  </si>
  <si>
    <t>cXQLAa5C5tw</t>
  </si>
  <si>
    <t>mups7qz3Foc</t>
  </si>
  <si>
    <t>KEaVXCJFgGU</t>
  </si>
  <si>
    <t>imnaIJIIwsg</t>
  </si>
  <si>
    <t>Z6SUh3DSedk</t>
  </si>
  <si>
    <t>dvd0fx_Ht90</t>
  </si>
  <si>
    <t>OypGqv0PX40</t>
  </si>
  <si>
    <t>XvdUQr50Yh8</t>
  </si>
  <si>
    <t>ukWYHfVF-D4</t>
  </si>
  <si>
    <t>DgMYs8oalq8</t>
  </si>
  <si>
    <t>bBjzkHs6XXE</t>
  </si>
  <si>
    <t>nWeiDakezpI</t>
  </si>
  <si>
    <t>GbYmqbaxtQU</t>
  </si>
  <si>
    <t>KCb8NE_jh_E</t>
  </si>
  <si>
    <t>g7rrC9YIB8E</t>
  </si>
  <si>
    <t>u4EnpWIVxrU</t>
  </si>
  <si>
    <t>hl6Ffm-jEA8</t>
  </si>
  <si>
    <t>e2wzjYL-i6w</t>
  </si>
  <si>
    <t>4FNPX1kJRdE</t>
  </si>
  <si>
    <t>rEHzpfZ1Wo0</t>
  </si>
  <si>
    <t>q_BIE9TIAzs</t>
  </si>
  <si>
    <t>PKUZo0Yc9D8</t>
  </si>
  <si>
    <t>x3wiexCF1MU</t>
  </si>
  <si>
    <t>ZMKR0J--lEY</t>
  </si>
  <si>
    <t>GX3IP3yx6XY</t>
  </si>
  <si>
    <t>C9WiY3-NfLs</t>
  </si>
  <si>
    <t>1uZDM2OOO_A</t>
  </si>
  <si>
    <t>q_XyAS626rg</t>
  </si>
  <si>
    <t>tRxUtIImayg</t>
  </si>
  <si>
    <t>1YdH2RjgA-A</t>
  </si>
  <si>
    <t>jI3sPW86OVQ</t>
  </si>
  <si>
    <t>T8Lkz8CRZe4</t>
  </si>
  <si>
    <t>S-fHRtKnSzo</t>
  </si>
  <si>
    <t>TyTL7jRXPr0</t>
  </si>
  <si>
    <t>Agdh0FEBkxs</t>
  </si>
  <si>
    <t>WuRBwAxkgi0</t>
  </si>
  <si>
    <t>ywADgGzRK3k</t>
  </si>
  <si>
    <t>8zneW_LYMF8</t>
  </si>
  <si>
    <t>wHgH4AGPmDE</t>
  </si>
  <si>
    <t>4K60VncBH2Q</t>
  </si>
  <si>
    <t>8kOcQoSQvL8</t>
  </si>
  <si>
    <t>G2xJRn9e8js</t>
  </si>
  <si>
    <t>wKoV96Ay8gA</t>
  </si>
  <si>
    <t>vGOMCV3LCg8</t>
  </si>
  <si>
    <t>At0IoiJ8Nts</t>
  </si>
  <si>
    <t>nh_41fboYOg</t>
  </si>
  <si>
    <t>H_KzI38K5Es</t>
  </si>
  <si>
    <t>uXif9nGVWto</t>
  </si>
  <si>
    <t>M6Ck5EP4yC0</t>
  </si>
  <si>
    <t>XR_0cVd4f4w</t>
  </si>
  <si>
    <t>AmftE7DkqvE</t>
  </si>
  <si>
    <t>atmUvo41Cc8</t>
  </si>
  <si>
    <t>_-TnuNyTItM</t>
  </si>
  <si>
    <t>UYGtzcJVhRU</t>
  </si>
  <si>
    <t>FtDWM1jFav4</t>
  </si>
  <si>
    <t>jI3OvPAbYKw</t>
  </si>
  <si>
    <t>fz3huza_C_I</t>
  </si>
  <si>
    <t>RsL7-PQELJM</t>
  </si>
  <si>
    <t>SfGBcBpYCU8</t>
  </si>
  <si>
    <t>IKlsHYj6WSY</t>
  </si>
  <si>
    <t>5d1ruIjUkjQ</t>
  </si>
  <si>
    <t>ETiIzyw3Ioc</t>
  </si>
  <si>
    <t>gHjvocmHBXM</t>
  </si>
  <si>
    <t>vZF8stt0tf8</t>
  </si>
  <si>
    <t>TVQTKa8FDMc</t>
  </si>
  <si>
    <t>UCid_oLF5Uo</t>
  </si>
  <si>
    <t>QXoljKZ6X2k</t>
  </si>
  <si>
    <t>dDD1UVinLpo</t>
  </si>
  <si>
    <t>2ANyjNimkok</t>
  </si>
  <si>
    <t>QjlLyJGVkiQ</t>
  </si>
  <si>
    <t>KIXt4aoVQBc</t>
  </si>
  <si>
    <t>9gN5na_8klo</t>
  </si>
  <si>
    <t>yJtlE0FcY2c</t>
  </si>
  <si>
    <t>tlaWW7dBB3g</t>
  </si>
  <si>
    <t>hP5zr0URPfM</t>
  </si>
  <si>
    <t>XjI6Ruir2H8</t>
  </si>
  <si>
    <t>WuPUQvDZMPY</t>
  </si>
  <si>
    <t>fdlQMYytPHU</t>
  </si>
  <si>
    <t>RGnAiDlncas</t>
  </si>
  <si>
    <t>NiYHX14G2LI</t>
  </si>
  <si>
    <t>uxAjCvRJ36A</t>
  </si>
  <si>
    <t>25saoiMiTj4</t>
  </si>
  <si>
    <t>7YtBsXYpB9I</t>
  </si>
  <si>
    <t>UCpE6V9kRImKY0HX3THRgYpw</t>
  </si>
  <si>
    <t>p0L3Dgeic84</t>
  </si>
  <si>
    <t>nIL-5ZxErlQ</t>
  </si>
  <si>
    <t>-41hFWqnW88</t>
  </si>
  <si>
    <t>488g7PgykSg</t>
  </si>
  <si>
    <t>nCpSeSvQwNs</t>
  </si>
  <si>
    <t>KcHBf5dNHFw</t>
  </si>
  <si>
    <t>b-AedF76kI4</t>
  </si>
  <si>
    <t>_DeDr6pbrfM</t>
  </si>
  <si>
    <t>gwaP61WR530</t>
  </si>
  <si>
    <t>079JGuHggp4</t>
  </si>
  <si>
    <t>XnRQ1zZP_Pk</t>
  </si>
  <si>
    <t>Bbp68yeFsXA</t>
  </si>
  <si>
    <t>c0p49R2a7FA</t>
  </si>
  <si>
    <t>hCYJBfqaI0s</t>
  </si>
  <si>
    <t>pmuvCKnq7c4</t>
  </si>
  <si>
    <t>ODQrKTVvoBA</t>
  </si>
  <si>
    <t>Fs1YcS_v5wg</t>
  </si>
  <si>
    <t>AmrQWTNv31E</t>
  </si>
  <si>
    <t>HvEsQIMrZhk</t>
  </si>
  <si>
    <t>avFYwAMrHnE</t>
  </si>
  <si>
    <t>en3iO8kiWkU</t>
  </si>
  <si>
    <t>gsWPuxIPA6I</t>
  </si>
  <si>
    <t>KhTjyKpBR2A</t>
  </si>
  <si>
    <t>w-xf2jdHpLE</t>
  </si>
  <si>
    <t>9Dr9qPcf7IQ</t>
  </si>
  <si>
    <t>vMtyBur7mNs</t>
  </si>
  <si>
    <t>wkRbZLesbbg</t>
  </si>
  <si>
    <t>cFHtIP1GZTo</t>
  </si>
  <si>
    <t>6cq1FmZDiJA</t>
  </si>
  <si>
    <t>eK1p9PVEs00</t>
  </si>
  <si>
    <t>PusBwcDOAkk</t>
  </si>
  <si>
    <t>4jazCtduAqU</t>
  </si>
  <si>
    <t>vDQDb43joOQ</t>
  </si>
  <si>
    <t>0j2ozhNolxI</t>
  </si>
  <si>
    <t>rGujMRh_dIU</t>
  </si>
  <si>
    <t>zu6JfjZw-vs</t>
  </si>
  <si>
    <t>rT93GXs4sak</t>
  </si>
  <si>
    <t>XRFs1rNXsk8</t>
  </si>
  <si>
    <t>dhiuQSMVNhU</t>
  </si>
  <si>
    <t>YIAFpjDNxPE</t>
  </si>
  <si>
    <t>krEfy2thqKc</t>
  </si>
  <si>
    <t>o7k5wDrD1Bg</t>
  </si>
  <si>
    <t>_R7HG7IzoW8</t>
  </si>
  <si>
    <t>ni6PdDKI-pQ</t>
  </si>
  <si>
    <t>v8paXacH7LE</t>
  </si>
  <si>
    <t>eFmeTXGbx_M</t>
  </si>
  <si>
    <t>H9_fYESBZqk</t>
  </si>
  <si>
    <t>TQDTqfMB1lc</t>
  </si>
  <si>
    <t>pnW9JPuBNTM</t>
  </si>
  <si>
    <t>UCnQ7ryVdrmfKvNvlnOILnvQ</t>
  </si>
  <si>
    <t>jkB3YiVhdZc</t>
  </si>
  <si>
    <t>-FNKcognydE</t>
  </si>
  <si>
    <t>_RlnO75dQDY</t>
  </si>
  <si>
    <t>32qgWMnrcNU</t>
  </si>
  <si>
    <t>5uunvEAzqVM</t>
  </si>
  <si>
    <t>1wF0H8BPyZI</t>
  </si>
  <si>
    <t>WsECEQ1CAfw</t>
  </si>
  <si>
    <t>ToUd8pLk2JE</t>
  </si>
  <si>
    <t>bgZxbJzwtqo</t>
  </si>
  <si>
    <t>piVX-mTORK0</t>
  </si>
  <si>
    <t>GzlesYNQ5Fw</t>
  </si>
  <si>
    <t>UMnBbZC8G50</t>
  </si>
  <si>
    <t>LlzxFkC2jS0</t>
  </si>
  <si>
    <t>8mxJj-AtnPg</t>
  </si>
  <si>
    <t>08EjNs_wsF0</t>
  </si>
  <si>
    <t>9XCCwDB-FTQ</t>
  </si>
  <si>
    <t>btQvPKCErpA</t>
  </si>
  <si>
    <t>6vjsBVFXFd4</t>
  </si>
  <si>
    <t>OSXJYwO0_RE</t>
  </si>
  <si>
    <t>J1uF0sSAeiU</t>
  </si>
  <si>
    <t>XhVEITMN72c</t>
  </si>
  <si>
    <t>mE0ZFBOHdLs</t>
  </si>
  <si>
    <t>BgQhVJiGk-U</t>
  </si>
  <si>
    <t>bDuVepkuCCc</t>
  </si>
  <si>
    <t>zP0WDMTu72c</t>
  </si>
  <si>
    <t>AFbBu8Meu6g</t>
  </si>
  <si>
    <t>ph0oYrYhvRA</t>
  </si>
  <si>
    <t>F1NgB2clQtk</t>
  </si>
  <si>
    <t>ebzJU70BFvs</t>
  </si>
  <si>
    <t>c_DTX9AVElQ</t>
  </si>
  <si>
    <t>Rx0zb2XbMlk</t>
  </si>
  <si>
    <t>tBmEQtF4LD0</t>
  </si>
  <si>
    <t>-cKBD9SbyUQ</t>
  </si>
  <si>
    <t>_6lDFvpyGDA</t>
  </si>
  <si>
    <t>mMg2Q6mNMRU</t>
  </si>
  <si>
    <t>cTQToqPgjWg</t>
  </si>
  <si>
    <t>wA7KBK5CdgY</t>
  </si>
  <si>
    <t>9BVfx1peL4Y</t>
  </si>
  <si>
    <t>DAk-z8Atwao</t>
  </si>
  <si>
    <t>DTQRpYFZm9Q</t>
  </si>
  <si>
    <t>_O04A1QQhvI</t>
  </si>
  <si>
    <t>LX8brzDrbvQ</t>
  </si>
  <si>
    <t>Pj_YQg39XNc</t>
  </si>
  <si>
    <t>fGTtnFX-yNs</t>
  </si>
  <si>
    <t>Jv6vMGpq6Rc</t>
  </si>
  <si>
    <t>YwwK-gH8H-Q</t>
  </si>
  <si>
    <t>nikzO_I0qiI</t>
  </si>
  <si>
    <t>rN453WG6by4</t>
  </si>
  <si>
    <t>X_c1t8JWXVE</t>
  </si>
  <si>
    <t>UC39djHphtdnlBen8ak5n4EQ</t>
  </si>
  <si>
    <t>lJx8BUW96Cg</t>
  </si>
  <si>
    <t>jCe_PWapNdU</t>
  </si>
  <si>
    <t>H9dJ5zb9vrg</t>
  </si>
  <si>
    <t>yWcNbm3WZ2A</t>
  </si>
  <si>
    <t>2uqE_OYcSAg</t>
  </si>
  <si>
    <t>P90SrMOvQ8A</t>
  </si>
  <si>
    <t>UCTX8oKfF_kGOvieI4K4Q7Cg</t>
  </si>
  <si>
    <t>8wMQN7dtvYs</t>
  </si>
  <si>
    <t>8r_qIWtpBx4</t>
  </si>
  <si>
    <t>UCH2t6jvINIOeYzBQR0iI5kw</t>
  </si>
  <si>
    <t>mbSiT8uZLes</t>
  </si>
  <si>
    <t>w4vM5RuynyY</t>
  </si>
  <si>
    <t>0cW8Lzay4ac</t>
  </si>
  <si>
    <t>zIotwYcPW5U</t>
  </si>
  <si>
    <t>h1XuZuR4hBQ</t>
  </si>
  <si>
    <t>nj2YZhxJSSc</t>
  </si>
  <si>
    <t>7OGBBc08r4U</t>
  </si>
  <si>
    <t>aHDQrWdyvqQ</t>
  </si>
  <si>
    <t>Hv78GGB4ZxA</t>
  </si>
  <si>
    <t>ZAswVI7Av-8</t>
  </si>
  <si>
    <t>zUFgtqczSZI</t>
  </si>
  <si>
    <t>PtK-EUC7dGo</t>
  </si>
  <si>
    <t>YtHKRsqq9_s</t>
  </si>
  <si>
    <t>OkpNVZjGxFI</t>
  </si>
  <si>
    <t>eFO0mwobHZI</t>
  </si>
  <si>
    <t>b-Pl8KRR6g4</t>
  </si>
  <si>
    <t>Autxab86FjY</t>
  </si>
  <si>
    <t>z8bMhicYi-o</t>
  </si>
  <si>
    <t>SownSYDg8DI</t>
  </si>
  <si>
    <t>XHtgKA6wC3A</t>
  </si>
  <si>
    <t>72OD1l6K0pI</t>
  </si>
  <si>
    <t>8nb8IlL2HYQ</t>
  </si>
  <si>
    <t>qQg9vb9rIZA</t>
  </si>
  <si>
    <t>KJXMkum8V1g</t>
  </si>
  <si>
    <t>k_sXSa6U5x0</t>
  </si>
  <si>
    <t>JxlFrCLgmbE</t>
  </si>
  <si>
    <t>Na2qRgQ1I3o</t>
  </si>
  <si>
    <t>r50873BbCKk</t>
  </si>
  <si>
    <t>wQ7q12ez1NQ</t>
  </si>
  <si>
    <t>JcEHCGztWqI</t>
  </si>
  <si>
    <t>ctFGGI8oHs4</t>
  </si>
  <si>
    <t>jZMnJ_klsQI</t>
  </si>
  <si>
    <t>WCCHNaDGi-M</t>
  </si>
  <si>
    <t>08p-Q9gLTWs</t>
  </si>
  <si>
    <t>RDYHkmMB1-Y</t>
  </si>
  <si>
    <t>6dgfPCbc59w</t>
  </si>
  <si>
    <t>bX-OmTv1DOM</t>
  </si>
  <si>
    <t>1tJP1-o0yNE</t>
  </si>
  <si>
    <t>IRLr-RNcO5k</t>
  </si>
  <si>
    <t>YsR6LopRLEI</t>
  </si>
  <si>
    <t>pGo3efBGed4</t>
  </si>
  <si>
    <t>yq6Qjto5_wc</t>
  </si>
  <si>
    <t>JHZCr8g_P5s</t>
  </si>
  <si>
    <t>V6wCx8WUMxY</t>
  </si>
  <si>
    <t>h5GLB3t22Gg</t>
  </si>
  <si>
    <t>UC249m2fxYzK-NnfH06YNP3A</t>
  </si>
  <si>
    <t>lr13ZiTXzdY</t>
  </si>
  <si>
    <t>r3TXhUInmGc</t>
  </si>
  <si>
    <t>-cAFXSDx250</t>
  </si>
  <si>
    <t>CLY3_wL_gxs</t>
  </si>
  <si>
    <t>cGxSu0yXdUg</t>
  </si>
  <si>
    <t>H8_wmPms2Xg</t>
  </si>
  <si>
    <t>dQtZLtFuU8E</t>
  </si>
  <si>
    <t>1Ip5Wcroki4</t>
  </si>
  <si>
    <t>K-cl8pGQVMU</t>
  </si>
  <si>
    <t>USSI2EBT8do</t>
  </si>
  <si>
    <t>rj7DB-8SQUA</t>
  </si>
  <si>
    <t>1TBuD-tXsdo</t>
  </si>
  <si>
    <t>BB0pCdGM86I</t>
  </si>
  <si>
    <t>o7XLtjKcVYI</t>
  </si>
  <si>
    <t>JTKrlXoEc7k</t>
  </si>
  <si>
    <t>OxI18oHNjnE</t>
  </si>
  <si>
    <t>Z67YN1ckdfM</t>
  </si>
  <si>
    <t>LqVL591cVCk</t>
  </si>
  <si>
    <t>RcLWzpGzIK4</t>
  </si>
  <si>
    <t>2pPNbIIgu64</t>
  </si>
  <si>
    <t>END7AxiFp3s</t>
  </si>
  <si>
    <t>MmXJB_TPdCE</t>
  </si>
  <si>
    <t>0L9GAmd4aLg</t>
  </si>
  <si>
    <t>7rRKauoPyKs</t>
  </si>
  <si>
    <t>Bg6I9BexJZg</t>
  </si>
  <si>
    <t>4JUd_xM_m1M</t>
  </si>
  <si>
    <t>k9MHCYBr2eg</t>
  </si>
  <si>
    <t>JYKS7IIARco</t>
  </si>
  <si>
    <t>TRmD0Sjj9H0</t>
  </si>
  <si>
    <t>5goj0uEKZJ0</t>
  </si>
  <si>
    <t>IXOkYwDNvJY</t>
  </si>
  <si>
    <t>iPDA7s2H_Jo</t>
  </si>
  <si>
    <t>DX3zvKdq_KE</t>
  </si>
  <si>
    <t>kdF-YQV6z1A</t>
  </si>
  <si>
    <t>GcwHLFZmmZk</t>
  </si>
  <si>
    <t>bwp-DzUCIEA</t>
  </si>
  <si>
    <t>qjOBtVaWM9w</t>
  </si>
  <si>
    <t>5ACjaRk-KMg</t>
  </si>
  <si>
    <t>Jt5YY-sXzdQ</t>
  </si>
  <si>
    <t>HO8JYFhau7o</t>
  </si>
  <si>
    <t>oA691vQUgOc</t>
  </si>
  <si>
    <t>ZIgWxZvU1DE</t>
  </si>
  <si>
    <t>LZC46YWuwsg</t>
  </si>
  <si>
    <t>Baw9qsxgq70</t>
  </si>
  <si>
    <t>h0zJTAVRzAg</t>
  </si>
  <si>
    <t>2FdQHj19UUM</t>
  </si>
  <si>
    <t>3yvOCXqR2gg</t>
  </si>
  <si>
    <t>Zm3u-qahrWw</t>
  </si>
  <si>
    <t>Mu8ajpb7DSI</t>
  </si>
  <si>
    <t>Zqjr8NRNaU8</t>
  </si>
  <si>
    <t>5TEUgUEoot8</t>
  </si>
  <si>
    <t>B6r3fo0thxE</t>
  </si>
  <si>
    <t>d1TOqarCchc</t>
  </si>
  <si>
    <t>i1Siha0jfvU</t>
  </si>
  <si>
    <t>yitAeF0sCeQ</t>
  </si>
  <si>
    <t>--U4nYS9vXc</t>
  </si>
  <si>
    <t>UC7Zayxj2DitG-4C7JMUfd4w</t>
  </si>
  <si>
    <t>NwrxMf75E_g</t>
  </si>
  <si>
    <t>hZhdaHMJxKY</t>
  </si>
  <si>
    <t>kC4-QltGnvk</t>
  </si>
  <si>
    <t>5gZr08K-Mlo</t>
  </si>
  <si>
    <t>txsZPh68n6A</t>
  </si>
  <si>
    <t>Yla3IcwL6Ho</t>
  </si>
  <si>
    <t>PywjhwSNRU8</t>
  </si>
  <si>
    <t>MI0TsYeYcAI</t>
  </si>
  <si>
    <t>PW22-e20Qz8</t>
  </si>
  <si>
    <t>InqybO3sT8M</t>
  </si>
  <si>
    <t>kJjC6EXRbxY</t>
  </si>
  <si>
    <t>g57lEGjwjoY</t>
  </si>
  <si>
    <t>BlnahfO948c</t>
  </si>
  <si>
    <t>IGUbuwmQhy0</t>
  </si>
  <si>
    <t>1ooHDlC33K8</t>
  </si>
  <si>
    <t>H_EWoIFRWdM</t>
  </si>
  <si>
    <t>KJ4UCnY9HQY</t>
  </si>
  <si>
    <t>5ggBHXuPSl4</t>
  </si>
  <si>
    <t>dgPR9MvFmyY</t>
  </si>
  <si>
    <t>h7gdM5sGZNw</t>
  </si>
  <si>
    <t>AB8KZAEziIA</t>
  </si>
  <si>
    <t>KO3IGQgdHTc</t>
  </si>
  <si>
    <t>ZDtvCuhLS68</t>
  </si>
  <si>
    <t>DwJvuDobFRo</t>
  </si>
  <si>
    <t>XCRrl46oFTk</t>
  </si>
  <si>
    <t>AILQIsFVPYA</t>
  </si>
  <si>
    <t>9DXKo7O8gio</t>
  </si>
  <si>
    <t>j22P5m4Po9o</t>
  </si>
  <si>
    <t>XEkiAbRLpD8</t>
  </si>
  <si>
    <t>Zg6H-11PHb0</t>
  </si>
  <si>
    <t>QX6Hv2EvWQs</t>
  </si>
  <si>
    <t>9WST58SEkHY</t>
  </si>
  <si>
    <t>VqX2UxBcTeI</t>
  </si>
  <si>
    <t>P6h_ZSnyJu4</t>
  </si>
  <si>
    <t>wuN_8jFyF9c</t>
  </si>
  <si>
    <t>veH-dElAV3E</t>
  </si>
  <si>
    <t>Y_0REplsi4A</t>
  </si>
  <si>
    <t>ERT6x8RBCEw</t>
  </si>
  <si>
    <t>bOWXuHgOFY8</t>
  </si>
  <si>
    <t>d_4mTOwg20A</t>
  </si>
  <si>
    <t>FFu66OGnmk0</t>
  </si>
  <si>
    <t>l-j7zOje3Sw</t>
  </si>
  <si>
    <t>zMA9N18mdPw</t>
  </si>
  <si>
    <t>8g3uu5UNRRI</t>
  </si>
  <si>
    <t>wwD5MV-IqQc</t>
  </si>
  <si>
    <t>3G2Ksn1QbUI</t>
  </si>
  <si>
    <t>_IrmchymgS0</t>
  </si>
  <si>
    <t>rBHT8a5fUyY</t>
  </si>
  <si>
    <t>cmyPJhoymH8</t>
  </si>
  <si>
    <t>MviTMe75fBQ</t>
  </si>
  <si>
    <t>6oZHiHCCrfs</t>
  </si>
  <si>
    <t>t-RSAwE-QZk</t>
  </si>
  <si>
    <t>Xz9xy1ApSNA</t>
  </si>
  <si>
    <t>eexLM9cnchE</t>
  </si>
  <si>
    <t>NA4Vp4rAG6Q</t>
  </si>
  <si>
    <t>E-qPGLteMwA</t>
  </si>
  <si>
    <t>xuj0ZGY2CXg</t>
  </si>
  <si>
    <t>Hcf8oZJulho</t>
  </si>
  <si>
    <t>HTWqrydStUw</t>
  </si>
  <si>
    <t>2Qb4jW4-F_U</t>
  </si>
  <si>
    <t>Kcei1HIo5lA</t>
  </si>
  <si>
    <t>hGUqiFunydA</t>
  </si>
  <si>
    <t>LeViabRc2so</t>
  </si>
  <si>
    <t>rmSNQuES02Y</t>
  </si>
  <si>
    <t>_uDadnLm1QA</t>
  </si>
  <si>
    <t>DGleQ3DYzKc</t>
  </si>
  <si>
    <t>TygFLahikac</t>
  </si>
  <si>
    <t>nePg5IF0lfw</t>
  </si>
  <si>
    <t>88XvwsB7beY</t>
  </si>
  <si>
    <t>mpqvgPfKWgo</t>
  </si>
  <si>
    <t>en|yue-vewLDbPgjFk</t>
  </si>
  <si>
    <t>xgR0Em01GEU</t>
  </si>
  <si>
    <t>A8us1oFupJo</t>
  </si>
  <si>
    <t>VwC1RU_505Q</t>
  </si>
  <si>
    <t>Z4dlsMnjX8M</t>
  </si>
  <si>
    <t>m1hSRPq2Qc8</t>
  </si>
  <si>
    <t>_vtiUleKpc4</t>
  </si>
  <si>
    <t>iO225kPEMLI</t>
  </si>
  <si>
    <t>r04dCNJtdrc</t>
  </si>
  <si>
    <t>BPZkCw0qjAg</t>
  </si>
  <si>
    <t>NixDV9YR6Bk</t>
  </si>
  <si>
    <t>kTq6F_dh14k</t>
  </si>
  <si>
    <t>hvzmW1Q_V7Q</t>
  </si>
  <si>
    <t>MALYVHSrNog</t>
  </si>
  <si>
    <t>Ki_a2eme7TI</t>
  </si>
  <si>
    <t>J-GKMRj-ixw</t>
  </si>
  <si>
    <t>PJAddaXnWVM</t>
  </si>
  <si>
    <t>iq1tSmQScig</t>
  </si>
  <si>
    <t>I_48h9_v7Lk</t>
  </si>
  <si>
    <t>FwRGU-oSdaI</t>
  </si>
  <si>
    <t>ACdvk36bi74</t>
  </si>
  <si>
    <t>9VTb0Nw6Vhs</t>
  </si>
  <si>
    <t>BE01J_yTTr4</t>
  </si>
  <si>
    <t>piuqO1_Hn-w</t>
  </si>
  <si>
    <t>UCiJnCs2K5gP-DXnMxlstC9A</t>
  </si>
  <si>
    <t>qPCZBOctKIY</t>
  </si>
  <si>
    <t>OMwHHXJK3hI</t>
  </si>
  <si>
    <t>3z8j0MJCihc</t>
  </si>
  <si>
    <t>_o4F-wkFAl0</t>
  </si>
  <si>
    <t>UsUZEi_8c1A</t>
  </si>
  <si>
    <t>Ghhps9M6TwE</t>
  </si>
  <si>
    <t>Ox0QSjkvKsk</t>
  </si>
  <si>
    <t>9j8cgln7ztg</t>
  </si>
  <si>
    <t>TH-2fI_Kgjk</t>
  </si>
  <si>
    <t>4rF6VvDFKPo</t>
  </si>
  <si>
    <t>OHu7kK4m7nY</t>
  </si>
  <si>
    <t>UCOPLu2jjrQ8bIgP9olEZ4lQ</t>
  </si>
  <si>
    <t>dsGNKcnTFiE</t>
  </si>
  <si>
    <t>UCVvdX8wGBmCM9KerhiVu_Ig</t>
  </si>
  <si>
    <t>_qTiLkGGQuU</t>
  </si>
  <si>
    <t>BZwdatdgsf4</t>
  </si>
  <si>
    <t>lGWlKx3fLzE</t>
  </si>
  <si>
    <t>0-C665P82Hs</t>
  </si>
  <si>
    <t>u-1E6mgRrNM</t>
  </si>
  <si>
    <t>UCRlq4EUzB7RUBiaX_ax5Ylw</t>
  </si>
  <si>
    <t>XxQf6zHMe2M</t>
  </si>
  <si>
    <t>kFFKE9ppvE4</t>
  </si>
  <si>
    <t>8-Ztml7UOo8</t>
  </si>
  <si>
    <t>bJ44XiR35Y4</t>
  </si>
  <si>
    <t>2BPnN8UTYoo</t>
  </si>
  <si>
    <t>ZQbuibllxcY</t>
  </si>
  <si>
    <t>PS7VTOZ8_J0</t>
  </si>
  <si>
    <t>mSAg3VRie-s</t>
  </si>
  <si>
    <t>1Tg2MmB6ktI</t>
  </si>
  <si>
    <t>gwhHsHegfhA</t>
  </si>
  <si>
    <t>MtHUBEMedBM</t>
  </si>
  <si>
    <t>mQwqiFPBVz4</t>
  </si>
  <si>
    <t>iLvvZa02RWw</t>
  </si>
  <si>
    <t>YmEGgd2zSZQ</t>
  </si>
  <si>
    <t>5NuVLibd6PA</t>
  </si>
  <si>
    <t>hCRNbI-jwU0</t>
  </si>
  <si>
    <t>mt1GljJlWMQ</t>
  </si>
  <si>
    <t>Ak3Z_H65LFo</t>
  </si>
  <si>
    <t>jiHNAcBQw1w</t>
  </si>
  <si>
    <t>MQR6fNJZ6xE</t>
  </si>
  <si>
    <t>iwN140cnlfA</t>
  </si>
  <si>
    <t>S-WB9zg8XvU</t>
  </si>
  <si>
    <t>f84x-nuKhCA</t>
  </si>
  <si>
    <t>6S-qazztPAE</t>
  </si>
  <si>
    <t>zGXvu5mW6EE</t>
  </si>
  <si>
    <t>gJOli3DZs_k</t>
  </si>
  <si>
    <t>UCCa6OFUN6n0JB2FhnDxFSBA</t>
  </si>
  <si>
    <t>l3lOHva_cCI</t>
  </si>
  <si>
    <t>0luClDA_194</t>
  </si>
  <si>
    <t>gQnlunIvHUQ</t>
  </si>
  <si>
    <t>ryDjXXBvOwE</t>
  </si>
  <si>
    <t>x6z1AHYPZJM</t>
  </si>
  <si>
    <t>SRXlXzp-Usw</t>
  </si>
  <si>
    <t>E2gaC2a7C3A</t>
  </si>
  <si>
    <t>06d0Xvv20fI</t>
  </si>
  <si>
    <t>0WCFg2HW_1E</t>
  </si>
  <si>
    <t>Rs4kev9e6hw</t>
  </si>
  <si>
    <t>UCSJCx6i6QI2MFN0mDJnnTCw</t>
  </si>
  <si>
    <t>m4kPWSlQTXE</t>
  </si>
  <si>
    <t>aglrb7BIa6s</t>
  </si>
  <si>
    <t>BeYNwXmmKUg</t>
  </si>
  <si>
    <t>mCFRf_HNHNM</t>
  </si>
  <si>
    <t>irVaq1-kheg</t>
  </si>
  <si>
    <t>4xEUyUVyboI</t>
  </si>
  <si>
    <t>PzYb67GGRZY</t>
  </si>
  <si>
    <t>A7uWcUYolZs</t>
  </si>
  <si>
    <t>pfZzlrfjlZc</t>
  </si>
  <si>
    <t>Wugchc6cN3k</t>
  </si>
  <si>
    <t>izAghoYOHdQ</t>
  </si>
  <si>
    <t>tGMSjbaoNgE</t>
  </si>
  <si>
    <t>dkx2shlpXq8</t>
  </si>
  <si>
    <t>1--QPDFnAhI</t>
  </si>
  <si>
    <t>nGFL6JIG4cE</t>
  </si>
  <si>
    <t>LMJi-wjvbxM</t>
  </si>
  <si>
    <t>YRsKJ3Ko5EY</t>
  </si>
  <si>
    <t>s3o5FENfq7o</t>
  </si>
  <si>
    <t>5CWmH6KlUvs</t>
  </si>
  <si>
    <t>QfRZUdP55Ig</t>
  </si>
  <si>
    <t>WPqnn-cTFpQ</t>
  </si>
  <si>
    <t>DT9eue_Nt6g</t>
  </si>
  <si>
    <t>_wiXMKRd9K8</t>
  </si>
  <si>
    <t>AR2IOJ5bIzs</t>
  </si>
  <si>
    <t>c-q0SOpyqJ4</t>
  </si>
  <si>
    <t>i-jwPOi4wdY</t>
  </si>
  <si>
    <t>sqyg9C_2SFY</t>
  </si>
  <si>
    <t>tEXCXQoTg9o</t>
  </si>
  <si>
    <t>MgBOpyM0VhI</t>
  </si>
  <si>
    <t>7wV0OLnhS50</t>
  </si>
  <si>
    <t>UEFwt0U7mg8</t>
  </si>
  <si>
    <t>ZP_Zkj-IXM0</t>
  </si>
  <si>
    <t>grKPtwo-Tdw</t>
  </si>
  <si>
    <t>Cv80VMV6s-s</t>
  </si>
  <si>
    <t>QF0LzBbmgmA</t>
  </si>
  <si>
    <t>kXG87bzofSY</t>
  </si>
  <si>
    <t>9fkVveK47OM</t>
  </si>
  <si>
    <t>98pc6k-hq8s</t>
  </si>
  <si>
    <t>4irEmy0_wl8</t>
  </si>
  <si>
    <t>9Vpbvk01mh0</t>
  </si>
  <si>
    <t>wUGcQQQwNtM</t>
  </si>
  <si>
    <t>JQ4iCDspbKQ</t>
  </si>
  <si>
    <t>RZ6-18QwBKc</t>
  </si>
  <si>
    <t>ckSs5_0ux4I</t>
  </si>
  <si>
    <t>p0bSm_YdOZw</t>
  </si>
  <si>
    <t>6YVnrxqS3GE</t>
  </si>
  <si>
    <t>NAa2JjqvR4I</t>
  </si>
  <si>
    <t>Vwqi8Wn6ea0</t>
  </si>
  <si>
    <t>-YJzVtVS7RU</t>
  </si>
  <si>
    <t>zK_8FNur4iw</t>
  </si>
  <si>
    <t>75RXgpmUuJU</t>
  </si>
  <si>
    <t>0jgXZdfLfjY</t>
  </si>
  <si>
    <t>kTymQfy3YCw</t>
  </si>
  <si>
    <t>k1OFa41pYQY</t>
  </si>
  <si>
    <t>konKEJRKC1M</t>
  </si>
  <si>
    <t>cMo6mi_ZCVA</t>
  </si>
  <si>
    <t>WMyvo5O6wYk</t>
  </si>
  <si>
    <t>a0qdpnkNGaw</t>
  </si>
  <si>
    <t>Nl7phVzNI18</t>
  </si>
  <si>
    <t>HsXnR6cGmBw</t>
  </si>
  <si>
    <t>y-nId8MtLUs</t>
  </si>
  <si>
    <t>7VZTBWxjWRI</t>
  </si>
  <si>
    <t>LHSVC96lY8g</t>
  </si>
  <si>
    <t>fsmKzZAybZs</t>
  </si>
  <si>
    <t>frKOxwkaVwM</t>
  </si>
  <si>
    <t>Y9VDC6rBY_I</t>
  </si>
  <si>
    <t>E3WPRSfcumw</t>
  </si>
  <si>
    <t>KUJPusW5E1Q</t>
  </si>
  <si>
    <t>pchq1x7ECmE</t>
  </si>
  <si>
    <t>3i4a9PXXosc</t>
  </si>
  <si>
    <t>IEV8awcqF60</t>
  </si>
  <si>
    <t>ZQdYmLMHA_g</t>
  </si>
  <si>
    <t>622wFJ9MyZM</t>
  </si>
  <si>
    <t>jUQmC-U4D-U</t>
  </si>
  <si>
    <t>UCkdEqlRnoKQTBez32SagNZg</t>
  </si>
  <si>
    <t>paNLVc0xFp0</t>
  </si>
  <si>
    <t>en-US|zh-Hans|zh-Hant</t>
  </si>
  <si>
    <t>CXUbNkOSKvs</t>
  </si>
  <si>
    <t>kjzPFY-g4t4</t>
  </si>
  <si>
    <t>UCEuQ-0x3uMk1KghGiO1kTHg</t>
  </si>
  <si>
    <t>6AGb61yfxlw</t>
  </si>
  <si>
    <t>QzxGZLyid3A</t>
  </si>
  <si>
    <t>UCflHWc2jHgigPVPuXiJbrMA</t>
  </si>
  <si>
    <t>m5c_YVRj4iA</t>
  </si>
  <si>
    <t>UCTJdpIRx6KuckrRxTuqiWSw</t>
  </si>
  <si>
    <t>gMb5n2oXg4A</t>
  </si>
  <si>
    <t>kF56sGlYmWY</t>
  </si>
  <si>
    <t>K1EKruN5h0U</t>
  </si>
  <si>
    <t>zh2pa88GZaE</t>
  </si>
  <si>
    <t>j1CZhBIEIRk</t>
  </si>
  <si>
    <t>O5fXXbjT_Mc</t>
  </si>
  <si>
    <t>QVeNX0Ct_jA</t>
  </si>
  <si>
    <t>NgKU_aBQ9MM</t>
  </si>
  <si>
    <t>_4eBBh4m8bY</t>
  </si>
  <si>
    <t>G8CrrgfvUIU</t>
  </si>
  <si>
    <t>5JHfqtrIZ_E</t>
  </si>
  <si>
    <t>oblAKwdLHkc</t>
  </si>
  <si>
    <t>JP820prIdhM</t>
  </si>
  <si>
    <t>7xKrSRNL-eU</t>
  </si>
  <si>
    <t>vjwfSwwxdDw</t>
  </si>
  <si>
    <t>NkHeAZK-_Iw</t>
  </si>
  <si>
    <t>qLKP4aZtzk4</t>
  </si>
  <si>
    <t>C8TnlaCbX2M</t>
  </si>
  <si>
    <t>7MunY5E1nTI</t>
  </si>
  <si>
    <t>7Zyh72FivCw</t>
  </si>
  <si>
    <t>oxpytUw4pBM</t>
  </si>
  <si>
    <t>4aVfsGtLaYg</t>
  </si>
  <si>
    <t>xWu8MES7jPM</t>
  </si>
  <si>
    <t>KRxS_9iLDn4</t>
  </si>
  <si>
    <t>HJIzpf98XUs</t>
  </si>
  <si>
    <t>PTjhayo6WLQ</t>
  </si>
  <si>
    <t>fhV7rX5xJjs</t>
  </si>
  <si>
    <t>pdMMhjm1v3A</t>
  </si>
  <si>
    <t>sqBjAHjKiuc</t>
  </si>
  <si>
    <t>o22Ox8GqepY</t>
  </si>
  <si>
    <t>K6UPfbDOyD8</t>
  </si>
  <si>
    <t>Ek_aYCHSyQQ</t>
  </si>
  <si>
    <t>99di1hYk8Js</t>
  </si>
  <si>
    <t>W6l99P6eAX4</t>
  </si>
  <si>
    <t>LEQUGXTpB4M</t>
  </si>
  <si>
    <t>XUe5JY1LvrQ</t>
  </si>
  <si>
    <t>1NCPSuhGi3A</t>
  </si>
  <si>
    <t>Xh1tCv3Mu0M</t>
  </si>
  <si>
    <t>CTeTXbvrxac</t>
  </si>
  <si>
    <t>Hv93wxQE5Uk</t>
  </si>
  <si>
    <t>dUQisEYKs0Q</t>
  </si>
  <si>
    <t>xpYCl4HgzIo</t>
  </si>
  <si>
    <t>UCOaPA9dplBmTRdkugUnn17g</t>
  </si>
  <si>
    <t>6z72vCE8jzk</t>
  </si>
  <si>
    <t>-eTd2exTuZs</t>
  </si>
  <si>
    <t>_At8IHpacts</t>
  </si>
  <si>
    <t>yH04fycRw1Y</t>
  </si>
  <si>
    <t>fJTrKDKGH8o</t>
  </si>
  <si>
    <t>79KAMq5m72s</t>
  </si>
  <si>
    <t>1xFw_3w17xo</t>
  </si>
  <si>
    <t>f0dT0FlIWPo</t>
  </si>
  <si>
    <t>9Y18R7xvEuc</t>
  </si>
  <si>
    <t>UCYSklZv0Xn8k51xst1ePAzw</t>
  </si>
  <si>
    <t>relilGTje5M</t>
  </si>
  <si>
    <t>UCZdOF7o0teJCv7edI3QCiDg</t>
  </si>
  <si>
    <t>gxZxKzGwyAE</t>
  </si>
  <si>
    <t>UCZc-RwRZUYVuwu3A9pVBISg</t>
  </si>
  <si>
    <t>gEBlYEn5Ub4</t>
  </si>
  <si>
    <t>xiIvI7l-CHI</t>
  </si>
  <si>
    <t>EpwTKZ4rH6s</t>
  </si>
  <si>
    <t>sozGu8JO4HA</t>
  </si>
  <si>
    <t>ap0Fzi76mIc</t>
  </si>
  <si>
    <t>SNKIMs-p4X0</t>
  </si>
  <si>
    <t>L8a7Y1HV36Y</t>
  </si>
  <si>
    <t>t9afLQwpl-4</t>
  </si>
  <si>
    <t>UCFhqo-h29TVyrRFcIIBwr7w</t>
  </si>
  <si>
    <t>I3SS0T11FnU</t>
  </si>
  <si>
    <t>PdDkhbN5bpw</t>
  </si>
  <si>
    <t>731WKV8IkAg</t>
  </si>
  <si>
    <t>7a9TyUfHC9s</t>
  </si>
  <si>
    <t>lM6Kc-Ng8Kc</t>
  </si>
  <si>
    <t>n5-8RvV9ZxI</t>
  </si>
  <si>
    <t>mepB9R1yhzk</t>
  </si>
  <si>
    <t>Sw8dPGxXRCc</t>
  </si>
  <si>
    <t>FP9HtIMu70c</t>
  </si>
  <si>
    <t>y9kyTz5FIPA</t>
  </si>
  <si>
    <t>UCLUA5xPUeBairwsxsbGWw5A</t>
  </si>
  <si>
    <t>GkdXZ4y8duE</t>
  </si>
  <si>
    <t>ydSxIoLCy2o</t>
  </si>
  <si>
    <t>NiW4bVMn1s4</t>
  </si>
  <si>
    <t>JakrsPfJzcc</t>
  </si>
  <si>
    <t>hNNWUifP2lE</t>
  </si>
  <si>
    <t>ZiPzJfZOWQc</t>
  </si>
  <si>
    <t>7X6uIq509nU</t>
  </si>
  <si>
    <t>Y4FjipkPaBA</t>
  </si>
  <si>
    <t>HDiJn5wDo6c</t>
  </si>
  <si>
    <t>KK-Bn9bx-po</t>
  </si>
  <si>
    <t>fKNr7vcCPMA</t>
  </si>
  <si>
    <t>VvSxRpiqg1k</t>
  </si>
  <si>
    <t>eY_yPoCQZcA</t>
  </si>
  <si>
    <t>jdYq-ITkxKs</t>
  </si>
  <si>
    <t>rPsFRHDMtMM</t>
  </si>
  <si>
    <t>UCaN7dVaarzJCQ-3qpnOmifQ</t>
  </si>
  <si>
    <t>S-G0mY65EF4</t>
  </si>
  <si>
    <t>8lfFNSJW_k4</t>
  </si>
  <si>
    <t>9v33RHaYUBY</t>
  </si>
  <si>
    <t>1n1kVOePK7k</t>
  </si>
  <si>
    <t>6aakWgUo9q8</t>
  </si>
  <si>
    <t>fHWHQKtr97c</t>
  </si>
  <si>
    <t>QscY1g0Ke3g</t>
  </si>
  <si>
    <t>UZc6t8ybPFQ</t>
  </si>
  <si>
    <t>k8K5jQm7QGY</t>
  </si>
  <si>
    <t>7NVTBBpzOC8</t>
  </si>
  <si>
    <t>3aGEYnC4P-g</t>
  </si>
  <si>
    <t>xN-Fu0vREeI</t>
  </si>
  <si>
    <t>JowD353IyRE</t>
  </si>
  <si>
    <t>UEusBFPxlzw</t>
  </si>
  <si>
    <t>9BIYrkqMXpw</t>
  </si>
  <si>
    <t>B-m7iC4Y1GQ</t>
  </si>
  <si>
    <t>0ab3ZJpcKPQ</t>
  </si>
  <si>
    <t>OJ4_2YhPr08</t>
  </si>
  <si>
    <t>Yq4GaUm9PWM</t>
  </si>
  <si>
    <t>6tnA_4boFhs</t>
  </si>
  <si>
    <t>36xcZX0sK2s</t>
  </si>
  <si>
    <t>AqUmPvIHPyY</t>
  </si>
  <si>
    <t>dvKRUsCCplY</t>
  </si>
  <si>
    <t>2acdW4K3oTI</t>
  </si>
  <si>
    <t>He9rihthpGg</t>
  </si>
  <si>
    <t>ckn_82DXBK4</t>
  </si>
  <si>
    <t>JKPij39cQAw</t>
  </si>
  <si>
    <t>YBMMQP9lt6k</t>
  </si>
  <si>
    <t>xrEq5Y2S4fo</t>
  </si>
  <si>
    <t>UCmnHDt9QChi__oWOS9toD_w</t>
  </si>
  <si>
    <t>R-CnbhEnv7k</t>
  </si>
  <si>
    <t>02xfdMH8Eo0</t>
  </si>
  <si>
    <t>UqVQlHL0erU</t>
  </si>
  <si>
    <t>QUvkZM2zFjo</t>
  </si>
  <si>
    <t>zyEC2AqhHhE</t>
  </si>
  <si>
    <t>zB4xCI9Oj9Y</t>
  </si>
  <si>
    <t>kYihAQ7Yi8I</t>
  </si>
  <si>
    <t>52lLZTdDq7Q</t>
  </si>
  <si>
    <t>ohkuOyGKchg</t>
  </si>
  <si>
    <t>sdyo3wN9ooE</t>
  </si>
  <si>
    <t>q2oZfWuFmfA</t>
  </si>
  <si>
    <t>nJLcN0SvakI</t>
  </si>
  <si>
    <t>O89vLYF4WvA</t>
  </si>
  <si>
    <t>72DsCSwQwmI</t>
  </si>
  <si>
    <t>XBwFhHZ5EJo</t>
  </si>
  <si>
    <t>mKXrmlDJ1AI</t>
  </si>
  <si>
    <t>Aup2xPPtahg</t>
  </si>
  <si>
    <t>8Q2FbjVEx_8</t>
  </si>
  <si>
    <t>PN9mAIQhSWs</t>
  </si>
  <si>
    <t>NhtaXmz5Kx4</t>
  </si>
  <si>
    <t>-4ZyrfDJwJI</t>
  </si>
  <si>
    <t>UC4LyPYXnF07KF97Nb8vE_Pg</t>
  </si>
  <si>
    <t>CEZ3mvrTnSY</t>
  </si>
  <si>
    <t>KrCLUngBwhA</t>
  </si>
  <si>
    <t>xp4rtSO8014</t>
  </si>
  <si>
    <t>39adKfq7ZUA</t>
  </si>
  <si>
    <t>PBYkr4JxXew</t>
  </si>
  <si>
    <t>5dkIhMxMTcU</t>
  </si>
  <si>
    <t>tzW9LI9m958</t>
  </si>
  <si>
    <t>ouV1G9QoSJU</t>
  </si>
  <si>
    <t>TUH3ppazMwQ</t>
  </si>
  <si>
    <t>kRccDmRT124</t>
  </si>
  <si>
    <t>gS4ij8iXs4I</t>
  </si>
  <si>
    <t>5crXGusDRD0</t>
  </si>
  <si>
    <t>lL9M0c9AB_Q</t>
  </si>
  <si>
    <t>S1E4_8CQ1WE</t>
  </si>
  <si>
    <t>e0x0n64Be80</t>
  </si>
  <si>
    <t>gYdSzFrVGsA</t>
  </si>
  <si>
    <t>jWjs9nxDHDo</t>
  </si>
  <si>
    <t>_oARu_eF37s</t>
  </si>
  <si>
    <t>gCQGZ_ydZao</t>
  </si>
  <si>
    <t>IJCYl0Hlvc0</t>
  </si>
  <si>
    <t>NNoDdrjNrN8</t>
  </si>
  <si>
    <t>KOYBdqVHswU</t>
  </si>
  <si>
    <t>bFCCTJitFb0</t>
  </si>
  <si>
    <t>DvAMB9nrnD4</t>
  </si>
  <si>
    <t>ia1n9i28eeM</t>
  </si>
  <si>
    <t>hGmue2oIOPQ</t>
  </si>
  <si>
    <t>UC8UAj9wPCBdyd709kD0eEFQ</t>
  </si>
  <si>
    <t>1ZD8a3czDlY</t>
  </si>
  <si>
    <t>UCmlrWKze2oHrrvyqZnyfq-g</t>
  </si>
  <si>
    <t>fcUCXwMs5uw</t>
  </si>
  <si>
    <t>xUSOtGmeokU</t>
  </si>
  <si>
    <t>tbFvGa8YKf0</t>
  </si>
  <si>
    <t>hEfCWbBo424</t>
  </si>
  <si>
    <t>4s45FxmhJo8</t>
  </si>
  <si>
    <t>kuEm7seKxts</t>
  </si>
  <si>
    <t>8zf5dDkX6bI</t>
  </si>
  <si>
    <t>LBSSsC16U5c</t>
  </si>
  <si>
    <t>q3JwJ7VKTtk</t>
  </si>
  <si>
    <t>BF6QHtLppWo</t>
  </si>
  <si>
    <t>U2P3WJtXPHE</t>
  </si>
  <si>
    <t>g4fCgRcf_BY</t>
  </si>
  <si>
    <t>X6mdzBplk3U</t>
  </si>
  <si>
    <t>A_uSWTKYLOM</t>
  </si>
  <si>
    <t>QJT6ZZFdCk4</t>
  </si>
  <si>
    <t>WYAKDvsGdC8</t>
  </si>
  <si>
    <t>6_ib4QXW5rs</t>
  </si>
  <si>
    <t>3BWFeA_Zk34</t>
  </si>
  <si>
    <t>hTEf5YzIH5w</t>
  </si>
  <si>
    <t>Nvmp1-mUH1U</t>
  </si>
  <si>
    <t>ofB2qoLS5Jg</t>
  </si>
  <si>
    <t>gX8sa3uRLpM</t>
  </si>
  <si>
    <t>Gv6e54g8Hps</t>
  </si>
  <si>
    <t>AfrHDGiH450</t>
  </si>
  <si>
    <t>2pPu7pTuNic</t>
  </si>
  <si>
    <t>7JxL87mHxQA</t>
  </si>
  <si>
    <t>-NtWGU5PEBA</t>
  </si>
  <si>
    <t>tCg2WkKwtp0</t>
  </si>
  <si>
    <t>biYp7IqGjZc</t>
  </si>
  <si>
    <t>UeHPIe831Gg</t>
  </si>
  <si>
    <t>cFKKo3KuJ2I</t>
  </si>
  <si>
    <t>jXQaohcWcPg</t>
  </si>
  <si>
    <t>pkHDLvIhRZI</t>
  </si>
  <si>
    <t>ZPyr3hRTRKs</t>
  </si>
  <si>
    <t>QIpr2MU6L1o</t>
  </si>
  <si>
    <t>NrQXDiSFCyU</t>
  </si>
  <si>
    <t>BPS1FX66nIU</t>
  </si>
  <si>
    <t>Q-SvJXpCT_E</t>
  </si>
  <si>
    <t>qSGiJmLvMxg</t>
  </si>
  <si>
    <t>BQtvDM14R9A</t>
  </si>
  <si>
    <t>OTTKeYZd9Ds</t>
  </si>
  <si>
    <t>fud1keCDQHU</t>
  </si>
  <si>
    <t>g-9uW305uMA</t>
  </si>
  <si>
    <t>dn5HpmzvrjY</t>
  </si>
  <si>
    <t>-xl7jSXixyo</t>
  </si>
  <si>
    <t>5OqFISW25ZI</t>
  </si>
  <si>
    <t>sYR-2vFSex8</t>
  </si>
  <si>
    <t>92p58pqWIkg</t>
  </si>
  <si>
    <t>1vEMXCpmOxI</t>
  </si>
  <si>
    <t>3y1xXR6aA3M</t>
  </si>
  <si>
    <t>fgHtV-czXkc</t>
  </si>
  <si>
    <t>O2Dfluk9Ybg</t>
  </si>
  <si>
    <t>Oj_jH2x9BYw</t>
  </si>
  <si>
    <t>QLO-jQIDZng</t>
  </si>
  <si>
    <t>tu9eHdBh47A</t>
  </si>
  <si>
    <t>9d4JgzDfMCw</t>
  </si>
  <si>
    <t>Xu5XnRE3pxc</t>
  </si>
  <si>
    <t>kmlk87HT5iE</t>
  </si>
  <si>
    <t>RDGUzoFoCzI</t>
  </si>
  <si>
    <t>0Cd_OFrandM</t>
  </si>
  <si>
    <t>l83seFvENgw</t>
  </si>
  <si>
    <t>QnxufudaAd4</t>
  </si>
  <si>
    <t>LTHMa8Rd5V4</t>
  </si>
  <si>
    <t>HyGwJQ5qClw</t>
  </si>
  <si>
    <t>UCPMsgWJvrkEHE0OpIMtxyYQ</t>
  </si>
  <si>
    <t>2d5k0Wp-sJo</t>
  </si>
  <si>
    <t>UC_ogl0qjBdXrTiZZJ6ltsQQ</t>
  </si>
  <si>
    <t>mQ1lIXZsWfc</t>
  </si>
  <si>
    <t>3g76KO6lwo0</t>
  </si>
  <si>
    <t>IjHuA5yVSIg</t>
  </si>
  <si>
    <t>qJTmcWNtruc</t>
  </si>
  <si>
    <t>aVAiJ2cc2wg</t>
  </si>
  <si>
    <t>HiWUaoax-0s</t>
  </si>
  <si>
    <t>Dxytwiw16EM</t>
  </si>
  <si>
    <t>UCo5QnudUoNDwQCYzwBBZ2Cg</t>
  </si>
  <si>
    <t>IWfp-hB2hW0</t>
  </si>
  <si>
    <t>UCmlr1is6e9bV34fgg3u0xng</t>
  </si>
  <si>
    <t>ypkGWD7r1k0</t>
  </si>
  <si>
    <t>UC4YtAO528H6PdbJkJsolggA</t>
  </si>
  <si>
    <t>kkhrkp5QLEM</t>
  </si>
  <si>
    <t>veE2HY9ir-c</t>
  </si>
  <si>
    <t>UC_CMir5-79t30BQo-krOSjg</t>
  </si>
  <si>
    <t>xHF2_zqhPcM</t>
  </si>
  <si>
    <t>pw74EC4Kjjc</t>
  </si>
  <si>
    <t>UCyvjZ_erIMy_IWzjwHoXLcQ</t>
  </si>
  <si>
    <t>K3xrk1pzUdc</t>
  </si>
  <si>
    <t>WKcn26VKUp4</t>
  </si>
  <si>
    <t>MYvAcMQuXHQ</t>
  </si>
  <si>
    <t>A7ELq2MlT3k</t>
  </si>
  <si>
    <t>6es4Jalmkow</t>
  </si>
  <si>
    <t>69LJ_ovKOmE</t>
  </si>
  <si>
    <t>xQf8itzLano</t>
  </si>
  <si>
    <t>yztxy4U5N7A</t>
  </si>
  <si>
    <t>l62FV1sQguY</t>
  </si>
  <si>
    <t>QZXYbWs-0ms</t>
  </si>
  <si>
    <t>eVkb6lGRh_A</t>
  </si>
  <si>
    <t>0j46Msxwd3M</t>
  </si>
  <si>
    <t>XS9dFtpvmeM</t>
  </si>
  <si>
    <t>UC-4pRjnTEVXuAS6_n7KROtg</t>
  </si>
  <si>
    <t>tb6_c7ous4Y</t>
  </si>
  <si>
    <t>JzxqtUUHArU</t>
  </si>
  <si>
    <t>f8XEudqmOuc</t>
  </si>
  <si>
    <t>qDyDIJqy6Tk</t>
  </si>
  <si>
    <t>_ttE94X3PQk</t>
  </si>
  <si>
    <t>UCExSyW50ydvz6p4FioP58zw</t>
  </si>
  <si>
    <t>Hln1AoGjVt8</t>
  </si>
  <si>
    <t>4p-5zfEneV4</t>
  </si>
  <si>
    <t>LrP_Atlcgac</t>
  </si>
  <si>
    <t>M91QN19mqVs</t>
  </si>
  <si>
    <t>1KtvbrTFByU</t>
  </si>
  <si>
    <t>AhNhzwB4JlA</t>
  </si>
  <si>
    <t>a4g7VvG8lXQ</t>
  </si>
  <si>
    <t>ABPn6FaHhqs</t>
  </si>
  <si>
    <t>gwuPMnDYTAA</t>
  </si>
  <si>
    <t>3AB3C5j3NcU</t>
  </si>
  <si>
    <t>8e0OcZs9ZVg</t>
  </si>
  <si>
    <t>-1hnkDvijls</t>
  </si>
  <si>
    <t>BbiBF3Hfqbc</t>
  </si>
  <si>
    <t>UCqz7Q8gOavVi_ZiGHePvLug</t>
  </si>
  <si>
    <t>IKcrOPeDEzM</t>
  </si>
  <si>
    <t>HHJOasqXfAM</t>
  </si>
  <si>
    <t>b3J4itzJUhY</t>
  </si>
  <si>
    <t>_HbzlbhgeOY</t>
  </si>
  <si>
    <t>hcy9Y1xoQP0</t>
  </si>
  <si>
    <t>2n5_Jfcs5Y0</t>
  </si>
  <si>
    <t>pCrHUu9UuLk</t>
  </si>
  <si>
    <t>u8zRH8GTBW8</t>
  </si>
  <si>
    <t>NszR9eXyduA</t>
  </si>
  <si>
    <t>9TnM7SqV25o</t>
  </si>
  <si>
    <t>S8sj6EWj2YU</t>
  </si>
  <si>
    <t>v3xhr_p_NPI</t>
  </si>
  <si>
    <t>NXu2omDQIAs</t>
  </si>
  <si>
    <t>CtPBkrQXvo8</t>
  </si>
  <si>
    <t>iCz5yn15ZEI</t>
  </si>
  <si>
    <t>9U4hR40h_vk</t>
  </si>
  <si>
    <t>RjOM44A3bP0</t>
  </si>
  <si>
    <t>7XVu7CdFWDY</t>
  </si>
  <si>
    <t>3CMm8LAyiBk</t>
  </si>
  <si>
    <t>AmcfhOEfVlU</t>
  </si>
  <si>
    <t>DDE-5Mt9eOg</t>
  </si>
  <si>
    <t>ZJn7-9gIJXo</t>
  </si>
  <si>
    <t>XxwEPqOMDps</t>
  </si>
  <si>
    <t>VAy1MiD1uQc</t>
  </si>
  <si>
    <t>CQZ7obQ9i98</t>
  </si>
  <si>
    <t>xNEhgPVh0tY</t>
  </si>
  <si>
    <t>UCleUsb9ehxSWcEuihUbWGYw</t>
  </si>
  <si>
    <t>3gKHoU6JlqM</t>
  </si>
  <si>
    <t>YyaqZKKO1HE</t>
  </si>
  <si>
    <t>6KnksPU-tCM</t>
  </si>
  <si>
    <t>xmrbf0y7GZw</t>
  </si>
  <si>
    <t>UC2NKcc0MDnz3E5O1XS6ZH1w</t>
  </si>
  <si>
    <t>mbzBLLYUj0E</t>
  </si>
  <si>
    <t>AXNZaP8oH5M</t>
  </si>
  <si>
    <t>hF8zkGsrlRw</t>
  </si>
  <si>
    <t>-Xuk8EfFbxo</t>
  </si>
  <si>
    <t>JUqjrIMoLZE</t>
  </si>
  <si>
    <t>-fYZoq0ESQU</t>
  </si>
  <si>
    <t>JccZYKFGy7c</t>
  </si>
  <si>
    <t>aoR6GHgdG_0</t>
  </si>
  <si>
    <t>Ul8BlWjKX4w</t>
  </si>
  <si>
    <t>E3f6bZVgWNs</t>
  </si>
  <si>
    <t>lBo2KYUZ-jU</t>
  </si>
  <si>
    <t>ENeeNurhc2Y</t>
  </si>
  <si>
    <t>7okxRE1ZIsQ</t>
  </si>
  <si>
    <t>Xk4Jhq0-kcs</t>
  </si>
  <si>
    <t>cuieNpesRXg</t>
  </si>
  <si>
    <t>nJwOrs5rsPc</t>
  </si>
  <si>
    <t>Ib1avKCdnJs</t>
  </si>
  <si>
    <t>j4-W-DqacXI</t>
  </si>
  <si>
    <t>W7VOwgfrV2Y</t>
  </si>
  <si>
    <t>zs--uHlaw28</t>
  </si>
  <si>
    <t>fLneXIoExc0</t>
  </si>
  <si>
    <t>lQYe_jclmDM</t>
  </si>
  <si>
    <t>t_EQinHPBaw</t>
  </si>
  <si>
    <t>F5P5aREhIg4</t>
  </si>
  <si>
    <t>HKsAKyZbvPw</t>
  </si>
  <si>
    <t>63mSM_jlllY</t>
  </si>
  <si>
    <t>8dAD02XQjcI</t>
  </si>
  <si>
    <t>dxk0nX0j4Ts</t>
  </si>
  <si>
    <t>eXbNxwZf7eo</t>
  </si>
  <si>
    <t>SFfQR7ePDG8</t>
  </si>
  <si>
    <t>Bi-pyO0OFUg</t>
  </si>
  <si>
    <t>o5ORuVz-wwE</t>
  </si>
  <si>
    <t>myykBw9U2Q0</t>
  </si>
  <si>
    <t>acLhVkoaJu0</t>
  </si>
  <si>
    <t>WYqqEPOZQTE</t>
  </si>
  <si>
    <t>fY5lupGWSy4</t>
  </si>
  <si>
    <t>UCqLvgorz6_42ZDNWTNkQmpA</t>
  </si>
  <si>
    <t>T-c3gXKXOro</t>
  </si>
  <si>
    <t>6OvQEdYxhls</t>
  </si>
  <si>
    <t>O_p8FcpGCQU</t>
  </si>
  <si>
    <t>l2Qz7HCUO_E</t>
  </si>
  <si>
    <t>iCHEvReTzVw</t>
  </si>
  <si>
    <t>BvIs9h84HgM</t>
  </si>
  <si>
    <t>IwXnJIvm8oU</t>
  </si>
  <si>
    <t>7jm8-zxOfCo</t>
  </si>
  <si>
    <t>s4unCA_3MTc</t>
  </si>
  <si>
    <t>UaS-hpICRYg</t>
  </si>
  <si>
    <t>UCEhhnDIEGsRWMVP-GxnuKjw</t>
  </si>
  <si>
    <t>8xPZoK54n7o</t>
  </si>
  <si>
    <t>l9M5SfoYpy0</t>
  </si>
  <si>
    <t>UCMXOmw_gVvTj8n1gjqUN51w</t>
  </si>
  <si>
    <t>cr6GZxsTiMU</t>
  </si>
  <si>
    <t>bEml0Q_Q8qo</t>
  </si>
  <si>
    <t>-aqV678kD5s</t>
  </si>
  <si>
    <t>fDOKKj-ftwo</t>
  </si>
  <si>
    <t>5Yc4xTvJ8oQ</t>
  </si>
  <si>
    <t>4YU7-yWHnas</t>
  </si>
  <si>
    <t>VcACFVTDuQg</t>
  </si>
  <si>
    <t>PW19sWwUsRQ</t>
  </si>
  <si>
    <t>EvB1bGT4nGI</t>
  </si>
  <si>
    <t>_P_D3_0H4Mc</t>
  </si>
  <si>
    <t>DaYaYx-RNl8</t>
  </si>
  <si>
    <t>cgO7xVRM6Jc</t>
  </si>
  <si>
    <t>L8X5LHiORfU</t>
  </si>
  <si>
    <t>IzNOTmYvGx4</t>
  </si>
  <si>
    <t>A9qbqhCkgTA</t>
  </si>
  <si>
    <t>f-Fqp819Ptk</t>
  </si>
  <si>
    <t>HiYS4YiTDtE</t>
  </si>
  <si>
    <t>izq0bjos8Xc</t>
  </si>
  <si>
    <t>zs_4K_6nQ_E</t>
  </si>
  <si>
    <t>PU9isnGkERg</t>
  </si>
  <si>
    <t>Pe9Dc5TEj54</t>
  </si>
  <si>
    <t>_MqSnL6yj8s</t>
  </si>
  <si>
    <t>1D2bwb2NJlw</t>
  </si>
  <si>
    <t>xLOF08fK3FY</t>
  </si>
  <si>
    <t>EJr0F0fc0BY</t>
  </si>
  <si>
    <t>rUMKuDjqGT8</t>
  </si>
  <si>
    <t>DIxBjDebvXY</t>
  </si>
  <si>
    <t>9jnmoygj7Ns</t>
  </si>
  <si>
    <t>Nn3Rz39IbcU</t>
  </si>
  <si>
    <t>uVwmBDU4tP4</t>
  </si>
  <si>
    <t>p3GuSjOmOGo</t>
  </si>
  <si>
    <t>3JBtPYTociA</t>
  </si>
  <si>
    <t>UCDYgTnWK6sl-YZEDM4jv7fQ</t>
  </si>
  <si>
    <t>akOO15Wrc2I</t>
  </si>
  <si>
    <t>jya_a9icFmI</t>
  </si>
  <si>
    <t>csRHRmWGePo</t>
  </si>
  <si>
    <t>bnMqm9thNIo</t>
  </si>
  <si>
    <t>sbahdyljnqk</t>
  </si>
  <si>
    <t>aKeYnUaw_2o</t>
  </si>
  <si>
    <t>UCT75m3vhQMx28-KAuBwkmkA</t>
  </si>
  <si>
    <t>4oWZ2Chw_xY</t>
  </si>
  <si>
    <t>lfwHDiSPuC4</t>
  </si>
  <si>
    <t>ePwiaIc-JqI</t>
  </si>
  <si>
    <t>Qc3-ARi9fOw</t>
  </si>
  <si>
    <t>z-elbExPGFE</t>
  </si>
  <si>
    <t>NhJFS-V43_I</t>
  </si>
  <si>
    <t>Hr95xyJt5ps</t>
  </si>
  <si>
    <t>9-6BGCXwvHQ</t>
  </si>
  <si>
    <t>B84SAiZmxG4</t>
  </si>
  <si>
    <t>dDTZtUPTJKA</t>
  </si>
  <si>
    <t>TFFL2Gcw1Fg</t>
  </si>
  <si>
    <t>UCb1EgKwe6X9bdCPOKKLL0oA</t>
  </si>
  <si>
    <t>hYosQEFk04s</t>
  </si>
  <si>
    <t>dHJr3wnfGYU</t>
  </si>
  <si>
    <t>pQDeFRK1gUk</t>
  </si>
  <si>
    <t>WlDLcnmlMH8</t>
  </si>
  <si>
    <t>hahAP9tVmNc</t>
  </si>
  <si>
    <t>1nczvUy4UK4</t>
  </si>
  <si>
    <t>kmFOKOMbU-w</t>
  </si>
  <si>
    <t>bu7P1jKWNyE</t>
  </si>
  <si>
    <t>Ni44NCV_f28</t>
  </si>
  <si>
    <t>uqG6uL8m4ac</t>
  </si>
  <si>
    <t>ocM72r1Ycmk</t>
  </si>
  <si>
    <t>trqAX4vkthY</t>
  </si>
  <si>
    <t>V1I6erTpmzU</t>
  </si>
  <si>
    <t>_1XkG_lDh5o</t>
  </si>
  <si>
    <t>4lc3j9X3PU0</t>
  </si>
  <si>
    <t>mwltLmdA38o</t>
  </si>
  <si>
    <t>Co7ZQR--ZNU</t>
  </si>
  <si>
    <t>97uMPufcEs8</t>
  </si>
  <si>
    <t>cdaf0uLO5DQ</t>
  </si>
  <si>
    <t>JeAhMDYuOts</t>
  </si>
  <si>
    <t>jrkCPODY650</t>
  </si>
  <si>
    <t>qHNVF1dPvcM</t>
  </si>
  <si>
    <t>D1eUWL6gVDc</t>
  </si>
  <si>
    <t>6eurWTNLq2s</t>
  </si>
  <si>
    <t>ZlB8wmbqMsE</t>
  </si>
  <si>
    <t>rLU-FD79t4c</t>
  </si>
  <si>
    <t>rKPmaSGPNGs</t>
  </si>
  <si>
    <t>A4SRna7WuPU</t>
  </si>
  <si>
    <t>8H6UFTqbs-E</t>
  </si>
  <si>
    <t>_NRRpA8B3HE</t>
  </si>
  <si>
    <t>nAiqJwoWROY</t>
  </si>
  <si>
    <t>lhPtG0AfVA8</t>
  </si>
  <si>
    <t>cYGS1A3HSoU</t>
  </si>
  <si>
    <t>gbOL8GkXUu8</t>
  </si>
  <si>
    <t>ei2t5R925Iw</t>
  </si>
  <si>
    <t>8Gry-fxTvoo</t>
  </si>
  <si>
    <t>_FI4bgYFhtU</t>
  </si>
  <si>
    <t>4OHBN1bzPSI</t>
  </si>
  <si>
    <t>LNjvEJp_I9E</t>
  </si>
  <si>
    <t>ksC8z9ZbWr4</t>
  </si>
  <si>
    <t>_Nd2VIiWn5E</t>
  </si>
  <si>
    <t>mZH_sGuFK4s</t>
  </si>
  <si>
    <t>HZslXMNR1io</t>
  </si>
  <si>
    <t>y_GYUP9Iq0Y</t>
  </si>
  <si>
    <t>j_FxNmxFAQg</t>
  </si>
  <si>
    <t>krbzAx3prVs</t>
  </si>
  <si>
    <t>UfGKmO3B-_w</t>
  </si>
  <si>
    <t>Td_Ar0ehRz8</t>
  </si>
  <si>
    <t>9fE7QKFI6Jg</t>
  </si>
  <si>
    <t>k7erJ78QPlQ</t>
  </si>
  <si>
    <t>YH1yd0rn4iw</t>
  </si>
  <si>
    <t>0tdbKZCCm5E</t>
  </si>
  <si>
    <t>q7nYgvjhqXY</t>
  </si>
  <si>
    <t>g9wD1z6PtYM</t>
  </si>
  <si>
    <t>9HUZ_NB9pyw</t>
  </si>
  <si>
    <t>HDP-06fcrhA</t>
  </si>
  <si>
    <t>UCuxWbKfRuvuKtxTfvFwm5ow</t>
  </si>
  <si>
    <t>Bm9VeHPkd4E</t>
  </si>
  <si>
    <t>68dtYj0khU0</t>
  </si>
  <si>
    <t>UCKotu_QH2JBRNQZIyGHp2yw</t>
  </si>
  <si>
    <t>glo4uLlvFbQ</t>
  </si>
  <si>
    <t>vk9I7WNUNY4</t>
  </si>
  <si>
    <t>x_kGoIWKY2g</t>
  </si>
  <si>
    <t>l2qUuVqwsZU</t>
  </si>
  <si>
    <t>Lwzad7Xy5ZI</t>
  </si>
  <si>
    <t>86_95c0pCWE</t>
  </si>
  <si>
    <t>IAayKPKo2YA</t>
  </si>
  <si>
    <t>T9PehJrPk6Q</t>
  </si>
  <si>
    <t>3261jNGYT-Q</t>
  </si>
  <si>
    <t>gfD-9zoFl30</t>
  </si>
  <si>
    <t>wJ1XtxkjI4Q</t>
  </si>
  <si>
    <t>xnKOkEJqh4w</t>
  </si>
  <si>
    <t>Or2VblKkYs8</t>
  </si>
  <si>
    <t>Np97TCUigQI</t>
  </si>
  <si>
    <t>Fp7J8bgYIXE</t>
  </si>
  <si>
    <t>Sdq_uk0CEaE</t>
  </si>
  <si>
    <t>dKlh36-Ti_I</t>
  </si>
  <si>
    <t>SyuUxpVeGx8</t>
  </si>
  <si>
    <t>k7-EjgLFCwc</t>
  </si>
  <si>
    <t>UCU-sdeH9IMsk_IBOtIFGYFg</t>
  </si>
  <si>
    <t>tqyYucc1mPA</t>
  </si>
  <si>
    <t>shK9cIzYBmI</t>
  </si>
  <si>
    <t>qBG3d9bH03s</t>
  </si>
  <si>
    <t>X2_r8XV5uVI</t>
  </si>
  <si>
    <t>FmKOMmFTfjo</t>
  </si>
  <si>
    <t>0rx_5FD95H4</t>
  </si>
  <si>
    <t>dMK2EuJRvIY</t>
  </si>
  <si>
    <t>EyJVyskaQsE</t>
  </si>
  <si>
    <t>vQLsNpzkvmI</t>
  </si>
  <si>
    <t>AQEJC0er4-Y</t>
  </si>
  <si>
    <t>xd0eiIIIVLQ</t>
  </si>
  <si>
    <t>q6NUHsK2ZlU</t>
  </si>
  <si>
    <t>ggK4m1CF3jM</t>
  </si>
  <si>
    <t>ciM1BXjtz68</t>
  </si>
  <si>
    <t>UCXqhKkakjAddiWXXPEQbH7g</t>
  </si>
  <si>
    <t>jJ_PRMIHzdU</t>
  </si>
  <si>
    <t>pwD5vXKw0bA</t>
  </si>
  <si>
    <t>o1QIffERo-k</t>
  </si>
  <si>
    <t>vVpdfYOVTPs</t>
  </si>
  <si>
    <t>iZ6i90n72oo</t>
  </si>
  <si>
    <t>Z-4oSVrn6JY</t>
  </si>
  <si>
    <t>FczYD2gWHbg</t>
  </si>
  <si>
    <t>HF5ctmuve_w</t>
  </si>
  <si>
    <t>mqpRkL1wEH4</t>
  </si>
  <si>
    <t>HajWQSb3weY</t>
  </si>
  <si>
    <t>InjY3NQvwAU</t>
  </si>
  <si>
    <t>qsJm-vg5vco</t>
  </si>
  <si>
    <t>VeWcLAhHOxo</t>
  </si>
  <si>
    <t>77HqPlNG_DE</t>
  </si>
  <si>
    <t>x0aRzEJtw_k</t>
  </si>
  <si>
    <t>_x54V8HrlGo</t>
  </si>
  <si>
    <t>ld2ZQnZc9G0</t>
  </si>
  <si>
    <t>3D3guj0-U2M</t>
  </si>
  <si>
    <t>Efdp3bJGYxQ</t>
  </si>
  <si>
    <t>EAHoYs3ukbw</t>
  </si>
  <si>
    <t>mnoct2Pdj-g</t>
  </si>
  <si>
    <t>PvtLL4li6pA</t>
  </si>
  <si>
    <t>ilkTlRtpJZs</t>
  </si>
  <si>
    <t>pna51WhiM9c</t>
  </si>
  <si>
    <t>cxY0qsY9aX0</t>
  </si>
  <si>
    <t>k_2t1DTSp9Q</t>
  </si>
  <si>
    <t>Th4GNb85yCY</t>
  </si>
  <si>
    <t>L3qQBtUAdH0</t>
  </si>
  <si>
    <t>Ngna8MMZryQ</t>
  </si>
  <si>
    <t>uEjUeGPdA-A</t>
  </si>
  <si>
    <t>9D1_DX-otk0</t>
  </si>
  <si>
    <t>jMVI3Vqqk4o</t>
  </si>
  <si>
    <t>okcgxL-UrEc</t>
  </si>
  <si>
    <t>KmZyXfkS6aY</t>
  </si>
  <si>
    <t>PfddTWcFac4</t>
  </si>
  <si>
    <t>cJ6Yy_b9YMA</t>
  </si>
  <si>
    <t>lA9FBjhDf4Q</t>
  </si>
  <si>
    <t>PVnpPZG00xc</t>
  </si>
  <si>
    <t>ZTPpSHSeP4Q</t>
  </si>
  <si>
    <t>K8Bo7wf4cB4</t>
  </si>
  <si>
    <t>8uISwvuLwjw</t>
  </si>
  <si>
    <t>rSQ-tE1xXJE</t>
  </si>
  <si>
    <t>VaC4jtuza1Y</t>
  </si>
  <si>
    <t>rIO1PUu1oJM</t>
  </si>
  <si>
    <t>6o7rhLhr3mM</t>
  </si>
  <si>
    <t>7w92y0ImP9s</t>
  </si>
  <si>
    <t>lFvTm0KEu8w</t>
  </si>
  <si>
    <t>la_Jo7Su1yY</t>
  </si>
  <si>
    <t>9kWYPiIsThw</t>
  </si>
  <si>
    <t>nlzPyjjnZPI</t>
  </si>
  <si>
    <t>Uxl0KUKyq_I</t>
  </si>
  <si>
    <t>laf6K8U5zNY</t>
  </si>
  <si>
    <t>yue-HK|zh-Hans|zh-Hant</t>
  </si>
  <si>
    <t>yTXCvHD_rgs</t>
  </si>
  <si>
    <t>VuoUrE0JQ2I</t>
  </si>
  <si>
    <t>MpUpwkaFhhU</t>
  </si>
  <si>
    <t>XvkhFAxxqwY</t>
  </si>
  <si>
    <t>VjjVk9d1mpI</t>
  </si>
  <si>
    <t>oZ-HHAIHixY</t>
  </si>
  <si>
    <t>OItIDqtTjk8</t>
  </si>
  <si>
    <t>jcpV8us543Y</t>
  </si>
  <si>
    <t>uRzf9aDhJU0</t>
  </si>
  <si>
    <t>xFxwlUeCG9o</t>
  </si>
  <si>
    <t>durvmFnRMSw</t>
  </si>
  <si>
    <t>UfWpPeVbVRU</t>
  </si>
  <si>
    <t>WMivcOBJ_xw</t>
  </si>
  <si>
    <t>MS4XIX-HoKM</t>
  </si>
  <si>
    <t>BrYJjpyZVFk</t>
  </si>
  <si>
    <t>83Jdh3p3_CA</t>
  </si>
  <si>
    <t>XyCrFfvsN7o</t>
  </si>
  <si>
    <t>UC0DpBgpq_gR7TaNDIvJYZag</t>
  </si>
  <si>
    <t>ZnKTIeArFfc</t>
  </si>
  <si>
    <t>C-AvJDMmP_4</t>
  </si>
  <si>
    <t>CatrtYnLlhw</t>
  </si>
  <si>
    <t>dIY44PlKotI</t>
  </si>
  <si>
    <t>jJJN8gzqyOw</t>
  </si>
  <si>
    <t>K3mu3nz3dvA</t>
  </si>
  <si>
    <t>4l8w3IoC-a4</t>
  </si>
  <si>
    <t>DuvpHSi_6WQ</t>
  </si>
  <si>
    <t>yk3z-K_20Mk</t>
  </si>
  <si>
    <t>xxfUzVMJpsk</t>
  </si>
  <si>
    <t>-XiJGRL9314</t>
  </si>
  <si>
    <t>EnoRierOKU4</t>
  </si>
  <si>
    <t>KFidoK0cO1M</t>
  </si>
  <si>
    <t>yGorKXGPGpw</t>
  </si>
  <si>
    <t>VwTZ2_wFqPw</t>
  </si>
  <si>
    <t>bZ24dITmX5g</t>
  </si>
  <si>
    <t>hMHI2SkvK0k</t>
  </si>
  <si>
    <t>UQcm4sZcnC0</t>
  </si>
  <si>
    <t>yBMCSx7-vKE</t>
  </si>
  <si>
    <t>oI_B9g8vfjc</t>
  </si>
  <si>
    <t>7rfXGSNYrE4</t>
  </si>
  <si>
    <t>8v2LNPTUccg</t>
  </si>
  <si>
    <t>NOUM_0Wlrqo</t>
  </si>
  <si>
    <t>OHi0eeid59M</t>
  </si>
  <si>
    <t>mtLxDukioCs</t>
  </si>
  <si>
    <t>sNJ7lPrSUFo</t>
  </si>
  <si>
    <t>qszWnrEU9o8</t>
  </si>
  <si>
    <t>YFnzDKb3kx0</t>
  </si>
  <si>
    <t>ltTtO4uFfxU</t>
  </si>
  <si>
    <t>uR0xoyeTblE</t>
  </si>
  <si>
    <t>rfCYQtto0Q0</t>
  </si>
  <si>
    <t>6jahYX13R9E</t>
  </si>
  <si>
    <t>Eh-qnqXB2ss</t>
  </si>
  <si>
    <t>KDHDeSkaaCI</t>
  </si>
  <si>
    <t>JNqUOl6pvg4</t>
  </si>
  <si>
    <t>jyw6jTr7IAM</t>
  </si>
  <si>
    <t>UC4cXjLVUR7YxxoNYpOy8gTg</t>
  </si>
  <si>
    <t>x39xRYSeqF8</t>
  </si>
  <si>
    <t>yeA1t-gwiEo</t>
  </si>
  <si>
    <t>VhNh07m-v-w</t>
  </si>
  <si>
    <t>mI9K_4zRCek</t>
  </si>
  <si>
    <t>Kyj19YZIjrw</t>
  </si>
  <si>
    <t>Rn_xUoOSPlc</t>
  </si>
  <si>
    <t>bGWSqN91TVM</t>
  </si>
  <si>
    <t>oeD8qesavpY</t>
  </si>
  <si>
    <t>j3VsdKcFmro</t>
  </si>
  <si>
    <t>v2SDC1scNlg</t>
  </si>
  <si>
    <t>FCAqDyXx3Fg</t>
  </si>
  <si>
    <t>eghSIKBLezQ</t>
  </si>
  <si>
    <t>oHhg_yr1YIU</t>
  </si>
  <si>
    <t>XWM0nKB2M5w</t>
  </si>
  <si>
    <t>GrCnDzMvCBQ</t>
  </si>
  <si>
    <t>YLG8RcrpxcA</t>
  </si>
  <si>
    <t>4PXC9uQkjEQ</t>
  </si>
  <si>
    <t>unOM7ItNHzM</t>
  </si>
  <si>
    <t>n3dzBWp9UDM</t>
  </si>
  <si>
    <t>R5puc4I-Co4</t>
  </si>
  <si>
    <t>1U7eQZc5rm0</t>
  </si>
  <si>
    <t>LF_ImKSiEoQ</t>
  </si>
  <si>
    <t>U2tvtxu9kUU</t>
  </si>
  <si>
    <t>iglO2XcvjTY</t>
  </si>
  <si>
    <t>vAeTZlPxiT4</t>
  </si>
  <si>
    <t>3RcACLVmeco</t>
  </si>
  <si>
    <t>PSY-tiwKSiI</t>
  </si>
  <si>
    <t>cOPNEXOA9KY</t>
  </si>
  <si>
    <t>OuGgLGqOjcc</t>
  </si>
  <si>
    <t>YcYxk0L5wA0</t>
  </si>
  <si>
    <t>2NOvweOKelU</t>
  </si>
  <si>
    <t>5uAJAT7Ld5s</t>
  </si>
  <si>
    <t>BCmVZMky7aE</t>
  </si>
  <si>
    <t>rJQB39Mamag</t>
  </si>
  <si>
    <t>N8PPwrfMhgg</t>
  </si>
  <si>
    <t>Gb88lipBNcU</t>
  </si>
  <si>
    <t>E28t_c8eCeE</t>
  </si>
  <si>
    <t>5TPGHFqJCpo</t>
  </si>
  <si>
    <t>UdNSGeKkSiY</t>
  </si>
  <si>
    <t>cIhglB3aGco</t>
  </si>
  <si>
    <t>YY3Pzt2CvZs</t>
  </si>
  <si>
    <t>DoUQV_TAxIc</t>
  </si>
  <si>
    <t>d4KXdndKFEg</t>
  </si>
  <si>
    <t>_MPqi1VuS9w</t>
  </si>
  <si>
    <t>_SBn8R5ybQk</t>
  </si>
  <si>
    <t>HsypSyTzhBo</t>
  </si>
  <si>
    <t>DwN0NYXbWEY</t>
  </si>
  <si>
    <t>9O0GcyBfn1Q</t>
  </si>
  <si>
    <t>GIDbsRbVidc</t>
  </si>
  <si>
    <t>9FeYeRvB5I0</t>
  </si>
  <si>
    <t>JlP9e33kFoE</t>
  </si>
  <si>
    <t>43_82DP8O80</t>
  </si>
  <si>
    <t>92w_7b8IoRE</t>
  </si>
  <si>
    <t>L6_x7_Wz5kE</t>
  </si>
  <si>
    <t>Y0AYt9cS-Co</t>
  </si>
  <si>
    <t>vTZaFrZniQw</t>
  </si>
  <si>
    <t>qAwMzgq158I</t>
  </si>
  <si>
    <t>4Ps-gR7fkxY</t>
  </si>
  <si>
    <t>AVL_svKMirk</t>
  </si>
  <si>
    <t>omPbCWUW-BY</t>
  </si>
  <si>
    <t>-hoajYUiK5w</t>
  </si>
  <si>
    <t>1VemCkiXQr4</t>
  </si>
  <si>
    <t>qLAr12Bdlx8</t>
  </si>
  <si>
    <t>_G7QWyPrTUE</t>
  </si>
  <si>
    <t>7ZsK12D7tn4</t>
  </si>
  <si>
    <t>w-31PRteYc4</t>
  </si>
  <si>
    <t>oY_xFC06dO8</t>
  </si>
  <si>
    <t>L9xVC4qf3C8</t>
  </si>
  <si>
    <t>kQ6_UpSELgA</t>
  </si>
  <si>
    <t>9hChAI1eVrg</t>
  </si>
  <si>
    <t>We8nrSfG-H8</t>
  </si>
  <si>
    <t>9HpySKM4fUQ</t>
  </si>
  <si>
    <t>5HcCnd4lahQ</t>
  </si>
  <si>
    <t>PxfHEhwZYt8</t>
  </si>
  <si>
    <t>d8smhYemg0I</t>
  </si>
  <si>
    <t>BKgxzx5cm-4</t>
  </si>
  <si>
    <t>RcrJz65b4TA</t>
  </si>
  <si>
    <t>rc2oqjkhgIM</t>
  </si>
  <si>
    <t>HtCbvICCF2U</t>
  </si>
  <si>
    <t>wHalF7IJwKo</t>
  </si>
  <si>
    <t>DyhO32ADQCY</t>
  </si>
  <si>
    <t>A7w6av0Wnt0</t>
  </si>
  <si>
    <t>UCwAPo1PxfhC-CSSjsRtlY3A</t>
  </si>
  <si>
    <t>2uz7Hx05FXs</t>
  </si>
  <si>
    <t>i9KWel9AwVY</t>
  </si>
  <si>
    <t>EMP-Wu4AyYo</t>
  </si>
  <si>
    <t>-U4LVOnfbl0</t>
  </si>
  <si>
    <t>eqobjyL3vUk</t>
  </si>
  <si>
    <t>-K9Kg-bPoz0</t>
  </si>
  <si>
    <t>VOg5Rpn37fo</t>
  </si>
  <si>
    <t>zwS4Vw2zT_A</t>
  </si>
  <si>
    <t>HwrRLWLKpR8</t>
  </si>
  <si>
    <t>l00SHty9Yk8</t>
  </si>
  <si>
    <t>yjPb1PACX9o</t>
  </si>
  <si>
    <t>CyAcIORKeeE</t>
  </si>
  <si>
    <t>JUj60C5j5NM</t>
  </si>
  <si>
    <t>YIhS7yT5Zpo</t>
  </si>
  <si>
    <t>dX3OBf-Bj8Y</t>
  </si>
  <si>
    <t>Uqd1iNK9Lm4</t>
  </si>
  <si>
    <t>UN0WnsSZMHk</t>
  </si>
  <si>
    <t>n1TittmQemg</t>
  </si>
  <si>
    <t>VoCn_f32-q0</t>
  </si>
  <si>
    <t>sSeyMJelby0</t>
  </si>
  <si>
    <t>cXRvVwjD5A0</t>
  </si>
  <si>
    <t>EOI8ENP4sG4</t>
  </si>
  <si>
    <t>q4VuWtstzS4</t>
  </si>
  <si>
    <t>fuk---z0Wmg</t>
  </si>
  <si>
    <t>RP0pRC4mIss</t>
  </si>
  <si>
    <t>sxvJvpCt1Fc</t>
  </si>
  <si>
    <t>gaHJ5o8Pp6c</t>
  </si>
  <si>
    <t>h7JTVnXduaU</t>
  </si>
  <si>
    <t>RqgaeBZ_JVI</t>
  </si>
  <si>
    <t>QeM_cbH4SOY</t>
  </si>
  <si>
    <t>lrR-nLTLmbg</t>
  </si>
  <si>
    <t>TtmHvny3ank</t>
  </si>
  <si>
    <t>SRy9QiwBIAA</t>
  </si>
  <si>
    <t>9Z-SYEQ6o28</t>
  </si>
  <si>
    <t>B8tIScDAt9s</t>
  </si>
  <si>
    <t>yjrlVNucMB8</t>
  </si>
  <si>
    <t>ZZtOTKk5Gkk</t>
  </si>
  <si>
    <t>KQSlAso9pY0</t>
  </si>
  <si>
    <t>bGJpe3sOOGM</t>
  </si>
  <si>
    <t>NaMyRThL_Pc</t>
  </si>
  <si>
    <t>IP9WE-nM7vc</t>
  </si>
  <si>
    <t>iXKiXT7hJdk</t>
  </si>
  <si>
    <t>yQ8Sr5SlaXE</t>
  </si>
  <si>
    <t>loT_PDypmHE</t>
  </si>
  <si>
    <t>U3dFSYlclDg</t>
  </si>
  <si>
    <t>og4HaPz98xA</t>
  </si>
  <si>
    <t>r_69UCHimVY</t>
  </si>
  <si>
    <t>aSbP73smRqo</t>
  </si>
  <si>
    <t>YD1uMgx4hY0</t>
  </si>
  <si>
    <t>D02Q08Mc-7k</t>
  </si>
  <si>
    <t>4SmwQ_MfEtM</t>
  </si>
  <si>
    <t>H6gN2Z097_M</t>
  </si>
  <si>
    <t>Z5OFCm5u9o0</t>
  </si>
  <si>
    <t>q9SxH7b4cU0</t>
  </si>
  <si>
    <t>bWkrlfmuHBc</t>
  </si>
  <si>
    <t>2QG0oFckr_A</t>
  </si>
  <si>
    <t>leFubTAfvtE</t>
  </si>
  <si>
    <t>1YSBbXh4fYw</t>
  </si>
  <si>
    <t>coeq1NL5HM0</t>
  </si>
  <si>
    <t>ozKiJiaVDjo</t>
  </si>
  <si>
    <t>N52Awa5wkus</t>
  </si>
  <si>
    <t>LPe1bs3hXeo</t>
  </si>
  <si>
    <t>cCEo3z50owo</t>
  </si>
  <si>
    <t>O8IqcYIborw</t>
  </si>
  <si>
    <t>M-NoCiGHUj0</t>
  </si>
  <si>
    <t>UCVgMrfkfHKCrJGy01iBAGYg</t>
  </si>
  <si>
    <t>0Wj4gW_LuNE</t>
  </si>
  <si>
    <t>zh-HK-2ePwJfpMbiA</t>
  </si>
  <si>
    <t>UC-yLYCLSfv1Tx9CNHWyWM4A</t>
  </si>
  <si>
    <t>GbPzSfBcK2A</t>
  </si>
  <si>
    <t>UC_J2kVD7pPumeTq5BC0aRMA</t>
  </si>
  <si>
    <t>HbbsbALERT0</t>
  </si>
  <si>
    <t>QjElAPeTMug</t>
  </si>
  <si>
    <t>UCUNAtN9NgfbKc69lavPWVBg</t>
  </si>
  <si>
    <t>dHo_xZJ0WNM</t>
  </si>
  <si>
    <t>vff7oC1K1tI</t>
  </si>
  <si>
    <t>1B6KZa09OzQ</t>
  </si>
  <si>
    <t>NTWtZgt3gkY</t>
  </si>
  <si>
    <t>UCgvqAy6nAmuALRWbN1-sJlw</t>
  </si>
  <si>
    <t>FKxjHQ8as5g</t>
  </si>
  <si>
    <t>jl8BpxYzpQM</t>
  </si>
  <si>
    <t>NEjxRAHMwX4</t>
  </si>
  <si>
    <t>HuHESM6vg0k</t>
  </si>
  <si>
    <t>h-jsdvFv4gs</t>
  </si>
  <si>
    <t>FCdwpl02rgQ</t>
  </si>
  <si>
    <t>YGliJRSYx5M</t>
  </si>
  <si>
    <t>_r3cKHD-qEw</t>
  </si>
  <si>
    <t>IvX_SB31fv8</t>
  </si>
  <si>
    <t>fNnRLkiP9qY</t>
  </si>
  <si>
    <t>k2tFL-1vplU</t>
  </si>
  <si>
    <t>Kpd1o98yEqY</t>
  </si>
  <si>
    <t>uTT1SW1Vdm0</t>
  </si>
  <si>
    <t>OMpvKEOcxys</t>
  </si>
  <si>
    <t>woDmPn9cKdc</t>
  </si>
  <si>
    <t>rPon-uIt-eo</t>
  </si>
  <si>
    <t>mQyybdCCCcY</t>
  </si>
  <si>
    <t>svCy0HKsIu8</t>
  </si>
  <si>
    <t>d1AQPw4iLq8</t>
  </si>
  <si>
    <t>pTHcT_SIyLU</t>
  </si>
  <si>
    <t>m4bJ1XYmpk8</t>
  </si>
  <si>
    <t>EpKiODeSWp8</t>
  </si>
  <si>
    <t>PI3s2SsBfMk</t>
  </si>
  <si>
    <t>GUmQ-ucSmGE</t>
  </si>
  <si>
    <t>8E0QYNI0f88</t>
  </si>
  <si>
    <t>gBV7HLCSULQ</t>
  </si>
  <si>
    <t>UCWo5nbifkKDRNyD2nF2KJ0Q</t>
  </si>
  <si>
    <t>T5OyGxXUYnw</t>
  </si>
  <si>
    <t>QPMsgTKvy9o</t>
  </si>
  <si>
    <t>jLBeLMZlVsU</t>
  </si>
  <si>
    <t>UWmIAdFwIPw</t>
  </si>
  <si>
    <t>r22BKgtOkuM</t>
  </si>
  <si>
    <t>k4WZZjtc7Bc</t>
  </si>
  <si>
    <t>CGSGdeqOfgc</t>
  </si>
  <si>
    <t>UYoWP5_VRis</t>
  </si>
  <si>
    <t>y7RPcDEKYSM</t>
  </si>
  <si>
    <t>CZytL7RzBBo</t>
  </si>
  <si>
    <t>R2UtI3paFGU</t>
  </si>
  <si>
    <t>w1DCIm6-udI</t>
  </si>
  <si>
    <t>gTx4Ws_KMR0</t>
  </si>
  <si>
    <t>eweSBQkxL78</t>
  </si>
  <si>
    <t>50FOmdQt82E</t>
  </si>
  <si>
    <t>wFvFvWmubHo</t>
  </si>
  <si>
    <t>B0qoQ9Qbz_I</t>
  </si>
  <si>
    <t>lx_x6OGVPk8</t>
  </si>
  <si>
    <t>O9JQwYOjtHQ</t>
  </si>
  <si>
    <t>mmxVKcznF-A</t>
  </si>
  <si>
    <t>PiZU8_z14tk</t>
  </si>
  <si>
    <t>3FbSWZRKpRc</t>
  </si>
  <si>
    <t>vlTts5rHjOE</t>
  </si>
  <si>
    <t>_NPFlIX04Eg</t>
  </si>
  <si>
    <t>ktY76BdRGvA</t>
  </si>
  <si>
    <t>RCBc3G-dpb0</t>
  </si>
  <si>
    <t>lxNOAgh5zko</t>
  </si>
  <si>
    <t>gzk7-XUxzTk</t>
  </si>
  <si>
    <t>dmhd4wiIlzU</t>
  </si>
  <si>
    <t>R-GSnyz2B9I</t>
  </si>
  <si>
    <t>ctyq_40RmPs</t>
  </si>
  <si>
    <t>hLC8gDMfw98</t>
  </si>
  <si>
    <t>Wlxm6nvpXpU</t>
  </si>
  <si>
    <t>T91A8IUODWc</t>
  </si>
  <si>
    <t>Cv81Ivmfm0o</t>
  </si>
  <si>
    <t>gjgEvXXz5-Y</t>
  </si>
  <si>
    <t>DJIWG2NuGvw</t>
  </si>
  <si>
    <t>7SL2crbHTEA</t>
  </si>
  <si>
    <t>uUMt2R7ruQ8</t>
  </si>
  <si>
    <t>rPCM9XuPEzQ</t>
  </si>
  <si>
    <t>FI2eZ-qaww0</t>
  </si>
  <si>
    <t>zPNrMT7_vao</t>
  </si>
  <si>
    <t>P54WG6V5V2E</t>
  </si>
  <si>
    <t>EujzLYx1bIU</t>
  </si>
  <si>
    <t>DDFZUzsWUzs</t>
  </si>
  <si>
    <t>k16VD1mrB8M</t>
  </si>
  <si>
    <t>8K4UBhNRLQs</t>
  </si>
  <si>
    <t>qO7dr-z6YMg</t>
  </si>
  <si>
    <t>YGZ25p194ho</t>
  </si>
  <si>
    <t>IbTmxwGOwrA</t>
  </si>
  <si>
    <t>hitlwthyras</t>
  </si>
  <si>
    <t>2N_0wRI8vik</t>
  </si>
  <si>
    <t>b1NO87lqTYY</t>
  </si>
  <si>
    <t>S0oP0Pr8c9g</t>
  </si>
  <si>
    <t>eMEJsuJz_qE</t>
  </si>
  <si>
    <t>KWLaJJ-k48M</t>
  </si>
  <si>
    <t>2l-uIGCde6s</t>
  </si>
  <si>
    <t>WNcXwefeNAU</t>
  </si>
  <si>
    <t>JlMqmbPUnUk</t>
  </si>
  <si>
    <t>X44q7_uapMw</t>
  </si>
  <si>
    <t>Rce2WqUxqmw</t>
  </si>
  <si>
    <t>J8Vkycqw2Vo</t>
  </si>
  <si>
    <t>RQDINZT3cXY</t>
  </si>
  <si>
    <t>QYoa2UtA8q0</t>
  </si>
  <si>
    <t>XggpMbYKCiI</t>
  </si>
  <si>
    <t>oupylOK9Xxs</t>
  </si>
  <si>
    <t>UkqrXN7l6k4</t>
  </si>
  <si>
    <t>GAkFkmzGyQg</t>
  </si>
  <si>
    <t>_fXS0_EGAMs</t>
  </si>
  <si>
    <t>OvIegbJVRzw</t>
  </si>
  <si>
    <t>O_ipO28qDFQ</t>
  </si>
  <si>
    <t>Mnmz9rLpPG0</t>
  </si>
  <si>
    <t>Skf-YSMlTKY</t>
  </si>
  <si>
    <t>-EIlpzWlC-c</t>
  </si>
  <si>
    <t>UC8_hxeY0nDCL-8ETbcGUZ9g</t>
  </si>
  <si>
    <t>KZT0fb3ND40</t>
  </si>
  <si>
    <t>KfkEe-I_2Z8</t>
  </si>
  <si>
    <t>gGBw2Mz8D6o</t>
  </si>
  <si>
    <t>9D2b6S5n3BY</t>
  </si>
  <si>
    <t>cM2MkkQpER8</t>
  </si>
  <si>
    <t>aPGkJeBKF1A</t>
  </si>
  <si>
    <t>I0e_9eHD9Zo</t>
  </si>
  <si>
    <t>UYRsae2RAZs</t>
  </si>
  <si>
    <t>9Gbi-qGotys</t>
  </si>
  <si>
    <t>1uku7oJ5SkM</t>
  </si>
  <si>
    <t>z-n1MhsGko8</t>
  </si>
  <si>
    <t>U90nFdpvQiI</t>
  </si>
  <si>
    <t>OWjX_90CF-A</t>
  </si>
  <si>
    <t>9Pf_9TV-FrI</t>
  </si>
  <si>
    <t>Cpr-QuMRMlI</t>
  </si>
  <si>
    <t>5dcnfNG8wiY</t>
  </si>
  <si>
    <t>WgWkFMJ37J8</t>
  </si>
  <si>
    <t>9gaGL8s3pGc</t>
  </si>
  <si>
    <t>IxkgnucxEYA</t>
  </si>
  <si>
    <t>GdPxGYNLIgs</t>
  </si>
  <si>
    <t>EAZdS8Ba_Fg</t>
  </si>
  <si>
    <t>fuBTZHqXbrM</t>
  </si>
  <si>
    <t>Sq6_ANMINK0</t>
  </si>
  <si>
    <t>jS7z57w2kec</t>
  </si>
  <si>
    <t>JZjqAskng-0</t>
  </si>
  <si>
    <t>SnbohJ1gQMQ</t>
  </si>
  <si>
    <t>UCF6M5AH_OALkimFGKdlWfCw</t>
  </si>
  <si>
    <t>pLYzE0FMK4o</t>
  </si>
  <si>
    <t>v3SzQxz8xQs</t>
  </si>
  <si>
    <t>E304Zjn89r4</t>
  </si>
  <si>
    <t>en|yue-HK|zh-Hans</t>
  </si>
  <si>
    <t>3XqYPB6c4pQ</t>
  </si>
  <si>
    <t>on7R2CNFDUU</t>
  </si>
  <si>
    <t>OhcZO9DydAo</t>
  </si>
  <si>
    <t>0zAFmMoPgAs</t>
  </si>
  <si>
    <t>mZhqzhAvWng</t>
  </si>
  <si>
    <t>Azr6Ec2oUfY</t>
  </si>
  <si>
    <t>RgWXahzFPN4</t>
  </si>
  <si>
    <t>Jh6XpR8dpZc</t>
  </si>
  <si>
    <t>ZsfbE6AY1wo</t>
  </si>
  <si>
    <t>kuNndIqzux4</t>
  </si>
  <si>
    <t>Mc3nNenYSWw</t>
  </si>
  <si>
    <t>ORBb82RbfQI</t>
  </si>
  <si>
    <t>_VooVSKbixI</t>
  </si>
  <si>
    <t>S_6oSi-kc-o</t>
  </si>
  <si>
    <t>w0VLZXEdbpo</t>
  </si>
  <si>
    <t>5ng3on85OH0</t>
  </si>
  <si>
    <t>en|zh-HK|zh-SG</t>
  </si>
  <si>
    <t>mAzh2CSLij0</t>
  </si>
  <si>
    <t>qODRkhH8v3I</t>
  </si>
  <si>
    <t>YG0z-UuKRZE</t>
  </si>
  <si>
    <t>ekFfdSb00Dw</t>
  </si>
  <si>
    <t>DfvpzQefFVQ</t>
  </si>
  <si>
    <t>81JYXkaszks</t>
  </si>
  <si>
    <t>pEe8fymXHtM</t>
  </si>
  <si>
    <t>mNK4pXNL1VE</t>
  </si>
  <si>
    <t>tCAs7Lmqvu0</t>
  </si>
  <si>
    <t>s_BdX6BX-u0</t>
  </si>
  <si>
    <t>U23-Ry5Tvqs</t>
  </si>
  <si>
    <t>AIe-R3xv0Tw</t>
  </si>
  <si>
    <t>2i0Sg0Kgu3c</t>
  </si>
  <si>
    <t>5_Cxon7dzpE</t>
  </si>
  <si>
    <t>EpqTkqUXyQw</t>
  </si>
  <si>
    <t>pBuhDKe1Rr0</t>
  </si>
  <si>
    <t>dkXvuWAXj4s</t>
  </si>
  <si>
    <t>Y2steKJhfUA</t>
  </si>
  <si>
    <t>MVZKfmEkJXc</t>
  </si>
  <si>
    <t>UCQS2_zzisMq5C_FggxsQwTQ</t>
  </si>
  <si>
    <t>E9s6YE9X-WU</t>
  </si>
  <si>
    <t>e8RkvOM1AGk</t>
  </si>
  <si>
    <t>g9ZKmOHQET0</t>
  </si>
  <si>
    <t>icmViIoPIm0</t>
  </si>
  <si>
    <t>YneBZW2UJ88</t>
  </si>
  <si>
    <t>hHLEMm1BI9I</t>
  </si>
  <si>
    <t>4MpG3O9pKhU</t>
  </si>
  <si>
    <t>kx686et_U2c</t>
  </si>
  <si>
    <t>jwqe7tFB0FQ</t>
  </si>
  <si>
    <t>N5rNbk_NbTg</t>
  </si>
  <si>
    <t>cnECCimjBr8</t>
  </si>
  <si>
    <t>kO10dkb42FE</t>
  </si>
  <si>
    <t>mXZ-FtR4AwQ</t>
  </si>
  <si>
    <t>9I1sOEWWIVg</t>
  </si>
  <si>
    <t>1ypv7JSPXFk</t>
  </si>
  <si>
    <t>pSe0FlbSPps</t>
  </si>
  <si>
    <t>ILPJyuqUGik</t>
  </si>
  <si>
    <t>vqKBguHW_NY</t>
  </si>
  <si>
    <t>FSTdvhwq1zI</t>
  </si>
  <si>
    <t>eUte4MzKmck</t>
  </si>
  <si>
    <t>6a6UXZlWpiA</t>
  </si>
  <si>
    <t>sSNUqOLJ5ZA</t>
  </si>
  <si>
    <t>TUuQXaE5FnU</t>
  </si>
  <si>
    <t>en|yue-I_ztW4vOEOo</t>
  </si>
  <si>
    <t>31cn920Vonw</t>
  </si>
  <si>
    <t>ZQ6uE2dkMCw</t>
  </si>
  <si>
    <t>D41DL1EyxJI</t>
  </si>
  <si>
    <t>zi6ACPXDdbg</t>
  </si>
  <si>
    <t>BDnMmavmEeo</t>
  </si>
  <si>
    <t>7oxbKQCa0qg</t>
  </si>
  <si>
    <t>ZzPfLwSgeOA</t>
  </si>
  <si>
    <t>NtUezqLw92k</t>
  </si>
  <si>
    <t>L3vrpSvqC_E</t>
  </si>
  <si>
    <t>szrwqmNBQEE</t>
  </si>
  <si>
    <t>bahywgmAdYg</t>
  </si>
  <si>
    <t>vGKSyCT85OI</t>
  </si>
  <si>
    <t>zh-CN|zh-HK|zh-Hant</t>
  </si>
  <si>
    <t>nIu--i7xSgk</t>
  </si>
  <si>
    <t>eqohnzgDwV4</t>
  </si>
  <si>
    <t>en|yue|yue-HK</t>
  </si>
  <si>
    <t>UCmzhffUiOBgNdDpus3ZDe8w</t>
  </si>
  <si>
    <t>nNqpaSbwlnw</t>
  </si>
  <si>
    <t>wdVr4-CuE28</t>
  </si>
  <si>
    <t>xFW8aJYtEJ4</t>
  </si>
  <si>
    <t>eyMMo61yJHw</t>
  </si>
  <si>
    <t>dGL5sW4_B9Q</t>
  </si>
  <si>
    <t>1b3djJ-KffY</t>
  </si>
  <si>
    <t>_fFGf36iVWs</t>
  </si>
  <si>
    <t>LAwzysNp8Zg</t>
  </si>
  <si>
    <t>UQe7t65w2Vg</t>
  </si>
  <si>
    <t>3u5c3lKTto8</t>
  </si>
  <si>
    <t>qV5kkTYLp58</t>
  </si>
  <si>
    <t>NecpuiZ0r3A</t>
  </si>
  <si>
    <t>J_Ww5SEoCgI</t>
  </si>
  <si>
    <t>1mBRAMXp2Hs</t>
  </si>
  <si>
    <t>9bcrlxi4omY</t>
  </si>
  <si>
    <t>zxN2mxtg1Gw</t>
  </si>
  <si>
    <t>YIM5azZA3I0</t>
  </si>
  <si>
    <t>7aaQuDepzZY</t>
  </si>
  <si>
    <t>xQzAbZLZpSc</t>
  </si>
  <si>
    <t>tdnKL8P9mac</t>
  </si>
  <si>
    <t>MgUHXb8GqZ4</t>
  </si>
  <si>
    <t>ad8SZjTVzsA</t>
  </si>
  <si>
    <t>Cf9ULkkWrU0</t>
  </si>
  <si>
    <t>UCFOV-oWYewHOXKuZP-yNsmw</t>
  </si>
  <si>
    <t>UyAja2xD4Ow</t>
  </si>
  <si>
    <t>tCUClSJCvdU</t>
  </si>
  <si>
    <t>lYRyiBZdqBQ</t>
  </si>
  <si>
    <t>1o09RyAstvE</t>
  </si>
  <si>
    <t>UbE8kHR2g6c</t>
  </si>
  <si>
    <t>Z6-MEms8OxM</t>
  </si>
  <si>
    <t>GQ_c4lSh4Ms</t>
  </si>
  <si>
    <t>4_xkt655z1w</t>
  </si>
  <si>
    <t>oVa66nCiAEo</t>
  </si>
  <si>
    <t>JmVHg6u0vgI</t>
  </si>
  <si>
    <t>6yqwz0YNeIc</t>
  </si>
  <si>
    <t>c0qgt8GGprE</t>
  </si>
  <si>
    <t>0BeZWbt_e2o</t>
  </si>
  <si>
    <t>d3TSiwKQqJA</t>
  </si>
  <si>
    <t>_CoLf9EcTY8</t>
  </si>
  <si>
    <t>X5LK0RmawPE</t>
  </si>
  <si>
    <t>lqY129c-96w</t>
  </si>
  <si>
    <t>XLrTCqw7noo</t>
  </si>
  <si>
    <t>S2wQVlAbdmo</t>
  </si>
  <si>
    <t>MTuvUF-P-78</t>
  </si>
  <si>
    <t>YNmNkM-MN4I</t>
  </si>
  <si>
    <t>G6fSc74p61c</t>
  </si>
  <si>
    <t>8GkTtA_975s</t>
  </si>
  <si>
    <t>G1AVBhZ5UKo</t>
  </si>
  <si>
    <t>3OkyzF1bNHs</t>
  </si>
  <si>
    <t>pLKix85rfAE</t>
  </si>
  <si>
    <t>2uSPL-qGDMM</t>
  </si>
  <si>
    <t>VLrHNQWV4Ak</t>
  </si>
  <si>
    <t>8mkCWqxiVFE</t>
  </si>
  <si>
    <t>bSmGLZ_bH60</t>
  </si>
  <si>
    <t>IWqYDOqREoE</t>
  </si>
  <si>
    <t>F0P8fB48fWI</t>
  </si>
  <si>
    <t>CFkecFHYiC8</t>
  </si>
  <si>
    <t>r8cPHIopGoM</t>
  </si>
  <si>
    <t>rOYRmUle69M</t>
  </si>
  <si>
    <t>qxIVQ83w21s</t>
  </si>
  <si>
    <t>MSaMxI8zXs4</t>
  </si>
  <si>
    <t>lGr-WcueZGw</t>
  </si>
  <si>
    <t>KY_e51itelo</t>
  </si>
  <si>
    <t>CRLWGTSTz9w</t>
  </si>
  <si>
    <t>91luA7Kt354</t>
  </si>
  <si>
    <t>JKusumO6Y84</t>
  </si>
  <si>
    <t>y4IrBv1hG0w</t>
  </si>
  <si>
    <t>Dltp2Dib1t0</t>
  </si>
  <si>
    <t>dXHNKIayQdA</t>
  </si>
  <si>
    <t>LVWVxEBo_ys</t>
  </si>
  <si>
    <t>PPok4FXwsAs</t>
  </si>
  <si>
    <t>qIfUsD-JG3w</t>
  </si>
  <si>
    <t>mOit_2kjC5c</t>
  </si>
  <si>
    <t>iEyiSQpThPk</t>
  </si>
  <si>
    <t>kRMDiQpapxU</t>
  </si>
  <si>
    <t>3aNmRHFcVEI</t>
  </si>
  <si>
    <t>FuN2RGS42yw</t>
  </si>
  <si>
    <t>UCxuIEqky_1Y1jvkEPZ4j94g</t>
  </si>
  <si>
    <t>7S8JBPidvpU</t>
  </si>
  <si>
    <t>8SVfHQCYxTo</t>
  </si>
  <si>
    <t>bdGaE3b7YSs</t>
  </si>
  <si>
    <t>rVzfm6NFZk0</t>
  </si>
  <si>
    <t>HEHl291obxo</t>
  </si>
  <si>
    <t>8XOtplsOgvY</t>
  </si>
  <si>
    <t>yD5Z3lG3jWY</t>
  </si>
  <si>
    <t>LQxLjUkStgk</t>
  </si>
  <si>
    <t>ZC3_dIcxSsI</t>
  </si>
  <si>
    <t>lbmu8Hjko5s</t>
  </si>
  <si>
    <t>oJ4FqHwqZ2A</t>
  </si>
  <si>
    <t>fHffMg9026k</t>
  </si>
  <si>
    <t>mdfObVYQ4V0</t>
  </si>
  <si>
    <t>Aeti-ZzGi2I</t>
  </si>
  <si>
    <t>bLiCVdPatMQ</t>
  </si>
  <si>
    <t>8rXHrvqqLX8</t>
  </si>
  <si>
    <t>JssQX1ZXja4</t>
  </si>
  <si>
    <t>D7evsgn7zjY</t>
  </si>
  <si>
    <t>wvU07H9yYw4</t>
  </si>
  <si>
    <t>UCBwfrMS785JyWDUBRhOQkjw</t>
  </si>
  <si>
    <t>OGdwlzU7qzI</t>
  </si>
  <si>
    <t>GNJMmXubqUw</t>
  </si>
  <si>
    <t>bt9d1Hxd4TQ</t>
  </si>
  <si>
    <t>pWBUSNBjH0s</t>
  </si>
  <si>
    <t>jqZumP-ImQk</t>
  </si>
  <si>
    <t>R9DaEdSBBjk</t>
  </si>
  <si>
    <t>N5eutZ8MyWY</t>
  </si>
  <si>
    <t>CrFBBePMbyc</t>
  </si>
  <si>
    <t>EKYmMIomVXs</t>
  </si>
  <si>
    <t>1147vU-rC64</t>
  </si>
  <si>
    <t>oE5mx_fj56M</t>
  </si>
  <si>
    <t>TFEnSqPWt7I</t>
  </si>
  <si>
    <t>xRrVgJ8AfAw</t>
  </si>
  <si>
    <t>Z6an4CZYelA</t>
  </si>
  <si>
    <t>lhDZJgwrUqE</t>
  </si>
  <si>
    <t>WsN9EbsMtJU</t>
  </si>
  <si>
    <t>zYgbjqsgde4</t>
  </si>
  <si>
    <t>tuTUzhCUe1o</t>
  </si>
  <si>
    <t>iaqG1wK2Ldg</t>
  </si>
  <si>
    <t>mLtKQLdEd-M</t>
  </si>
  <si>
    <t>KKIlRstOkMA</t>
  </si>
  <si>
    <t>jEZv19a3dxw</t>
  </si>
  <si>
    <t>ae_Nc4DAAek</t>
  </si>
  <si>
    <t>wjNfqqPlQbo</t>
  </si>
  <si>
    <t>QNVsmhrmNDg</t>
  </si>
  <si>
    <t>KW72-ZaWwDE</t>
  </si>
  <si>
    <t>asc9cbfbyHo</t>
  </si>
  <si>
    <t>0_obD9b_q78</t>
  </si>
  <si>
    <t>0wynws-dnWI</t>
  </si>
  <si>
    <t>32093jJwJDo</t>
  </si>
  <si>
    <t>a6KAJ_pzdY4</t>
  </si>
  <si>
    <t>en|yue-HK|zh|zh-Hans|zh-Hant</t>
  </si>
  <si>
    <t>Hv4bcxy_c9s</t>
  </si>
  <si>
    <t>menrGe9Fivo</t>
  </si>
  <si>
    <t>--oQID09ce0</t>
  </si>
  <si>
    <t>pq5WM08YtJ8</t>
  </si>
  <si>
    <t>k1cSvU-Z_Ig</t>
  </si>
  <si>
    <t>kOWvZHcS4eI</t>
  </si>
  <si>
    <t>AeSjUNZmVw0</t>
  </si>
  <si>
    <t>AA0TRYdLwlg</t>
  </si>
  <si>
    <t>_YHu36l8B3E</t>
  </si>
  <si>
    <t>HcYeCCnMQp4</t>
  </si>
  <si>
    <t>OJZqgjUiYZs</t>
  </si>
  <si>
    <t>8idrcRoPPNk</t>
  </si>
  <si>
    <t>S453YP8e-M0</t>
  </si>
  <si>
    <t>ZXfpPVd-4cE</t>
  </si>
  <si>
    <t>_5B-MwVcj7o</t>
  </si>
  <si>
    <t>KxptmLh2zqs</t>
  </si>
  <si>
    <t>e-aYer23Oq8</t>
  </si>
  <si>
    <t>qcc4_6GasmI</t>
  </si>
  <si>
    <t>d2N3Mgmbhls</t>
  </si>
  <si>
    <t>vIJJ3t7N-kE</t>
  </si>
  <si>
    <t>wuDsEq0ez9I</t>
  </si>
  <si>
    <t>pWhB6niRYWw</t>
  </si>
  <si>
    <t>Qp0BqGwcN-M</t>
  </si>
  <si>
    <t>vHONZXI2vBQ</t>
  </si>
  <si>
    <t>gSOyuMHB3n0</t>
  </si>
  <si>
    <t>NMWJ7mlhPKY</t>
  </si>
  <si>
    <t>tCHmNWR-WWI</t>
  </si>
  <si>
    <t>ulEK_WnSdYI</t>
  </si>
  <si>
    <t>v6OGr03PNVE</t>
  </si>
  <si>
    <t>px3szUrtnmw</t>
  </si>
  <si>
    <t>48m3TGITLAU</t>
  </si>
  <si>
    <t>I1QpPNVltXI</t>
  </si>
  <si>
    <t>GS7falOg78o</t>
  </si>
  <si>
    <t>e2-ovQi0qxc</t>
  </si>
  <si>
    <t>mkzAYzjUcjQ</t>
  </si>
  <si>
    <t>mHjW0ZrUWFQ</t>
  </si>
  <si>
    <t>0cno05JXm-Y</t>
  </si>
  <si>
    <t>RL1c7L7VwKk</t>
  </si>
  <si>
    <t>L5gpQqXC-j0</t>
  </si>
  <si>
    <t>5tD4iSC4Fkk</t>
  </si>
  <si>
    <t>KhEGdUwKRJw</t>
  </si>
  <si>
    <t>aeoPVlwFqMU</t>
  </si>
  <si>
    <t>L29dB4uMHLI</t>
  </si>
  <si>
    <t>wZWqI2DoP0A</t>
  </si>
  <si>
    <t>1Eu_WAlNklY</t>
  </si>
  <si>
    <t>UCKGRyWaeRl-TrJKSG4OkEhA</t>
  </si>
  <si>
    <t>DHuKbmYM950</t>
  </si>
  <si>
    <t>7B9_hjHwWSA</t>
  </si>
  <si>
    <t>8YJrK9_5KFY</t>
  </si>
  <si>
    <t>3G9Bj3Od0Us</t>
  </si>
  <si>
    <t>UC9xosUh_LZUdQv-kw38RehA</t>
  </si>
  <si>
    <t>NVMxMEfLRNQ</t>
  </si>
  <si>
    <t>E5cpVun0wcw</t>
  </si>
  <si>
    <t>UCBdOfjR-IWU0ANEbCoUgYLw</t>
  </si>
  <si>
    <t>nOAB9SkVhLs</t>
  </si>
  <si>
    <t>OymV760F-5g</t>
  </si>
  <si>
    <t>ynw4o8hVa94</t>
  </si>
  <si>
    <t>5WrxGM1iCdU</t>
  </si>
  <si>
    <t>87FteISBUec</t>
  </si>
  <si>
    <t>ODatu8QE6Tk</t>
  </si>
  <si>
    <t>ObPEGkUP3XQ</t>
  </si>
  <si>
    <t>viXxQ6qKMy0</t>
  </si>
  <si>
    <t>nH7RX67QZ38</t>
  </si>
  <si>
    <t>bX4lGG2s7ss</t>
  </si>
  <si>
    <t>1xupvfUYYcQ</t>
  </si>
  <si>
    <t>EZKfQROzAmw</t>
  </si>
  <si>
    <t>G8UR6K0h5YY</t>
  </si>
  <si>
    <t>ZeTnLksCoWU</t>
  </si>
  <si>
    <t>QTgv-Mb4EA0</t>
  </si>
  <si>
    <t>iJ_lV370Xpk</t>
  </si>
  <si>
    <t>zh-HK|zh-Hant|zh-SG|zh-TW</t>
  </si>
  <si>
    <t>ePT9h1HNI3M</t>
  </si>
  <si>
    <t>gUi02Jbx7bE</t>
  </si>
  <si>
    <t>lmrsL3im2fU</t>
  </si>
  <si>
    <t>U6hQW0WwdLM</t>
  </si>
  <si>
    <t>RqdoEkP9Ogg</t>
  </si>
  <si>
    <t>Udtp9_dx0Bs</t>
  </si>
  <si>
    <t>ofL_apguCzo</t>
  </si>
  <si>
    <t>L4wwZF9HeE8</t>
  </si>
  <si>
    <t>FyscplcKM48</t>
  </si>
  <si>
    <t>5a_O91YCXJQ</t>
  </si>
  <si>
    <t>lqktxUDlRis</t>
  </si>
  <si>
    <t>jC6yY3c6wmA</t>
  </si>
  <si>
    <t>EetA5_iNZyk</t>
  </si>
  <si>
    <t>WWt427yL3q8</t>
  </si>
  <si>
    <t>6ayx_oOJJPI</t>
  </si>
  <si>
    <t>mQQWZd-GbcA</t>
  </si>
  <si>
    <t>KOIZD1S6RvA</t>
  </si>
  <si>
    <t>29yHtVyEnsI</t>
  </si>
  <si>
    <t>yM6hLMkak_Y</t>
  </si>
  <si>
    <t>No7-2yEKPWA</t>
  </si>
  <si>
    <t>4tItnQMKLo4</t>
  </si>
  <si>
    <t>UCfoF_al7B5iXAnYoUXFPF5w</t>
  </si>
  <si>
    <t>GCzw1KXQd5M</t>
  </si>
  <si>
    <t>7IH_RYhJ_mM</t>
  </si>
  <si>
    <t>hTQR-JhXA-Y</t>
  </si>
  <si>
    <t>wBlBmQvM0EA</t>
  </si>
  <si>
    <t>aSUgzrq8Lfo</t>
  </si>
  <si>
    <t>r__wlBBf6x0</t>
  </si>
  <si>
    <t>Mr6XGt7h8pQ</t>
  </si>
  <si>
    <t>j_tabEDJ1D8</t>
  </si>
  <si>
    <t>sALjD8y3Rtg</t>
  </si>
  <si>
    <t>4re4AzTE8xg</t>
  </si>
  <si>
    <t>MfDlgRtmgpc</t>
  </si>
  <si>
    <t>aG_91l6FVpU</t>
  </si>
  <si>
    <t>eMDBd17mW9Q</t>
  </si>
  <si>
    <t>GrW7DzidSS4</t>
  </si>
  <si>
    <t>bI4Bz9heKag</t>
  </si>
  <si>
    <t>XKzidAe6KIg</t>
  </si>
  <si>
    <t>Z1aLdE4eZE0</t>
  </si>
  <si>
    <t>scFmDoSXxNk</t>
  </si>
  <si>
    <t>VJ086QcRpbY</t>
  </si>
  <si>
    <t>ck918gptb5w</t>
  </si>
  <si>
    <t>KXUknipgdSE</t>
  </si>
  <si>
    <t>-hca3K133a0</t>
  </si>
  <si>
    <t>XOh_yNyX5iA</t>
  </si>
  <si>
    <t>-OozAbRR3ss</t>
  </si>
  <si>
    <t>gRgVjWyYr_Q</t>
  </si>
  <si>
    <t>wlgzjfy01zU</t>
  </si>
  <si>
    <t>gh32Jnesm54</t>
  </si>
  <si>
    <t>-N2nqg32p6Q</t>
  </si>
  <si>
    <t>EvXHkJoX4AE</t>
  </si>
  <si>
    <t>Fjhb1oCXjjs</t>
  </si>
  <si>
    <t>GXt3UElQ5vg</t>
  </si>
  <si>
    <t>zh-HK|zh-Hans|zh-Hant|zh-SG|zh-TW</t>
  </si>
  <si>
    <t>cJNEZTXjbyg</t>
  </si>
  <si>
    <t>rxEhCH_lVPo</t>
  </si>
  <si>
    <t>SLAbK_zk_dM</t>
  </si>
  <si>
    <t>zh-CN</t>
  </si>
  <si>
    <t>TliRrYn_ldc</t>
  </si>
  <si>
    <t>5FzOimBgu4s</t>
  </si>
  <si>
    <t>K3dNP08vTng</t>
  </si>
  <si>
    <t>LijjJdQdsW8</t>
  </si>
  <si>
    <t>e9taYfCh-t8</t>
  </si>
  <si>
    <t>2B2iPzi_3A0</t>
  </si>
  <si>
    <t>-DIuO_x3axY</t>
  </si>
  <si>
    <t>bvN8UDw7fHw</t>
  </si>
  <si>
    <t>Z6IEbM_LbSU</t>
  </si>
  <si>
    <t>3k6_FUiKmi4</t>
  </si>
  <si>
    <t>60hxcUaJNqs</t>
  </si>
  <si>
    <t>8w2kSQoDymg</t>
  </si>
  <si>
    <t>U0xOX2Vkhvw</t>
  </si>
  <si>
    <t>p1dqxoodlgs</t>
  </si>
  <si>
    <t>pMYgenY-wGs</t>
  </si>
  <si>
    <t>JAj-9XEU9zg</t>
  </si>
  <si>
    <t>MPnZxX5Zzbc</t>
  </si>
  <si>
    <t>d_0uEXKX1VY</t>
  </si>
  <si>
    <t>ay9ENtBC3g4</t>
  </si>
  <si>
    <t>6_nlvRcURzc</t>
  </si>
  <si>
    <t>HJh7NWme4k0</t>
  </si>
  <si>
    <t>T4sc4bt16yg</t>
  </si>
  <si>
    <t>qPv2cRjPiLY</t>
  </si>
  <si>
    <t>9UbOoOy8nvs</t>
  </si>
  <si>
    <t>pfTHGVWPrY0</t>
  </si>
  <si>
    <t>pmOEqV3Sxg0</t>
  </si>
  <si>
    <t>RScD-3mIt24</t>
  </si>
  <si>
    <t>W9nJh6XaxZA</t>
  </si>
  <si>
    <t>Un787GH1M1E</t>
  </si>
  <si>
    <t>9QdBFKwUDPQ</t>
  </si>
  <si>
    <t>C7e6iWnUZ-M</t>
  </si>
  <si>
    <t>V_V4eJgPDuc</t>
  </si>
  <si>
    <t>_gim4bwz_Vw</t>
  </si>
  <si>
    <t>uJa1WLVRcFY</t>
  </si>
  <si>
    <t>E7cdmYcTswQ</t>
  </si>
  <si>
    <t>T1P8cuG_WUs</t>
  </si>
  <si>
    <t>BAnOCU94SDc</t>
  </si>
  <si>
    <t>ZZtoa0bst_4</t>
  </si>
  <si>
    <t>zh-HK-RsSZZSfhlqk|zh-HK-Wpxsouvead8</t>
  </si>
  <si>
    <t>gvbu0PxiLYI</t>
  </si>
  <si>
    <t>wFMCRSfbblY</t>
  </si>
  <si>
    <t>tCw3GX2ZDk0</t>
  </si>
  <si>
    <t>A59ISMF7zQs</t>
  </si>
  <si>
    <t>6KZKUefJdv8</t>
  </si>
  <si>
    <t>59qlAvKQ3QE</t>
  </si>
  <si>
    <t>nC-PEZ7WN0o</t>
  </si>
  <si>
    <t>4Xjvbt5qOQM</t>
  </si>
  <si>
    <t>KeE0PzXGlDs</t>
  </si>
  <si>
    <t>ZbxZW2rxGiE</t>
  </si>
  <si>
    <t>5nSfxwYfoeg</t>
  </si>
  <si>
    <t>feL0otyDb_Q</t>
  </si>
  <si>
    <t>en|zh-HK|zh-Hans|zh-Hant</t>
  </si>
  <si>
    <t>oRvo6WzVZlw</t>
  </si>
  <si>
    <t>wNMO7d8afG4</t>
  </si>
  <si>
    <t>LO9CDVcqucI</t>
  </si>
  <si>
    <t>LHOYqoFeIDE</t>
  </si>
  <si>
    <t>0D0P5foTAps</t>
  </si>
  <si>
    <t>eBII78zdeu8</t>
  </si>
  <si>
    <t>djxx1YdVx08</t>
  </si>
  <si>
    <t>4z2aPFFfNCc</t>
  </si>
  <si>
    <t>FhBt27eA4vA</t>
  </si>
  <si>
    <t>przoM-Uca8A</t>
  </si>
  <si>
    <t>1XNSIrk9ufg</t>
  </si>
  <si>
    <t>2Eil39h3xrk</t>
  </si>
  <si>
    <t>4R2atOlkueg</t>
  </si>
  <si>
    <t>zjsIH3fB_lg</t>
  </si>
  <si>
    <t>zLExsd4UQCo</t>
  </si>
  <si>
    <t>GpAO9bguOZU</t>
  </si>
  <si>
    <t>Pr9hWCAVWwA</t>
  </si>
  <si>
    <t>8cM4QLlHn68</t>
  </si>
  <si>
    <t>Kf8Y0V5erVM</t>
  </si>
  <si>
    <t>hADm48Vajok</t>
  </si>
  <si>
    <t>-82j4RAGWlA</t>
  </si>
  <si>
    <t>0odH965MCgc</t>
  </si>
  <si>
    <t>6VXJu7QawUw</t>
  </si>
  <si>
    <t>AXgG-jddssI</t>
  </si>
  <si>
    <t>F3Q8Eh2Nq54</t>
  </si>
  <si>
    <t>sy34D-2oKME</t>
  </si>
  <si>
    <t>gvn-R4QUWG8</t>
  </si>
  <si>
    <t>yxv0nEqHXeQ</t>
  </si>
  <si>
    <t>-y36yG7IHcY</t>
  </si>
  <si>
    <t>9E_9pIFL07A</t>
  </si>
  <si>
    <t>HDbNZ7632W4</t>
  </si>
  <si>
    <t>z0nGYwtAkmk</t>
  </si>
  <si>
    <t>fGfWFszzNjc</t>
  </si>
  <si>
    <t>QBU16J_4aPc</t>
  </si>
  <si>
    <t>iQurZbRqjgQ</t>
  </si>
  <si>
    <t>uM56k6iVsoc</t>
  </si>
  <si>
    <t>cV54urjOXPw</t>
  </si>
  <si>
    <t>chIurxTTxNw</t>
  </si>
  <si>
    <t>ID6ew8S9Z0w</t>
  </si>
  <si>
    <t>6B6f3uOKLyE</t>
  </si>
  <si>
    <t>aD24oLsvTSA</t>
  </si>
  <si>
    <t>ZGHtjOLRL-g</t>
  </si>
  <si>
    <t>QBMVR6NsKPg</t>
  </si>
  <si>
    <t>1A0iF1hAcRM</t>
  </si>
  <si>
    <t>lq53rxTwmak</t>
  </si>
  <si>
    <t>q7dmqecC60o</t>
  </si>
  <si>
    <t>ALBuJe7wqOk</t>
  </si>
  <si>
    <t>d3KcP8STeTw</t>
  </si>
  <si>
    <t>TRAmBGURdAw</t>
  </si>
  <si>
    <t>CsM6GO2_dco</t>
  </si>
  <si>
    <t>hu64PekEu6Y</t>
  </si>
  <si>
    <t>isHokTGur9M</t>
  </si>
  <si>
    <t>Q6II-fc9X_M</t>
  </si>
  <si>
    <t>iIlyB498beo</t>
  </si>
  <si>
    <t>s6aeggVKEMA</t>
  </si>
  <si>
    <t>z7gFHsny5m4</t>
  </si>
  <si>
    <t>k_QC9thFlm4</t>
  </si>
  <si>
    <t>8wntIgTHydc</t>
  </si>
  <si>
    <t>rKqBMjK6KGY</t>
  </si>
  <si>
    <t>vy1NQ4Z5RXI</t>
  </si>
  <si>
    <t>YUAq8QojDPQ</t>
  </si>
  <si>
    <t>JaEaHbR0hJ8</t>
  </si>
  <si>
    <t>pHzsi7lYy1c</t>
  </si>
  <si>
    <t>wMEUcO2IdsA</t>
  </si>
  <si>
    <t>vT8jJkYXm54</t>
  </si>
  <si>
    <t>gFssxYQZGwE</t>
  </si>
  <si>
    <t>6WadcH5GAG4</t>
  </si>
  <si>
    <t>IS3mCoFYTyw</t>
  </si>
  <si>
    <t>K5m6dsWoRBw</t>
  </si>
  <si>
    <t>aeXBlQNsiLg</t>
  </si>
  <si>
    <t>8s7m96frdi4</t>
  </si>
  <si>
    <t>Roq3AgA9jB0</t>
  </si>
  <si>
    <t>D12aAPPNT5k</t>
  </si>
  <si>
    <t>K_zRPJuLky8</t>
  </si>
  <si>
    <t>z6A_dMHZ_gA</t>
  </si>
  <si>
    <t>Jm6p-TjS4nU</t>
  </si>
  <si>
    <t>4fA-AyUKCno</t>
  </si>
  <si>
    <t>dj65ovqIpgQ</t>
  </si>
  <si>
    <t>en|zh-HK|zh-Hans</t>
  </si>
  <si>
    <t>RPGFnJaPEQ0</t>
  </si>
  <si>
    <t>pylhkbCDm0I</t>
  </si>
  <si>
    <t>0_1eIFRCdfY</t>
  </si>
  <si>
    <t>FT1ib6Nzcj8</t>
  </si>
  <si>
    <t>VGRLRx2G0Dg</t>
  </si>
  <si>
    <t>8n1wqg_2AQo</t>
  </si>
  <si>
    <t>jdAV8fKZRh0</t>
  </si>
  <si>
    <t>kJs-Kw18T3o</t>
  </si>
  <si>
    <t>UkOxKZTWpcM</t>
  </si>
  <si>
    <t>Cw8mb_sZGjU</t>
  </si>
  <si>
    <t>vqquKsaBa2M</t>
  </si>
  <si>
    <t>aDvcWLUiWcM</t>
  </si>
  <si>
    <t>SQ-9cd1ZkxI</t>
  </si>
  <si>
    <t>x1x9clp5cQs</t>
  </si>
  <si>
    <t>Pc2WPJJiQ3U</t>
  </si>
  <si>
    <t>NviIjttOgzY</t>
  </si>
  <si>
    <t>CCUTV0AASMU</t>
  </si>
  <si>
    <t>IfIk9AceF5I</t>
  </si>
  <si>
    <t>UCcuqs5kaRYbqBE5cX7hRXHw</t>
  </si>
  <si>
    <t>fAk7Hok_Dic</t>
  </si>
  <si>
    <t>oIZ8Pj9tbdU</t>
  </si>
  <si>
    <t>iY75A7D-qTQ</t>
  </si>
  <si>
    <t>fZxgAJv-bIk</t>
  </si>
  <si>
    <t>knvvC0WDcGE</t>
  </si>
  <si>
    <t>gs7-hv17DXA</t>
  </si>
  <si>
    <t>Jo4pTd1nLZM</t>
  </si>
  <si>
    <t>20SkoGZ_Vvk</t>
  </si>
  <si>
    <t>4ABovDJfmDU</t>
  </si>
  <si>
    <t>sAjlfS8Z4v8</t>
  </si>
  <si>
    <t>lnei9MYn3po</t>
  </si>
  <si>
    <t>JFW3nCraxMY</t>
  </si>
  <si>
    <t>UCAXcn_ZTy3wdjrJbGqH0BuA</t>
  </si>
  <si>
    <t>ebC-QIuWPas</t>
  </si>
  <si>
    <t>S0ewPHEs4h0</t>
  </si>
  <si>
    <t>xM1FlJBMGG0</t>
  </si>
  <si>
    <t>tNP-27aSs00</t>
  </si>
  <si>
    <t>8MrjFYOU-kE</t>
  </si>
  <si>
    <t>IBGmItvChoc</t>
  </si>
  <si>
    <t>pccdnnAGEzg</t>
  </si>
  <si>
    <t>doyscFQPqjc</t>
  </si>
  <si>
    <t>zP10QYsO2Q8</t>
  </si>
  <si>
    <t>wK6c0ypSKbs</t>
  </si>
  <si>
    <t>8FO5WRK7_Ho</t>
  </si>
  <si>
    <t>ySV8ri0jTjk</t>
  </si>
  <si>
    <t>cg2q-NjN_lk</t>
  </si>
  <si>
    <t>MXVrmQFv4kc</t>
  </si>
  <si>
    <t>1TeZT4WTlAI</t>
  </si>
  <si>
    <t>vo_3tGM1W4k</t>
  </si>
  <si>
    <t>qOKsWS6FoVU</t>
  </si>
  <si>
    <t>Kw6e7x8Bw5k</t>
  </si>
  <si>
    <t>Yp_v8ATJ5Sc</t>
  </si>
  <si>
    <t>enOnQ323qck</t>
  </si>
  <si>
    <t>D7M2M4xbryI</t>
  </si>
  <si>
    <t>_S3575uuljI</t>
  </si>
  <si>
    <t>YP0yjyuvVxI</t>
  </si>
  <si>
    <t>f4w9b8KoC1w</t>
  </si>
  <si>
    <t>8S2apt1WZ-k</t>
  </si>
  <si>
    <t>YAfo7S_heMM</t>
  </si>
  <si>
    <t>lyheUbpQMMQ</t>
  </si>
  <si>
    <t>l2DlUKhx7Kc</t>
  </si>
  <si>
    <t>kLBYhqBQNE4</t>
  </si>
  <si>
    <t>yuIkybfGjeg</t>
  </si>
  <si>
    <t>OORt8JPmVj0</t>
  </si>
  <si>
    <t>YHt0eZtLE0w</t>
  </si>
  <si>
    <t>Y9B9Qy8wQn0</t>
  </si>
  <si>
    <t>IF7w7GjLvdo</t>
  </si>
  <si>
    <t>Y16iMiepR1o</t>
  </si>
  <si>
    <t>YZ32cEFDhPk</t>
  </si>
  <si>
    <t>EYZo6De5RkY</t>
  </si>
  <si>
    <t>JwW2h57yFKU</t>
  </si>
  <si>
    <t>5GTaPqi7ClI</t>
  </si>
  <si>
    <t>wYTrLG1Aj58</t>
  </si>
  <si>
    <t>4umisi2UEIY</t>
  </si>
  <si>
    <t>0xg0niZQgvU</t>
  </si>
  <si>
    <t>jno_znUJ-BA</t>
  </si>
  <si>
    <t>xY77g6-LgS0</t>
  </si>
  <si>
    <t>agdrRBM2cLA</t>
  </si>
  <si>
    <t>RxOuJxeQ5XQ</t>
  </si>
  <si>
    <t>pqjYAqjilCA</t>
  </si>
  <si>
    <t>1ZQuvMLQ6uk</t>
  </si>
  <si>
    <t>ZuMtaD29mqI</t>
  </si>
  <si>
    <t>ObVyxnG71PU</t>
  </si>
  <si>
    <t>aiip9rtsJzE</t>
  </si>
  <si>
    <t>SsB3qaXnRxM</t>
  </si>
  <si>
    <t>095r4hNjvIw</t>
  </si>
  <si>
    <t>EfD4eD3VqL0</t>
  </si>
  <si>
    <t>RUPkHIp-XZg</t>
  </si>
  <si>
    <t>FWKutLraw44</t>
  </si>
  <si>
    <t>MiHLFmYs8IU</t>
  </si>
  <si>
    <t>WgUn02X0KVQ</t>
  </si>
  <si>
    <t>fQ4o1Spg3oo</t>
  </si>
  <si>
    <t>YEO3kq9G8Ms</t>
  </si>
  <si>
    <t>l6BxU8qdHLs</t>
  </si>
  <si>
    <t>S6zAoWtQ8l4</t>
  </si>
  <si>
    <t>djiDoPz3ATM</t>
  </si>
  <si>
    <t>eCiNm9v_8Rc</t>
  </si>
  <si>
    <t>UCrrbdSHvwWQOQ6EDbzeEuNg</t>
  </si>
  <si>
    <t>zSEHnGzNtHw</t>
  </si>
  <si>
    <t>9gsulUgk5Fw</t>
  </si>
  <si>
    <t>WYzKNdKYooI</t>
  </si>
  <si>
    <t>I1c_gKSQpfU</t>
  </si>
  <si>
    <t>6acTPU5zsD4</t>
  </si>
  <si>
    <t>wYPVxEi-HJE</t>
  </si>
  <si>
    <t>dxfd75hUdts</t>
  </si>
  <si>
    <t>F2nJjT3kotM</t>
  </si>
  <si>
    <t>NUM764PV6Rw</t>
  </si>
  <si>
    <t>5A8uO_sybF0</t>
  </si>
  <si>
    <t>lKUxZPiLBro</t>
  </si>
  <si>
    <t>c7U20t4rwOY</t>
  </si>
  <si>
    <t>zHp0uZRI450</t>
  </si>
  <si>
    <t>9moAr1lGctU</t>
  </si>
  <si>
    <t>LEDU9-_Vrrc</t>
  </si>
  <si>
    <t>ljsLLpvzC_g</t>
  </si>
  <si>
    <t>ycowbXOHw4o</t>
  </si>
  <si>
    <t>8mZwQ7reKb4</t>
  </si>
  <si>
    <t>gQwri8cxTSo</t>
  </si>
  <si>
    <t>Qhc1q2-RBc4</t>
  </si>
  <si>
    <t>bQuh902TU9E</t>
  </si>
  <si>
    <t>Gt5BIFDGhZ4</t>
  </si>
  <si>
    <t>99X5mlM7LJg</t>
  </si>
  <si>
    <t>w1i5_xYVXFI</t>
  </si>
  <si>
    <t>uoiHRj3l8gw</t>
  </si>
  <si>
    <t>UCemfvqiWvXPrrjegQ-PK1jw</t>
  </si>
  <si>
    <t>tyVJO9cjfOQ</t>
  </si>
  <si>
    <t>airAI4fkwAY</t>
  </si>
  <si>
    <t>gYfBegu1iUs</t>
  </si>
  <si>
    <t>lklWX3SUn1I</t>
  </si>
  <si>
    <t>lnLsPPrRCng</t>
  </si>
  <si>
    <t>PWK0I8y57pk</t>
  </si>
  <si>
    <t>inrZOYNIJEM</t>
  </si>
  <si>
    <t>OspWJGiAulg</t>
  </si>
  <si>
    <t>mfWtCeuWVP4</t>
  </si>
  <si>
    <t>DiAGM1A-7yU</t>
  </si>
  <si>
    <t>8lbU90NnCRM</t>
  </si>
  <si>
    <t>DJ5Iyg0VSkM</t>
  </si>
  <si>
    <t>aVIBnno2D90</t>
  </si>
  <si>
    <t>QtwpzVlpy4M</t>
  </si>
  <si>
    <t>SiiQTMxsZe8</t>
  </si>
  <si>
    <t>1f6wujBnowA</t>
  </si>
  <si>
    <t>adDzNa-j2uo</t>
  </si>
  <si>
    <t>UC_gbnbd5F7wbkhz_DiB30BA</t>
  </si>
  <si>
    <t>Pet9Rsu2R-Q</t>
  </si>
  <si>
    <t>Atb0v7mYTpY</t>
  </si>
  <si>
    <t>VTIYNsykd9s</t>
  </si>
  <si>
    <t>L_ZmrOAi5Rs</t>
  </si>
  <si>
    <t>lcdMj9rUA-k</t>
  </si>
  <si>
    <t>Yq_8Pt0O3g0</t>
  </si>
  <si>
    <t>KAcThsivr6Y</t>
  </si>
  <si>
    <t>DAqAsI4LTGs</t>
  </si>
  <si>
    <t>0SAL2jXqiDQ</t>
  </si>
  <si>
    <t>T9bjstBSn3k</t>
  </si>
  <si>
    <t>DjypB1DknS0</t>
  </si>
  <si>
    <t>9Z8juMwlcs8</t>
  </si>
  <si>
    <t>UNIQrKEtRUg</t>
  </si>
  <si>
    <t>QcqoL3n-bd4</t>
  </si>
  <si>
    <t>hQ0gRfUJzFI</t>
  </si>
  <si>
    <t>KKTqXyZMwO0</t>
  </si>
  <si>
    <t>OqPQa_GKfV4</t>
  </si>
  <si>
    <t>4-573QLkyq4</t>
  </si>
  <si>
    <t>h6KSq19Qwm8</t>
  </si>
  <si>
    <t>xPYdQhT_7Gc</t>
  </si>
  <si>
    <t>8V7_JYJAXHU</t>
  </si>
  <si>
    <t>tG3TFToGdl0</t>
  </si>
  <si>
    <t>y6pgTbjcKYY</t>
  </si>
  <si>
    <t>NcOZmktW6iY</t>
  </si>
  <si>
    <t>ouqGCsv5tEo</t>
  </si>
  <si>
    <t>lATQcPRAyDg</t>
  </si>
  <si>
    <t>kZ_ahDJ9uq4</t>
  </si>
  <si>
    <t>iXymOYYn7bU</t>
  </si>
  <si>
    <t>ncOZXPoYLLo</t>
  </si>
  <si>
    <t>YvK5kG_PnqM</t>
  </si>
  <si>
    <t>fPIgxIKPmR8</t>
  </si>
  <si>
    <t>LTBSoFvUYqw</t>
  </si>
  <si>
    <t>y9peg6B4p94</t>
  </si>
  <si>
    <t>Jw79DKlE3F8</t>
  </si>
  <si>
    <t>VulfrYRQnps</t>
  </si>
  <si>
    <t>KJB0Pc53IDs</t>
  </si>
  <si>
    <t>UCaAsesot2TkGMYCVjcHXDDg</t>
  </si>
  <si>
    <t>RzZwn2dEmcw</t>
  </si>
  <si>
    <t>dzzOMtXfmq8</t>
  </si>
  <si>
    <t>zbd4WHIff7E</t>
  </si>
  <si>
    <t>khBFLQoaRqY</t>
  </si>
  <si>
    <t>-ImAKoDgXpc</t>
  </si>
  <si>
    <t>dX6-67fjsbI</t>
  </si>
  <si>
    <t>MR9ZjfSLX2M</t>
  </si>
  <si>
    <t>jp5uIR-H8KA</t>
  </si>
  <si>
    <t>P285kaTjTBc</t>
  </si>
  <si>
    <t>eS2AtbCGNYs</t>
  </si>
  <si>
    <t>0GST2Ynwxh0</t>
  </si>
  <si>
    <t>nT5qFpbWaBo</t>
  </si>
  <si>
    <t>ixExCTFrt48</t>
  </si>
  <si>
    <t>3yenajEkN-M</t>
  </si>
  <si>
    <t>vUN-oQDRSpw</t>
  </si>
  <si>
    <t>SVUyf0AC2Vo</t>
  </si>
  <si>
    <t>uv-GCV3Mx4Q</t>
  </si>
  <si>
    <t>WpfMpw9Owpw</t>
  </si>
  <si>
    <t>lbTqLsF3dao</t>
  </si>
  <si>
    <t>AVeItgUoad4</t>
  </si>
  <si>
    <t>KiAxaAjFUgM</t>
  </si>
  <si>
    <t>PZ0FG85KyXw</t>
  </si>
  <si>
    <t>NHob2xjxJ8A</t>
  </si>
  <si>
    <t>1RnYkESaXPo</t>
  </si>
  <si>
    <t>EZbBduxVbp0</t>
  </si>
  <si>
    <t>pxmy6w10TIg</t>
  </si>
  <si>
    <t>M2NrjukeMXU</t>
  </si>
  <si>
    <t>lWigboEdU1k</t>
  </si>
  <si>
    <t>jfOM-iPMG5I</t>
  </si>
  <si>
    <t>nXDKHMJK1gs</t>
  </si>
  <si>
    <t>iC8AzjPYR7g</t>
  </si>
  <si>
    <t>OcBeLivUJUU</t>
  </si>
  <si>
    <t>7InfcB5JSu8</t>
  </si>
  <si>
    <t>ii53n2rX04U</t>
  </si>
  <si>
    <t>9eySFFfz5gk</t>
  </si>
  <si>
    <t>I58efvWaQkQ</t>
  </si>
  <si>
    <t>5dTLdaDL-Rc</t>
  </si>
  <si>
    <t>UCpGm9u4iYIev-BCA7mbAt6Q</t>
  </si>
  <si>
    <t>w0IW5aZF-4w</t>
  </si>
  <si>
    <t>cXaj-apRBwY</t>
  </si>
  <si>
    <t>2ddPrM-OGuw</t>
  </si>
  <si>
    <t>j2wecHZOdPc</t>
  </si>
  <si>
    <t>fySQjW3XuT8</t>
  </si>
  <si>
    <t>UCLYWo70xBDrPYJgJsxoX7Qg</t>
  </si>
  <si>
    <t>Gp7tTf-K1qs</t>
  </si>
  <si>
    <t>mU33GKwJnrE</t>
  </si>
  <si>
    <t>kwvPb71em0Q</t>
  </si>
  <si>
    <t>UHFPtuUvniQ</t>
  </si>
  <si>
    <t>vu0opK7EZSI</t>
  </si>
  <si>
    <t>nw9A9tVOP-s</t>
  </si>
  <si>
    <t>Zxvd_1VxQPA</t>
  </si>
  <si>
    <t>L0geZkksRo0</t>
  </si>
  <si>
    <t>q1vl13_G2l4</t>
  </si>
  <si>
    <t>uL6OiS-zHz8</t>
  </si>
  <si>
    <t>hZvdttdDeQ4</t>
  </si>
  <si>
    <t>cVBQwKl_a54</t>
  </si>
  <si>
    <t>MLCqxjq_k1Q</t>
  </si>
  <si>
    <t>oBqQf0xpJOE</t>
  </si>
  <si>
    <t>fKSpWQUj8qw</t>
  </si>
  <si>
    <t>Kv4rk-SQsl8</t>
  </si>
  <si>
    <t>tMgfzrEkIVc</t>
  </si>
  <si>
    <t>OvP4IPE0tuk</t>
  </si>
  <si>
    <t>GCZQOcWmpcQ</t>
  </si>
  <si>
    <t>ALd8QLRlj-c</t>
  </si>
  <si>
    <t>upoeG-_o9UA</t>
  </si>
  <si>
    <t>qepT0fzRvCU</t>
  </si>
  <si>
    <t>11h-Ucr3c6M</t>
  </si>
  <si>
    <t>ILMWqlYuxgQ</t>
  </si>
  <si>
    <t>FoMORpPUQOc</t>
  </si>
  <si>
    <t>iqxAoAk4HYs</t>
  </si>
  <si>
    <t>3CCML7njj9k</t>
  </si>
  <si>
    <t>kaXuSjw7A6s</t>
  </si>
  <si>
    <t>MbpNPQF9exs</t>
  </si>
  <si>
    <t>nUaotacrq5I</t>
  </si>
  <si>
    <t>e3p3yODF79U</t>
  </si>
  <si>
    <t>CsblR9ztOTU</t>
  </si>
  <si>
    <t>CT4nZMDGRgY</t>
  </si>
  <si>
    <t>2p6hLaOtnSQ</t>
  </si>
  <si>
    <t>ZY5SsnBVCu4</t>
  </si>
  <si>
    <t>okcgIi6flus</t>
  </si>
  <si>
    <t>O35o1L-XK2U</t>
  </si>
  <si>
    <t>Ss_HjU2OXKQ</t>
  </si>
  <si>
    <t>JADSfaliFgw</t>
  </si>
  <si>
    <t>BElXrcvJrWI</t>
  </si>
  <si>
    <t>3yTTyd1Hm8c</t>
  </si>
  <si>
    <t>Bm4ThG8KATE</t>
  </si>
  <si>
    <t>ikBExs4q2UQ</t>
  </si>
  <si>
    <t>QY1efzg7IJY</t>
  </si>
  <si>
    <t>cLA8yNmQ33k</t>
  </si>
  <si>
    <t>6nB5crhnY0E</t>
  </si>
  <si>
    <t>lQ5vn8FSVsI</t>
  </si>
  <si>
    <t>lbEwEwEgXss</t>
  </si>
  <si>
    <t>CQPb0Bih9SI</t>
  </si>
  <si>
    <t>SgxFH8WNlQA</t>
  </si>
  <si>
    <t>T296pakDBE8</t>
  </si>
  <si>
    <t>KJe67olL5QM</t>
  </si>
  <si>
    <t>nk7yj6Pt1u4</t>
  </si>
  <si>
    <t>jg6KiBdTt24</t>
  </si>
  <si>
    <t>d2qkU-m5Zak</t>
  </si>
  <si>
    <t>nbuR2piNCq0</t>
  </si>
  <si>
    <t>Ty5gwXhKKWI</t>
  </si>
  <si>
    <t>pmfkchBsadc</t>
  </si>
  <si>
    <t>en|zh-HK|zh-SG|zh-TW</t>
  </si>
  <si>
    <t>L0CV4Zx0kbQ</t>
  </si>
  <si>
    <t>7214ujk-sSk</t>
  </si>
  <si>
    <t>CnqO6pHPi6Y</t>
  </si>
  <si>
    <t>2VgrXj8H9Uw</t>
  </si>
  <si>
    <t>p6TSS3yHhLw</t>
  </si>
  <si>
    <t>hWKs437hWWc</t>
  </si>
  <si>
    <t>eGzUO4vlC4k</t>
  </si>
  <si>
    <t>31pHy9zGzrw</t>
  </si>
  <si>
    <t>iW9GHRh_SiQ</t>
  </si>
  <si>
    <t>9yRiE-aeWO0</t>
  </si>
  <si>
    <t>en|ja|ru|th|zh-HK|zh-SG|zh-TW</t>
  </si>
  <si>
    <t>BpB-GPB6cxM</t>
  </si>
  <si>
    <t>eOoIl2j7604</t>
  </si>
  <si>
    <t>OXmYK8scBMk</t>
  </si>
  <si>
    <t>cIw7jPkszcc</t>
  </si>
  <si>
    <t>jvcHmdsmHiI</t>
  </si>
  <si>
    <t>Lp_wMS9i66w</t>
  </si>
  <si>
    <t>-2qVBVVU-hs</t>
  </si>
  <si>
    <t>lZRu9LNL-6g</t>
  </si>
  <si>
    <t>82oqxoXt3XY</t>
  </si>
  <si>
    <t>u-qzRftIO8E</t>
  </si>
  <si>
    <t>F9SMSEsoc1M</t>
  </si>
  <si>
    <t>ZIYYtLA5fuo</t>
  </si>
  <si>
    <t>GtaSPCPDY1g</t>
  </si>
  <si>
    <t>RNSsJVefFjw</t>
  </si>
  <si>
    <t>4hadhK8IuCs</t>
  </si>
  <si>
    <t>pR2OQoCyL3Y</t>
  </si>
  <si>
    <t>LOeNApxctn0</t>
  </si>
  <si>
    <t>pBRdJllvvgw</t>
  </si>
  <si>
    <t>fCQQqtvhTrM</t>
  </si>
  <si>
    <t>XxTJsDIr32M</t>
  </si>
  <si>
    <t>n4Ne1_TZRk8</t>
  </si>
  <si>
    <t>1th0LIyXbls</t>
  </si>
  <si>
    <t>rJ0RFy2oeG8</t>
  </si>
  <si>
    <t>iD_sVgiNwW4</t>
  </si>
  <si>
    <t>AlQpwcZgQOQ</t>
  </si>
  <si>
    <t>DuvS7lyt_Ys</t>
  </si>
  <si>
    <t>cWBkmRRAWa8</t>
  </si>
  <si>
    <t>fNapvlIXHts</t>
  </si>
  <si>
    <t>C3m1oXOBoq8</t>
  </si>
  <si>
    <t>4GMLuFrTshA</t>
  </si>
  <si>
    <t>VcS_FkFgaDQ</t>
  </si>
  <si>
    <t>jWWjzJHV_8c</t>
  </si>
  <si>
    <t>8FdXoyy5svI</t>
  </si>
  <si>
    <t>lJ7eokcB1ec</t>
  </si>
  <si>
    <t>ckpbbGXQ_RY</t>
  </si>
  <si>
    <t>y6zj1bnnxeU</t>
  </si>
  <si>
    <t>WGUakJZHBY0</t>
  </si>
  <si>
    <t>2PPhat-FXHI</t>
  </si>
  <si>
    <t>TVnvdkrPVYE</t>
  </si>
  <si>
    <t>1h12AfzzZDU</t>
  </si>
  <si>
    <t>peIfvt3bTuY</t>
  </si>
  <si>
    <t>en|ja|ko|zh-HK|zh-Hant|zh-TW</t>
  </si>
  <si>
    <t>G6TDsWFzo9E</t>
  </si>
  <si>
    <t>ocMZDxD976Y</t>
  </si>
  <si>
    <t>cGRzctGsiMA</t>
  </si>
  <si>
    <t>eoXFEPKpt_E</t>
  </si>
  <si>
    <t>IPW6WAAcb4I</t>
  </si>
  <si>
    <t>Grs87jl9cx8</t>
  </si>
  <si>
    <t>rN61zdJzYdA</t>
  </si>
  <si>
    <t>zCnS1SUd4T0</t>
  </si>
  <si>
    <t>VSMyVQx7eg8</t>
  </si>
  <si>
    <t>zkCHU-9tBnk</t>
  </si>
  <si>
    <t>CAG1pf3FbIA</t>
  </si>
  <si>
    <t>pqV2z23SHZs</t>
  </si>
  <si>
    <t>mA_aVpCtIFk</t>
  </si>
  <si>
    <t>h5UtCUn_F_U</t>
  </si>
  <si>
    <t>Q8e7j1WOiQU</t>
  </si>
  <si>
    <t>XWh6U-hUyAw</t>
  </si>
  <si>
    <t>AkYEc5e3yVg</t>
  </si>
  <si>
    <t>TiK3DWz7n6Q</t>
  </si>
  <si>
    <t>6tLmXtj9y5I</t>
  </si>
  <si>
    <t>Om-ceJan9JQ</t>
  </si>
  <si>
    <t>bSLW6gweGQY</t>
  </si>
  <si>
    <t>RVW6DVuRkhw</t>
  </si>
  <si>
    <t>4PXUk2DlT00</t>
  </si>
  <si>
    <t>khmDPlEUwAY</t>
  </si>
  <si>
    <t>BTU7UE7OPAY</t>
  </si>
  <si>
    <t>V8YivfHXumg</t>
  </si>
  <si>
    <t>IIfyDyzCUjw</t>
  </si>
  <si>
    <t>en|fr|ja|ko|ru|zh-HK|zh-TW</t>
  </si>
  <si>
    <t>JqHEdbyJtvI</t>
  </si>
  <si>
    <t>KSkBZsNrZGo</t>
  </si>
  <si>
    <t>6ZlaEevwZoo</t>
  </si>
  <si>
    <t>Udkkx1lLBR4</t>
  </si>
  <si>
    <t>dODulcRb-Ik</t>
  </si>
  <si>
    <t>quxoZKuoM7s</t>
  </si>
  <si>
    <t>jPg_UYoFXeI</t>
  </si>
  <si>
    <t>5aYZWFLMmcA</t>
  </si>
  <si>
    <t>myANyhOVOJk</t>
  </si>
  <si>
    <t>3ltPzIeT16Q</t>
  </si>
  <si>
    <t>C4L63AGn5PU</t>
  </si>
  <si>
    <t>WMkN-k_D0HM</t>
  </si>
  <si>
    <t>WhxRLK_gR3s</t>
  </si>
  <si>
    <t>c104rnelD7E</t>
  </si>
  <si>
    <t>dD8jtKV3CNY</t>
  </si>
  <si>
    <t>Qy1QwdJERDI</t>
  </si>
  <si>
    <t>JXd-spsjxUg</t>
  </si>
  <si>
    <t>MyWo0UAXUPI</t>
  </si>
  <si>
    <t>Uix1Y2MlH5w</t>
  </si>
  <si>
    <t>_ox3bJtpqsE</t>
  </si>
  <si>
    <t>EDHcZhNtCCc</t>
  </si>
  <si>
    <t>p93Ryjkh2ww</t>
  </si>
  <si>
    <t>Vlxv1Z783JQ</t>
  </si>
  <si>
    <t>9KKIEjUu9jA</t>
  </si>
  <si>
    <t>iOrKnTa-M8c</t>
  </si>
  <si>
    <t>FcgzBffyKtQ</t>
  </si>
  <si>
    <t>IaHbdWAWnr4</t>
  </si>
  <si>
    <t>jbUSs2wyJn0</t>
  </si>
  <si>
    <t>hC9zJtU3ko4</t>
  </si>
  <si>
    <t>8nEVgezD14k</t>
  </si>
  <si>
    <t>jiPZoRgbVyo</t>
  </si>
  <si>
    <t>EwRvWn5xTHQ</t>
  </si>
  <si>
    <t>zD5r6uXFTCI</t>
  </si>
  <si>
    <t>o6Kn-c6bWPk</t>
  </si>
  <si>
    <t>AjLBGofKzI4</t>
  </si>
  <si>
    <t>ysSaRnqiLd4</t>
  </si>
  <si>
    <t>dEYjeMA6avE</t>
  </si>
  <si>
    <t>8L16-2U2iuY</t>
  </si>
  <si>
    <t>NUabZUGtVts</t>
  </si>
  <si>
    <t>UCao8gakIayC1LIkAUD4Hr2Q</t>
  </si>
  <si>
    <t>_4jEIsB6Ouc</t>
  </si>
  <si>
    <t>CgOTLH9kX8o</t>
  </si>
  <si>
    <t>aR3-puHykMY</t>
  </si>
  <si>
    <t>d8wncmUCw7M</t>
  </si>
  <si>
    <t>LUqV4BDySaw</t>
  </si>
  <si>
    <t>wNnulmbITBA</t>
  </si>
  <si>
    <t>KPkvN3fuLSU</t>
  </si>
  <si>
    <t>AC7Vq_k3fwc</t>
  </si>
  <si>
    <t>JWvYqfjzza0</t>
  </si>
  <si>
    <t>D1qWLO_EHSY</t>
  </si>
  <si>
    <t>Ukd4onJGQZg</t>
  </si>
  <si>
    <t>tWi3WWD4SQg</t>
  </si>
  <si>
    <t>7VLJm2xn_5s</t>
  </si>
  <si>
    <t>E9clDiOFOZQ</t>
  </si>
  <si>
    <t>PV6f8cs1ukQ</t>
  </si>
  <si>
    <t>AqpEoo4KzFo</t>
  </si>
  <si>
    <t>iNRNQu70K_Q</t>
  </si>
  <si>
    <t>EbTmtjitxlA</t>
  </si>
  <si>
    <t>73-5nupoU1g</t>
  </si>
  <si>
    <t>en|ja|ru|th|zh-HK</t>
  </si>
  <si>
    <t>QrYgeUzuVko</t>
  </si>
  <si>
    <t>h_xjPGNk020</t>
  </si>
  <si>
    <t>sMcJ0wNHC6c</t>
  </si>
  <si>
    <t>sYlDb0c_Scc</t>
  </si>
  <si>
    <t>xCl7yzPsODg</t>
  </si>
  <si>
    <t>gtBF9NKvkS0</t>
  </si>
  <si>
    <t>HKOo1I33q4Q</t>
  </si>
  <si>
    <t>CDYJqMIoY58</t>
  </si>
  <si>
    <t>S9qdxLcYSg0</t>
  </si>
  <si>
    <t>C1Bb30jIk9Y</t>
  </si>
  <si>
    <t>vhHQ4SE3Zbs</t>
  </si>
  <si>
    <t>4lZ0xd_c9k0</t>
  </si>
  <si>
    <t>2ujej4cILOE</t>
  </si>
  <si>
    <t>tj2wlGZ6odI</t>
  </si>
  <si>
    <t>dp5CSZ7jopg</t>
  </si>
  <si>
    <t>risttPjFIT4</t>
  </si>
  <si>
    <t>ReaYr8AUI8c</t>
  </si>
  <si>
    <t>DEzrYmJDma8</t>
  </si>
  <si>
    <t>UC2FuHhkQx55320asbW8OnDA</t>
  </si>
  <si>
    <t>eozcDxPVge8</t>
  </si>
  <si>
    <t>d1VWc9QMqNs</t>
  </si>
  <si>
    <t>QFkdXdbPPfE</t>
  </si>
  <si>
    <t>wPxl3YjGz4U</t>
  </si>
  <si>
    <t>v0FbnTCbsJc</t>
  </si>
  <si>
    <t>0OaYQx0v1lg</t>
  </si>
  <si>
    <t>M8iTuq1yVZQ</t>
  </si>
  <si>
    <t>HRW-aCJxICw</t>
  </si>
  <si>
    <t>GCfjHIT8oxU</t>
  </si>
  <si>
    <t>eDjwm2B51mw</t>
  </si>
  <si>
    <t>fjpE3CiKhw0</t>
  </si>
  <si>
    <t>v_7Nr5UZ9u8</t>
  </si>
  <si>
    <t>73ARsJ1-Yok</t>
  </si>
  <si>
    <t>fmrP9KzP3ac</t>
  </si>
  <si>
    <t>cBtisGQYxqw</t>
  </si>
  <si>
    <t>IU2YOXcyGbA</t>
  </si>
  <si>
    <t>uWrJUnCw5Xo</t>
  </si>
  <si>
    <t>zrTfGoiywok</t>
  </si>
  <si>
    <t>htAA0mjyN-I</t>
  </si>
  <si>
    <t>VNMbqSXpxnQ</t>
  </si>
  <si>
    <t>5Vj4Hsvs7a0</t>
  </si>
  <si>
    <t>T5v8UIMx8fE</t>
  </si>
  <si>
    <t>sg5aSk4DXl8</t>
  </si>
  <si>
    <t>5gEkzv-2oCA</t>
  </si>
  <si>
    <t>FhFS2a6BXC4</t>
  </si>
  <si>
    <t>meiuHGNW2mo</t>
  </si>
  <si>
    <t>Dby3aIEWLmE</t>
  </si>
  <si>
    <t>yNcxw742nqg</t>
  </si>
  <si>
    <t>GRmZXTpq0es</t>
  </si>
  <si>
    <t>m-Z4vCVPOhY</t>
  </si>
  <si>
    <t>3QQXYNfwau0</t>
  </si>
  <si>
    <t>4Hfp1uNmqsU</t>
  </si>
  <si>
    <t>6F6fa3Hxqfg</t>
  </si>
  <si>
    <t>iRlYvIzPUN8</t>
  </si>
  <si>
    <t>6E77jjVfZXA</t>
  </si>
  <si>
    <t>FxucHPhfp_0</t>
  </si>
  <si>
    <t>-K0JvnsXw_g</t>
  </si>
  <si>
    <t>4A_JO_ZlQoE</t>
  </si>
  <si>
    <t>D2oO5nAeodY</t>
  </si>
  <si>
    <t>1dJskpYY2pA</t>
  </si>
  <si>
    <t>kCMrjjipyKo</t>
  </si>
  <si>
    <t>aV3bCysT1Vs</t>
  </si>
  <si>
    <t>sOiggo2fPsM</t>
  </si>
  <si>
    <t>cjHDF9eDmFU</t>
  </si>
  <si>
    <t>JDY-gMsEiv4</t>
  </si>
  <si>
    <t>5eBt-v4vtT4</t>
  </si>
  <si>
    <t>zxBwFCsUJP4</t>
  </si>
  <si>
    <t>5y6Xzh9Sba4</t>
  </si>
  <si>
    <t>i94qloU-kbs</t>
  </si>
  <si>
    <t>4WJJortHCUI</t>
  </si>
  <si>
    <t>vJrwVCVO6XM</t>
  </si>
  <si>
    <t>ipOy_ow9Ddo</t>
  </si>
  <si>
    <t>qzwb1Hzs0LY</t>
  </si>
  <si>
    <t>OHrton-LBXc</t>
  </si>
  <si>
    <t>UayY34vrh3M</t>
  </si>
  <si>
    <t>aRgZnJMiLQU</t>
  </si>
  <si>
    <t>fEQaK_A0Pj4</t>
  </si>
  <si>
    <t>UCQRAwHsiC4</t>
  </si>
  <si>
    <t>ODf8_zV3Qog</t>
  </si>
  <si>
    <t>V4eeYzZBinw</t>
  </si>
  <si>
    <t>FoCgv-1Z49w</t>
  </si>
  <si>
    <t>FhRsfhsR0Ug</t>
  </si>
  <si>
    <t>6QoldQA957g</t>
  </si>
  <si>
    <t>uiXjQuBQUzY</t>
  </si>
  <si>
    <t>en|en-CA|ja|ru|zh-HK</t>
  </si>
  <si>
    <t>GOZDFuniGB8</t>
  </si>
  <si>
    <t>UCx4feg4MyYnDsT8fi9YRRog</t>
  </si>
  <si>
    <t>1v5UIaHKbjM</t>
  </si>
  <si>
    <t>E1T1wAlbhFk</t>
  </si>
  <si>
    <t>NQo6DnEUa4Y</t>
  </si>
  <si>
    <t>eCE3NHnae20</t>
  </si>
  <si>
    <t>IgjSAXcK32Q</t>
  </si>
  <si>
    <t>RP_zmSKZXus</t>
  </si>
  <si>
    <t>hMFcOFLn8PA</t>
  </si>
  <si>
    <t>L9plr3EsIkI</t>
  </si>
  <si>
    <t>dH4E8823Ipg</t>
  </si>
  <si>
    <t>IKbfLPBnhgg</t>
  </si>
  <si>
    <t>q0Bz2AZZlug</t>
  </si>
  <si>
    <t>g-TTwJ9W-F0</t>
  </si>
  <si>
    <t>AwLFglBrbyE</t>
  </si>
  <si>
    <t>BBJcXwlUZl0</t>
  </si>
  <si>
    <t>DSjsZ2kGvQg</t>
  </si>
  <si>
    <t>en|fr|ja|ko|ru|zh-HK</t>
  </si>
  <si>
    <t>SmTH5fqT4Go</t>
  </si>
  <si>
    <t>7JRMtgMToJ0</t>
  </si>
  <si>
    <t>iKjHiVtKFYg</t>
  </si>
  <si>
    <t>SdtsrdtO620</t>
  </si>
  <si>
    <t>EEvxOSvyJm8</t>
  </si>
  <si>
    <t>yue-HK|zh-CN</t>
  </si>
  <si>
    <t>4CzUJgSacQ0</t>
  </si>
  <si>
    <t>MwqaoR7_njc</t>
  </si>
  <si>
    <t>hWIWpIZZuNU</t>
  </si>
  <si>
    <t>ofwgd6xxO0I</t>
  </si>
  <si>
    <t>GrweZk5bTdU</t>
  </si>
  <si>
    <t>1jGKxDquxmo</t>
  </si>
  <si>
    <t>RTHxMvNuWo4</t>
  </si>
  <si>
    <t>nPOFoUsoT6I</t>
  </si>
  <si>
    <t>DXdMu-m6C-k</t>
  </si>
  <si>
    <t>sz_HnNSgKrM</t>
  </si>
  <si>
    <t>Kwu8QvIM7Gk</t>
  </si>
  <si>
    <t>3Ubn2XUbnuA</t>
  </si>
  <si>
    <t>I7CelK7S1gk</t>
  </si>
  <si>
    <t>en|ru|zh-HK|zh-Hans</t>
  </si>
  <si>
    <t>2peVrsQoMF0</t>
  </si>
  <si>
    <t>zQTkUORrssE</t>
  </si>
  <si>
    <t>kUpc6hgkgAY</t>
  </si>
  <si>
    <t>ndz0fCniVko</t>
  </si>
  <si>
    <t>en|ja|ko|ru|zh-HK</t>
  </si>
  <si>
    <t>XPHplE7o1lc</t>
  </si>
  <si>
    <t>owv_7CwbvCY</t>
  </si>
  <si>
    <t>DtyWz6xm960</t>
  </si>
  <si>
    <t>UCKj4bnQTklTOlDKdm57ug_A</t>
  </si>
  <si>
    <t>5y1H0Ggt8OU</t>
  </si>
  <si>
    <t>00OJ7poSlqs</t>
  </si>
  <si>
    <t>Q8FZJKeesDU</t>
  </si>
  <si>
    <t>EXwqLLe_HDY</t>
  </si>
  <si>
    <t>uBzcX9hkhvE</t>
  </si>
  <si>
    <t>W9fAr8-TsCc</t>
  </si>
  <si>
    <t>1oH8zzr7h3g</t>
  </si>
  <si>
    <t>2ABUJjdDmVI</t>
  </si>
  <si>
    <t>0sCmDBoTUGw</t>
  </si>
  <si>
    <t>WdZjIw3DGs4</t>
  </si>
  <si>
    <t>yQVHRvO8tt8</t>
  </si>
  <si>
    <t>eyn2FpxwbRU</t>
  </si>
  <si>
    <t>-2QSb-MZ7s0</t>
  </si>
  <si>
    <t>tmyRg_yienQ</t>
  </si>
  <si>
    <t>Wlrm5TQA5BA</t>
  </si>
  <si>
    <t>mOko9iwiO1Q</t>
  </si>
  <si>
    <t>jZyGHja7WX8</t>
  </si>
  <si>
    <t>Q9iSDLsp60A</t>
  </si>
  <si>
    <t>HSVBRhSwHNo</t>
  </si>
  <si>
    <t>nECEdnk4hyk</t>
  </si>
  <si>
    <t>pbfUJerX6Zk</t>
  </si>
  <si>
    <t>uj6-5bOQtpY</t>
  </si>
  <si>
    <t>8TaDfE-LCWs</t>
  </si>
  <si>
    <t>GbqCbYUSW0Y</t>
  </si>
  <si>
    <t>ayk-EGmkwJY</t>
  </si>
  <si>
    <t>BxHMHzZycTY</t>
  </si>
  <si>
    <t>_hTWkHEoKGY</t>
  </si>
  <si>
    <t>W1q-HSBpAm8</t>
  </si>
  <si>
    <t>H_AG-1eBIGA</t>
  </si>
  <si>
    <t>I4ILxXsGn6M</t>
  </si>
  <si>
    <t>wtJKiEGtG90</t>
  </si>
  <si>
    <t>osEKVlhFxDc</t>
  </si>
  <si>
    <t>aMnF_9lJx2k</t>
  </si>
  <si>
    <t>ICqAtb1Cybo</t>
  </si>
  <si>
    <t>AJGHbAltA38</t>
  </si>
  <si>
    <t>S-X1XsL__b8</t>
  </si>
  <si>
    <t>AnVR2UJuwlA</t>
  </si>
  <si>
    <t>aUP-_ac3Ny4</t>
  </si>
  <si>
    <t>p5CqL1GtGNA</t>
  </si>
  <si>
    <t>LuLnINlR1pU</t>
  </si>
  <si>
    <t>2O0-EZXhKaA</t>
  </si>
  <si>
    <t>1rk_69NZWos</t>
  </si>
  <si>
    <t>TSgkLVqXO_g</t>
  </si>
  <si>
    <t>_qSqyNyF8W0</t>
  </si>
  <si>
    <t>JPhmpiuc7xc</t>
  </si>
  <si>
    <t>dJq1ybmYPBE</t>
  </si>
  <si>
    <t>NStXl6yqol4</t>
  </si>
  <si>
    <t>-78QLP-9zKM</t>
  </si>
  <si>
    <t>iroYzqec9lo</t>
  </si>
  <si>
    <t>ilISJPLZKzo</t>
  </si>
  <si>
    <t>-qIVAXkc-UQ</t>
  </si>
  <si>
    <t>e5jLJSdjzJY</t>
  </si>
  <si>
    <t>rednTLirHms</t>
  </si>
  <si>
    <t>xTpWhCucNhU</t>
  </si>
  <si>
    <t>S5Y7-a5aOo4</t>
  </si>
  <si>
    <t>vpJs4PhqQ0c</t>
  </si>
  <si>
    <t>G-FKjy3-bI0</t>
  </si>
  <si>
    <t>Ea4Aw2iF990</t>
  </si>
  <si>
    <t>N8pB2yWMETg</t>
  </si>
  <si>
    <t>qSL4He5XTIg</t>
  </si>
  <si>
    <t>GxnTk5d-zjI</t>
  </si>
  <si>
    <t>7412Ba3nKlE</t>
  </si>
  <si>
    <t>-cslb18BXBg</t>
  </si>
  <si>
    <t>i21za_mn5xE</t>
  </si>
  <si>
    <t>iJzKbScke7c</t>
  </si>
  <si>
    <t>UJeYBNZZllM</t>
  </si>
  <si>
    <t>XTvEgvO0bQc</t>
  </si>
  <si>
    <t>Ib4qm6FvcIY</t>
  </si>
  <si>
    <t>Fyv7ZhhZVG4</t>
  </si>
  <si>
    <t>QW0D2EHJFX4</t>
  </si>
  <si>
    <t>NBHi-o7gBmQ</t>
  </si>
  <si>
    <t>_om8X-mbKzk</t>
  </si>
  <si>
    <t>v-h8YDC1gRo</t>
  </si>
  <si>
    <t>VFH6E6Mxizc</t>
  </si>
  <si>
    <t>VEr-XsdOJQ4</t>
  </si>
  <si>
    <t>Uhjt1wK449I</t>
  </si>
  <si>
    <t>KlBqwchWZ3M</t>
  </si>
  <si>
    <t>6AM4dW8ZcYw</t>
  </si>
  <si>
    <t>6LVeTxARX7A</t>
  </si>
  <si>
    <t>CisR4frQx_Y</t>
  </si>
  <si>
    <t>_3bzCBgs_Mo</t>
  </si>
  <si>
    <t>GRkFxmSpBlU</t>
  </si>
  <si>
    <t>0OuabpI0dWs</t>
  </si>
  <si>
    <t>0nWUhwVAfPI</t>
  </si>
  <si>
    <t>FW2XVwzuDgY</t>
  </si>
  <si>
    <t>st6C8lV6u68</t>
  </si>
  <si>
    <t>T-ehkfZt6Gw</t>
  </si>
  <si>
    <t>z-3ks2YQNsY</t>
  </si>
  <si>
    <t>dLW-ElGDh9k</t>
  </si>
  <si>
    <t>Sfz3AC2EhBI</t>
  </si>
  <si>
    <t>gVdQiy9GRWg</t>
  </si>
  <si>
    <t>ksjCJBvq2L0</t>
  </si>
  <si>
    <t>7wwqC-buKyM</t>
  </si>
  <si>
    <t>9pdFCbtf010</t>
  </si>
  <si>
    <t>ELO6YK6dg2w</t>
  </si>
  <si>
    <t>wBC-2i7HqjA</t>
  </si>
  <si>
    <t>OdQ4f_Lv0bQ</t>
  </si>
  <si>
    <t>lSwq7FQ4Drc</t>
  </si>
  <si>
    <t>Bv5pGxwe0tI</t>
  </si>
  <si>
    <t>p2HHsLCl8Bk</t>
  </si>
  <si>
    <t>d7sN3-JAzQU</t>
  </si>
  <si>
    <t>ocTwO_vczIU</t>
  </si>
  <si>
    <t>DaQNnnU1DA4</t>
  </si>
  <si>
    <t>jvPZP_8szrg</t>
  </si>
  <si>
    <t>UCyBRQK4DwHNDOPdEr2Drgig</t>
  </si>
  <si>
    <t>UCmy5pmJXB1Gp_oS8SlJR8yA</t>
  </si>
  <si>
    <t>UCyQN_NQxYyr3SoGS8e2q4Zw</t>
  </si>
  <si>
    <t>UCgECU-wBg5EHEhqijQTi8tg</t>
  </si>
  <si>
    <t>UCI-hAI42xZcwDiaLMn-GWng</t>
  </si>
  <si>
    <t>UCUA63Xd-yN1Dx1z8zevXbng</t>
  </si>
  <si>
    <t>UCMC8hUqLiADZOhnBV5pue4Q</t>
  </si>
  <si>
    <t>UCUXbf-vpeab-Ksvmi6-gPaQ</t>
  </si>
  <si>
    <t>UCHZuWXaIWsfFQ3cHZrvVxvg</t>
  </si>
  <si>
    <t>UCMIXW7ICDyTuCFcCHvBjfIQ</t>
  </si>
  <si>
    <t>UCq-32OgJN9rfJqw6_9GaT2g</t>
  </si>
  <si>
    <t>UCEtND8NR_OXVqdNCec_swaw</t>
  </si>
  <si>
    <t>UCZKFTpbPVNqNhVysfmBzM7g</t>
  </si>
  <si>
    <t>UCIBSkpVZfn2CA_jsx8r7S5Q</t>
  </si>
  <si>
    <t>UC54SLBnD5k5U3Q6N__UjbAw</t>
  </si>
  <si>
    <t>UCoNUEvOxJFmV5OE5Rn4bZDw</t>
  </si>
  <si>
    <t>UCEjGtkZY9ofYq7Ll2AJzONA</t>
  </si>
  <si>
    <t>UCFYmamjLGgVoGin-7yIAZ0Q</t>
  </si>
  <si>
    <t>UC9ZVbSWSRnMKCUZdcdmsvCg</t>
  </si>
  <si>
    <t>UCnwDPELDPXKQ_VrgPsPPdyA</t>
  </si>
  <si>
    <t>UCqP2vkCsedKj09kzK8uUpjA</t>
  </si>
  <si>
    <t>UCkGoTka8XI7xJlcQMWOIe4g</t>
  </si>
  <si>
    <t>UCQqg4s9mL0kRda4PXJvTECg</t>
  </si>
  <si>
    <t>UCZToCdTx1KdoTfxtmsWJPYg</t>
  </si>
  <si>
    <t>UCr3Exnqea53yhKCoy7PUVTw</t>
  </si>
  <si>
    <t>UCQOTG-gvEMZAD7f4eLUI1zA</t>
  </si>
  <si>
    <t>UC8mbGKkGL76KrcHK_2op3tQ</t>
  </si>
  <si>
    <t>UCCuqona7-Ql_Dkc1IUJ2qaQ</t>
  </si>
  <si>
    <t>UCWHojUvKOvV1xwCANqSsnUg</t>
  </si>
  <si>
    <t>UCF_QSDe90sisUcWn-g52nVA</t>
  </si>
  <si>
    <t>UC-QCSHf-L_qiuJqlpi2k3oQ</t>
  </si>
  <si>
    <t>UCiB7O-CMgwMhRb843fKPJMA</t>
  </si>
  <si>
    <t>UCCzuPng3HJktPQuNl5lAzBQ</t>
  </si>
  <si>
    <t>UCr1IvICxr_H6gWWf-1hy9WA</t>
  </si>
  <si>
    <t>UCgvuk9gR3V2eT1dhEjuAdrg</t>
  </si>
  <si>
    <t>UCEsjlcKTlx6oAhN6eNoqEnA</t>
  </si>
  <si>
    <t>UCpwwNOEaOm2MzPu08xY-l5w</t>
  </si>
  <si>
    <t>UClCyuPyVe0_JB9bT1c-AMQg</t>
  </si>
  <si>
    <t>UCmxZmi6lDT3JMluCA2iOE9A</t>
  </si>
  <si>
    <t>UCqBMuXxkjded936sAf_znpg</t>
  </si>
  <si>
    <t>UCFGwJvxQTZFW00oOkhGbM2w</t>
  </si>
  <si>
    <t>UC_iT56-BHADnzCKYK2tgjDg</t>
  </si>
  <si>
    <t>UClkSKv9-Geah2gwYu7e9jFw</t>
  </si>
  <si>
    <t>UC3aipgNToMvs2pFaQyaM_hg</t>
  </si>
  <si>
    <t>UCigjGU7HwVVXte3OMBBeTBA</t>
  </si>
  <si>
    <t>UCDUn3_tmOLdecXmrqQ1YtRw</t>
  </si>
  <si>
    <t>UCUo3Vm4K0e0rarlaax-USxg</t>
  </si>
  <si>
    <t>UCaTyG3RkM5v2JjZLZQmzVcg</t>
  </si>
  <si>
    <t>UCBfqmZaxAsJTVx46vi5s77Q</t>
  </si>
  <si>
    <t>UCOfdc0MtMGhJzCF1HDYNkLw</t>
  </si>
  <si>
    <t>UCDFxlTiuwbX0DmJvoKg_I7g</t>
  </si>
  <si>
    <t>UCjrY3d67dCM8qcUl_jsdyig</t>
  </si>
  <si>
    <t>UC7At652meohyELviOMk9ZZg</t>
  </si>
  <si>
    <t>UCe8ixbGE7Woqa-wYI7b0xwA</t>
  </si>
  <si>
    <t>UC-9OljcFnApD0Ppjj5BSoAQ</t>
  </si>
  <si>
    <t>UCksMVjaZvrPy-klKPU78cPw</t>
  </si>
  <si>
    <t>UChfG42mAZXV1Rejj64MZszw</t>
  </si>
  <si>
    <t>UC_lj8lq8KaOx_o-kYQNzRdQ</t>
  </si>
  <si>
    <t>UCpaBBrbeE4eQ6lW5Bw5veaQ</t>
  </si>
  <si>
    <t>UCxUxn3OAgZRfX8bpduWpenA</t>
  </si>
  <si>
    <t>UCPYxu96c9dJO53_4OuS-oOQ</t>
  </si>
  <si>
    <t>UCpuwKOdtSDo8M2t2sAoE6OA</t>
  </si>
  <si>
    <t>UCObhrS5zsM-dYaaXzONvHTw</t>
  </si>
  <si>
    <t>UC7sTtrvQ-VNaRsbqFBIKL2g</t>
  </si>
  <si>
    <t>UCsIF9vk-I_PV1P-ShDFA84A</t>
  </si>
  <si>
    <t>UCtmlUpYTBXgLsVwbizwVLYA</t>
  </si>
  <si>
    <t>UCIvpVyXrw_lLbZoGR_0RRuQ</t>
  </si>
  <si>
    <t>UCa1d9ZXVMU0BZQRXZHt8Cpw</t>
  </si>
  <si>
    <t>UCkVUo8g8jWlWwPBaMb90yiQ</t>
  </si>
  <si>
    <t>UCWXP30QrWFOl-H68Nx7FB9g</t>
  </si>
  <si>
    <t>UC9vp0891Gx8JyspnMvPRvjw</t>
  </si>
  <si>
    <t>UCtkEA9JraRd852M3VIRTmvg</t>
  </si>
  <si>
    <t>UCZydJPqgDnrwC7WcZX19rAg</t>
  </si>
  <si>
    <t>UC8kaxtRUL6CRcDBG_5IlFKQ</t>
  </si>
  <si>
    <t>UC5IZoMHDRHV9j7MYMGNO_Ug</t>
  </si>
  <si>
    <t>UCm5oNp5xqr4CdtU9L7ZrsKg</t>
  </si>
  <si>
    <t>UCTiPpo3GYFgLq0WrvwyLVYw</t>
  </si>
  <si>
    <t>UCnmxrvocX00L0t8AszdDyMw</t>
  </si>
  <si>
    <t>UCIGUFivK2exiseCZLpfkaew</t>
  </si>
  <si>
    <t>UCJcKh9mwJH4zhHsU4NDs54g</t>
  </si>
  <si>
    <t>UCVrT9B8C4ax83pRQt3Nrr6Q</t>
  </si>
  <si>
    <t>UCQa-7tpKlLW3pnPGAyMPgsA</t>
  </si>
  <si>
    <t>UC1FYgG76SB9H7uDf55Mo3Xw</t>
  </si>
  <si>
    <t>UC1YY9hJoczkVVx0eG3y5Aag</t>
  </si>
  <si>
    <t>UCQxnuIUnpkGNXSptfh4IyNA</t>
  </si>
  <si>
    <t>UC_7E_ls1UMGuXfyKMQkGczQ</t>
  </si>
  <si>
    <t>UC4ABi-kCsS1rsAaJ-W4a3uA</t>
  </si>
  <si>
    <t>UCh3U6lbJfWUWnmRvA570M2g</t>
  </si>
  <si>
    <t>UC_8PBvehd9zqytNoqCRrTTQ</t>
  </si>
  <si>
    <t>UCFVD5DCRJhJc9UJ2_ju7iTA</t>
  </si>
  <si>
    <t>UCvGEK5_U-kLgO6-AMDPeTUQ</t>
  </si>
  <si>
    <t>UCNKyJ4oYDRAuG1EO_H_Edvg</t>
  </si>
  <si>
    <t>UCrmJ2lG1QU7fD9-wTEvlK5w</t>
  </si>
  <si>
    <t>UCGPU0Z-UjKI2S03npo1QpcA</t>
  </si>
  <si>
    <t>UCm3i0ZCpxV4trgsEbS86W5Q</t>
  </si>
  <si>
    <t>UCLCVwXiFvMLniYWwncYjVJQ</t>
  </si>
  <si>
    <t>UC0yuyhUuU1EFhjrZWCQgx7Q</t>
  </si>
  <si>
    <t>UCiSUSUuutg_w-nSILsvMKnw</t>
  </si>
  <si>
    <t>UCTx-C6YEBUup7FfvQJ-cX-A</t>
  </si>
  <si>
    <t>UC-wxkbvhtnhowEss1w4Aw-g</t>
  </si>
  <si>
    <t>UC1pc01BkHmhJJHFi2Cy7bhw</t>
  </si>
  <si>
    <t>UCGMUK4NgQK3uZGzkI8by-7Q</t>
  </si>
  <si>
    <t>UCiqebUABtSU4rFUPOxr2p3A</t>
  </si>
  <si>
    <t>UC7TMEY69xRgqAZ-2EFU4l_A</t>
  </si>
  <si>
    <t>UCbN-VJJUPC1Cgw9ztWRdFOA</t>
  </si>
  <si>
    <t>UCt2NdUg_4OLOFMVf_OGf2KA</t>
  </si>
  <si>
    <t>UCROfhHaU-wvnBsfUWsPWQew</t>
  </si>
  <si>
    <t>UCbPjpaVDaPRYstDy7Rt9bFQ</t>
  </si>
  <si>
    <t>UCYMcTN3A930mbpwNZCPL8gw</t>
  </si>
  <si>
    <t>UCKO3Z2NpwxRafHHGkA_jeIg</t>
  </si>
  <si>
    <t>UCFXWZX6JgH2unZBmgv5ydzQ</t>
  </si>
  <si>
    <t>UCN3XrwD2o1HR-snBgcpmIHQ</t>
  </si>
  <si>
    <t>UCOOzVNnAm0z6v1ImCftzWnw</t>
  </si>
  <si>
    <t>UCDufxgd5cAYCS61ed8lcA-Q</t>
  </si>
  <si>
    <t>UCgQqWQM2Dx7SZG5_i40-7lQ</t>
  </si>
  <si>
    <t>UCgwOhn9ghL2jY5qJEzpzSzw</t>
  </si>
  <si>
    <t>UCHcN_iwZT8EC4HgZDpayf_g</t>
  </si>
  <si>
    <t>UCbhvD0L6cyMgCzMFnZl5LBw</t>
  </si>
  <si>
    <t>UCKRg8-2T8Cg1b6AcLXfLHFA</t>
  </si>
  <si>
    <t>UCHoFileUAn9bi3wUHPgvOzw</t>
  </si>
  <si>
    <t>UCi_rwttsJtJlukdoYeiaI4Q</t>
  </si>
  <si>
    <t>UCajzkk_Rxm4kzBW7HTT4JXg</t>
  </si>
  <si>
    <t>UCVGS9KB-5x8vmZlcvc2vWgQ</t>
  </si>
  <si>
    <t>UCJHolkQ95CDWq8UZZMBrqXw</t>
  </si>
  <si>
    <t>UCXDQojAB3faJeGnSUXZBGXQ</t>
  </si>
  <si>
    <t>UCoUnIZfY14AGstKnPRxlaxQ</t>
  </si>
  <si>
    <t>UC4ROxiohn1f-lWq81cefhpA</t>
  </si>
  <si>
    <t>UC7K4DBOzdITZFOjGkea_CCA</t>
  </si>
  <si>
    <t>UCGGDvBP3e9GYXYp8w6BiAeQ</t>
  </si>
  <si>
    <t>UCGKZBiAkSYd1v1O_5vFky7A</t>
  </si>
  <si>
    <t>UCf-G-lvuCwQslttLvwJi9mw</t>
  </si>
  <si>
    <t>UCdhFetgKx0vxIH2okOXvFEw</t>
  </si>
  <si>
    <t>UCjLkpp3Id5TFr-662wjnx2g</t>
  </si>
  <si>
    <t>UCSO_n2RGr59ivm5HY3rlhDA</t>
  </si>
  <si>
    <t>UC560zuSqIOkilVdrAaCndNg</t>
  </si>
  <si>
    <t>UCqG6xsWE9zqs4lVmgC5HQLg</t>
  </si>
  <si>
    <t>UCtokllq2j9bzPD6XdcQP9mQ</t>
  </si>
  <si>
    <t>UCcfdsRaC34Y4IKTiihYxBrQ</t>
  </si>
  <si>
    <t>UCR6Tl_nu_6PaicKSPm8S7GQ</t>
  </si>
  <si>
    <t>UC2B1EFBwwLRoJo4ufGuisTQ</t>
  </si>
  <si>
    <t>UCogtkZ9ZR5ZIu-V-c4a8sVg</t>
  </si>
  <si>
    <t>UCS8WprrGeExAwlAqDJB0LBw</t>
  </si>
  <si>
    <t>UCOHJyhZqFyHrcZCgdtmi_YA</t>
  </si>
  <si>
    <t>UCQJfzDyVJ9WQAPujC2y_Zww</t>
  </si>
  <si>
    <t>UCiUKF8-UTY0U1JoAgPncBKg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</si>
</sst>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8">
    <font>
      <sz val="10.0"/>
      <color rgb="FF000000"/>
      <name val="Arial"/>
      <scheme val="minor"/>
    </font>
    <font>
      <color theme="1"/>
      <name val="Arial"/>
      <scheme val="minor"/>
    </font>
    <font>
      <sz val="18.0"/>
      <color theme="1"/>
      <name val="Arial"/>
      <scheme val="minor"/>
    </font>
    <font/>
    <font>
      <sz val="10.0"/>
      <color theme="1"/>
      <name val="Arial"/>
      <scheme val="minor"/>
    </font>
    <font>
      <sz val="12.0"/>
      <color theme="1"/>
      <name val="Arial"/>
      <scheme val="minor"/>
    </font>
    <font>
      <u/>
      <sz val="10.0"/>
      <color rgb="FF0000FF"/>
    </font>
    <font>
      <sz val="14.0"/>
      <color theme="1"/>
      <name val="Arial"/>
      <scheme val="minor"/>
    </font>
    <font>
      <u/>
      <color rgb="FF0000FF"/>
    </font>
    <font>
      <u/>
      <color rgb="FF1155CC"/>
    </font>
    <font>
      <u/>
      <color rgb="FF000000"/>
      <name val="Arial"/>
    </font>
    <font>
      <color rgb="FF000000"/>
      <name val="Arial"/>
    </font>
    <font>
      <u/>
      <sz val="14.0"/>
      <color rgb="FF0000FF"/>
    </font>
    <font>
      <u/>
      <sz val="10.0"/>
      <color rgb="FF0000FF"/>
    </font>
    <font>
      <u/>
      <sz val="10.0"/>
      <color rgb="FF0000FF"/>
    </font>
    <font>
      <u/>
      <color rgb="FF0000FF"/>
    </font>
    <font>
      <b/>
      <sz val="12.0"/>
      <color theme="1"/>
      <name val="Arial"/>
      <scheme val="minor"/>
    </font>
    <font>
      <u/>
      <color rgb="FF0000FF"/>
    </font>
  </fonts>
  <fills count="8">
    <fill>
      <patternFill patternType="none"/>
    </fill>
    <fill>
      <patternFill patternType="lightGray"/>
    </fill>
    <fill>
      <patternFill patternType="solid">
        <fgColor rgb="FF666666"/>
        <bgColor rgb="FF666666"/>
      </patternFill>
    </fill>
    <fill>
      <patternFill patternType="solid">
        <fgColor theme="0"/>
        <bgColor theme="0"/>
      </patternFill>
    </fill>
    <fill>
      <patternFill patternType="solid">
        <fgColor rgb="FF999999"/>
        <bgColor rgb="FF999999"/>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s>
  <borders count="25">
    <border/>
    <border>
      <left style="thin">
        <color rgb="FF666666"/>
      </left>
      <right style="thin">
        <color rgb="FF666666"/>
      </right>
      <top style="thin">
        <color rgb="FF666666"/>
      </top>
      <bottom style="thin">
        <color rgb="FF666666"/>
      </bottom>
    </border>
    <border>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top style="dotted">
        <color rgb="FFFFFFFF"/>
      </top>
      <bottom style="dotted">
        <color rgb="FFFFFFFF"/>
      </bottom>
    </border>
    <border>
      <left style="thick">
        <color rgb="FF666666"/>
      </left>
      <right style="thick">
        <color rgb="FF666666"/>
      </right>
      <top style="thick">
        <color rgb="FF666666"/>
      </top>
      <bottom style="thick">
        <color rgb="FF666666"/>
      </bottom>
    </border>
    <border>
      <bottom style="dotted">
        <color rgb="FFFFFFFF"/>
      </bottom>
    </border>
    <border>
      <left style="thin">
        <color rgb="FFCCCCCC"/>
      </left>
      <top style="thin">
        <color rgb="FFCCCCCC"/>
      </top>
      <bottom style="thin">
        <color rgb="FFFFFFFF"/>
      </bottom>
    </border>
    <border>
      <top style="thin">
        <color rgb="FFCCCCCC"/>
      </top>
      <bottom style="thin">
        <color rgb="FFFFFFFF"/>
      </bottom>
    </border>
    <border>
      <right style="thin">
        <color rgb="FFCCCCCC"/>
      </right>
      <top style="thin">
        <color rgb="FFCCCCCC"/>
      </top>
      <bottom style="thin">
        <color rgb="FFFFFFFF"/>
      </bottom>
    </border>
    <border>
      <left style="thin">
        <color rgb="FFCCCCCC"/>
      </left>
      <top style="thin">
        <color rgb="FFFFFFFF"/>
      </top>
    </border>
    <border>
      <top style="thin">
        <color rgb="FFFFFFFF"/>
      </top>
    </border>
    <border>
      <right style="thin">
        <color rgb="FFCCCCCC"/>
      </right>
      <top style="thin">
        <color rgb="FFFFFFFF"/>
      </top>
    </border>
    <border>
      <left style="thin">
        <color rgb="FFCCCCCC"/>
      </left>
    </border>
    <border>
      <right style="thin">
        <color rgb="FFCCCCCC"/>
      </right>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CCCCCC"/>
      </left>
      <bottom style="thin">
        <color rgb="FFCCCCCC"/>
      </bottom>
    </border>
    <border>
      <bottom style="thin">
        <color rgb="FFCCCCCC"/>
      </bottom>
    </border>
    <border>
      <right style="thin">
        <color rgb="FFCCCCCC"/>
      </right>
      <bottom style="thin">
        <color rgb="FFCCCCCC"/>
      </bottom>
    </border>
    <border>
      <left style="thin">
        <color rgb="FFFFFFFF"/>
      </left>
      <top style="thin">
        <color rgb="FFFFFFFF"/>
      </top>
    </border>
    <border>
      <right style="thin">
        <color rgb="FFFFFFFF"/>
      </right>
      <top style="thin">
        <color rgb="FFFFFFFF"/>
      </top>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0" xfId="0" applyAlignment="1" applyBorder="1" applyFont="1">
      <alignment readingOrder="0" shrinkToFit="0" wrapText="0"/>
    </xf>
    <xf borderId="4" fillId="0" fontId="3" numFmtId="0" xfId="0" applyBorder="1" applyFont="1"/>
    <xf borderId="2" fillId="0" fontId="3" numFmtId="0" xfId="0" applyBorder="1" applyFont="1"/>
    <xf borderId="5" fillId="3" fontId="2" numFmtId="0" xfId="0" applyBorder="1" applyFont="1"/>
    <xf borderId="6" fillId="2" fontId="2" numFmtId="0" xfId="0" applyBorder="1" applyFont="1"/>
    <xf borderId="3" fillId="3" fontId="4" numFmtId="0" xfId="0" applyAlignment="1" applyBorder="1" applyFont="1">
      <alignment readingOrder="0" shrinkToFit="0" wrapText="1"/>
    </xf>
    <xf borderId="5" fillId="3" fontId="4" numFmtId="0" xfId="0" applyBorder="1" applyFont="1"/>
    <xf borderId="6" fillId="2" fontId="4" numFmtId="0" xfId="0" applyBorder="1" applyFont="1"/>
    <xf borderId="7" fillId="3" fontId="1" numFmtId="0" xfId="0" applyBorder="1" applyFont="1"/>
    <xf borderId="8" fillId="3" fontId="2" numFmtId="0" xfId="0" applyAlignment="1" applyBorder="1" applyFont="1">
      <alignment readingOrder="0"/>
    </xf>
    <xf borderId="9" fillId="0" fontId="3" numFmtId="0" xfId="0" applyBorder="1" applyFont="1"/>
    <xf borderId="10" fillId="0" fontId="3" numFmtId="0" xfId="0" applyBorder="1" applyFont="1"/>
    <xf borderId="5" fillId="3" fontId="1" numFmtId="0" xfId="0" applyBorder="1" applyFont="1"/>
    <xf borderId="0" fillId="4" fontId="5" numFmtId="0" xfId="0" applyAlignment="1" applyFill="1" applyFont="1">
      <alignment readingOrder="0" shrinkToFit="0" wrapText="0"/>
    </xf>
    <xf borderId="0" fillId="4" fontId="5" numFmtId="0" xfId="0" applyAlignment="1" applyFont="1">
      <alignment readingOrder="0" shrinkToFit="0" wrapText="1"/>
    </xf>
    <xf borderId="0" fillId="4" fontId="5" numFmtId="0" xfId="0" applyAlignment="1" applyFont="1">
      <alignment readingOrder="0"/>
    </xf>
    <xf borderId="4" fillId="3" fontId="5" numFmtId="0" xfId="0" applyBorder="1" applyFont="1"/>
    <xf borderId="11" fillId="3" fontId="6" numFmtId="0" xfId="0" applyAlignment="1" applyBorder="1" applyFont="1">
      <alignment readingOrder="0" shrinkToFit="0" vertical="top" wrapText="1"/>
    </xf>
    <xf borderId="12" fillId="0" fontId="3" numFmtId="0" xfId="0" applyBorder="1" applyFont="1"/>
    <xf borderId="13" fillId="0" fontId="3" numFmtId="0" xfId="0" applyBorder="1" applyFont="1"/>
    <xf borderId="1" fillId="2" fontId="4" numFmtId="0" xfId="0" applyAlignment="1" applyBorder="1" applyFont="1">
      <alignment horizontal="left"/>
    </xf>
    <xf borderId="5" fillId="3" fontId="4" numFmtId="0" xfId="0" applyAlignment="1" applyBorder="1" applyFont="1">
      <alignment horizontal="left"/>
    </xf>
    <xf borderId="0" fillId="5" fontId="4" numFmtId="0" xfId="0" applyAlignment="1" applyFill="1" applyFont="1">
      <alignment horizontal="left" readingOrder="0" shrinkToFit="0" wrapText="0"/>
    </xf>
    <xf borderId="0" fillId="5" fontId="4" numFmtId="0" xfId="0" applyAlignment="1" applyFont="1">
      <alignment horizontal="left" shrinkToFit="0" wrapText="1"/>
    </xf>
    <xf borderId="0" fillId="5" fontId="4" numFmtId="0" xfId="0" applyAlignment="1" applyFont="1">
      <alignment horizontal="left"/>
    </xf>
    <xf borderId="4" fillId="3" fontId="4" numFmtId="0" xfId="0" applyAlignment="1" applyBorder="1" applyFont="1">
      <alignment horizontal="left"/>
    </xf>
    <xf borderId="14" fillId="0" fontId="3" numFmtId="0" xfId="0" applyBorder="1" applyFont="1"/>
    <xf borderId="15" fillId="0" fontId="3" numFmtId="0" xfId="0" applyBorder="1" applyFont="1"/>
    <xf borderId="5" fillId="3" fontId="4" numFmtId="0" xfId="0" applyAlignment="1" applyBorder="1" applyFont="1">
      <alignment horizontal="left"/>
    </xf>
    <xf borderId="6" fillId="2" fontId="4" numFmtId="0" xfId="0" applyAlignment="1" applyBorder="1" applyFont="1">
      <alignment horizontal="left"/>
    </xf>
    <xf borderId="16" fillId="3" fontId="2" numFmtId="0" xfId="0" applyAlignment="1" applyBorder="1" applyFont="1">
      <alignment readingOrder="0" shrinkToFit="0" wrapText="0"/>
    </xf>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3" fillId="3" fontId="7" numFmtId="0" xfId="0" applyAlignment="1" applyBorder="1" applyFont="1">
      <alignment readingOrder="0" shrinkToFit="0" wrapText="0"/>
    </xf>
    <xf borderId="5" fillId="3" fontId="7" numFmtId="0" xfId="0" applyBorder="1" applyFont="1"/>
    <xf borderId="6" fillId="2" fontId="7" numFmtId="0" xfId="0" applyBorder="1" applyFont="1"/>
    <xf borderId="3" fillId="3" fontId="1" numFmtId="0" xfId="0" applyAlignment="1" applyBorder="1" applyFont="1">
      <alignment readingOrder="0" shrinkToFit="0" wrapText="0"/>
    </xf>
    <xf borderId="5" fillId="3" fontId="1" numFmtId="0" xfId="0" applyBorder="1" applyFont="1"/>
    <xf borderId="6" fillId="2" fontId="1" numFmtId="0" xfId="0" applyBorder="1" applyFont="1"/>
    <xf borderId="22" fillId="3" fontId="5" numFmtId="0" xfId="0" applyAlignment="1" applyBorder="1" applyFont="1">
      <alignment readingOrder="0" shrinkToFit="0" wrapText="0"/>
    </xf>
    <xf borderId="23" fillId="0" fontId="3" numFmtId="0" xfId="0" applyBorder="1" applyFont="1"/>
    <xf borderId="5" fillId="3" fontId="5" numFmtId="0" xfId="0" applyBorder="1" applyFont="1"/>
    <xf borderId="6" fillId="2" fontId="5" numFmtId="0" xfId="0" applyBorder="1" applyFont="1"/>
    <xf borderId="0" fillId="6" fontId="1" numFmtId="0" xfId="0" applyAlignment="1" applyFill="1" applyFont="1">
      <alignment readingOrder="0" shrinkToFit="0" wrapText="0"/>
    </xf>
    <xf borderId="0" fillId="7" fontId="1" numFmtId="0" xfId="0" applyAlignment="1" applyFill="1" applyFont="1">
      <alignment readingOrder="0" shrinkToFit="0" wrapText="1"/>
    </xf>
    <xf borderId="1" fillId="2" fontId="1" numFmtId="0" xfId="0" applyBorder="1" applyFont="1"/>
    <xf borderId="16" fillId="0" fontId="1" numFmtId="0" xfId="0" applyBorder="1" applyFont="1"/>
    <xf borderId="3" fillId="0" fontId="7" numFmtId="0" xfId="0" applyAlignment="1" applyBorder="1" applyFont="1">
      <alignment readingOrder="0" shrinkToFit="0" wrapText="0"/>
    </xf>
    <xf borderId="3" fillId="0" fontId="1" numFmtId="0" xfId="0" applyAlignment="1" applyBorder="1" applyFont="1">
      <alignment readingOrder="0" shrinkToFit="0" wrapText="1"/>
    </xf>
    <xf borderId="3" fillId="0" fontId="8" numFmtId="0" xfId="0" applyAlignment="1" applyBorder="1" applyFont="1">
      <alignment readingOrder="0" shrinkToFit="0" wrapText="1"/>
    </xf>
    <xf borderId="3" fillId="0" fontId="9" numFmtId="0" xfId="0" applyAlignment="1" applyBorder="1" applyFont="1">
      <alignment readingOrder="0" shrinkToFit="0" wrapText="1"/>
    </xf>
    <xf borderId="3" fillId="0" fontId="10" numFmtId="0" xfId="0" applyAlignment="1" applyBorder="1" applyFont="1">
      <alignment horizontal="left" readingOrder="0" shrinkToFit="0" wrapText="1"/>
    </xf>
    <xf borderId="3" fillId="0" fontId="1" numFmtId="0" xfId="0" applyAlignment="1" applyBorder="1" applyFont="1">
      <alignment shrinkToFit="0" wrapText="0"/>
    </xf>
    <xf borderId="3" fillId="0" fontId="1" numFmtId="0" xfId="0" applyAlignment="1" applyBorder="1" applyFont="1">
      <alignment readingOrder="0" shrinkToFit="0" wrapText="1"/>
    </xf>
    <xf borderId="3" fillId="0" fontId="2" numFmtId="0" xfId="0" applyBorder="1" applyFont="1"/>
    <xf borderId="3" fillId="0" fontId="1" numFmtId="0" xfId="0" applyAlignment="1" applyBorder="1" applyFont="1">
      <alignment readingOrder="0" shrinkToFit="0" wrapText="0"/>
    </xf>
    <xf borderId="22" fillId="0" fontId="1" numFmtId="0" xfId="0" applyAlignment="1" applyBorder="1" applyFont="1">
      <alignment shrinkToFit="0" wrapText="0"/>
    </xf>
    <xf borderId="0" fillId="5" fontId="1" numFmtId="0" xfId="0" applyAlignment="1" applyFont="1">
      <alignment readingOrder="0" shrinkToFit="0" wrapText="1"/>
    </xf>
    <xf borderId="0" fillId="5" fontId="11" numFmtId="0" xfId="0" applyAlignment="1" applyFont="1">
      <alignment horizontal="left" readingOrder="0" shrinkToFit="0" wrapText="1"/>
    </xf>
    <xf borderId="16" fillId="0" fontId="1" numFmtId="0" xfId="0" applyAlignment="1" applyBorder="1" applyFont="1">
      <alignment shrinkToFit="0" wrapText="0"/>
    </xf>
    <xf borderId="16" fillId="0" fontId="7" numFmtId="0" xfId="0" applyAlignment="1" applyBorder="1" applyFont="1">
      <alignment readingOrder="0" shrinkToFit="0" wrapText="0"/>
    </xf>
    <xf borderId="16" fillId="0" fontId="12" numFmtId="0" xfId="0" applyAlignment="1" applyBorder="1" applyFont="1">
      <alignment readingOrder="0" shrinkToFit="0" wrapText="0"/>
    </xf>
    <xf borderId="16" fillId="0" fontId="13" numFmtId="0" xfId="0" applyAlignment="1" applyBorder="1" applyFont="1">
      <alignment readingOrder="0" shrinkToFit="0" wrapText="0"/>
    </xf>
    <xf borderId="3" fillId="0" fontId="2" numFmtId="0" xfId="0" applyAlignment="1" applyBorder="1" applyFont="1">
      <alignment readingOrder="0"/>
    </xf>
    <xf borderId="3" fillId="0" fontId="14" numFmtId="0" xfId="0" applyAlignment="1" applyBorder="1" applyFont="1">
      <alignment readingOrder="0"/>
    </xf>
    <xf borderId="1" fillId="2" fontId="2" numFmtId="0" xfId="0" applyBorder="1" applyFont="1"/>
    <xf borderId="3" fillId="0" fontId="2" numFmtId="0" xfId="0" applyAlignment="1" applyBorder="1" applyFont="1">
      <alignment readingOrder="0" shrinkToFit="0" wrapText="0"/>
    </xf>
    <xf borderId="3" fillId="0" fontId="15" numFmtId="0" xfId="0" applyAlignment="1" applyBorder="1" applyFont="1">
      <alignment readingOrder="0" shrinkToFit="0" wrapText="0"/>
    </xf>
    <xf borderId="24" fillId="0" fontId="1" numFmtId="0" xfId="0" applyAlignment="1" applyBorder="1" applyFont="1">
      <alignment shrinkToFit="0" wrapText="0"/>
    </xf>
    <xf borderId="24" fillId="0" fontId="1" numFmtId="0" xfId="0" applyAlignment="1" applyBorder="1" applyFont="1">
      <alignment shrinkToFit="0" wrapText="1"/>
    </xf>
    <xf borderId="24" fillId="0" fontId="1" numFmtId="0" xfId="0" applyBorder="1" applyFont="1"/>
    <xf borderId="0" fillId="4" fontId="16" numFmtId="0" xfId="0" applyAlignment="1" applyFont="1">
      <alignment readingOrder="0"/>
    </xf>
    <xf borderId="0" fillId="4" fontId="16" numFmtId="0" xfId="0" applyAlignment="1" applyFont="1">
      <alignment readingOrder="0"/>
    </xf>
    <xf borderId="0" fillId="4" fontId="16" numFmtId="0" xfId="0" applyFont="1"/>
    <xf borderId="0" fillId="0" fontId="1" numFmtId="0" xfId="0" applyAlignment="1" applyFont="1">
      <alignment readingOrder="0"/>
    </xf>
    <xf borderId="0" fillId="0" fontId="17" numFmtId="0" xfId="0" applyFont="1"/>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xdr:colOff>
      <xdr:row>34</xdr:row>
      <xdr:rowOff>38100</xdr:rowOff>
    </xdr:from>
    <xdr:ext cx="3381375" cy="1485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efold.la/join"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11" Type="http://schemas.openxmlformats.org/officeDocument/2006/relationships/drawing" Target="../drawings/drawing1.xml"/><Relationship Id="rId10" Type="http://schemas.openxmlformats.org/officeDocument/2006/relationships/hyperlink" Target="https://github.com/yt-dlp/yt-dlp" TargetMode="External"/><Relationship Id="rId9" Type="http://schemas.openxmlformats.org/officeDocument/2006/relationships/hyperlink" Target="https://refold.la/join" TargetMode="External"/><Relationship Id="rId5" Type="http://schemas.openxmlformats.org/officeDocument/2006/relationships/hyperlink" Target="about:blank" TargetMode="External"/><Relationship Id="rId6" Type="http://schemas.openxmlformats.org/officeDocument/2006/relationships/hyperlink" Target="https://support.google.com/docs/answer/3540681?hl=en&amp;co=GENIE.Platform%3DDesktop"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2" width="2.63"/>
    <col customWidth="1" min="4" max="4" width="12.63"/>
    <col customWidth="1" min="10" max="10" width="2.63"/>
  </cols>
  <sheetData>
    <row r="1">
      <c r="A1" s="1"/>
      <c r="B1" s="2"/>
      <c r="C1" s="3" t="s">
        <v>0</v>
      </c>
      <c r="D1" s="4"/>
      <c r="E1" s="4"/>
      <c r="F1" s="4"/>
      <c r="G1" s="4"/>
      <c r="H1" s="4"/>
      <c r="I1" s="5"/>
      <c r="J1" s="6"/>
      <c r="K1" s="7"/>
      <c r="L1" s="7"/>
      <c r="M1" s="7"/>
      <c r="N1" s="7"/>
      <c r="O1" s="7"/>
      <c r="P1" s="7"/>
      <c r="Q1" s="7"/>
      <c r="R1" s="7"/>
      <c r="S1" s="7"/>
      <c r="T1" s="7"/>
      <c r="U1" s="7"/>
      <c r="V1" s="7"/>
      <c r="W1" s="7"/>
      <c r="X1" s="7"/>
      <c r="Y1" s="7"/>
      <c r="Z1" s="7"/>
      <c r="AA1" s="7"/>
      <c r="AB1" s="7"/>
    </row>
    <row r="2">
      <c r="A2" s="1"/>
      <c r="B2" s="2"/>
      <c r="C2" s="8" t="s">
        <v>1</v>
      </c>
      <c r="D2" s="4"/>
      <c r="E2" s="4"/>
      <c r="F2" s="4"/>
      <c r="G2" s="4"/>
      <c r="H2" s="4"/>
      <c r="I2" s="5"/>
      <c r="J2" s="9"/>
      <c r="K2" s="10"/>
      <c r="L2" s="10"/>
      <c r="M2" s="10"/>
      <c r="N2" s="10"/>
      <c r="O2" s="10"/>
      <c r="P2" s="10"/>
      <c r="Q2" s="10"/>
      <c r="R2" s="10"/>
      <c r="S2" s="10"/>
      <c r="T2" s="10"/>
      <c r="U2" s="10"/>
      <c r="V2" s="10"/>
      <c r="W2" s="10"/>
      <c r="X2" s="10"/>
      <c r="Y2" s="10"/>
      <c r="Z2" s="10"/>
      <c r="AA2" s="10"/>
      <c r="AB2" s="10"/>
    </row>
    <row r="3">
      <c r="A3" s="1"/>
      <c r="B3" s="2"/>
      <c r="C3" s="3"/>
      <c r="D3" s="4"/>
      <c r="E3" s="4"/>
      <c r="F3" s="4"/>
      <c r="G3" s="4"/>
      <c r="H3" s="4"/>
      <c r="I3" s="5"/>
      <c r="J3" s="6"/>
      <c r="K3" s="7"/>
      <c r="L3" s="7"/>
      <c r="M3" s="7"/>
      <c r="N3" s="7"/>
      <c r="O3" s="7"/>
      <c r="P3" s="7"/>
      <c r="Q3" s="7"/>
      <c r="R3" s="7"/>
      <c r="S3" s="7"/>
      <c r="T3" s="7"/>
      <c r="U3" s="7"/>
      <c r="V3" s="7"/>
      <c r="W3" s="7"/>
      <c r="X3" s="7"/>
      <c r="Y3" s="7"/>
      <c r="Z3" s="7"/>
      <c r="AA3" s="7"/>
      <c r="AB3" s="7"/>
    </row>
    <row r="4">
      <c r="A4" s="1"/>
      <c r="B4" s="11"/>
      <c r="C4" s="3" t="s">
        <v>2</v>
      </c>
      <c r="D4" s="4"/>
      <c r="E4" s="4"/>
      <c r="F4" s="5"/>
      <c r="G4" s="12" t="s">
        <v>3</v>
      </c>
      <c r="H4" s="13"/>
      <c r="I4" s="14"/>
      <c r="J4" s="6"/>
      <c r="K4" s="7"/>
      <c r="L4" s="7"/>
      <c r="M4" s="7"/>
      <c r="N4" s="7"/>
      <c r="O4" s="7"/>
      <c r="P4" s="7"/>
      <c r="Q4" s="7"/>
      <c r="R4" s="7"/>
      <c r="S4" s="7"/>
      <c r="T4" s="7"/>
      <c r="U4" s="7"/>
      <c r="V4" s="7"/>
      <c r="W4" s="7"/>
      <c r="X4" s="7"/>
      <c r="Y4" s="7"/>
      <c r="Z4" s="7"/>
      <c r="AA4" s="7"/>
      <c r="AB4" s="7"/>
    </row>
    <row r="5">
      <c r="A5" s="1"/>
      <c r="B5" s="15"/>
      <c r="C5" s="16" t="s">
        <v>4</v>
      </c>
      <c r="D5" s="17" t="s">
        <v>5</v>
      </c>
      <c r="E5" s="18" t="s">
        <v>6</v>
      </c>
      <c r="F5" s="19"/>
      <c r="G5" s="20" t="s">
        <v>7</v>
      </c>
      <c r="H5" s="21"/>
      <c r="I5" s="22"/>
      <c r="J5" s="6"/>
      <c r="K5" s="7"/>
      <c r="L5" s="7"/>
      <c r="M5" s="7"/>
      <c r="N5" s="7"/>
      <c r="O5" s="7"/>
      <c r="P5" s="7"/>
      <c r="Q5" s="7"/>
      <c r="R5" s="7"/>
      <c r="S5" s="7"/>
      <c r="T5" s="7"/>
      <c r="U5" s="7"/>
      <c r="V5" s="7"/>
      <c r="W5" s="7"/>
      <c r="X5" s="7"/>
      <c r="Y5" s="7"/>
      <c r="Z5" s="7"/>
      <c r="AA5" s="7"/>
      <c r="AB5" s="7"/>
    </row>
    <row r="6">
      <c r="A6" s="23"/>
      <c r="B6" s="24"/>
      <c r="C6" s="25">
        <f>COUNTA(Videos!A2:A1008)</f>
        <v>7487</v>
      </c>
      <c r="D6" s="26">
        <f>COUNTA(Videos!H2:H1008)</f>
        <v>1021</v>
      </c>
      <c r="E6" s="27">
        <f>COUNTA(Videos!I2:I1008)</f>
        <v>7487</v>
      </c>
      <c r="F6" s="28"/>
      <c r="G6" s="29"/>
      <c r="I6" s="30"/>
      <c r="J6" s="31"/>
      <c r="K6" s="32"/>
      <c r="L6" s="32"/>
      <c r="M6" s="32"/>
      <c r="N6" s="32"/>
      <c r="O6" s="32"/>
      <c r="P6" s="32"/>
      <c r="Q6" s="32"/>
      <c r="R6" s="32"/>
      <c r="S6" s="32"/>
      <c r="T6" s="32"/>
      <c r="U6" s="32"/>
      <c r="V6" s="32"/>
      <c r="W6" s="32"/>
      <c r="X6" s="32"/>
      <c r="Y6" s="32"/>
      <c r="Z6" s="32"/>
      <c r="AA6" s="32"/>
      <c r="AB6" s="32"/>
    </row>
    <row r="7">
      <c r="A7" s="1"/>
      <c r="B7" s="15"/>
      <c r="C7" s="33"/>
      <c r="D7" s="34"/>
      <c r="E7" s="34"/>
      <c r="F7" s="35"/>
      <c r="G7" s="36"/>
      <c r="H7" s="37"/>
      <c r="I7" s="38"/>
      <c r="J7" s="6"/>
      <c r="K7" s="7"/>
      <c r="L7" s="7"/>
      <c r="M7" s="7"/>
      <c r="N7" s="7"/>
      <c r="O7" s="7"/>
      <c r="P7" s="7"/>
      <c r="Q7" s="7"/>
      <c r="R7" s="7"/>
      <c r="S7" s="7"/>
      <c r="T7" s="7"/>
      <c r="U7" s="7"/>
      <c r="V7" s="7"/>
      <c r="W7" s="7"/>
      <c r="X7" s="7"/>
      <c r="Y7" s="7"/>
      <c r="Z7" s="7"/>
      <c r="AA7" s="7"/>
      <c r="AB7" s="7"/>
    </row>
    <row r="8">
      <c r="A8" s="1"/>
      <c r="B8" s="15"/>
      <c r="C8" s="3" t="s">
        <v>8</v>
      </c>
      <c r="D8" s="4"/>
      <c r="E8" s="4"/>
      <c r="F8" s="4"/>
      <c r="G8" s="4"/>
      <c r="H8" s="4"/>
      <c r="I8" s="5"/>
      <c r="J8" s="6"/>
      <c r="K8" s="7"/>
      <c r="L8" s="7"/>
      <c r="M8" s="7"/>
      <c r="N8" s="7"/>
      <c r="O8" s="7"/>
      <c r="P8" s="7"/>
      <c r="Q8" s="7"/>
      <c r="R8" s="7"/>
      <c r="S8" s="7"/>
      <c r="T8" s="7"/>
      <c r="U8" s="7"/>
      <c r="V8" s="7"/>
      <c r="W8" s="7"/>
      <c r="X8" s="7"/>
      <c r="Y8" s="7"/>
      <c r="Z8" s="7"/>
      <c r="AA8" s="7"/>
      <c r="AB8" s="7"/>
    </row>
    <row r="9">
      <c r="A9" s="1"/>
      <c r="B9" s="15"/>
      <c r="C9" s="39" t="s">
        <v>9</v>
      </c>
      <c r="D9" s="4"/>
      <c r="E9" s="4"/>
      <c r="F9" s="4"/>
      <c r="G9" s="4"/>
      <c r="H9" s="4"/>
      <c r="I9" s="5"/>
      <c r="J9" s="40"/>
      <c r="K9" s="41"/>
      <c r="L9" s="41"/>
      <c r="M9" s="41"/>
      <c r="N9" s="41"/>
      <c r="O9" s="41"/>
      <c r="P9" s="41"/>
      <c r="Q9" s="41"/>
      <c r="R9" s="41"/>
      <c r="S9" s="41"/>
      <c r="T9" s="41"/>
      <c r="U9" s="41"/>
      <c r="V9" s="41"/>
      <c r="W9" s="41"/>
      <c r="X9" s="41"/>
      <c r="Y9" s="41"/>
      <c r="Z9" s="41"/>
      <c r="AA9" s="41"/>
      <c r="AB9" s="41"/>
    </row>
    <row r="10">
      <c r="A10" s="1"/>
      <c r="B10" s="15"/>
      <c r="C10" s="42" t="s">
        <v>10</v>
      </c>
      <c r="D10" s="4"/>
      <c r="E10" s="4"/>
      <c r="F10" s="4"/>
      <c r="G10" s="4"/>
      <c r="H10" s="4"/>
      <c r="I10" s="5"/>
      <c r="J10" s="43"/>
      <c r="K10" s="44"/>
      <c r="L10" s="44"/>
      <c r="M10" s="44"/>
      <c r="N10" s="44"/>
      <c r="O10" s="44"/>
      <c r="P10" s="44"/>
      <c r="Q10" s="44"/>
      <c r="R10" s="44"/>
      <c r="S10" s="44"/>
      <c r="T10" s="44"/>
      <c r="U10" s="44"/>
      <c r="V10" s="44"/>
      <c r="W10" s="44"/>
      <c r="X10" s="44"/>
      <c r="Y10" s="44"/>
      <c r="Z10" s="44"/>
      <c r="AA10" s="44"/>
      <c r="AB10" s="44"/>
    </row>
    <row r="11">
      <c r="A11" s="1"/>
      <c r="B11" s="15"/>
      <c r="C11" s="45"/>
      <c r="D11" s="21"/>
      <c r="E11" s="21"/>
      <c r="F11" s="21"/>
      <c r="G11" s="21"/>
      <c r="H11" s="21"/>
      <c r="I11" s="46"/>
      <c r="J11" s="47"/>
      <c r="K11" s="48"/>
      <c r="L11" s="48"/>
      <c r="M11" s="48"/>
      <c r="N11" s="48"/>
      <c r="O11" s="48"/>
      <c r="P11" s="48"/>
      <c r="Q11" s="48"/>
      <c r="R11" s="48"/>
      <c r="S11" s="48"/>
      <c r="T11" s="48"/>
      <c r="U11" s="48"/>
      <c r="V11" s="48"/>
      <c r="W11" s="48"/>
      <c r="X11" s="48"/>
      <c r="Y11" s="48"/>
      <c r="Z11" s="48"/>
      <c r="AA11" s="48"/>
      <c r="AB11" s="48"/>
    </row>
    <row r="12">
      <c r="A12" s="1"/>
      <c r="B12" s="15"/>
      <c r="C12" s="16" t="s">
        <v>11</v>
      </c>
      <c r="D12" s="17" t="s">
        <v>12</v>
      </c>
      <c r="J12" s="47"/>
      <c r="K12" s="48"/>
      <c r="L12" s="48"/>
      <c r="M12" s="48"/>
      <c r="N12" s="48"/>
      <c r="O12" s="48"/>
      <c r="P12" s="48"/>
      <c r="Q12" s="48"/>
      <c r="R12" s="48"/>
      <c r="S12" s="48"/>
      <c r="T12" s="48"/>
      <c r="U12" s="48"/>
      <c r="V12" s="48"/>
      <c r="W12" s="48"/>
      <c r="X12" s="48"/>
      <c r="Y12" s="48"/>
      <c r="Z12" s="48"/>
      <c r="AA12" s="48"/>
      <c r="AB12" s="48"/>
    </row>
    <row r="13">
      <c r="A13" s="1"/>
      <c r="B13" s="15"/>
      <c r="C13" s="49" t="s">
        <v>13</v>
      </c>
      <c r="D13" s="50" t="s">
        <v>14</v>
      </c>
      <c r="J13" s="43"/>
      <c r="K13" s="44"/>
      <c r="L13" s="44"/>
      <c r="M13" s="44"/>
      <c r="N13" s="44"/>
      <c r="O13" s="44"/>
      <c r="P13" s="44"/>
      <c r="Q13" s="44"/>
      <c r="R13" s="44"/>
      <c r="S13" s="44"/>
      <c r="T13" s="44"/>
      <c r="U13" s="44"/>
      <c r="V13" s="44"/>
      <c r="W13" s="44"/>
      <c r="X13" s="44"/>
      <c r="Y13" s="44"/>
      <c r="Z13" s="44"/>
      <c r="AA13" s="44"/>
      <c r="AB13" s="44"/>
    </row>
    <row r="14">
      <c r="A14" s="1"/>
      <c r="B14" s="15"/>
      <c r="C14" s="49" t="s">
        <v>15</v>
      </c>
      <c r="D14" s="50" t="s">
        <v>16</v>
      </c>
      <c r="J14" s="43"/>
      <c r="K14" s="44"/>
      <c r="L14" s="44"/>
      <c r="M14" s="44"/>
      <c r="N14" s="44"/>
      <c r="O14" s="44"/>
      <c r="P14" s="44"/>
      <c r="Q14" s="44"/>
      <c r="R14" s="44"/>
      <c r="S14" s="44"/>
      <c r="T14" s="44"/>
      <c r="U14" s="44"/>
      <c r="V14" s="44"/>
      <c r="W14" s="44"/>
      <c r="X14" s="44"/>
      <c r="Y14" s="44"/>
      <c r="Z14" s="44"/>
      <c r="AA14" s="44"/>
      <c r="AB14" s="44"/>
    </row>
    <row r="15">
      <c r="A15" s="1"/>
      <c r="B15" s="15"/>
      <c r="C15" s="49" t="s">
        <v>17</v>
      </c>
      <c r="D15" s="50" t="s">
        <v>18</v>
      </c>
      <c r="J15" s="43"/>
      <c r="K15" s="44"/>
      <c r="L15" s="44"/>
      <c r="M15" s="44"/>
      <c r="N15" s="44"/>
      <c r="O15" s="44"/>
      <c r="P15" s="44"/>
      <c r="Q15" s="44"/>
      <c r="R15" s="44"/>
      <c r="S15" s="44"/>
      <c r="T15" s="44"/>
      <c r="U15" s="44"/>
      <c r="V15" s="44"/>
      <c r="W15" s="44"/>
      <c r="X15" s="44"/>
      <c r="Y15" s="44"/>
      <c r="Z15" s="44"/>
      <c r="AA15" s="44"/>
      <c r="AB15" s="44"/>
    </row>
    <row r="16">
      <c r="A16" s="1"/>
      <c r="B16" s="15"/>
      <c r="C16" s="49" t="s">
        <v>19</v>
      </c>
      <c r="D16" s="50" t="s">
        <v>20</v>
      </c>
      <c r="J16" s="43"/>
      <c r="K16" s="44"/>
      <c r="L16" s="44"/>
      <c r="M16" s="44"/>
      <c r="N16" s="44"/>
      <c r="O16" s="44"/>
      <c r="P16" s="44"/>
      <c r="Q16" s="44"/>
      <c r="R16" s="44"/>
      <c r="S16" s="44"/>
      <c r="T16" s="44"/>
      <c r="U16" s="44"/>
      <c r="V16" s="44"/>
      <c r="W16" s="44"/>
      <c r="X16" s="44"/>
      <c r="Y16" s="44"/>
      <c r="Z16" s="44"/>
      <c r="AA16" s="44"/>
      <c r="AB16" s="44"/>
    </row>
    <row r="17">
      <c r="A17" s="1"/>
      <c r="B17" s="15"/>
      <c r="C17" s="49" t="s">
        <v>21</v>
      </c>
      <c r="D17" s="50" t="s">
        <v>22</v>
      </c>
      <c r="J17" s="43"/>
      <c r="K17" s="44"/>
      <c r="L17" s="44"/>
      <c r="M17" s="44"/>
      <c r="N17" s="44"/>
      <c r="O17" s="44"/>
      <c r="P17" s="44"/>
      <c r="Q17" s="44"/>
      <c r="R17" s="44"/>
      <c r="S17" s="44"/>
      <c r="T17" s="44"/>
      <c r="U17" s="44"/>
      <c r="V17" s="44"/>
      <c r="W17" s="44"/>
      <c r="X17" s="44"/>
      <c r="Y17" s="44"/>
      <c r="Z17" s="44"/>
      <c r="AA17" s="44"/>
      <c r="AB17" s="44"/>
    </row>
    <row r="18">
      <c r="A18" s="1"/>
      <c r="B18" s="15"/>
      <c r="C18" s="49" t="s">
        <v>23</v>
      </c>
      <c r="D18" s="50" t="s">
        <v>24</v>
      </c>
      <c r="J18" s="43"/>
      <c r="K18" s="44"/>
      <c r="L18" s="44"/>
      <c r="M18" s="44"/>
      <c r="N18" s="44"/>
      <c r="O18" s="44"/>
      <c r="P18" s="44"/>
      <c r="Q18" s="44"/>
      <c r="R18" s="44"/>
      <c r="S18" s="44"/>
      <c r="T18" s="44"/>
      <c r="U18" s="44"/>
      <c r="V18" s="44"/>
      <c r="W18" s="44"/>
      <c r="X18" s="44"/>
      <c r="Y18" s="44"/>
      <c r="Z18" s="44"/>
      <c r="AA18" s="44"/>
      <c r="AB18" s="44"/>
    </row>
    <row r="19">
      <c r="A19" s="1"/>
      <c r="B19" s="15"/>
      <c r="C19" s="49" t="s">
        <v>25</v>
      </c>
      <c r="D19" s="50" t="s">
        <v>26</v>
      </c>
      <c r="J19" s="43"/>
      <c r="K19" s="44"/>
      <c r="L19" s="44"/>
      <c r="M19" s="44"/>
      <c r="N19" s="44"/>
      <c r="O19" s="44"/>
      <c r="P19" s="44"/>
      <c r="Q19" s="44"/>
      <c r="R19" s="44"/>
      <c r="S19" s="44"/>
      <c r="T19" s="44"/>
      <c r="U19" s="44"/>
      <c r="V19" s="44"/>
      <c r="W19" s="44"/>
      <c r="X19" s="44"/>
      <c r="Y19" s="44"/>
      <c r="Z19" s="44"/>
      <c r="AA19" s="44"/>
      <c r="AB19" s="44"/>
    </row>
    <row r="20">
      <c r="A20" s="1"/>
      <c r="B20" s="15"/>
      <c r="C20" s="49" t="s">
        <v>27</v>
      </c>
      <c r="D20" s="50" t="s">
        <v>28</v>
      </c>
      <c r="J20" s="43"/>
      <c r="K20" s="44"/>
      <c r="L20" s="44"/>
      <c r="M20" s="44"/>
      <c r="N20" s="44"/>
      <c r="O20" s="44"/>
      <c r="P20" s="44"/>
      <c r="Q20" s="44"/>
      <c r="R20" s="44"/>
      <c r="S20" s="44"/>
      <c r="T20" s="44"/>
      <c r="U20" s="44"/>
      <c r="V20" s="44"/>
      <c r="W20" s="44"/>
      <c r="X20" s="44"/>
      <c r="Y20" s="44"/>
      <c r="Z20" s="44"/>
      <c r="AA20" s="44"/>
      <c r="AB20" s="44"/>
    </row>
    <row r="21">
      <c r="A21" s="1"/>
      <c r="B21" s="15"/>
      <c r="C21" s="49" t="s">
        <v>29</v>
      </c>
      <c r="D21" s="50" t="s">
        <v>30</v>
      </c>
      <c r="J21" s="43"/>
      <c r="K21" s="44"/>
      <c r="L21" s="44"/>
      <c r="M21" s="44"/>
      <c r="N21" s="44"/>
      <c r="O21" s="44"/>
      <c r="P21" s="44"/>
      <c r="Q21" s="44"/>
      <c r="R21" s="44"/>
      <c r="S21" s="44"/>
      <c r="T21" s="44"/>
      <c r="U21" s="44"/>
      <c r="V21" s="44"/>
      <c r="W21" s="44"/>
      <c r="X21" s="44"/>
      <c r="Y21" s="44"/>
      <c r="Z21" s="44"/>
      <c r="AA21" s="44"/>
      <c r="AB21" s="44"/>
    </row>
    <row r="22">
      <c r="A22" s="1"/>
      <c r="B22" s="15"/>
      <c r="C22" s="49" t="s">
        <v>31</v>
      </c>
      <c r="D22" s="50" t="s">
        <v>32</v>
      </c>
      <c r="J22" s="43"/>
      <c r="K22" s="44"/>
      <c r="L22" s="44"/>
      <c r="M22" s="44"/>
      <c r="N22" s="44"/>
      <c r="O22" s="44"/>
      <c r="P22" s="44"/>
      <c r="Q22" s="44"/>
      <c r="R22" s="44"/>
      <c r="S22" s="44"/>
      <c r="T22" s="44"/>
      <c r="U22" s="44"/>
      <c r="V22" s="44"/>
      <c r="W22" s="44"/>
      <c r="X22" s="44"/>
      <c r="Y22" s="44"/>
      <c r="Z22" s="44"/>
      <c r="AA22" s="44"/>
      <c r="AB22" s="44"/>
    </row>
    <row r="23">
      <c r="A23" s="1"/>
      <c r="B23" s="15"/>
      <c r="C23" s="49" t="s">
        <v>33</v>
      </c>
      <c r="D23" s="50" t="s">
        <v>34</v>
      </c>
      <c r="J23" s="43"/>
      <c r="K23" s="44"/>
      <c r="L23" s="44"/>
      <c r="M23" s="44"/>
      <c r="N23" s="44"/>
      <c r="O23" s="44"/>
      <c r="P23" s="44"/>
      <c r="Q23" s="44"/>
      <c r="R23" s="44"/>
      <c r="S23" s="44"/>
      <c r="T23" s="44"/>
      <c r="U23" s="44"/>
      <c r="V23" s="44"/>
      <c r="W23" s="44"/>
      <c r="X23" s="44"/>
      <c r="Y23" s="44"/>
      <c r="Z23" s="44"/>
      <c r="AA23" s="44"/>
      <c r="AB23" s="44"/>
    </row>
    <row r="24">
      <c r="A24" s="1"/>
      <c r="B24" s="15"/>
      <c r="C24" s="49" t="s">
        <v>35</v>
      </c>
      <c r="D24" s="50" t="s">
        <v>36</v>
      </c>
      <c r="J24" s="43"/>
      <c r="K24" s="44"/>
      <c r="L24" s="44"/>
      <c r="M24" s="44"/>
      <c r="N24" s="44"/>
      <c r="O24" s="44"/>
      <c r="P24" s="44"/>
      <c r="Q24" s="44"/>
      <c r="R24" s="44"/>
      <c r="S24" s="44"/>
      <c r="T24" s="44"/>
      <c r="U24" s="44"/>
      <c r="V24" s="44"/>
      <c r="W24" s="44"/>
      <c r="X24" s="44"/>
      <c r="Y24" s="44"/>
      <c r="Z24" s="44"/>
      <c r="AA24" s="44"/>
      <c r="AB24" s="44"/>
    </row>
    <row r="25">
      <c r="A25" s="51"/>
      <c r="B25" s="43"/>
      <c r="C25" s="52"/>
      <c r="D25" s="34"/>
      <c r="E25" s="34"/>
      <c r="F25" s="34"/>
      <c r="G25" s="34"/>
      <c r="H25" s="34"/>
      <c r="I25" s="35"/>
      <c r="J25" s="43"/>
      <c r="K25" s="44"/>
      <c r="L25" s="44"/>
      <c r="M25" s="44"/>
      <c r="N25" s="44"/>
      <c r="O25" s="44"/>
      <c r="P25" s="44"/>
      <c r="Q25" s="44"/>
      <c r="R25" s="44"/>
      <c r="S25" s="44"/>
      <c r="T25" s="44"/>
      <c r="U25" s="44"/>
      <c r="V25" s="44"/>
      <c r="W25" s="44"/>
      <c r="X25" s="44"/>
      <c r="Y25" s="44"/>
      <c r="Z25" s="44"/>
      <c r="AA25" s="44"/>
      <c r="AB25" s="44"/>
    </row>
    <row r="26">
      <c r="A26" s="1"/>
      <c r="B26" s="15"/>
      <c r="C26" s="53" t="s">
        <v>37</v>
      </c>
      <c r="D26" s="4"/>
      <c r="E26" s="4"/>
      <c r="F26" s="4"/>
      <c r="G26" s="4"/>
      <c r="H26" s="4"/>
      <c r="I26" s="5"/>
      <c r="J26" s="43"/>
      <c r="K26" s="44"/>
      <c r="L26" s="44"/>
      <c r="M26" s="44"/>
      <c r="N26" s="44"/>
      <c r="O26" s="44"/>
      <c r="P26" s="44"/>
      <c r="Q26" s="44"/>
      <c r="R26" s="44"/>
      <c r="S26" s="44"/>
      <c r="T26" s="44"/>
      <c r="U26" s="44"/>
      <c r="V26" s="44"/>
      <c r="W26" s="44"/>
      <c r="X26" s="44"/>
      <c r="Y26" s="44"/>
      <c r="Z26" s="44"/>
      <c r="AA26" s="44"/>
      <c r="AB26" s="44"/>
    </row>
    <row r="27">
      <c r="A27" s="1"/>
      <c r="B27" s="15"/>
      <c r="C27" s="54" t="s">
        <v>38</v>
      </c>
      <c r="D27" s="4"/>
      <c r="E27" s="4"/>
      <c r="F27" s="4"/>
      <c r="G27" s="4"/>
      <c r="H27" s="4"/>
      <c r="I27" s="5"/>
      <c r="J27" s="43"/>
      <c r="K27" s="44"/>
      <c r="L27" s="44"/>
      <c r="M27" s="44"/>
      <c r="N27" s="44"/>
      <c r="O27" s="44"/>
      <c r="P27" s="44"/>
      <c r="Q27" s="44"/>
      <c r="R27" s="44"/>
      <c r="S27" s="44"/>
      <c r="T27" s="44"/>
      <c r="U27" s="44"/>
      <c r="V27" s="44"/>
      <c r="W27" s="44"/>
      <c r="X27" s="44"/>
      <c r="Y27" s="44"/>
      <c r="Z27" s="44"/>
      <c r="AA27" s="44"/>
      <c r="AB27" s="44"/>
    </row>
    <row r="28">
      <c r="A28" s="51"/>
      <c r="B28" s="43"/>
      <c r="C28" s="54"/>
      <c r="D28" s="4"/>
      <c r="E28" s="4"/>
      <c r="F28" s="4"/>
      <c r="G28" s="4"/>
      <c r="H28" s="4"/>
      <c r="I28" s="5"/>
      <c r="J28" s="43"/>
      <c r="K28" s="44"/>
      <c r="L28" s="44"/>
      <c r="M28" s="44"/>
      <c r="N28" s="44"/>
      <c r="O28" s="44"/>
      <c r="P28" s="44"/>
      <c r="Q28" s="44"/>
      <c r="R28" s="44"/>
      <c r="S28" s="44"/>
      <c r="T28" s="44"/>
      <c r="U28" s="44"/>
      <c r="V28" s="44"/>
      <c r="W28" s="44"/>
      <c r="X28" s="44"/>
      <c r="Y28" s="44"/>
      <c r="Z28" s="44"/>
      <c r="AA28" s="44"/>
      <c r="AB28" s="44"/>
    </row>
    <row r="29">
      <c r="A29" s="51"/>
      <c r="B29" s="43"/>
      <c r="C29" s="55" t="s">
        <v>39</v>
      </c>
      <c r="D29" s="4"/>
      <c r="E29" s="4"/>
      <c r="F29" s="4"/>
      <c r="G29" s="4"/>
      <c r="H29" s="4"/>
      <c r="I29" s="5"/>
      <c r="J29" s="43"/>
      <c r="K29" s="44"/>
      <c r="L29" s="44"/>
      <c r="M29" s="44"/>
      <c r="N29" s="44"/>
      <c r="O29" s="44"/>
      <c r="P29" s="44"/>
      <c r="Q29" s="44"/>
      <c r="R29" s="44"/>
      <c r="S29" s="44"/>
      <c r="T29" s="44"/>
      <c r="U29" s="44"/>
      <c r="V29" s="44"/>
      <c r="W29" s="44"/>
      <c r="X29" s="44"/>
      <c r="Y29" s="44"/>
      <c r="Z29" s="44"/>
      <c r="AA29" s="44"/>
      <c r="AB29" s="44"/>
    </row>
    <row r="30">
      <c r="A30" s="51"/>
      <c r="B30" s="43"/>
      <c r="C30" s="56" t="s">
        <v>40</v>
      </c>
      <c r="D30" s="4"/>
      <c r="E30" s="4"/>
      <c r="F30" s="4"/>
      <c r="G30" s="4"/>
      <c r="H30" s="4"/>
      <c r="I30" s="5"/>
      <c r="J30" s="43"/>
      <c r="K30" s="44"/>
      <c r="L30" s="44"/>
      <c r="M30" s="44"/>
      <c r="N30" s="44"/>
      <c r="O30" s="44"/>
      <c r="P30" s="44"/>
      <c r="Q30" s="44"/>
      <c r="R30" s="44"/>
      <c r="S30" s="44"/>
      <c r="T30" s="44"/>
      <c r="U30" s="44"/>
      <c r="V30" s="44"/>
      <c r="W30" s="44"/>
      <c r="X30" s="44"/>
      <c r="Y30" s="44"/>
      <c r="Z30" s="44"/>
      <c r="AA30" s="44"/>
      <c r="AB30" s="44"/>
    </row>
    <row r="31">
      <c r="A31" s="51"/>
      <c r="B31" s="43"/>
      <c r="C31" s="56" t="s">
        <v>41</v>
      </c>
      <c r="D31" s="4"/>
      <c r="E31" s="4"/>
      <c r="F31" s="4"/>
      <c r="G31" s="4"/>
      <c r="H31" s="4"/>
      <c r="I31" s="5"/>
      <c r="J31" s="43"/>
      <c r="K31" s="44"/>
      <c r="L31" s="44"/>
      <c r="M31" s="44"/>
      <c r="N31" s="44"/>
      <c r="O31" s="44"/>
      <c r="P31" s="44"/>
      <c r="Q31" s="44"/>
      <c r="R31" s="44"/>
      <c r="S31" s="44"/>
      <c r="T31" s="44"/>
      <c r="U31" s="44"/>
      <c r="V31" s="44"/>
      <c r="W31" s="44"/>
      <c r="X31" s="44"/>
      <c r="Y31" s="44"/>
      <c r="Z31" s="44"/>
      <c r="AA31" s="44"/>
      <c r="AB31" s="44"/>
    </row>
    <row r="32">
      <c r="A32" s="51"/>
      <c r="B32" s="43"/>
      <c r="C32" s="57" t="s">
        <v>42</v>
      </c>
      <c r="D32" s="4"/>
      <c r="E32" s="4"/>
      <c r="F32" s="4"/>
      <c r="G32" s="4"/>
      <c r="H32" s="4"/>
      <c r="I32" s="5"/>
      <c r="J32" s="43"/>
      <c r="K32" s="44"/>
      <c r="L32" s="44"/>
      <c r="M32" s="44"/>
      <c r="N32" s="44"/>
      <c r="O32" s="44"/>
      <c r="P32" s="44"/>
      <c r="Q32" s="44"/>
      <c r="R32" s="44"/>
      <c r="S32" s="44"/>
      <c r="T32" s="44"/>
      <c r="U32" s="44"/>
      <c r="V32" s="44"/>
      <c r="W32" s="44"/>
      <c r="X32" s="44"/>
      <c r="Y32" s="44"/>
      <c r="Z32" s="44"/>
      <c r="AA32" s="44"/>
      <c r="AB32" s="44"/>
    </row>
    <row r="33">
      <c r="A33" s="51"/>
      <c r="B33" s="43"/>
      <c r="C33" s="58"/>
      <c r="D33" s="4"/>
      <c r="E33" s="4"/>
      <c r="F33" s="4"/>
      <c r="G33" s="4"/>
      <c r="H33" s="4"/>
      <c r="I33" s="5"/>
      <c r="J33" s="43"/>
      <c r="K33" s="44"/>
      <c r="L33" s="44"/>
      <c r="M33" s="44"/>
      <c r="N33" s="44"/>
      <c r="O33" s="44"/>
      <c r="P33" s="44"/>
      <c r="Q33" s="44"/>
      <c r="R33" s="44"/>
      <c r="S33" s="44"/>
      <c r="T33" s="44"/>
      <c r="U33" s="44"/>
      <c r="V33" s="44"/>
      <c r="W33" s="44"/>
      <c r="X33" s="44"/>
      <c r="Y33" s="44"/>
      <c r="Z33" s="44"/>
      <c r="AA33" s="44"/>
      <c r="AB33" s="44"/>
    </row>
    <row r="34">
      <c r="A34" s="51"/>
      <c r="B34" s="43"/>
      <c r="C34" s="59" t="s">
        <v>43</v>
      </c>
      <c r="D34" s="4"/>
      <c r="E34" s="4"/>
      <c r="F34" s="4"/>
      <c r="G34" s="4"/>
      <c r="H34" s="4"/>
      <c r="I34" s="5"/>
      <c r="J34" s="43"/>
      <c r="K34" s="44"/>
      <c r="L34" s="44"/>
      <c r="M34" s="44"/>
      <c r="N34" s="44"/>
      <c r="O34" s="44"/>
      <c r="P34" s="44"/>
      <c r="Q34" s="44"/>
      <c r="R34" s="44"/>
      <c r="S34" s="44"/>
      <c r="T34" s="44"/>
      <c r="U34" s="44"/>
      <c r="V34" s="44"/>
      <c r="W34" s="44"/>
      <c r="X34" s="44"/>
      <c r="Y34" s="44"/>
      <c r="Z34" s="44"/>
      <c r="AA34" s="44"/>
      <c r="AB34" s="44"/>
    </row>
    <row r="35" ht="153.75" customHeight="1">
      <c r="A35" s="51"/>
      <c r="B35" s="43"/>
      <c r="C35" s="58"/>
      <c r="D35" s="4"/>
      <c r="E35" s="4"/>
      <c r="F35" s="4"/>
      <c r="G35" s="4"/>
      <c r="H35" s="4"/>
      <c r="I35" s="5"/>
      <c r="J35" s="43"/>
      <c r="K35" s="44"/>
      <c r="L35" s="44"/>
      <c r="M35" s="44"/>
      <c r="N35" s="44"/>
      <c r="O35" s="44"/>
      <c r="P35" s="44"/>
      <c r="Q35" s="44"/>
      <c r="R35" s="44"/>
      <c r="S35" s="44"/>
      <c r="T35" s="44"/>
      <c r="U35" s="44"/>
      <c r="V35" s="44"/>
      <c r="W35" s="44"/>
      <c r="X35" s="44"/>
      <c r="Y35" s="44"/>
      <c r="Z35" s="44"/>
      <c r="AA35" s="44"/>
      <c r="AB35" s="44"/>
    </row>
    <row r="36">
      <c r="A36" s="1"/>
      <c r="B36" s="15"/>
      <c r="C36" s="53" t="s">
        <v>44</v>
      </c>
      <c r="D36" s="4"/>
      <c r="E36" s="4"/>
      <c r="F36" s="4"/>
      <c r="G36" s="4"/>
      <c r="H36" s="4"/>
      <c r="I36" s="5"/>
      <c r="J36" s="43"/>
      <c r="K36" s="44"/>
      <c r="L36" s="44"/>
      <c r="M36" s="44"/>
      <c r="N36" s="44"/>
      <c r="O36" s="44"/>
      <c r="P36" s="44"/>
      <c r="Q36" s="44"/>
      <c r="R36" s="44"/>
      <c r="S36" s="44"/>
      <c r="T36" s="44"/>
      <c r="U36" s="44"/>
      <c r="V36" s="44"/>
      <c r="W36" s="44"/>
      <c r="X36" s="44"/>
      <c r="Y36" s="44"/>
      <c r="Z36" s="44"/>
      <c r="AA36" s="44"/>
      <c r="AB36" s="44"/>
    </row>
    <row r="37">
      <c r="A37" s="1"/>
      <c r="B37" s="15"/>
      <c r="C37" s="55" t="s">
        <v>45</v>
      </c>
      <c r="D37" s="4"/>
      <c r="E37" s="4"/>
      <c r="F37" s="4"/>
      <c r="G37" s="4"/>
      <c r="H37" s="4"/>
      <c r="I37" s="5"/>
      <c r="J37" s="43"/>
      <c r="K37" s="44"/>
      <c r="L37" s="44"/>
      <c r="M37" s="44"/>
      <c r="N37" s="44"/>
      <c r="O37" s="44"/>
      <c r="P37" s="44"/>
      <c r="Q37" s="44"/>
      <c r="R37" s="44"/>
      <c r="S37" s="44"/>
      <c r="T37" s="44"/>
      <c r="U37" s="44"/>
      <c r="V37" s="44"/>
      <c r="W37" s="44"/>
      <c r="X37" s="44"/>
      <c r="Y37" s="44"/>
      <c r="Z37" s="44"/>
      <c r="AA37" s="44"/>
      <c r="AB37" s="44"/>
    </row>
    <row r="38">
      <c r="A38" s="51"/>
      <c r="B38" s="43"/>
      <c r="C38" s="58"/>
      <c r="D38" s="4"/>
      <c r="E38" s="4"/>
      <c r="F38" s="4"/>
      <c r="G38" s="4"/>
      <c r="H38" s="4"/>
      <c r="I38" s="5"/>
      <c r="J38" s="43"/>
      <c r="K38" s="44"/>
      <c r="L38" s="44"/>
      <c r="M38" s="44"/>
      <c r="N38" s="44"/>
      <c r="O38" s="44"/>
      <c r="P38" s="44"/>
      <c r="Q38" s="44"/>
      <c r="R38" s="44"/>
      <c r="S38" s="44"/>
      <c r="T38" s="44"/>
      <c r="U38" s="44"/>
      <c r="V38" s="44"/>
      <c r="W38" s="44"/>
      <c r="X38" s="44"/>
      <c r="Y38" s="44"/>
      <c r="Z38" s="44"/>
      <c r="AA38" s="44"/>
      <c r="AB38" s="44"/>
    </row>
    <row r="39">
      <c r="A39" s="1"/>
      <c r="B39" s="15"/>
      <c r="C39" s="60" t="s">
        <v>46</v>
      </c>
      <c r="D39" s="4"/>
      <c r="E39" s="4"/>
      <c r="F39" s="4"/>
      <c r="G39" s="4"/>
      <c r="H39" s="4"/>
      <c r="I39" s="5"/>
      <c r="J39" s="43"/>
      <c r="K39" s="44"/>
      <c r="L39" s="44"/>
      <c r="M39" s="44"/>
      <c r="N39" s="44"/>
      <c r="O39" s="44"/>
      <c r="P39" s="44"/>
      <c r="Q39" s="44"/>
      <c r="R39" s="44"/>
      <c r="S39" s="44"/>
      <c r="T39" s="44"/>
      <c r="U39" s="44"/>
      <c r="V39" s="44"/>
      <c r="W39" s="44"/>
      <c r="X39" s="44"/>
      <c r="Y39" s="44"/>
      <c r="Z39" s="44"/>
      <c r="AA39" s="44"/>
      <c r="AB39" s="44"/>
    </row>
    <row r="40">
      <c r="A40" s="1"/>
      <c r="B40" s="15"/>
      <c r="C40" s="53" t="s">
        <v>9</v>
      </c>
      <c r="D40" s="4"/>
      <c r="E40" s="4"/>
      <c r="F40" s="4"/>
      <c r="G40" s="4"/>
      <c r="H40" s="4"/>
      <c r="I40" s="5"/>
      <c r="J40" s="43"/>
      <c r="K40" s="44"/>
      <c r="L40" s="44"/>
      <c r="M40" s="44"/>
      <c r="N40" s="44"/>
      <c r="O40" s="44"/>
      <c r="P40" s="44"/>
      <c r="Q40" s="44"/>
      <c r="R40" s="44"/>
      <c r="S40" s="44"/>
      <c r="T40" s="44"/>
      <c r="U40" s="44"/>
      <c r="V40" s="44"/>
      <c r="W40" s="44"/>
      <c r="X40" s="44"/>
      <c r="Y40" s="44"/>
      <c r="Z40" s="44"/>
      <c r="AA40" s="44"/>
      <c r="AB40" s="44"/>
    </row>
    <row r="41">
      <c r="A41" s="1"/>
      <c r="B41" s="15"/>
      <c r="C41" s="61" t="s">
        <v>47</v>
      </c>
      <c r="D41" s="4"/>
      <c r="E41" s="4"/>
      <c r="F41" s="4"/>
      <c r="G41" s="4"/>
      <c r="H41" s="4"/>
      <c r="I41" s="5"/>
      <c r="J41" s="43"/>
      <c r="K41" s="44"/>
      <c r="L41" s="44"/>
      <c r="M41" s="44"/>
      <c r="N41" s="44"/>
      <c r="O41" s="44"/>
      <c r="P41" s="44"/>
      <c r="Q41" s="44"/>
      <c r="R41" s="44"/>
      <c r="S41" s="44"/>
      <c r="T41" s="44"/>
      <c r="U41" s="44"/>
      <c r="V41" s="44"/>
      <c r="W41" s="44"/>
      <c r="X41" s="44"/>
      <c r="Y41" s="44"/>
      <c r="Z41" s="44"/>
      <c r="AA41" s="44"/>
      <c r="AB41" s="44"/>
    </row>
    <row r="42">
      <c r="A42" s="51"/>
      <c r="B42" s="43"/>
      <c r="C42" s="62"/>
      <c r="D42" s="21"/>
      <c r="E42" s="21"/>
      <c r="F42" s="21"/>
      <c r="G42" s="21"/>
      <c r="H42" s="21"/>
      <c r="I42" s="46"/>
      <c r="J42" s="43"/>
      <c r="K42" s="44"/>
      <c r="L42" s="44"/>
      <c r="M42" s="44"/>
      <c r="N42" s="44"/>
      <c r="O42" s="44"/>
      <c r="P42" s="44"/>
      <c r="Q42" s="44"/>
      <c r="R42" s="44"/>
      <c r="S42" s="44"/>
      <c r="T42" s="44"/>
      <c r="U42" s="44"/>
      <c r="V42" s="44"/>
      <c r="W42" s="44"/>
      <c r="X42" s="44"/>
      <c r="Y42" s="44"/>
      <c r="Z42" s="44"/>
      <c r="AA42" s="44"/>
      <c r="AB42" s="44"/>
    </row>
    <row r="43">
      <c r="A43" s="1"/>
      <c r="B43" s="15"/>
      <c r="C43" s="16" t="s">
        <v>11</v>
      </c>
      <c r="D43" s="17" t="s">
        <v>12</v>
      </c>
      <c r="J43" s="43"/>
      <c r="K43" s="44"/>
      <c r="L43" s="44"/>
      <c r="M43" s="44"/>
      <c r="N43" s="44"/>
      <c r="O43" s="44"/>
      <c r="P43" s="44"/>
      <c r="Q43" s="44"/>
      <c r="R43" s="44"/>
      <c r="S43" s="44"/>
      <c r="T43" s="44"/>
      <c r="U43" s="44"/>
      <c r="V43" s="44"/>
      <c r="W43" s="44"/>
      <c r="X43" s="44"/>
      <c r="Y43" s="44"/>
      <c r="Z43" s="44"/>
      <c r="AA43" s="44"/>
      <c r="AB43" s="44"/>
    </row>
    <row r="44">
      <c r="A44" s="1"/>
      <c r="B44" s="15"/>
      <c r="C44" s="49" t="s">
        <v>13</v>
      </c>
      <c r="D44" s="63" t="s">
        <v>48</v>
      </c>
      <c r="J44" s="43"/>
      <c r="K44" s="44"/>
      <c r="L44" s="44"/>
      <c r="M44" s="44"/>
      <c r="N44" s="44"/>
      <c r="O44" s="44"/>
      <c r="P44" s="44"/>
      <c r="Q44" s="44"/>
      <c r="R44" s="44"/>
      <c r="S44" s="44"/>
      <c r="T44" s="44"/>
      <c r="U44" s="44"/>
      <c r="V44" s="44"/>
      <c r="W44" s="44"/>
      <c r="X44" s="44"/>
      <c r="Y44" s="44"/>
      <c r="Z44" s="44"/>
      <c r="AA44" s="44"/>
      <c r="AB44" s="44"/>
    </row>
    <row r="45">
      <c r="A45" s="1"/>
      <c r="B45" s="15"/>
      <c r="C45" s="49" t="s">
        <v>15</v>
      </c>
      <c r="D45" s="63" t="s">
        <v>49</v>
      </c>
      <c r="J45" s="43"/>
      <c r="K45" s="44"/>
      <c r="L45" s="44"/>
      <c r="M45" s="44"/>
      <c r="N45" s="44"/>
      <c r="O45" s="44"/>
      <c r="P45" s="44"/>
      <c r="Q45" s="44"/>
      <c r="R45" s="44"/>
      <c r="S45" s="44"/>
      <c r="T45" s="44"/>
      <c r="U45" s="44"/>
      <c r="V45" s="44"/>
      <c r="W45" s="44"/>
      <c r="X45" s="44"/>
      <c r="Y45" s="44"/>
      <c r="Z45" s="44"/>
      <c r="AA45" s="44"/>
      <c r="AB45" s="44"/>
    </row>
    <row r="46">
      <c r="A46" s="1"/>
      <c r="B46" s="15"/>
      <c r="C46" s="49" t="s">
        <v>50</v>
      </c>
      <c r="D46" s="63" t="s">
        <v>51</v>
      </c>
      <c r="J46" s="43"/>
      <c r="K46" s="44"/>
      <c r="L46" s="44"/>
      <c r="M46" s="44"/>
      <c r="N46" s="44"/>
      <c r="O46" s="44"/>
      <c r="P46" s="44"/>
      <c r="Q46" s="44"/>
      <c r="R46" s="44"/>
      <c r="S46" s="44"/>
      <c r="T46" s="44"/>
      <c r="U46" s="44"/>
      <c r="V46" s="44"/>
      <c r="W46" s="44"/>
      <c r="X46" s="44"/>
      <c r="Y46" s="44"/>
      <c r="Z46" s="44"/>
      <c r="AA46" s="44"/>
      <c r="AB46" s="44"/>
    </row>
    <row r="47">
      <c r="A47" s="1"/>
      <c r="B47" s="15"/>
      <c r="C47" s="49" t="s">
        <v>25</v>
      </c>
      <c r="D47" s="63" t="s">
        <v>52</v>
      </c>
      <c r="J47" s="43"/>
      <c r="K47" s="44"/>
      <c r="L47" s="44"/>
      <c r="M47" s="44"/>
      <c r="N47" s="44"/>
      <c r="O47" s="44"/>
      <c r="P47" s="44"/>
      <c r="Q47" s="44"/>
      <c r="R47" s="44"/>
      <c r="S47" s="44"/>
      <c r="T47" s="44"/>
      <c r="U47" s="44"/>
      <c r="V47" s="44"/>
      <c r="W47" s="44"/>
      <c r="X47" s="44"/>
      <c r="Y47" s="44"/>
      <c r="Z47" s="44"/>
      <c r="AA47" s="44"/>
      <c r="AB47" s="44"/>
    </row>
    <row r="48">
      <c r="A48" s="1"/>
      <c r="B48" s="15"/>
      <c r="C48" s="49" t="s">
        <v>27</v>
      </c>
      <c r="D48" s="64" t="s">
        <v>53</v>
      </c>
      <c r="J48" s="43"/>
      <c r="K48" s="44"/>
      <c r="L48" s="44"/>
      <c r="M48" s="44"/>
      <c r="N48" s="44"/>
      <c r="O48" s="44"/>
      <c r="P48" s="44"/>
      <c r="Q48" s="44"/>
      <c r="R48" s="44"/>
      <c r="S48" s="44"/>
      <c r="T48" s="44"/>
      <c r="U48" s="44"/>
      <c r="V48" s="44"/>
      <c r="W48" s="44"/>
      <c r="X48" s="44"/>
      <c r="Y48" s="44"/>
      <c r="Z48" s="44"/>
      <c r="AA48" s="44"/>
      <c r="AB48" s="44"/>
    </row>
    <row r="49">
      <c r="A49" s="1"/>
      <c r="B49" s="15"/>
      <c r="C49" s="49" t="s">
        <v>29</v>
      </c>
      <c r="D49" s="63" t="s">
        <v>54</v>
      </c>
      <c r="J49" s="43"/>
      <c r="K49" s="44"/>
      <c r="L49" s="44"/>
      <c r="M49" s="44"/>
      <c r="N49" s="44"/>
      <c r="O49" s="44"/>
      <c r="P49" s="44"/>
      <c r="Q49" s="44"/>
      <c r="R49" s="44"/>
      <c r="S49" s="44"/>
      <c r="T49" s="44"/>
      <c r="U49" s="44"/>
      <c r="V49" s="44"/>
      <c r="W49" s="44"/>
      <c r="X49" s="44"/>
      <c r="Y49" s="44"/>
      <c r="Z49" s="44"/>
      <c r="AA49" s="44"/>
      <c r="AB49" s="44"/>
    </row>
    <row r="50">
      <c r="A50" s="51"/>
      <c r="B50" s="43"/>
      <c r="C50" s="65"/>
      <c r="D50" s="34"/>
      <c r="E50" s="34"/>
      <c r="F50" s="34"/>
      <c r="G50" s="34"/>
      <c r="H50" s="34"/>
      <c r="I50" s="35"/>
      <c r="J50" s="43"/>
      <c r="K50" s="44"/>
      <c r="L50" s="44"/>
      <c r="M50" s="44"/>
      <c r="N50" s="44"/>
      <c r="O50" s="44"/>
      <c r="P50" s="44"/>
      <c r="Q50" s="44"/>
      <c r="R50" s="44"/>
      <c r="S50" s="44"/>
      <c r="T50" s="44"/>
      <c r="U50" s="44"/>
      <c r="V50" s="44"/>
      <c r="W50" s="44"/>
      <c r="X50" s="44"/>
      <c r="Y50" s="44"/>
      <c r="Z50" s="44"/>
      <c r="AA50" s="44"/>
      <c r="AB50" s="44"/>
    </row>
    <row r="51">
      <c r="A51" s="1"/>
      <c r="B51" s="15"/>
      <c r="C51" s="66" t="s">
        <v>37</v>
      </c>
      <c r="D51" s="34"/>
      <c r="E51" s="34"/>
      <c r="F51" s="34"/>
      <c r="G51" s="34"/>
      <c r="H51" s="34"/>
      <c r="I51" s="35"/>
      <c r="J51" s="43"/>
      <c r="K51" s="44"/>
      <c r="L51" s="44"/>
      <c r="M51" s="44"/>
      <c r="N51" s="44"/>
      <c r="O51" s="44"/>
      <c r="P51" s="44"/>
      <c r="Q51" s="44"/>
      <c r="R51" s="44"/>
      <c r="S51" s="44"/>
      <c r="T51" s="44"/>
      <c r="U51" s="44"/>
      <c r="V51" s="44"/>
      <c r="W51" s="44"/>
      <c r="X51" s="44"/>
      <c r="Y51" s="44"/>
      <c r="Z51" s="44"/>
      <c r="AA51" s="44"/>
      <c r="AB51" s="44"/>
    </row>
    <row r="52">
      <c r="A52" s="1"/>
      <c r="B52" s="15"/>
      <c r="C52" s="67" t="s">
        <v>55</v>
      </c>
      <c r="D52" s="34"/>
      <c r="E52" s="34"/>
      <c r="F52" s="34"/>
      <c r="G52" s="34"/>
      <c r="H52" s="34"/>
      <c r="I52" s="35"/>
      <c r="J52" s="43"/>
      <c r="K52" s="44"/>
      <c r="L52" s="44"/>
      <c r="M52" s="44"/>
      <c r="N52" s="44"/>
      <c r="O52" s="44"/>
      <c r="P52" s="44"/>
      <c r="Q52" s="44"/>
      <c r="R52" s="44"/>
      <c r="S52" s="44"/>
      <c r="T52" s="44"/>
      <c r="U52" s="44"/>
      <c r="V52" s="44"/>
      <c r="W52" s="44"/>
      <c r="X52" s="44"/>
      <c r="Y52" s="44"/>
      <c r="Z52" s="44"/>
      <c r="AA52" s="44"/>
      <c r="AB52" s="44"/>
    </row>
    <row r="53">
      <c r="A53" s="1"/>
      <c r="B53" s="15"/>
      <c r="C53" s="68" t="s">
        <v>56</v>
      </c>
      <c r="D53" s="34"/>
      <c r="E53" s="34"/>
      <c r="F53" s="34"/>
      <c r="G53" s="34"/>
      <c r="H53" s="34"/>
      <c r="I53" s="35"/>
      <c r="J53" s="43"/>
      <c r="K53" s="44"/>
      <c r="L53" s="44"/>
      <c r="M53" s="44"/>
      <c r="N53" s="44"/>
      <c r="O53" s="44"/>
      <c r="P53" s="44"/>
      <c r="Q53" s="44"/>
      <c r="R53" s="44"/>
      <c r="S53" s="44"/>
      <c r="T53" s="44"/>
      <c r="U53" s="44"/>
      <c r="V53" s="44"/>
      <c r="W53" s="44"/>
      <c r="X53" s="44"/>
      <c r="Y53" s="44"/>
      <c r="Z53" s="44"/>
      <c r="AA53" s="44"/>
      <c r="AB53" s="44"/>
    </row>
    <row r="54">
      <c r="A54" s="1"/>
      <c r="B54" s="15"/>
      <c r="C54" s="66"/>
      <c r="D54" s="34"/>
      <c r="E54" s="34"/>
      <c r="F54" s="34"/>
      <c r="G54" s="34"/>
      <c r="H54" s="34"/>
      <c r="I54" s="35"/>
      <c r="J54" s="43"/>
      <c r="K54" s="44"/>
      <c r="L54" s="44"/>
      <c r="M54" s="44"/>
      <c r="N54" s="44"/>
      <c r="O54" s="44"/>
      <c r="P54" s="44"/>
      <c r="Q54" s="44"/>
      <c r="R54" s="44"/>
      <c r="S54" s="44"/>
      <c r="T54" s="44"/>
      <c r="U54" s="44"/>
      <c r="V54" s="44"/>
      <c r="W54" s="44"/>
      <c r="X54" s="44"/>
      <c r="Y54" s="44"/>
      <c r="Z54" s="44"/>
      <c r="AA54" s="44"/>
      <c r="AB54" s="44"/>
    </row>
    <row r="55">
      <c r="A55" s="1"/>
      <c r="B55" s="15"/>
      <c r="C55" s="69" t="s">
        <v>57</v>
      </c>
      <c r="D55" s="4"/>
      <c r="E55" s="4"/>
      <c r="F55" s="4"/>
      <c r="G55" s="4"/>
      <c r="H55" s="4"/>
      <c r="I55" s="5"/>
      <c r="J55" s="43"/>
      <c r="K55" s="44"/>
      <c r="L55" s="44"/>
      <c r="M55" s="44"/>
      <c r="N55" s="44"/>
      <c r="O55" s="44"/>
      <c r="P55" s="44"/>
      <c r="Q55" s="44"/>
      <c r="R55" s="44"/>
      <c r="S55" s="44"/>
      <c r="T55" s="44"/>
      <c r="U55" s="44"/>
      <c r="V55" s="44"/>
      <c r="W55" s="44"/>
      <c r="X55" s="44"/>
      <c r="Y55" s="44"/>
      <c r="Z55" s="44"/>
      <c r="AA55" s="44"/>
      <c r="AB55" s="44"/>
    </row>
    <row r="56">
      <c r="A56" s="1"/>
      <c r="B56" s="15"/>
      <c r="C56" s="70" t="s">
        <v>58</v>
      </c>
      <c r="D56" s="4"/>
      <c r="E56" s="4"/>
      <c r="F56" s="4"/>
      <c r="G56" s="4"/>
      <c r="H56" s="4"/>
      <c r="I56" s="5"/>
      <c r="J56" s="43"/>
      <c r="K56" s="44"/>
      <c r="L56" s="44"/>
      <c r="M56" s="44"/>
      <c r="N56" s="44"/>
      <c r="O56" s="44"/>
      <c r="P56" s="44"/>
      <c r="Q56" s="44"/>
      <c r="R56" s="44"/>
      <c r="S56" s="44"/>
      <c r="T56" s="44"/>
      <c r="U56" s="44"/>
      <c r="V56" s="44"/>
      <c r="W56" s="44"/>
      <c r="X56" s="44"/>
      <c r="Y56" s="44"/>
      <c r="Z56" s="44"/>
      <c r="AA56" s="44"/>
      <c r="AB56" s="44"/>
    </row>
    <row r="57">
      <c r="A57" s="51"/>
      <c r="B57" s="43"/>
      <c r="C57" s="58"/>
      <c r="D57" s="4"/>
      <c r="E57" s="4"/>
      <c r="F57" s="4"/>
      <c r="G57" s="4"/>
      <c r="H57" s="4"/>
      <c r="I57" s="5"/>
      <c r="J57" s="43"/>
      <c r="K57" s="44"/>
      <c r="L57" s="44"/>
      <c r="M57" s="44"/>
      <c r="N57" s="44"/>
      <c r="O57" s="44"/>
      <c r="P57" s="44"/>
      <c r="Q57" s="44"/>
      <c r="R57" s="44"/>
      <c r="S57" s="44"/>
      <c r="T57" s="44"/>
      <c r="U57" s="44"/>
      <c r="V57" s="44"/>
      <c r="W57" s="44"/>
      <c r="X57" s="44"/>
      <c r="Y57" s="44"/>
      <c r="Z57" s="44"/>
      <c r="AA57" s="44"/>
      <c r="AB57" s="44"/>
    </row>
    <row r="58">
      <c r="A58" s="71"/>
      <c r="B58" s="6"/>
      <c r="C58" s="72" t="s">
        <v>59</v>
      </c>
      <c r="D58" s="4"/>
      <c r="E58" s="4"/>
      <c r="F58" s="4"/>
      <c r="G58" s="4"/>
      <c r="H58" s="4"/>
      <c r="I58" s="5"/>
      <c r="J58" s="6"/>
      <c r="K58" s="7"/>
      <c r="L58" s="7"/>
      <c r="M58" s="7"/>
      <c r="N58" s="7"/>
      <c r="O58" s="7"/>
      <c r="P58" s="7"/>
      <c r="Q58" s="7"/>
      <c r="R58" s="7"/>
      <c r="S58" s="7"/>
      <c r="T58" s="7"/>
      <c r="U58" s="7"/>
      <c r="V58" s="7"/>
      <c r="W58" s="7"/>
      <c r="X58" s="7"/>
      <c r="Y58" s="7"/>
      <c r="Z58" s="7"/>
      <c r="AA58" s="7"/>
      <c r="AB58" s="7"/>
    </row>
    <row r="59">
      <c r="A59" s="51"/>
      <c r="B59" s="43"/>
      <c r="C59" s="73" t="s">
        <v>60</v>
      </c>
      <c r="D59" s="4"/>
      <c r="E59" s="4"/>
      <c r="F59" s="4"/>
      <c r="G59" s="4"/>
      <c r="H59" s="4"/>
      <c r="I59" s="5"/>
      <c r="J59" s="43"/>
      <c r="K59" s="44"/>
      <c r="L59" s="44"/>
      <c r="M59" s="44"/>
      <c r="N59" s="44"/>
      <c r="O59" s="44"/>
      <c r="P59" s="44"/>
      <c r="Q59" s="44"/>
      <c r="R59" s="44"/>
      <c r="S59" s="44"/>
      <c r="T59" s="44"/>
      <c r="U59" s="44"/>
      <c r="V59" s="44"/>
      <c r="W59" s="44"/>
      <c r="X59" s="44"/>
      <c r="Y59" s="44"/>
      <c r="Z59" s="44"/>
      <c r="AA59" s="44"/>
      <c r="AB59" s="44"/>
    </row>
    <row r="60">
      <c r="A60" s="51"/>
      <c r="B60" s="43"/>
      <c r="C60" s="74"/>
      <c r="D60" s="75"/>
      <c r="E60" s="76"/>
      <c r="F60" s="76"/>
      <c r="G60" s="76"/>
      <c r="H60" s="76"/>
      <c r="I60" s="76"/>
      <c r="J60" s="43"/>
      <c r="K60" s="44"/>
      <c r="L60" s="44"/>
      <c r="M60" s="44"/>
      <c r="N60" s="44"/>
      <c r="O60" s="44"/>
      <c r="P60" s="44"/>
      <c r="Q60" s="44"/>
      <c r="R60" s="44"/>
      <c r="S60" s="44"/>
      <c r="T60" s="44"/>
      <c r="U60" s="44"/>
      <c r="V60" s="44"/>
      <c r="W60" s="44"/>
      <c r="X60" s="44"/>
      <c r="Y60" s="44"/>
      <c r="Z60" s="44"/>
      <c r="AA60" s="44"/>
      <c r="AB60" s="44"/>
    </row>
    <row r="61">
      <c r="A61" s="51"/>
      <c r="B61" s="43"/>
      <c r="C61" s="74"/>
      <c r="D61" s="75"/>
      <c r="E61" s="76"/>
      <c r="F61" s="76"/>
      <c r="G61" s="76"/>
      <c r="H61" s="76"/>
      <c r="I61" s="76"/>
      <c r="J61" s="43"/>
      <c r="K61" s="44"/>
      <c r="L61" s="44"/>
      <c r="M61" s="44"/>
      <c r="N61" s="44"/>
      <c r="O61" s="44"/>
      <c r="P61" s="44"/>
      <c r="Q61" s="44"/>
      <c r="R61" s="44"/>
      <c r="S61" s="44"/>
      <c r="T61" s="44"/>
      <c r="U61" s="44"/>
      <c r="V61" s="44"/>
      <c r="W61" s="44"/>
      <c r="X61" s="44"/>
      <c r="Y61" s="44"/>
      <c r="Z61" s="44"/>
      <c r="AA61" s="44"/>
      <c r="AB61" s="44"/>
    </row>
    <row r="62">
      <c r="A62" s="51"/>
      <c r="B62" s="43"/>
      <c r="C62" s="74"/>
      <c r="D62" s="75"/>
      <c r="E62" s="76"/>
      <c r="F62" s="76"/>
      <c r="G62" s="76"/>
      <c r="H62" s="76"/>
      <c r="I62" s="76"/>
      <c r="J62" s="43"/>
      <c r="K62" s="44"/>
      <c r="L62" s="44"/>
      <c r="M62" s="44"/>
      <c r="N62" s="44"/>
      <c r="O62" s="44"/>
      <c r="P62" s="44"/>
      <c r="Q62" s="44"/>
      <c r="R62" s="44"/>
      <c r="S62" s="44"/>
      <c r="T62" s="44"/>
      <c r="U62" s="44"/>
      <c r="V62" s="44"/>
      <c r="W62" s="44"/>
      <c r="X62" s="44"/>
      <c r="Y62" s="44"/>
      <c r="Z62" s="44"/>
      <c r="AA62" s="44"/>
      <c r="AB62" s="44"/>
    </row>
    <row r="63">
      <c r="A63" s="51"/>
      <c r="B63" s="43"/>
      <c r="C63" s="74"/>
      <c r="D63" s="75"/>
      <c r="E63" s="76"/>
      <c r="F63" s="76"/>
      <c r="G63" s="76"/>
      <c r="H63" s="76"/>
      <c r="I63" s="76"/>
      <c r="J63" s="43"/>
      <c r="K63" s="44"/>
      <c r="L63" s="44"/>
      <c r="M63" s="44"/>
      <c r="N63" s="44"/>
      <c r="O63" s="44"/>
      <c r="P63" s="44"/>
      <c r="Q63" s="44"/>
      <c r="R63" s="44"/>
      <c r="S63" s="44"/>
      <c r="T63" s="44"/>
      <c r="U63" s="44"/>
      <c r="V63" s="44"/>
      <c r="W63" s="44"/>
      <c r="X63" s="44"/>
      <c r="Y63" s="44"/>
      <c r="Z63" s="44"/>
      <c r="AA63" s="44"/>
      <c r="AB63" s="44"/>
    </row>
    <row r="64">
      <c r="A64" s="51"/>
      <c r="B64" s="43"/>
      <c r="C64" s="74"/>
      <c r="D64" s="75"/>
      <c r="E64" s="76"/>
      <c r="F64" s="76"/>
      <c r="G64" s="76"/>
      <c r="H64" s="76"/>
      <c r="I64" s="76"/>
      <c r="J64" s="43"/>
      <c r="K64" s="44"/>
      <c r="L64" s="44"/>
      <c r="M64" s="44"/>
      <c r="N64" s="44"/>
      <c r="O64" s="44"/>
      <c r="P64" s="44"/>
      <c r="Q64" s="44"/>
      <c r="R64" s="44"/>
      <c r="S64" s="44"/>
      <c r="T64" s="44"/>
      <c r="U64" s="44"/>
      <c r="V64" s="44"/>
      <c r="W64" s="44"/>
      <c r="X64" s="44"/>
      <c r="Y64" s="44"/>
      <c r="Z64" s="44"/>
      <c r="AA64" s="44"/>
      <c r="AB64" s="44"/>
    </row>
    <row r="65">
      <c r="A65" s="51"/>
      <c r="B65" s="43"/>
      <c r="C65" s="74"/>
      <c r="D65" s="75"/>
      <c r="E65" s="76"/>
      <c r="F65" s="76"/>
      <c r="G65" s="76"/>
      <c r="H65" s="76"/>
      <c r="I65" s="76"/>
      <c r="J65" s="43"/>
      <c r="K65" s="44"/>
      <c r="L65" s="44"/>
      <c r="M65" s="44"/>
      <c r="N65" s="44"/>
      <c r="O65" s="44"/>
      <c r="P65" s="44"/>
      <c r="Q65" s="44"/>
      <c r="R65" s="44"/>
      <c r="S65" s="44"/>
      <c r="T65" s="44"/>
      <c r="U65" s="44"/>
      <c r="V65" s="44"/>
      <c r="W65" s="44"/>
      <c r="X65" s="44"/>
      <c r="Y65" s="44"/>
      <c r="Z65" s="44"/>
      <c r="AA65" s="44"/>
      <c r="AB65" s="44"/>
    </row>
    <row r="66">
      <c r="A66" s="51"/>
      <c r="B66" s="43"/>
      <c r="C66" s="74"/>
      <c r="D66" s="75"/>
      <c r="E66" s="76"/>
      <c r="F66" s="76"/>
      <c r="G66" s="76"/>
      <c r="H66" s="76"/>
      <c r="I66" s="76"/>
      <c r="J66" s="43"/>
      <c r="K66" s="44"/>
      <c r="L66" s="44"/>
      <c r="M66" s="44"/>
      <c r="N66" s="44"/>
      <c r="O66" s="44"/>
      <c r="P66" s="44"/>
      <c r="Q66" s="44"/>
      <c r="R66" s="44"/>
      <c r="S66" s="44"/>
      <c r="T66" s="44"/>
      <c r="U66" s="44"/>
      <c r="V66" s="44"/>
      <c r="W66" s="44"/>
      <c r="X66" s="44"/>
      <c r="Y66" s="44"/>
      <c r="Z66" s="44"/>
      <c r="AA66" s="44"/>
      <c r="AB66" s="44"/>
    </row>
    <row r="67">
      <c r="A67" s="51"/>
      <c r="B67" s="43"/>
      <c r="C67" s="74"/>
      <c r="D67" s="75"/>
      <c r="E67" s="76"/>
      <c r="F67" s="76"/>
      <c r="G67" s="76"/>
      <c r="H67" s="76"/>
      <c r="I67" s="76"/>
      <c r="J67" s="43"/>
      <c r="K67" s="44"/>
      <c r="L67" s="44"/>
      <c r="M67" s="44"/>
      <c r="N67" s="44"/>
      <c r="O67" s="44"/>
      <c r="P67" s="44"/>
      <c r="Q67" s="44"/>
      <c r="R67" s="44"/>
      <c r="S67" s="44"/>
      <c r="T67" s="44"/>
      <c r="U67" s="44"/>
      <c r="V67" s="44"/>
      <c r="W67" s="44"/>
      <c r="X67" s="44"/>
      <c r="Y67" s="44"/>
      <c r="Z67" s="44"/>
      <c r="AA67" s="44"/>
      <c r="AB67" s="44"/>
    </row>
    <row r="68">
      <c r="A68" s="51"/>
      <c r="B68" s="43"/>
      <c r="C68" s="74"/>
      <c r="D68" s="75"/>
      <c r="E68" s="76"/>
      <c r="F68" s="76"/>
      <c r="G68" s="76"/>
      <c r="H68" s="76"/>
      <c r="I68" s="76"/>
      <c r="J68" s="43"/>
      <c r="K68" s="44"/>
      <c r="L68" s="44"/>
      <c r="M68" s="44"/>
      <c r="N68" s="44"/>
      <c r="O68" s="44"/>
      <c r="P68" s="44"/>
      <c r="Q68" s="44"/>
      <c r="R68" s="44"/>
      <c r="S68" s="44"/>
      <c r="T68" s="44"/>
      <c r="U68" s="44"/>
      <c r="V68" s="44"/>
      <c r="W68" s="44"/>
      <c r="X68" s="44"/>
      <c r="Y68" s="44"/>
      <c r="Z68" s="44"/>
      <c r="AA68" s="44"/>
      <c r="AB68" s="44"/>
    </row>
    <row r="69">
      <c r="A69" s="51"/>
      <c r="B69" s="43"/>
      <c r="C69" s="74"/>
      <c r="D69" s="75"/>
      <c r="E69" s="76"/>
      <c r="F69" s="76"/>
      <c r="G69" s="76"/>
      <c r="H69" s="76"/>
      <c r="I69" s="76"/>
      <c r="J69" s="43"/>
      <c r="K69" s="44"/>
      <c r="L69" s="44"/>
      <c r="M69" s="44"/>
      <c r="N69" s="44"/>
      <c r="O69" s="44"/>
      <c r="P69" s="44"/>
      <c r="Q69" s="44"/>
      <c r="R69" s="44"/>
      <c r="S69" s="44"/>
      <c r="T69" s="44"/>
      <c r="U69" s="44"/>
      <c r="V69" s="44"/>
      <c r="W69" s="44"/>
      <c r="X69" s="44"/>
      <c r="Y69" s="44"/>
      <c r="Z69" s="44"/>
      <c r="AA69" s="44"/>
      <c r="AB69" s="44"/>
    </row>
    <row r="70">
      <c r="A70" s="51"/>
      <c r="B70" s="43"/>
      <c r="C70" s="74"/>
      <c r="D70" s="75"/>
      <c r="E70" s="76"/>
      <c r="F70" s="76"/>
      <c r="G70" s="76"/>
      <c r="H70" s="76"/>
      <c r="I70" s="76"/>
      <c r="J70" s="43"/>
      <c r="K70" s="44"/>
      <c r="L70" s="44"/>
      <c r="M70" s="44"/>
      <c r="N70" s="44"/>
      <c r="O70" s="44"/>
      <c r="P70" s="44"/>
      <c r="Q70" s="44"/>
      <c r="R70" s="44"/>
      <c r="S70" s="44"/>
      <c r="T70" s="44"/>
      <c r="U70" s="44"/>
      <c r="V70" s="44"/>
      <c r="W70" s="44"/>
      <c r="X70" s="44"/>
      <c r="Y70" s="44"/>
      <c r="Z70" s="44"/>
      <c r="AA70" s="44"/>
      <c r="AB70" s="44"/>
    </row>
    <row r="71">
      <c r="A71" s="51"/>
      <c r="B71" s="43"/>
      <c r="C71" s="74"/>
      <c r="D71" s="75"/>
      <c r="E71" s="76"/>
      <c r="F71" s="76"/>
      <c r="G71" s="76"/>
      <c r="H71" s="76"/>
      <c r="I71" s="76"/>
      <c r="J71" s="43"/>
      <c r="K71" s="44"/>
      <c r="L71" s="44"/>
      <c r="M71" s="44"/>
      <c r="N71" s="44"/>
      <c r="O71" s="44"/>
      <c r="P71" s="44"/>
      <c r="Q71" s="44"/>
      <c r="R71" s="44"/>
      <c r="S71" s="44"/>
      <c r="T71" s="44"/>
      <c r="U71" s="44"/>
      <c r="V71" s="44"/>
      <c r="W71" s="44"/>
      <c r="X71" s="44"/>
      <c r="Y71" s="44"/>
      <c r="Z71" s="44"/>
      <c r="AA71" s="44"/>
      <c r="AB71" s="44"/>
    </row>
    <row r="72">
      <c r="A72" s="51"/>
      <c r="B72" s="43"/>
      <c r="C72" s="74"/>
      <c r="D72" s="75"/>
      <c r="E72" s="76"/>
      <c r="F72" s="76"/>
      <c r="G72" s="76"/>
      <c r="H72" s="76"/>
      <c r="I72" s="76"/>
      <c r="J72" s="43"/>
      <c r="K72" s="44"/>
      <c r="L72" s="44"/>
      <c r="M72" s="44"/>
      <c r="N72" s="44"/>
      <c r="O72" s="44"/>
      <c r="P72" s="44"/>
      <c r="Q72" s="44"/>
      <c r="R72" s="44"/>
      <c r="S72" s="44"/>
      <c r="T72" s="44"/>
      <c r="U72" s="44"/>
      <c r="V72" s="44"/>
      <c r="W72" s="44"/>
      <c r="X72" s="44"/>
      <c r="Y72" s="44"/>
      <c r="Z72" s="44"/>
      <c r="AA72" s="44"/>
      <c r="AB72" s="44"/>
    </row>
    <row r="73">
      <c r="A73" s="51"/>
      <c r="B73" s="43"/>
      <c r="C73" s="74"/>
      <c r="D73" s="75"/>
      <c r="E73" s="76"/>
      <c r="F73" s="76"/>
      <c r="G73" s="76"/>
      <c r="H73" s="76"/>
      <c r="I73" s="76"/>
      <c r="J73" s="43"/>
      <c r="K73" s="44"/>
      <c r="L73" s="44"/>
      <c r="M73" s="44"/>
      <c r="N73" s="44"/>
      <c r="O73" s="44"/>
      <c r="P73" s="44"/>
      <c r="Q73" s="44"/>
      <c r="R73" s="44"/>
      <c r="S73" s="44"/>
      <c r="T73" s="44"/>
      <c r="U73" s="44"/>
      <c r="V73" s="44"/>
      <c r="W73" s="44"/>
      <c r="X73" s="44"/>
      <c r="Y73" s="44"/>
      <c r="Z73" s="44"/>
      <c r="AA73" s="44"/>
      <c r="AB73" s="44"/>
    </row>
    <row r="74">
      <c r="A74" s="51"/>
      <c r="B74" s="43"/>
      <c r="C74" s="74"/>
      <c r="D74" s="75"/>
      <c r="E74" s="76"/>
      <c r="F74" s="76"/>
      <c r="G74" s="76"/>
      <c r="H74" s="76"/>
      <c r="I74" s="76"/>
      <c r="J74" s="43"/>
      <c r="K74" s="44"/>
      <c r="L74" s="44"/>
      <c r="M74" s="44"/>
      <c r="N74" s="44"/>
      <c r="O74" s="44"/>
      <c r="P74" s="44"/>
      <c r="Q74" s="44"/>
      <c r="R74" s="44"/>
      <c r="S74" s="44"/>
      <c r="T74" s="44"/>
      <c r="U74" s="44"/>
      <c r="V74" s="44"/>
      <c r="W74" s="44"/>
      <c r="X74" s="44"/>
      <c r="Y74" s="44"/>
      <c r="Z74" s="44"/>
      <c r="AA74" s="44"/>
      <c r="AB74" s="44"/>
    </row>
    <row r="75">
      <c r="A75" s="51"/>
      <c r="B75" s="43"/>
      <c r="C75" s="74"/>
      <c r="D75" s="75"/>
      <c r="E75" s="76"/>
      <c r="F75" s="76"/>
      <c r="G75" s="76"/>
      <c r="H75" s="76"/>
      <c r="I75" s="76"/>
      <c r="J75" s="43"/>
      <c r="K75" s="44"/>
      <c r="L75" s="44"/>
      <c r="M75" s="44"/>
      <c r="N75" s="44"/>
      <c r="O75" s="44"/>
      <c r="P75" s="44"/>
      <c r="Q75" s="44"/>
      <c r="R75" s="44"/>
      <c r="S75" s="44"/>
      <c r="T75" s="44"/>
      <c r="U75" s="44"/>
      <c r="V75" s="44"/>
      <c r="W75" s="44"/>
      <c r="X75" s="44"/>
      <c r="Y75" s="44"/>
      <c r="Z75" s="44"/>
      <c r="AA75" s="44"/>
      <c r="AB75" s="44"/>
    </row>
    <row r="76">
      <c r="A76" s="51"/>
      <c r="B76" s="43"/>
      <c r="C76" s="74"/>
      <c r="D76" s="75"/>
      <c r="E76" s="76"/>
      <c r="F76" s="76"/>
      <c r="G76" s="76"/>
      <c r="H76" s="76"/>
      <c r="I76" s="76"/>
      <c r="J76" s="43"/>
      <c r="K76" s="44"/>
      <c r="L76" s="44"/>
      <c r="M76" s="44"/>
      <c r="N76" s="44"/>
      <c r="O76" s="44"/>
      <c r="P76" s="44"/>
      <c r="Q76" s="44"/>
      <c r="R76" s="44"/>
      <c r="S76" s="44"/>
      <c r="T76" s="44"/>
      <c r="U76" s="44"/>
      <c r="V76" s="44"/>
      <c r="W76" s="44"/>
      <c r="X76" s="44"/>
      <c r="Y76" s="44"/>
      <c r="Z76" s="44"/>
      <c r="AA76" s="44"/>
      <c r="AB76" s="44"/>
    </row>
    <row r="77">
      <c r="A77" s="51"/>
      <c r="B77" s="43"/>
      <c r="C77" s="74"/>
      <c r="D77" s="75"/>
      <c r="E77" s="76"/>
      <c r="F77" s="76"/>
      <c r="G77" s="76"/>
      <c r="H77" s="76"/>
      <c r="I77" s="76"/>
      <c r="J77" s="43"/>
      <c r="K77" s="44"/>
      <c r="L77" s="44"/>
      <c r="M77" s="44"/>
      <c r="N77" s="44"/>
      <c r="O77" s="44"/>
      <c r="P77" s="44"/>
      <c r="Q77" s="44"/>
      <c r="R77" s="44"/>
      <c r="S77" s="44"/>
      <c r="T77" s="44"/>
      <c r="U77" s="44"/>
      <c r="V77" s="44"/>
      <c r="W77" s="44"/>
      <c r="X77" s="44"/>
      <c r="Y77" s="44"/>
      <c r="Z77" s="44"/>
      <c r="AA77" s="44"/>
      <c r="AB77" s="44"/>
    </row>
    <row r="78">
      <c r="A78" s="51"/>
      <c r="B78" s="43"/>
      <c r="C78" s="74"/>
      <c r="D78" s="75"/>
      <c r="E78" s="76"/>
      <c r="F78" s="76"/>
      <c r="G78" s="76"/>
      <c r="H78" s="76"/>
      <c r="I78" s="76"/>
      <c r="J78" s="43"/>
      <c r="K78" s="44"/>
      <c r="L78" s="44"/>
      <c r="M78" s="44"/>
      <c r="N78" s="44"/>
      <c r="O78" s="44"/>
      <c r="P78" s="44"/>
      <c r="Q78" s="44"/>
      <c r="R78" s="44"/>
      <c r="S78" s="44"/>
      <c r="T78" s="44"/>
      <c r="U78" s="44"/>
      <c r="V78" s="44"/>
      <c r="W78" s="44"/>
      <c r="X78" s="44"/>
      <c r="Y78" s="44"/>
      <c r="Z78" s="44"/>
      <c r="AA78" s="44"/>
      <c r="AB78" s="44"/>
    </row>
    <row r="79">
      <c r="A79" s="51"/>
      <c r="B79" s="43"/>
      <c r="C79" s="74"/>
      <c r="D79" s="75"/>
      <c r="E79" s="76"/>
      <c r="F79" s="76"/>
      <c r="G79" s="76"/>
      <c r="H79" s="76"/>
      <c r="I79" s="76"/>
      <c r="J79" s="43"/>
      <c r="K79" s="44"/>
      <c r="L79" s="44"/>
      <c r="M79" s="44"/>
      <c r="N79" s="44"/>
      <c r="O79" s="44"/>
      <c r="P79" s="44"/>
      <c r="Q79" s="44"/>
      <c r="R79" s="44"/>
      <c r="S79" s="44"/>
      <c r="T79" s="44"/>
      <c r="U79" s="44"/>
      <c r="V79" s="44"/>
      <c r="W79" s="44"/>
      <c r="X79" s="44"/>
      <c r="Y79" s="44"/>
      <c r="Z79" s="44"/>
      <c r="AA79" s="44"/>
      <c r="AB79" s="44"/>
    </row>
    <row r="80">
      <c r="A80" s="51"/>
      <c r="B80" s="43"/>
      <c r="C80" s="74"/>
      <c r="D80" s="75"/>
      <c r="E80" s="76"/>
      <c r="F80" s="76"/>
      <c r="G80" s="76"/>
      <c r="H80" s="76"/>
      <c r="I80" s="76"/>
      <c r="J80" s="43"/>
      <c r="K80" s="44"/>
      <c r="L80" s="44"/>
      <c r="M80" s="44"/>
      <c r="N80" s="44"/>
      <c r="O80" s="44"/>
      <c r="P80" s="44"/>
      <c r="Q80" s="44"/>
      <c r="R80" s="44"/>
      <c r="S80" s="44"/>
      <c r="T80" s="44"/>
      <c r="U80" s="44"/>
      <c r="V80" s="44"/>
      <c r="W80" s="44"/>
      <c r="X80" s="44"/>
      <c r="Y80" s="44"/>
      <c r="Z80" s="44"/>
      <c r="AA80" s="44"/>
      <c r="AB80" s="44"/>
    </row>
    <row r="81">
      <c r="A81" s="51"/>
      <c r="B81" s="43"/>
      <c r="C81" s="74"/>
      <c r="D81" s="75"/>
      <c r="E81" s="76"/>
      <c r="F81" s="76"/>
      <c r="G81" s="76"/>
      <c r="H81" s="76"/>
      <c r="I81" s="76"/>
      <c r="J81" s="43"/>
      <c r="K81" s="44"/>
      <c r="L81" s="44"/>
      <c r="M81" s="44"/>
      <c r="N81" s="44"/>
      <c r="O81" s="44"/>
      <c r="P81" s="44"/>
      <c r="Q81" s="44"/>
      <c r="R81" s="44"/>
      <c r="S81" s="44"/>
      <c r="T81" s="44"/>
      <c r="U81" s="44"/>
      <c r="V81" s="44"/>
      <c r="W81" s="44"/>
      <c r="X81" s="44"/>
      <c r="Y81" s="44"/>
      <c r="Z81" s="44"/>
      <c r="AA81" s="44"/>
      <c r="AB81" s="44"/>
    </row>
    <row r="82">
      <c r="A82" s="51"/>
      <c r="B82" s="43"/>
      <c r="C82" s="74"/>
      <c r="D82" s="75"/>
      <c r="E82" s="76"/>
      <c r="F82" s="76"/>
      <c r="G82" s="76"/>
      <c r="H82" s="76"/>
      <c r="I82" s="76"/>
      <c r="J82" s="43"/>
      <c r="K82" s="44"/>
      <c r="L82" s="44"/>
      <c r="M82" s="44"/>
      <c r="N82" s="44"/>
      <c r="O82" s="44"/>
      <c r="P82" s="44"/>
      <c r="Q82" s="44"/>
      <c r="R82" s="44"/>
      <c r="S82" s="44"/>
      <c r="T82" s="44"/>
      <c r="U82" s="44"/>
      <c r="V82" s="44"/>
      <c r="W82" s="44"/>
      <c r="X82" s="44"/>
      <c r="Y82" s="44"/>
      <c r="Z82" s="44"/>
      <c r="AA82" s="44"/>
      <c r="AB82" s="44"/>
    </row>
    <row r="83">
      <c r="A83" s="51"/>
      <c r="B83" s="43"/>
      <c r="C83" s="74"/>
      <c r="D83" s="75"/>
      <c r="E83" s="76"/>
      <c r="F83" s="76"/>
      <c r="G83" s="76"/>
      <c r="H83" s="76"/>
      <c r="I83" s="76"/>
      <c r="J83" s="43"/>
      <c r="K83" s="44"/>
      <c r="L83" s="44"/>
      <c r="M83" s="44"/>
      <c r="N83" s="44"/>
      <c r="O83" s="44"/>
      <c r="P83" s="44"/>
      <c r="Q83" s="44"/>
      <c r="R83" s="44"/>
      <c r="S83" s="44"/>
      <c r="T83" s="44"/>
      <c r="U83" s="44"/>
      <c r="V83" s="44"/>
      <c r="W83" s="44"/>
      <c r="X83" s="44"/>
      <c r="Y83" s="44"/>
      <c r="Z83" s="44"/>
      <c r="AA83" s="44"/>
      <c r="AB83" s="44"/>
    </row>
    <row r="84">
      <c r="A84" s="51"/>
      <c r="B84" s="43"/>
      <c r="C84" s="74"/>
      <c r="D84" s="75"/>
      <c r="E84" s="76"/>
      <c r="F84" s="76"/>
      <c r="G84" s="76"/>
      <c r="H84" s="76"/>
      <c r="I84" s="76"/>
      <c r="J84" s="43"/>
      <c r="K84" s="44"/>
      <c r="L84" s="44"/>
      <c r="M84" s="44"/>
      <c r="N84" s="44"/>
      <c r="O84" s="44"/>
      <c r="P84" s="44"/>
      <c r="Q84" s="44"/>
      <c r="R84" s="44"/>
      <c r="S84" s="44"/>
      <c r="T84" s="44"/>
      <c r="U84" s="44"/>
      <c r="V84" s="44"/>
      <c r="W84" s="44"/>
      <c r="X84" s="44"/>
      <c r="Y84" s="44"/>
      <c r="Z84" s="44"/>
      <c r="AA84" s="44"/>
      <c r="AB84" s="44"/>
    </row>
    <row r="85">
      <c r="A85" s="51"/>
      <c r="B85" s="43"/>
      <c r="C85" s="74"/>
      <c r="D85" s="75"/>
      <c r="E85" s="76"/>
      <c r="F85" s="76"/>
      <c r="G85" s="76"/>
      <c r="H85" s="76"/>
      <c r="I85" s="76"/>
      <c r="J85" s="43"/>
      <c r="K85" s="44"/>
      <c r="L85" s="44"/>
      <c r="M85" s="44"/>
      <c r="N85" s="44"/>
      <c r="O85" s="44"/>
      <c r="P85" s="44"/>
      <c r="Q85" s="44"/>
      <c r="R85" s="44"/>
      <c r="S85" s="44"/>
      <c r="T85" s="44"/>
      <c r="U85" s="44"/>
      <c r="V85" s="44"/>
      <c r="W85" s="44"/>
      <c r="X85" s="44"/>
      <c r="Y85" s="44"/>
      <c r="Z85" s="44"/>
      <c r="AA85" s="44"/>
      <c r="AB85" s="44"/>
    </row>
    <row r="86">
      <c r="A86" s="51"/>
      <c r="B86" s="43"/>
      <c r="C86" s="74"/>
      <c r="D86" s="75"/>
      <c r="E86" s="76"/>
      <c r="F86" s="76"/>
      <c r="G86" s="76"/>
      <c r="H86" s="76"/>
      <c r="I86" s="76"/>
      <c r="J86" s="43"/>
      <c r="K86" s="44"/>
      <c r="L86" s="44"/>
      <c r="M86" s="44"/>
      <c r="N86" s="44"/>
      <c r="O86" s="44"/>
      <c r="P86" s="44"/>
      <c r="Q86" s="44"/>
      <c r="R86" s="44"/>
      <c r="S86" s="44"/>
      <c r="T86" s="44"/>
      <c r="U86" s="44"/>
      <c r="V86" s="44"/>
      <c r="W86" s="44"/>
      <c r="X86" s="44"/>
      <c r="Y86" s="44"/>
      <c r="Z86" s="44"/>
      <c r="AA86" s="44"/>
      <c r="AB86" s="44"/>
    </row>
    <row r="87">
      <c r="A87" s="51"/>
      <c r="B87" s="43"/>
      <c r="C87" s="74"/>
      <c r="D87" s="75"/>
      <c r="E87" s="76"/>
      <c r="F87" s="76"/>
      <c r="G87" s="76"/>
      <c r="H87" s="76"/>
      <c r="I87" s="76"/>
      <c r="J87" s="43"/>
      <c r="K87" s="44"/>
      <c r="L87" s="44"/>
      <c r="M87" s="44"/>
      <c r="N87" s="44"/>
      <c r="O87" s="44"/>
      <c r="P87" s="44"/>
      <c r="Q87" s="44"/>
      <c r="R87" s="44"/>
      <c r="S87" s="44"/>
      <c r="T87" s="44"/>
      <c r="U87" s="44"/>
      <c r="V87" s="44"/>
      <c r="W87" s="44"/>
      <c r="X87" s="44"/>
      <c r="Y87" s="44"/>
      <c r="Z87" s="44"/>
      <c r="AA87" s="44"/>
      <c r="AB87" s="44"/>
    </row>
    <row r="88">
      <c r="A88" s="51"/>
      <c r="B88" s="43"/>
      <c r="C88" s="74"/>
      <c r="D88" s="75"/>
      <c r="E88" s="76"/>
      <c r="F88" s="76"/>
      <c r="G88" s="76"/>
      <c r="H88" s="76"/>
      <c r="I88" s="76"/>
      <c r="J88" s="43"/>
      <c r="K88" s="44"/>
      <c r="L88" s="44"/>
      <c r="M88" s="44"/>
      <c r="N88" s="44"/>
      <c r="O88" s="44"/>
      <c r="P88" s="44"/>
      <c r="Q88" s="44"/>
      <c r="R88" s="44"/>
      <c r="S88" s="44"/>
      <c r="T88" s="44"/>
      <c r="U88" s="44"/>
      <c r="V88" s="44"/>
      <c r="W88" s="44"/>
      <c r="X88" s="44"/>
      <c r="Y88" s="44"/>
      <c r="Z88" s="44"/>
      <c r="AA88" s="44"/>
      <c r="AB88" s="44"/>
    </row>
    <row r="89">
      <c r="A89" s="51"/>
      <c r="B89" s="43"/>
      <c r="C89" s="74"/>
      <c r="D89" s="75"/>
      <c r="E89" s="76"/>
      <c r="F89" s="76"/>
      <c r="G89" s="76"/>
      <c r="H89" s="76"/>
      <c r="I89" s="76"/>
      <c r="J89" s="43"/>
      <c r="K89" s="44"/>
      <c r="L89" s="44"/>
      <c r="M89" s="44"/>
      <c r="N89" s="44"/>
      <c r="O89" s="44"/>
      <c r="P89" s="44"/>
      <c r="Q89" s="44"/>
      <c r="R89" s="44"/>
      <c r="S89" s="44"/>
      <c r="T89" s="44"/>
      <c r="U89" s="44"/>
      <c r="V89" s="44"/>
      <c r="W89" s="44"/>
      <c r="X89" s="44"/>
      <c r="Y89" s="44"/>
      <c r="Z89" s="44"/>
      <c r="AA89" s="44"/>
      <c r="AB89" s="44"/>
    </row>
    <row r="90">
      <c r="A90" s="51"/>
      <c r="B90" s="43"/>
      <c r="C90" s="74"/>
      <c r="D90" s="75"/>
      <c r="E90" s="76"/>
      <c r="F90" s="76"/>
      <c r="G90" s="76"/>
      <c r="H90" s="76"/>
      <c r="I90" s="76"/>
      <c r="J90" s="43"/>
      <c r="K90" s="44"/>
      <c r="L90" s="44"/>
      <c r="M90" s="44"/>
      <c r="N90" s="44"/>
      <c r="O90" s="44"/>
      <c r="P90" s="44"/>
      <c r="Q90" s="44"/>
      <c r="R90" s="44"/>
      <c r="S90" s="44"/>
      <c r="T90" s="44"/>
      <c r="U90" s="44"/>
      <c r="V90" s="44"/>
      <c r="W90" s="44"/>
      <c r="X90" s="44"/>
      <c r="Y90" s="44"/>
      <c r="Z90" s="44"/>
      <c r="AA90" s="44"/>
      <c r="AB90" s="44"/>
    </row>
    <row r="91">
      <c r="A91" s="51"/>
      <c r="B91" s="43"/>
      <c r="C91" s="74"/>
      <c r="D91" s="75"/>
      <c r="E91" s="76"/>
      <c r="F91" s="76"/>
      <c r="G91" s="76"/>
      <c r="H91" s="76"/>
      <c r="I91" s="76"/>
      <c r="J91" s="43"/>
      <c r="K91" s="44"/>
      <c r="L91" s="44"/>
      <c r="M91" s="44"/>
      <c r="N91" s="44"/>
      <c r="O91" s="44"/>
      <c r="P91" s="44"/>
      <c r="Q91" s="44"/>
      <c r="R91" s="44"/>
      <c r="S91" s="44"/>
      <c r="T91" s="44"/>
      <c r="U91" s="44"/>
      <c r="V91" s="44"/>
      <c r="W91" s="44"/>
      <c r="X91" s="44"/>
      <c r="Y91" s="44"/>
      <c r="Z91" s="44"/>
      <c r="AA91" s="44"/>
      <c r="AB91" s="44"/>
    </row>
    <row r="92">
      <c r="A92" s="51"/>
      <c r="B92" s="43"/>
      <c r="C92" s="74"/>
      <c r="D92" s="75"/>
      <c r="E92" s="76"/>
      <c r="F92" s="76"/>
      <c r="G92" s="76"/>
      <c r="H92" s="76"/>
      <c r="I92" s="76"/>
      <c r="J92" s="43"/>
      <c r="K92" s="44"/>
      <c r="L92" s="44"/>
      <c r="M92" s="44"/>
      <c r="N92" s="44"/>
      <c r="O92" s="44"/>
      <c r="P92" s="44"/>
      <c r="Q92" s="44"/>
      <c r="R92" s="44"/>
      <c r="S92" s="44"/>
      <c r="T92" s="44"/>
      <c r="U92" s="44"/>
      <c r="V92" s="44"/>
      <c r="W92" s="44"/>
      <c r="X92" s="44"/>
      <c r="Y92" s="44"/>
      <c r="Z92" s="44"/>
      <c r="AA92" s="44"/>
      <c r="AB92" s="44"/>
    </row>
    <row r="93">
      <c r="A93" s="51"/>
      <c r="B93" s="43"/>
      <c r="C93" s="74"/>
      <c r="D93" s="75"/>
      <c r="E93" s="76"/>
      <c r="F93" s="76"/>
      <c r="G93" s="76"/>
      <c r="H93" s="76"/>
      <c r="I93" s="76"/>
      <c r="J93" s="43"/>
      <c r="K93" s="44"/>
      <c r="L93" s="44"/>
      <c r="M93" s="44"/>
      <c r="N93" s="44"/>
      <c r="O93" s="44"/>
      <c r="P93" s="44"/>
      <c r="Q93" s="44"/>
      <c r="R93" s="44"/>
      <c r="S93" s="44"/>
      <c r="T93" s="44"/>
      <c r="U93" s="44"/>
      <c r="V93" s="44"/>
      <c r="W93" s="44"/>
      <c r="X93" s="44"/>
      <c r="Y93" s="44"/>
      <c r="Z93" s="44"/>
      <c r="AA93" s="44"/>
      <c r="AB93" s="44"/>
    </row>
    <row r="94">
      <c r="A94" s="51"/>
      <c r="B94" s="43"/>
      <c r="C94" s="74"/>
      <c r="D94" s="75"/>
      <c r="E94" s="76"/>
      <c r="F94" s="76"/>
      <c r="G94" s="76"/>
      <c r="H94" s="76"/>
      <c r="I94" s="76"/>
      <c r="J94" s="43"/>
      <c r="K94" s="44"/>
      <c r="L94" s="44"/>
      <c r="M94" s="44"/>
      <c r="N94" s="44"/>
      <c r="O94" s="44"/>
      <c r="P94" s="44"/>
      <c r="Q94" s="44"/>
      <c r="R94" s="44"/>
      <c r="S94" s="44"/>
      <c r="T94" s="44"/>
      <c r="U94" s="44"/>
      <c r="V94" s="44"/>
      <c r="W94" s="44"/>
      <c r="X94" s="44"/>
      <c r="Y94" s="44"/>
      <c r="Z94" s="44"/>
      <c r="AA94" s="44"/>
      <c r="AB94" s="44"/>
    </row>
    <row r="95">
      <c r="A95" s="51"/>
      <c r="B95" s="43"/>
      <c r="C95" s="74"/>
      <c r="D95" s="75"/>
      <c r="E95" s="76"/>
      <c r="F95" s="76"/>
      <c r="G95" s="76"/>
      <c r="H95" s="76"/>
      <c r="I95" s="76"/>
      <c r="J95" s="43"/>
      <c r="K95" s="44"/>
      <c r="L95" s="44"/>
      <c r="M95" s="44"/>
      <c r="N95" s="44"/>
      <c r="O95" s="44"/>
      <c r="P95" s="44"/>
      <c r="Q95" s="44"/>
      <c r="R95" s="44"/>
      <c r="S95" s="44"/>
      <c r="T95" s="44"/>
      <c r="U95" s="44"/>
      <c r="V95" s="44"/>
      <c r="W95" s="44"/>
      <c r="X95" s="44"/>
      <c r="Y95" s="44"/>
      <c r="Z95" s="44"/>
      <c r="AA95" s="44"/>
      <c r="AB95" s="44"/>
    </row>
    <row r="96">
      <c r="A96" s="51"/>
      <c r="B96" s="43"/>
      <c r="C96" s="74"/>
      <c r="D96" s="75"/>
      <c r="E96" s="76"/>
      <c r="F96" s="76"/>
      <c r="G96" s="76"/>
      <c r="H96" s="76"/>
      <c r="I96" s="76"/>
      <c r="J96" s="43"/>
      <c r="K96" s="44"/>
      <c r="L96" s="44"/>
      <c r="M96" s="44"/>
      <c r="N96" s="44"/>
      <c r="O96" s="44"/>
      <c r="P96" s="44"/>
      <c r="Q96" s="44"/>
      <c r="R96" s="44"/>
      <c r="S96" s="44"/>
      <c r="T96" s="44"/>
      <c r="U96" s="44"/>
      <c r="V96" s="44"/>
      <c r="W96" s="44"/>
      <c r="X96" s="44"/>
      <c r="Y96" s="44"/>
      <c r="Z96" s="44"/>
      <c r="AA96" s="44"/>
      <c r="AB96" s="44"/>
    </row>
    <row r="97">
      <c r="A97" s="51"/>
      <c r="B97" s="43"/>
      <c r="C97" s="74"/>
      <c r="D97" s="75"/>
      <c r="E97" s="76"/>
      <c r="F97" s="76"/>
      <c r="G97" s="76"/>
      <c r="H97" s="76"/>
      <c r="I97" s="76"/>
      <c r="J97" s="43"/>
      <c r="K97" s="44"/>
      <c r="L97" s="44"/>
      <c r="M97" s="44"/>
      <c r="N97" s="44"/>
      <c r="O97" s="44"/>
      <c r="P97" s="44"/>
      <c r="Q97" s="44"/>
      <c r="R97" s="44"/>
      <c r="S97" s="44"/>
      <c r="T97" s="44"/>
      <c r="U97" s="44"/>
      <c r="V97" s="44"/>
      <c r="W97" s="44"/>
      <c r="X97" s="44"/>
      <c r="Y97" s="44"/>
      <c r="Z97" s="44"/>
      <c r="AA97" s="44"/>
      <c r="AB97" s="44"/>
    </row>
    <row r="98">
      <c r="A98" s="51"/>
      <c r="B98" s="43"/>
      <c r="C98" s="74"/>
      <c r="D98" s="75"/>
      <c r="E98" s="76"/>
      <c r="F98" s="76"/>
      <c r="G98" s="76"/>
      <c r="H98" s="76"/>
      <c r="I98" s="76"/>
      <c r="J98" s="43"/>
      <c r="K98" s="44"/>
      <c r="L98" s="44"/>
      <c r="M98" s="44"/>
      <c r="N98" s="44"/>
      <c r="O98" s="44"/>
      <c r="P98" s="44"/>
      <c r="Q98" s="44"/>
      <c r="R98" s="44"/>
      <c r="S98" s="44"/>
      <c r="T98" s="44"/>
      <c r="U98" s="44"/>
      <c r="V98" s="44"/>
      <c r="W98" s="44"/>
      <c r="X98" s="44"/>
      <c r="Y98" s="44"/>
      <c r="Z98" s="44"/>
      <c r="AA98" s="44"/>
      <c r="AB98" s="44"/>
    </row>
    <row r="99">
      <c r="A99" s="51"/>
      <c r="B99" s="43"/>
      <c r="C99" s="74"/>
      <c r="D99" s="75"/>
      <c r="E99" s="76"/>
      <c r="F99" s="76"/>
      <c r="G99" s="76"/>
      <c r="H99" s="76"/>
      <c r="I99" s="76"/>
      <c r="J99" s="43"/>
      <c r="K99" s="44"/>
      <c r="L99" s="44"/>
      <c r="M99" s="44"/>
      <c r="N99" s="44"/>
      <c r="O99" s="44"/>
      <c r="P99" s="44"/>
      <c r="Q99" s="44"/>
      <c r="R99" s="44"/>
      <c r="S99" s="44"/>
      <c r="T99" s="44"/>
      <c r="U99" s="44"/>
      <c r="V99" s="44"/>
      <c r="W99" s="44"/>
      <c r="X99" s="44"/>
      <c r="Y99" s="44"/>
      <c r="Z99" s="44"/>
      <c r="AA99" s="44"/>
      <c r="AB99" s="44"/>
    </row>
    <row r="100">
      <c r="A100" s="51"/>
      <c r="B100" s="43"/>
      <c r="C100" s="74"/>
      <c r="D100" s="75"/>
      <c r="E100" s="76"/>
      <c r="F100" s="76"/>
      <c r="G100" s="76"/>
      <c r="H100" s="76"/>
      <c r="I100" s="76"/>
      <c r="J100" s="43"/>
      <c r="K100" s="44"/>
      <c r="L100" s="44"/>
      <c r="M100" s="44"/>
      <c r="N100" s="44"/>
      <c r="O100" s="44"/>
      <c r="P100" s="44"/>
      <c r="Q100" s="44"/>
      <c r="R100" s="44"/>
      <c r="S100" s="44"/>
      <c r="T100" s="44"/>
      <c r="U100" s="44"/>
      <c r="V100" s="44"/>
      <c r="W100" s="44"/>
      <c r="X100" s="44"/>
      <c r="Y100" s="44"/>
      <c r="Z100" s="44"/>
      <c r="AA100" s="44"/>
      <c r="AB100" s="44"/>
    </row>
    <row r="101">
      <c r="A101" s="51"/>
      <c r="B101" s="43"/>
      <c r="C101" s="74"/>
      <c r="D101" s="75"/>
      <c r="E101" s="76"/>
      <c r="F101" s="76"/>
      <c r="G101" s="76"/>
      <c r="H101" s="76"/>
      <c r="I101" s="76"/>
      <c r="J101" s="43"/>
      <c r="K101" s="44"/>
      <c r="L101" s="44"/>
      <c r="M101" s="44"/>
      <c r="N101" s="44"/>
      <c r="O101" s="44"/>
      <c r="P101" s="44"/>
      <c r="Q101" s="44"/>
      <c r="R101" s="44"/>
      <c r="S101" s="44"/>
      <c r="T101" s="44"/>
      <c r="U101" s="44"/>
      <c r="V101" s="44"/>
      <c r="W101" s="44"/>
      <c r="X101" s="44"/>
      <c r="Y101" s="44"/>
      <c r="Z101" s="44"/>
      <c r="AA101" s="44"/>
      <c r="AB101" s="44"/>
    </row>
    <row r="102">
      <c r="A102" s="51"/>
      <c r="B102" s="43"/>
      <c r="C102" s="74"/>
      <c r="D102" s="75"/>
      <c r="E102" s="76"/>
      <c r="F102" s="76"/>
      <c r="G102" s="76"/>
      <c r="H102" s="76"/>
      <c r="I102" s="76"/>
      <c r="J102" s="43"/>
      <c r="K102" s="44"/>
      <c r="L102" s="44"/>
      <c r="M102" s="44"/>
      <c r="N102" s="44"/>
      <c r="O102" s="44"/>
      <c r="P102" s="44"/>
      <c r="Q102" s="44"/>
      <c r="R102" s="44"/>
      <c r="S102" s="44"/>
      <c r="T102" s="44"/>
      <c r="U102" s="44"/>
      <c r="V102" s="44"/>
      <c r="W102" s="44"/>
      <c r="X102" s="44"/>
      <c r="Y102" s="44"/>
      <c r="Z102" s="44"/>
      <c r="AA102" s="44"/>
      <c r="AB102" s="44"/>
    </row>
    <row r="103">
      <c r="A103" s="51"/>
      <c r="B103" s="43"/>
      <c r="C103" s="74"/>
      <c r="D103" s="75"/>
      <c r="E103" s="76"/>
      <c r="F103" s="76"/>
      <c r="G103" s="76"/>
      <c r="H103" s="76"/>
      <c r="I103" s="76"/>
      <c r="J103" s="43"/>
      <c r="K103" s="44"/>
      <c r="L103" s="44"/>
      <c r="M103" s="44"/>
      <c r="N103" s="44"/>
      <c r="O103" s="44"/>
      <c r="P103" s="44"/>
      <c r="Q103" s="44"/>
      <c r="R103" s="44"/>
      <c r="S103" s="44"/>
      <c r="T103" s="44"/>
      <c r="U103" s="44"/>
      <c r="V103" s="44"/>
      <c r="W103" s="44"/>
      <c r="X103" s="44"/>
      <c r="Y103" s="44"/>
      <c r="Z103" s="44"/>
      <c r="AA103" s="44"/>
      <c r="AB103" s="44"/>
    </row>
    <row r="104">
      <c r="A104" s="51"/>
      <c r="B104" s="43"/>
      <c r="C104" s="74"/>
      <c r="D104" s="75"/>
      <c r="E104" s="76"/>
      <c r="F104" s="76"/>
      <c r="G104" s="76"/>
      <c r="H104" s="76"/>
      <c r="I104" s="76"/>
      <c r="J104" s="43"/>
      <c r="K104" s="44"/>
      <c r="L104" s="44"/>
      <c r="M104" s="44"/>
      <c r="N104" s="44"/>
      <c r="O104" s="44"/>
      <c r="P104" s="44"/>
      <c r="Q104" s="44"/>
      <c r="R104" s="44"/>
      <c r="S104" s="44"/>
      <c r="T104" s="44"/>
      <c r="U104" s="44"/>
      <c r="V104" s="44"/>
      <c r="W104" s="44"/>
      <c r="X104" s="44"/>
      <c r="Y104" s="44"/>
      <c r="Z104" s="44"/>
      <c r="AA104" s="44"/>
      <c r="AB104" s="44"/>
    </row>
    <row r="105">
      <c r="A105" s="51"/>
      <c r="B105" s="43"/>
      <c r="C105" s="74"/>
      <c r="D105" s="75"/>
      <c r="E105" s="76"/>
      <c r="F105" s="76"/>
      <c r="G105" s="76"/>
      <c r="H105" s="76"/>
      <c r="I105" s="76"/>
      <c r="J105" s="43"/>
      <c r="K105" s="44"/>
      <c r="L105" s="44"/>
      <c r="M105" s="44"/>
      <c r="N105" s="44"/>
      <c r="O105" s="44"/>
      <c r="P105" s="44"/>
      <c r="Q105" s="44"/>
      <c r="R105" s="44"/>
      <c r="S105" s="44"/>
      <c r="T105" s="44"/>
      <c r="U105" s="44"/>
      <c r="V105" s="44"/>
      <c r="W105" s="44"/>
      <c r="X105" s="44"/>
      <c r="Y105" s="44"/>
      <c r="Z105" s="44"/>
      <c r="AA105" s="44"/>
      <c r="AB105" s="44"/>
    </row>
    <row r="106">
      <c r="A106" s="51"/>
      <c r="B106" s="43"/>
      <c r="C106" s="74"/>
      <c r="D106" s="75"/>
      <c r="E106" s="76"/>
      <c r="F106" s="76"/>
      <c r="G106" s="76"/>
      <c r="H106" s="76"/>
      <c r="I106" s="76"/>
      <c r="J106" s="43"/>
      <c r="K106" s="44"/>
      <c r="L106" s="44"/>
      <c r="M106" s="44"/>
      <c r="N106" s="44"/>
      <c r="O106" s="44"/>
      <c r="P106" s="44"/>
      <c r="Q106" s="44"/>
      <c r="R106" s="44"/>
      <c r="S106" s="44"/>
      <c r="T106" s="44"/>
      <c r="U106" s="44"/>
      <c r="V106" s="44"/>
      <c r="W106" s="44"/>
      <c r="X106" s="44"/>
      <c r="Y106" s="44"/>
      <c r="Z106" s="44"/>
      <c r="AA106" s="44"/>
      <c r="AB106" s="44"/>
    </row>
    <row r="107">
      <c r="A107" s="51"/>
      <c r="B107" s="43"/>
      <c r="C107" s="74"/>
      <c r="D107" s="75"/>
      <c r="E107" s="76"/>
      <c r="F107" s="76"/>
      <c r="G107" s="76"/>
      <c r="H107" s="76"/>
      <c r="I107" s="76"/>
      <c r="J107" s="43"/>
      <c r="K107" s="44"/>
      <c r="L107" s="44"/>
      <c r="M107" s="44"/>
      <c r="N107" s="44"/>
      <c r="O107" s="44"/>
      <c r="P107" s="44"/>
      <c r="Q107" s="44"/>
      <c r="R107" s="44"/>
      <c r="S107" s="44"/>
      <c r="T107" s="44"/>
      <c r="U107" s="44"/>
      <c r="V107" s="44"/>
      <c r="W107" s="44"/>
      <c r="X107" s="44"/>
      <c r="Y107" s="44"/>
      <c r="Z107" s="44"/>
      <c r="AA107" s="44"/>
      <c r="AB107" s="44"/>
    </row>
    <row r="108">
      <c r="A108" s="51"/>
      <c r="B108" s="43"/>
      <c r="C108" s="74"/>
      <c r="D108" s="75"/>
      <c r="E108" s="76"/>
      <c r="F108" s="76"/>
      <c r="G108" s="76"/>
      <c r="H108" s="76"/>
      <c r="I108" s="76"/>
      <c r="J108" s="43"/>
      <c r="K108" s="44"/>
      <c r="L108" s="44"/>
      <c r="M108" s="44"/>
      <c r="N108" s="44"/>
      <c r="O108" s="44"/>
      <c r="P108" s="44"/>
      <c r="Q108" s="44"/>
      <c r="R108" s="44"/>
      <c r="S108" s="44"/>
      <c r="T108" s="44"/>
      <c r="U108" s="44"/>
      <c r="V108" s="44"/>
      <c r="W108" s="44"/>
      <c r="X108" s="44"/>
      <c r="Y108" s="44"/>
      <c r="Z108" s="44"/>
      <c r="AA108" s="44"/>
      <c r="AB108" s="44"/>
    </row>
    <row r="109">
      <c r="A109" s="51"/>
      <c r="B109" s="43"/>
      <c r="C109" s="74"/>
      <c r="D109" s="75"/>
      <c r="E109" s="76"/>
      <c r="F109" s="76"/>
      <c r="G109" s="76"/>
      <c r="H109" s="76"/>
      <c r="I109" s="76"/>
      <c r="J109" s="43"/>
      <c r="K109" s="44"/>
      <c r="L109" s="44"/>
      <c r="M109" s="44"/>
      <c r="N109" s="44"/>
      <c r="O109" s="44"/>
      <c r="P109" s="44"/>
      <c r="Q109" s="44"/>
      <c r="R109" s="44"/>
      <c r="S109" s="44"/>
      <c r="T109" s="44"/>
      <c r="U109" s="44"/>
      <c r="V109" s="44"/>
      <c r="W109" s="44"/>
      <c r="X109" s="44"/>
      <c r="Y109" s="44"/>
      <c r="Z109" s="44"/>
      <c r="AA109" s="44"/>
      <c r="AB109" s="44"/>
    </row>
    <row r="110">
      <c r="A110" s="51"/>
      <c r="B110" s="43"/>
      <c r="C110" s="74"/>
      <c r="D110" s="75"/>
      <c r="E110" s="76"/>
      <c r="F110" s="76"/>
      <c r="G110" s="76"/>
      <c r="H110" s="76"/>
      <c r="I110" s="76"/>
      <c r="J110" s="43"/>
      <c r="K110" s="44"/>
      <c r="L110" s="44"/>
      <c r="M110" s="44"/>
      <c r="N110" s="44"/>
      <c r="O110" s="44"/>
      <c r="P110" s="44"/>
      <c r="Q110" s="44"/>
      <c r="R110" s="44"/>
      <c r="S110" s="44"/>
      <c r="T110" s="44"/>
      <c r="U110" s="44"/>
      <c r="V110" s="44"/>
      <c r="W110" s="44"/>
      <c r="X110" s="44"/>
      <c r="Y110" s="44"/>
      <c r="Z110" s="44"/>
      <c r="AA110" s="44"/>
      <c r="AB110" s="44"/>
    </row>
    <row r="111">
      <c r="A111" s="51"/>
      <c r="B111" s="43"/>
      <c r="C111" s="74"/>
      <c r="D111" s="75"/>
      <c r="E111" s="76"/>
      <c r="F111" s="76"/>
      <c r="G111" s="76"/>
      <c r="H111" s="76"/>
      <c r="I111" s="76"/>
      <c r="J111" s="43"/>
      <c r="K111" s="44"/>
      <c r="L111" s="44"/>
      <c r="M111" s="44"/>
      <c r="N111" s="44"/>
      <c r="O111" s="44"/>
      <c r="P111" s="44"/>
      <c r="Q111" s="44"/>
      <c r="R111" s="44"/>
      <c r="S111" s="44"/>
      <c r="T111" s="44"/>
      <c r="U111" s="44"/>
      <c r="V111" s="44"/>
      <c r="W111" s="44"/>
      <c r="X111" s="44"/>
      <c r="Y111" s="44"/>
      <c r="Z111" s="44"/>
      <c r="AA111" s="44"/>
      <c r="AB111" s="44"/>
    </row>
    <row r="112">
      <c r="A112" s="51"/>
      <c r="B112" s="43"/>
      <c r="C112" s="74"/>
      <c r="D112" s="75"/>
      <c r="E112" s="76"/>
      <c r="F112" s="76"/>
      <c r="G112" s="76"/>
      <c r="H112" s="76"/>
      <c r="I112" s="76"/>
      <c r="J112" s="43"/>
      <c r="K112" s="44"/>
      <c r="L112" s="44"/>
      <c r="M112" s="44"/>
      <c r="N112" s="44"/>
      <c r="O112" s="44"/>
      <c r="P112" s="44"/>
      <c r="Q112" s="44"/>
      <c r="R112" s="44"/>
      <c r="S112" s="44"/>
      <c r="T112" s="44"/>
      <c r="U112" s="44"/>
      <c r="V112" s="44"/>
      <c r="W112" s="44"/>
      <c r="X112" s="44"/>
      <c r="Y112" s="44"/>
      <c r="Z112" s="44"/>
      <c r="AA112" s="44"/>
      <c r="AB112" s="44"/>
    </row>
    <row r="113">
      <c r="A113" s="51"/>
      <c r="B113" s="43"/>
      <c r="C113" s="74"/>
      <c r="D113" s="75"/>
      <c r="E113" s="76"/>
      <c r="F113" s="76"/>
      <c r="G113" s="76"/>
      <c r="H113" s="76"/>
      <c r="I113" s="76"/>
      <c r="J113" s="43"/>
      <c r="K113" s="44"/>
      <c r="L113" s="44"/>
      <c r="M113" s="44"/>
      <c r="N113" s="44"/>
      <c r="O113" s="44"/>
      <c r="P113" s="44"/>
      <c r="Q113" s="44"/>
      <c r="R113" s="44"/>
      <c r="S113" s="44"/>
      <c r="T113" s="44"/>
      <c r="U113" s="44"/>
      <c r="V113" s="44"/>
      <c r="W113" s="44"/>
      <c r="X113" s="44"/>
      <c r="Y113" s="44"/>
      <c r="Z113" s="44"/>
      <c r="AA113" s="44"/>
      <c r="AB113" s="44"/>
    </row>
    <row r="114">
      <c r="A114" s="51"/>
      <c r="B114" s="43"/>
      <c r="C114" s="74"/>
      <c r="D114" s="75"/>
      <c r="E114" s="76"/>
      <c r="F114" s="76"/>
      <c r="G114" s="76"/>
      <c r="H114" s="76"/>
      <c r="I114" s="76"/>
      <c r="J114" s="43"/>
      <c r="K114" s="44"/>
      <c r="L114" s="44"/>
      <c r="M114" s="44"/>
      <c r="N114" s="44"/>
      <c r="O114" s="44"/>
      <c r="P114" s="44"/>
      <c r="Q114" s="44"/>
      <c r="R114" s="44"/>
      <c r="S114" s="44"/>
      <c r="T114" s="44"/>
      <c r="U114" s="44"/>
      <c r="V114" s="44"/>
      <c r="W114" s="44"/>
      <c r="X114" s="44"/>
      <c r="Y114" s="44"/>
      <c r="Z114" s="44"/>
      <c r="AA114" s="44"/>
      <c r="AB114" s="44"/>
    </row>
    <row r="115">
      <c r="A115" s="51"/>
      <c r="B115" s="43"/>
      <c r="C115" s="74"/>
      <c r="D115" s="75"/>
      <c r="E115" s="76"/>
      <c r="F115" s="76"/>
      <c r="G115" s="76"/>
      <c r="H115" s="76"/>
      <c r="I115" s="76"/>
      <c r="J115" s="43"/>
      <c r="K115" s="44"/>
      <c r="L115" s="44"/>
      <c r="M115" s="44"/>
      <c r="N115" s="44"/>
      <c r="O115" s="44"/>
      <c r="P115" s="44"/>
      <c r="Q115" s="44"/>
      <c r="R115" s="44"/>
      <c r="S115" s="44"/>
      <c r="T115" s="44"/>
      <c r="U115" s="44"/>
      <c r="V115" s="44"/>
      <c r="W115" s="44"/>
      <c r="X115" s="44"/>
      <c r="Y115" s="44"/>
      <c r="Z115" s="44"/>
      <c r="AA115" s="44"/>
      <c r="AB115" s="44"/>
    </row>
    <row r="116">
      <c r="A116" s="51"/>
      <c r="B116" s="43"/>
      <c r="C116" s="74"/>
      <c r="D116" s="75"/>
      <c r="E116" s="76"/>
      <c r="F116" s="76"/>
      <c r="G116" s="76"/>
      <c r="H116" s="76"/>
      <c r="I116" s="76"/>
      <c r="J116" s="43"/>
      <c r="K116" s="44"/>
      <c r="L116" s="44"/>
      <c r="M116" s="44"/>
      <c r="N116" s="44"/>
      <c r="O116" s="44"/>
      <c r="P116" s="44"/>
      <c r="Q116" s="44"/>
      <c r="R116" s="44"/>
      <c r="S116" s="44"/>
      <c r="T116" s="44"/>
      <c r="U116" s="44"/>
      <c r="V116" s="44"/>
      <c r="W116" s="44"/>
      <c r="X116" s="44"/>
      <c r="Y116" s="44"/>
      <c r="Z116" s="44"/>
      <c r="AA116" s="44"/>
      <c r="AB116" s="44"/>
    </row>
    <row r="117">
      <c r="A117" s="51"/>
      <c r="B117" s="43"/>
      <c r="C117" s="74"/>
      <c r="D117" s="75"/>
      <c r="E117" s="76"/>
      <c r="F117" s="76"/>
      <c r="G117" s="76"/>
      <c r="H117" s="76"/>
      <c r="I117" s="76"/>
      <c r="J117" s="43"/>
      <c r="K117" s="44"/>
      <c r="L117" s="44"/>
      <c r="M117" s="44"/>
      <c r="N117" s="44"/>
      <c r="O117" s="44"/>
      <c r="P117" s="44"/>
      <c r="Q117" s="44"/>
      <c r="R117" s="44"/>
      <c r="S117" s="44"/>
      <c r="T117" s="44"/>
      <c r="U117" s="44"/>
      <c r="V117" s="44"/>
      <c r="W117" s="44"/>
      <c r="X117" s="44"/>
      <c r="Y117" s="44"/>
      <c r="Z117" s="44"/>
      <c r="AA117" s="44"/>
      <c r="AB117" s="44"/>
    </row>
    <row r="118">
      <c r="A118" s="51"/>
      <c r="B118" s="43"/>
      <c r="C118" s="74"/>
      <c r="D118" s="75"/>
      <c r="E118" s="76"/>
      <c r="F118" s="76"/>
      <c r="G118" s="76"/>
      <c r="H118" s="76"/>
      <c r="I118" s="76"/>
      <c r="J118" s="43"/>
      <c r="K118" s="44"/>
      <c r="L118" s="44"/>
      <c r="M118" s="44"/>
      <c r="N118" s="44"/>
      <c r="O118" s="44"/>
      <c r="P118" s="44"/>
      <c r="Q118" s="44"/>
      <c r="R118" s="44"/>
      <c r="S118" s="44"/>
      <c r="T118" s="44"/>
      <c r="U118" s="44"/>
      <c r="V118" s="44"/>
      <c r="W118" s="44"/>
      <c r="X118" s="44"/>
      <c r="Y118" s="44"/>
      <c r="Z118" s="44"/>
      <c r="AA118" s="44"/>
      <c r="AB118" s="44"/>
    </row>
    <row r="119">
      <c r="A119" s="51"/>
      <c r="B119" s="43"/>
      <c r="C119" s="74"/>
      <c r="D119" s="75"/>
      <c r="E119" s="76"/>
      <c r="F119" s="76"/>
      <c r="G119" s="76"/>
      <c r="H119" s="76"/>
      <c r="I119" s="76"/>
      <c r="J119" s="43"/>
      <c r="K119" s="44"/>
      <c r="L119" s="44"/>
      <c r="M119" s="44"/>
      <c r="N119" s="44"/>
      <c r="O119" s="44"/>
      <c r="P119" s="44"/>
      <c r="Q119" s="44"/>
      <c r="R119" s="44"/>
      <c r="S119" s="44"/>
      <c r="T119" s="44"/>
      <c r="U119" s="44"/>
      <c r="V119" s="44"/>
      <c r="W119" s="44"/>
      <c r="X119" s="44"/>
      <c r="Y119" s="44"/>
      <c r="Z119" s="44"/>
      <c r="AA119" s="44"/>
      <c r="AB119" s="44"/>
    </row>
    <row r="120">
      <c r="A120" s="51"/>
      <c r="B120" s="43"/>
      <c r="C120" s="74"/>
      <c r="D120" s="75"/>
      <c r="E120" s="76"/>
      <c r="F120" s="76"/>
      <c r="G120" s="76"/>
      <c r="H120" s="76"/>
      <c r="I120" s="76"/>
      <c r="J120" s="43"/>
      <c r="K120" s="44"/>
      <c r="L120" s="44"/>
      <c r="M120" s="44"/>
      <c r="N120" s="44"/>
      <c r="O120" s="44"/>
      <c r="P120" s="44"/>
      <c r="Q120" s="44"/>
      <c r="R120" s="44"/>
      <c r="S120" s="44"/>
      <c r="T120" s="44"/>
      <c r="U120" s="44"/>
      <c r="V120" s="44"/>
      <c r="W120" s="44"/>
      <c r="X120" s="44"/>
      <c r="Y120" s="44"/>
      <c r="Z120" s="44"/>
      <c r="AA120" s="44"/>
      <c r="AB120" s="44"/>
    </row>
    <row r="121">
      <c r="A121" s="51"/>
      <c r="B121" s="43"/>
      <c r="C121" s="74"/>
      <c r="D121" s="75"/>
      <c r="E121" s="76"/>
      <c r="F121" s="76"/>
      <c r="G121" s="76"/>
      <c r="H121" s="76"/>
      <c r="I121" s="76"/>
      <c r="J121" s="43"/>
      <c r="K121" s="44"/>
      <c r="L121" s="44"/>
      <c r="M121" s="44"/>
      <c r="N121" s="44"/>
      <c r="O121" s="44"/>
      <c r="P121" s="44"/>
      <c r="Q121" s="44"/>
      <c r="R121" s="44"/>
      <c r="S121" s="44"/>
      <c r="T121" s="44"/>
      <c r="U121" s="44"/>
      <c r="V121" s="44"/>
      <c r="W121" s="44"/>
      <c r="X121" s="44"/>
      <c r="Y121" s="44"/>
      <c r="Z121" s="44"/>
      <c r="AA121" s="44"/>
      <c r="AB121" s="44"/>
    </row>
    <row r="122">
      <c r="A122" s="51"/>
      <c r="B122" s="43"/>
      <c r="C122" s="74"/>
      <c r="D122" s="75"/>
      <c r="E122" s="76"/>
      <c r="F122" s="76"/>
      <c r="G122" s="76"/>
      <c r="H122" s="76"/>
      <c r="I122" s="76"/>
      <c r="J122" s="43"/>
      <c r="K122" s="44"/>
      <c r="L122" s="44"/>
      <c r="M122" s="44"/>
      <c r="N122" s="44"/>
      <c r="O122" s="44"/>
      <c r="P122" s="44"/>
      <c r="Q122" s="44"/>
      <c r="R122" s="44"/>
      <c r="S122" s="44"/>
      <c r="T122" s="44"/>
      <c r="U122" s="44"/>
      <c r="V122" s="44"/>
      <c r="W122" s="44"/>
      <c r="X122" s="44"/>
      <c r="Y122" s="44"/>
      <c r="Z122" s="44"/>
      <c r="AA122" s="44"/>
      <c r="AB122" s="44"/>
    </row>
    <row r="123">
      <c r="A123" s="51"/>
      <c r="B123" s="43"/>
      <c r="C123" s="74"/>
      <c r="D123" s="75"/>
      <c r="E123" s="76"/>
      <c r="F123" s="76"/>
      <c r="G123" s="76"/>
      <c r="H123" s="76"/>
      <c r="I123" s="76"/>
      <c r="J123" s="43"/>
      <c r="K123" s="44"/>
      <c r="L123" s="44"/>
      <c r="M123" s="44"/>
      <c r="N123" s="44"/>
      <c r="O123" s="44"/>
      <c r="P123" s="44"/>
      <c r="Q123" s="44"/>
      <c r="R123" s="44"/>
      <c r="S123" s="44"/>
      <c r="T123" s="44"/>
      <c r="U123" s="44"/>
      <c r="V123" s="44"/>
      <c r="W123" s="44"/>
      <c r="X123" s="44"/>
      <c r="Y123" s="44"/>
      <c r="Z123" s="44"/>
      <c r="AA123" s="44"/>
      <c r="AB123" s="44"/>
    </row>
    <row r="124">
      <c r="A124" s="51"/>
      <c r="B124" s="43"/>
      <c r="C124" s="74"/>
      <c r="D124" s="75"/>
      <c r="E124" s="76"/>
      <c r="F124" s="76"/>
      <c r="G124" s="76"/>
      <c r="H124" s="76"/>
      <c r="I124" s="76"/>
      <c r="J124" s="43"/>
      <c r="K124" s="44"/>
      <c r="L124" s="44"/>
      <c r="M124" s="44"/>
      <c r="N124" s="44"/>
      <c r="O124" s="44"/>
      <c r="P124" s="44"/>
      <c r="Q124" s="44"/>
      <c r="R124" s="44"/>
      <c r="S124" s="44"/>
      <c r="T124" s="44"/>
      <c r="U124" s="44"/>
      <c r="V124" s="44"/>
      <c r="W124" s="44"/>
      <c r="X124" s="44"/>
      <c r="Y124" s="44"/>
      <c r="Z124" s="44"/>
      <c r="AA124" s="44"/>
      <c r="AB124" s="44"/>
    </row>
    <row r="125">
      <c r="A125" s="51"/>
      <c r="B125" s="43"/>
      <c r="C125" s="74"/>
      <c r="D125" s="75"/>
      <c r="E125" s="76"/>
      <c r="F125" s="76"/>
      <c r="G125" s="76"/>
      <c r="H125" s="76"/>
      <c r="I125" s="76"/>
      <c r="J125" s="43"/>
      <c r="K125" s="44"/>
      <c r="L125" s="44"/>
      <c r="M125" s="44"/>
      <c r="N125" s="44"/>
      <c r="O125" s="44"/>
      <c r="P125" s="44"/>
      <c r="Q125" s="44"/>
      <c r="R125" s="44"/>
      <c r="S125" s="44"/>
      <c r="T125" s="44"/>
      <c r="U125" s="44"/>
      <c r="V125" s="44"/>
      <c r="W125" s="44"/>
      <c r="X125" s="44"/>
      <c r="Y125" s="44"/>
      <c r="Z125" s="44"/>
      <c r="AA125" s="44"/>
      <c r="AB125" s="44"/>
    </row>
    <row r="126">
      <c r="A126" s="51"/>
      <c r="B126" s="43"/>
      <c r="C126" s="74"/>
      <c r="D126" s="75"/>
      <c r="E126" s="76"/>
      <c r="F126" s="76"/>
      <c r="G126" s="76"/>
      <c r="H126" s="76"/>
      <c r="I126" s="76"/>
      <c r="J126" s="43"/>
      <c r="K126" s="44"/>
      <c r="L126" s="44"/>
      <c r="M126" s="44"/>
      <c r="N126" s="44"/>
      <c r="O126" s="44"/>
      <c r="P126" s="44"/>
      <c r="Q126" s="44"/>
      <c r="R126" s="44"/>
      <c r="S126" s="44"/>
      <c r="T126" s="44"/>
      <c r="U126" s="44"/>
      <c r="V126" s="44"/>
      <c r="W126" s="44"/>
      <c r="X126" s="44"/>
      <c r="Y126" s="44"/>
      <c r="Z126" s="44"/>
      <c r="AA126" s="44"/>
      <c r="AB126" s="44"/>
    </row>
    <row r="127">
      <c r="A127" s="51"/>
      <c r="B127" s="43"/>
      <c r="C127" s="74"/>
      <c r="D127" s="75"/>
      <c r="E127" s="76"/>
      <c r="F127" s="76"/>
      <c r="G127" s="76"/>
      <c r="H127" s="76"/>
      <c r="I127" s="76"/>
      <c r="J127" s="43"/>
      <c r="K127" s="44"/>
      <c r="L127" s="44"/>
      <c r="M127" s="44"/>
      <c r="N127" s="44"/>
      <c r="O127" s="44"/>
      <c r="P127" s="44"/>
      <c r="Q127" s="44"/>
      <c r="R127" s="44"/>
      <c r="S127" s="44"/>
      <c r="T127" s="44"/>
      <c r="U127" s="44"/>
      <c r="V127" s="44"/>
      <c r="W127" s="44"/>
      <c r="X127" s="44"/>
      <c r="Y127" s="44"/>
      <c r="Z127" s="44"/>
      <c r="AA127" s="44"/>
      <c r="AB127" s="44"/>
    </row>
    <row r="128">
      <c r="A128" s="51"/>
      <c r="B128" s="43"/>
      <c r="C128" s="74"/>
      <c r="D128" s="75"/>
      <c r="E128" s="76"/>
      <c r="F128" s="76"/>
      <c r="G128" s="76"/>
      <c r="H128" s="76"/>
      <c r="I128" s="76"/>
      <c r="J128" s="43"/>
      <c r="K128" s="44"/>
      <c r="L128" s="44"/>
      <c r="M128" s="44"/>
      <c r="N128" s="44"/>
      <c r="O128" s="44"/>
      <c r="P128" s="44"/>
      <c r="Q128" s="44"/>
      <c r="R128" s="44"/>
      <c r="S128" s="44"/>
      <c r="T128" s="44"/>
      <c r="U128" s="44"/>
      <c r="V128" s="44"/>
      <c r="W128" s="44"/>
      <c r="X128" s="44"/>
      <c r="Y128" s="44"/>
      <c r="Z128" s="44"/>
      <c r="AA128" s="44"/>
      <c r="AB128" s="44"/>
    </row>
    <row r="129">
      <c r="A129" s="51"/>
      <c r="B129" s="43"/>
      <c r="C129" s="74"/>
      <c r="D129" s="75"/>
      <c r="E129" s="76"/>
      <c r="F129" s="76"/>
      <c r="G129" s="76"/>
      <c r="H129" s="76"/>
      <c r="I129" s="76"/>
      <c r="J129" s="43"/>
      <c r="K129" s="44"/>
      <c r="L129" s="44"/>
      <c r="M129" s="44"/>
      <c r="N129" s="44"/>
      <c r="O129" s="44"/>
      <c r="P129" s="44"/>
      <c r="Q129" s="44"/>
      <c r="R129" s="44"/>
      <c r="S129" s="44"/>
      <c r="T129" s="44"/>
      <c r="U129" s="44"/>
      <c r="V129" s="44"/>
      <c r="W129" s="44"/>
      <c r="X129" s="44"/>
      <c r="Y129" s="44"/>
      <c r="Z129" s="44"/>
      <c r="AA129" s="44"/>
      <c r="AB129" s="44"/>
    </row>
    <row r="130">
      <c r="A130" s="51"/>
      <c r="B130" s="43"/>
      <c r="C130" s="74"/>
      <c r="D130" s="75"/>
      <c r="E130" s="76"/>
      <c r="F130" s="76"/>
      <c r="G130" s="76"/>
      <c r="H130" s="76"/>
      <c r="I130" s="76"/>
      <c r="J130" s="43"/>
      <c r="K130" s="44"/>
      <c r="L130" s="44"/>
      <c r="M130" s="44"/>
      <c r="N130" s="44"/>
      <c r="O130" s="44"/>
      <c r="P130" s="44"/>
      <c r="Q130" s="44"/>
      <c r="R130" s="44"/>
      <c r="S130" s="44"/>
      <c r="T130" s="44"/>
      <c r="U130" s="44"/>
      <c r="V130" s="44"/>
      <c r="W130" s="44"/>
      <c r="X130" s="44"/>
      <c r="Y130" s="44"/>
      <c r="Z130" s="44"/>
      <c r="AA130" s="44"/>
      <c r="AB130" s="44"/>
    </row>
    <row r="131">
      <c r="A131" s="51"/>
      <c r="B131" s="43"/>
      <c r="C131" s="74"/>
      <c r="D131" s="75"/>
      <c r="E131" s="76"/>
      <c r="F131" s="76"/>
      <c r="G131" s="76"/>
      <c r="H131" s="76"/>
      <c r="I131" s="76"/>
      <c r="J131" s="43"/>
      <c r="K131" s="44"/>
      <c r="L131" s="44"/>
      <c r="M131" s="44"/>
      <c r="N131" s="44"/>
      <c r="O131" s="44"/>
      <c r="P131" s="44"/>
      <c r="Q131" s="44"/>
      <c r="R131" s="44"/>
      <c r="S131" s="44"/>
      <c r="T131" s="44"/>
      <c r="U131" s="44"/>
      <c r="V131" s="44"/>
      <c r="W131" s="44"/>
      <c r="X131" s="44"/>
      <c r="Y131" s="44"/>
      <c r="Z131" s="44"/>
      <c r="AA131" s="44"/>
      <c r="AB131" s="44"/>
    </row>
    <row r="132">
      <c r="A132" s="51"/>
      <c r="B132" s="43"/>
      <c r="C132" s="74"/>
      <c r="D132" s="75"/>
      <c r="E132" s="76"/>
      <c r="F132" s="76"/>
      <c r="G132" s="76"/>
      <c r="H132" s="76"/>
      <c r="I132" s="76"/>
      <c r="J132" s="43"/>
      <c r="K132" s="44"/>
      <c r="L132" s="44"/>
      <c r="M132" s="44"/>
      <c r="N132" s="44"/>
      <c r="O132" s="44"/>
      <c r="P132" s="44"/>
      <c r="Q132" s="44"/>
      <c r="R132" s="44"/>
      <c r="S132" s="44"/>
      <c r="T132" s="44"/>
      <c r="U132" s="44"/>
      <c r="V132" s="44"/>
      <c r="W132" s="44"/>
      <c r="X132" s="44"/>
      <c r="Y132" s="44"/>
      <c r="Z132" s="44"/>
      <c r="AA132" s="44"/>
      <c r="AB132" s="44"/>
    </row>
    <row r="133">
      <c r="A133" s="51"/>
      <c r="B133" s="43"/>
      <c r="C133" s="74"/>
      <c r="D133" s="75"/>
      <c r="E133" s="76"/>
      <c r="F133" s="76"/>
      <c r="G133" s="76"/>
      <c r="H133" s="76"/>
      <c r="I133" s="76"/>
      <c r="J133" s="43"/>
      <c r="K133" s="44"/>
      <c r="L133" s="44"/>
      <c r="M133" s="44"/>
      <c r="N133" s="44"/>
      <c r="O133" s="44"/>
      <c r="P133" s="44"/>
      <c r="Q133" s="44"/>
      <c r="R133" s="44"/>
      <c r="S133" s="44"/>
      <c r="T133" s="44"/>
      <c r="U133" s="44"/>
      <c r="V133" s="44"/>
      <c r="W133" s="44"/>
      <c r="X133" s="44"/>
      <c r="Y133" s="44"/>
      <c r="Z133" s="44"/>
      <c r="AA133" s="44"/>
      <c r="AB133" s="44"/>
    </row>
    <row r="134">
      <c r="A134" s="51"/>
      <c r="B134" s="43"/>
      <c r="C134" s="74"/>
      <c r="D134" s="75"/>
      <c r="E134" s="76"/>
      <c r="F134" s="76"/>
      <c r="G134" s="76"/>
      <c r="H134" s="76"/>
      <c r="I134" s="76"/>
      <c r="J134" s="43"/>
      <c r="K134" s="44"/>
      <c r="L134" s="44"/>
      <c r="M134" s="44"/>
      <c r="N134" s="44"/>
      <c r="O134" s="44"/>
      <c r="P134" s="44"/>
      <c r="Q134" s="44"/>
      <c r="R134" s="44"/>
      <c r="S134" s="44"/>
      <c r="T134" s="44"/>
      <c r="U134" s="44"/>
      <c r="V134" s="44"/>
      <c r="W134" s="44"/>
      <c r="X134" s="44"/>
      <c r="Y134" s="44"/>
      <c r="Z134" s="44"/>
      <c r="AA134" s="44"/>
      <c r="AB134" s="44"/>
    </row>
    <row r="135">
      <c r="A135" s="51"/>
      <c r="B135" s="43"/>
      <c r="C135" s="74"/>
      <c r="D135" s="75"/>
      <c r="E135" s="76"/>
      <c r="F135" s="76"/>
      <c r="G135" s="76"/>
      <c r="H135" s="76"/>
      <c r="I135" s="76"/>
      <c r="J135" s="43"/>
      <c r="K135" s="44"/>
      <c r="L135" s="44"/>
      <c r="M135" s="44"/>
      <c r="N135" s="44"/>
      <c r="O135" s="44"/>
      <c r="P135" s="44"/>
      <c r="Q135" s="44"/>
      <c r="R135" s="44"/>
      <c r="S135" s="44"/>
      <c r="T135" s="44"/>
      <c r="U135" s="44"/>
      <c r="V135" s="44"/>
      <c r="W135" s="44"/>
      <c r="X135" s="44"/>
      <c r="Y135" s="44"/>
      <c r="Z135" s="44"/>
      <c r="AA135" s="44"/>
      <c r="AB135" s="44"/>
    </row>
    <row r="136">
      <c r="A136" s="51"/>
      <c r="B136" s="43"/>
      <c r="C136" s="74"/>
      <c r="D136" s="75"/>
      <c r="E136" s="76"/>
      <c r="F136" s="76"/>
      <c r="G136" s="76"/>
      <c r="H136" s="76"/>
      <c r="I136" s="76"/>
      <c r="J136" s="43"/>
      <c r="K136" s="44"/>
      <c r="L136" s="44"/>
      <c r="M136" s="44"/>
      <c r="N136" s="44"/>
      <c r="O136" s="44"/>
      <c r="P136" s="44"/>
      <c r="Q136" s="44"/>
      <c r="R136" s="44"/>
      <c r="S136" s="44"/>
      <c r="T136" s="44"/>
      <c r="U136" s="44"/>
      <c r="V136" s="44"/>
      <c r="W136" s="44"/>
      <c r="X136" s="44"/>
      <c r="Y136" s="44"/>
      <c r="Z136" s="44"/>
      <c r="AA136" s="44"/>
      <c r="AB136" s="44"/>
    </row>
    <row r="137">
      <c r="A137" s="51"/>
      <c r="B137" s="43"/>
      <c r="C137" s="74"/>
      <c r="D137" s="75"/>
      <c r="E137" s="76"/>
      <c r="F137" s="76"/>
      <c r="G137" s="76"/>
      <c r="H137" s="76"/>
      <c r="I137" s="76"/>
      <c r="J137" s="43"/>
      <c r="K137" s="44"/>
      <c r="L137" s="44"/>
      <c r="M137" s="44"/>
      <c r="N137" s="44"/>
      <c r="O137" s="44"/>
      <c r="P137" s="44"/>
      <c r="Q137" s="44"/>
      <c r="R137" s="44"/>
      <c r="S137" s="44"/>
      <c r="T137" s="44"/>
      <c r="U137" s="44"/>
      <c r="V137" s="44"/>
      <c r="W137" s="44"/>
      <c r="X137" s="44"/>
      <c r="Y137" s="44"/>
      <c r="Z137" s="44"/>
      <c r="AA137" s="44"/>
      <c r="AB137" s="44"/>
    </row>
    <row r="138">
      <c r="A138" s="51"/>
      <c r="B138" s="43"/>
      <c r="C138" s="74"/>
      <c r="D138" s="75"/>
      <c r="E138" s="76"/>
      <c r="F138" s="76"/>
      <c r="G138" s="76"/>
      <c r="H138" s="76"/>
      <c r="I138" s="76"/>
      <c r="J138" s="43"/>
      <c r="K138" s="44"/>
      <c r="L138" s="44"/>
      <c r="M138" s="44"/>
      <c r="N138" s="44"/>
      <c r="O138" s="44"/>
      <c r="P138" s="44"/>
      <c r="Q138" s="44"/>
      <c r="R138" s="44"/>
      <c r="S138" s="44"/>
      <c r="T138" s="44"/>
      <c r="U138" s="44"/>
      <c r="V138" s="44"/>
      <c r="W138" s="44"/>
      <c r="X138" s="44"/>
      <c r="Y138" s="44"/>
      <c r="Z138" s="44"/>
      <c r="AA138" s="44"/>
      <c r="AB138" s="44"/>
    </row>
    <row r="139">
      <c r="A139" s="51"/>
      <c r="B139" s="43"/>
      <c r="C139" s="74"/>
      <c r="D139" s="75"/>
      <c r="E139" s="76"/>
      <c r="F139" s="76"/>
      <c r="G139" s="76"/>
      <c r="H139" s="76"/>
      <c r="I139" s="76"/>
      <c r="J139" s="43"/>
      <c r="K139" s="44"/>
      <c r="L139" s="44"/>
      <c r="M139" s="44"/>
      <c r="N139" s="44"/>
      <c r="O139" s="44"/>
      <c r="P139" s="44"/>
      <c r="Q139" s="44"/>
      <c r="R139" s="44"/>
      <c r="S139" s="44"/>
      <c r="T139" s="44"/>
      <c r="U139" s="44"/>
      <c r="V139" s="44"/>
      <c r="W139" s="44"/>
      <c r="X139" s="44"/>
      <c r="Y139" s="44"/>
      <c r="Z139" s="44"/>
      <c r="AA139" s="44"/>
      <c r="AB139" s="44"/>
    </row>
    <row r="140">
      <c r="A140" s="51"/>
      <c r="B140" s="43"/>
      <c r="C140" s="74"/>
      <c r="D140" s="75"/>
      <c r="E140" s="76"/>
      <c r="F140" s="76"/>
      <c r="G140" s="76"/>
      <c r="H140" s="76"/>
      <c r="I140" s="76"/>
      <c r="J140" s="43"/>
      <c r="K140" s="44"/>
      <c r="L140" s="44"/>
      <c r="M140" s="44"/>
      <c r="N140" s="44"/>
      <c r="O140" s="44"/>
      <c r="P140" s="44"/>
      <c r="Q140" s="44"/>
      <c r="R140" s="44"/>
      <c r="S140" s="44"/>
      <c r="T140" s="44"/>
      <c r="U140" s="44"/>
      <c r="V140" s="44"/>
      <c r="W140" s="44"/>
      <c r="X140" s="44"/>
      <c r="Y140" s="44"/>
      <c r="Z140" s="44"/>
      <c r="AA140" s="44"/>
      <c r="AB140" s="44"/>
    </row>
    <row r="141">
      <c r="A141" s="51"/>
      <c r="B141" s="43"/>
      <c r="C141" s="74"/>
      <c r="D141" s="75"/>
      <c r="E141" s="76"/>
      <c r="F141" s="76"/>
      <c r="G141" s="76"/>
      <c r="H141" s="76"/>
      <c r="I141" s="76"/>
      <c r="J141" s="43"/>
      <c r="K141" s="44"/>
      <c r="L141" s="44"/>
      <c r="M141" s="44"/>
      <c r="N141" s="44"/>
      <c r="O141" s="44"/>
      <c r="P141" s="44"/>
      <c r="Q141" s="44"/>
      <c r="R141" s="44"/>
      <c r="S141" s="44"/>
      <c r="T141" s="44"/>
      <c r="U141" s="44"/>
      <c r="V141" s="44"/>
      <c r="W141" s="44"/>
      <c r="X141" s="44"/>
      <c r="Y141" s="44"/>
      <c r="Z141" s="44"/>
      <c r="AA141" s="44"/>
      <c r="AB141" s="44"/>
    </row>
    <row r="142">
      <c r="A142" s="51"/>
      <c r="B142" s="43"/>
      <c r="C142" s="74"/>
      <c r="D142" s="75"/>
      <c r="E142" s="76"/>
      <c r="F142" s="76"/>
      <c r="G142" s="76"/>
      <c r="H142" s="76"/>
      <c r="I142" s="76"/>
      <c r="J142" s="43"/>
      <c r="K142" s="44"/>
      <c r="L142" s="44"/>
      <c r="M142" s="44"/>
      <c r="N142" s="44"/>
      <c r="O142" s="44"/>
      <c r="P142" s="44"/>
      <c r="Q142" s="44"/>
      <c r="R142" s="44"/>
      <c r="S142" s="44"/>
      <c r="T142" s="44"/>
      <c r="U142" s="44"/>
      <c r="V142" s="44"/>
      <c r="W142" s="44"/>
      <c r="X142" s="44"/>
      <c r="Y142" s="44"/>
      <c r="Z142" s="44"/>
      <c r="AA142" s="44"/>
      <c r="AB142" s="44"/>
    </row>
    <row r="143">
      <c r="A143" s="51"/>
      <c r="B143" s="43"/>
      <c r="C143" s="74"/>
      <c r="D143" s="75"/>
      <c r="E143" s="76"/>
      <c r="F143" s="76"/>
      <c r="G143" s="76"/>
      <c r="H143" s="76"/>
      <c r="I143" s="76"/>
      <c r="J143" s="43"/>
      <c r="K143" s="44"/>
      <c r="L143" s="44"/>
      <c r="M143" s="44"/>
      <c r="N143" s="44"/>
      <c r="O143" s="44"/>
      <c r="P143" s="44"/>
      <c r="Q143" s="44"/>
      <c r="R143" s="44"/>
      <c r="S143" s="44"/>
      <c r="T143" s="44"/>
      <c r="U143" s="44"/>
      <c r="V143" s="44"/>
      <c r="W143" s="44"/>
      <c r="X143" s="44"/>
      <c r="Y143" s="44"/>
      <c r="Z143" s="44"/>
      <c r="AA143" s="44"/>
      <c r="AB143" s="44"/>
    </row>
    <row r="144">
      <c r="A144" s="51"/>
      <c r="B144" s="43"/>
      <c r="C144" s="74"/>
      <c r="D144" s="75"/>
      <c r="E144" s="76"/>
      <c r="F144" s="76"/>
      <c r="G144" s="76"/>
      <c r="H144" s="76"/>
      <c r="I144" s="76"/>
      <c r="J144" s="43"/>
      <c r="K144" s="44"/>
      <c r="L144" s="44"/>
      <c r="M144" s="44"/>
      <c r="N144" s="44"/>
      <c r="O144" s="44"/>
      <c r="P144" s="44"/>
      <c r="Q144" s="44"/>
      <c r="R144" s="44"/>
      <c r="S144" s="44"/>
      <c r="T144" s="44"/>
      <c r="U144" s="44"/>
      <c r="V144" s="44"/>
      <c r="W144" s="44"/>
      <c r="X144" s="44"/>
      <c r="Y144" s="44"/>
      <c r="Z144" s="44"/>
      <c r="AA144" s="44"/>
      <c r="AB144" s="44"/>
    </row>
    <row r="145">
      <c r="A145" s="51"/>
      <c r="B145" s="43"/>
      <c r="C145" s="74"/>
      <c r="D145" s="75"/>
      <c r="E145" s="76"/>
      <c r="F145" s="76"/>
      <c r="G145" s="76"/>
      <c r="H145" s="76"/>
      <c r="I145" s="76"/>
      <c r="J145" s="43"/>
      <c r="K145" s="44"/>
      <c r="L145" s="44"/>
      <c r="M145" s="44"/>
      <c r="N145" s="44"/>
      <c r="O145" s="44"/>
      <c r="P145" s="44"/>
      <c r="Q145" s="44"/>
      <c r="R145" s="44"/>
      <c r="S145" s="44"/>
      <c r="T145" s="44"/>
      <c r="U145" s="44"/>
      <c r="V145" s="44"/>
      <c r="W145" s="44"/>
      <c r="X145" s="44"/>
      <c r="Y145" s="44"/>
      <c r="Z145" s="44"/>
      <c r="AA145" s="44"/>
      <c r="AB145" s="44"/>
    </row>
    <row r="146">
      <c r="A146" s="51"/>
      <c r="B146" s="43"/>
      <c r="C146" s="74"/>
      <c r="D146" s="75"/>
      <c r="E146" s="76"/>
      <c r="F146" s="76"/>
      <c r="G146" s="76"/>
      <c r="H146" s="76"/>
      <c r="I146" s="76"/>
      <c r="J146" s="43"/>
      <c r="K146" s="44"/>
      <c r="L146" s="44"/>
      <c r="M146" s="44"/>
      <c r="N146" s="44"/>
      <c r="O146" s="44"/>
      <c r="P146" s="44"/>
      <c r="Q146" s="44"/>
      <c r="R146" s="44"/>
      <c r="S146" s="44"/>
      <c r="T146" s="44"/>
      <c r="U146" s="44"/>
      <c r="V146" s="44"/>
      <c r="W146" s="44"/>
      <c r="X146" s="44"/>
      <c r="Y146" s="44"/>
      <c r="Z146" s="44"/>
      <c r="AA146" s="44"/>
      <c r="AB146" s="44"/>
    </row>
    <row r="147">
      <c r="A147" s="51"/>
      <c r="B147" s="43"/>
      <c r="C147" s="74"/>
      <c r="D147" s="75"/>
      <c r="E147" s="76"/>
      <c r="F147" s="76"/>
      <c r="G147" s="76"/>
      <c r="H147" s="76"/>
      <c r="I147" s="76"/>
      <c r="J147" s="43"/>
      <c r="K147" s="44"/>
      <c r="L147" s="44"/>
      <c r="M147" s="44"/>
      <c r="N147" s="44"/>
      <c r="O147" s="44"/>
      <c r="P147" s="44"/>
      <c r="Q147" s="44"/>
      <c r="R147" s="44"/>
      <c r="S147" s="44"/>
      <c r="T147" s="44"/>
      <c r="U147" s="44"/>
      <c r="V147" s="44"/>
      <c r="W147" s="44"/>
      <c r="X147" s="44"/>
      <c r="Y147" s="44"/>
      <c r="Z147" s="44"/>
      <c r="AA147" s="44"/>
      <c r="AB147" s="44"/>
    </row>
    <row r="148">
      <c r="A148" s="51"/>
      <c r="B148" s="43"/>
      <c r="C148" s="74"/>
      <c r="D148" s="75"/>
      <c r="E148" s="76"/>
      <c r="F148" s="76"/>
      <c r="G148" s="76"/>
      <c r="H148" s="76"/>
      <c r="I148" s="76"/>
      <c r="J148" s="43"/>
      <c r="K148" s="44"/>
      <c r="L148" s="44"/>
      <c r="M148" s="44"/>
      <c r="N148" s="44"/>
      <c r="O148" s="44"/>
      <c r="P148" s="44"/>
      <c r="Q148" s="44"/>
      <c r="R148" s="44"/>
      <c r="S148" s="44"/>
      <c r="T148" s="44"/>
      <c r="U148" s="44"/>
      <c r="V148" s="44"/>
      <c r="W148" s="44"/>
      <c r="X148" s="44"/>
      <c r="Y148" s="44"/>
      <c r="Z148" s="44"/>
      <c r="AA148" s="44"/>
      <c r="AB148" s="44"/>
    </row>
    <row r="149">
      <c r="A149" s="51"/>
      <c r="B149" s="43"/>
      <c r="C149" s="74"/>
      <c r="D149" s="75"/>
      <c r="E149" s="76"/>
      <c r="F149" s="76"/>
      <c r="G149" s="76"/>
      <c r="H149" s="76"/>
      <c r="I149" s="76"/>
      <c r="J149" s="43"/>
      <c r="K149" s="44"/>
      <c r="L149" s="44"/>
      <c r="M149" s="44"/>
      <c r="N149" s="44"/>
      <c r="O149" s="44"/>
      <c r="P149" s="44"/>
      <c r="Q149" s="44"/>
      <c r="R149" s="44"/>
      <c r="S149" s="44"/>
      <c r="T149" s="44"/>
      <c r="U149" s="44"/>
      <c r="V149" s="44"/>
      <c r="W149" s="44"/>
      <c r="X149" s="44"/>
      <c r="Y149" s="44"/>
      <c r="Z149" s="44"/>
      <c r="AA149" s="44"/>
      <c r="AB149" s="44"/>
    </row>
    <row r="150">
      <c r="A150" s="51"/>
      <c r="B150" s="43"/>
      <c r="C150" s="74"/>
      <c r="D150" s="75"/>
      <c r="E150" s="76"/>
      <c r="F150" s="76"/>
      <c r="G150" s="76"/>
      <c r="H150" s="76"/>
      <c r="I150" s="76"/>
      <c r="J150" s="43"/>
      <c r="K150" s="44"/>
      <c r="L150" s="44"/>
      <c r="M150" s="44"/>
      <c r="N150" s="44"/>
      <c r="O150" s="44"/>
      <c r="P150" s="44"/>
      <c r="Q150" s="44"/>
      <c r="R150" s="44"/>
      <c r="S150" s="44"/>
      <c r="T150" s="44"/>
      <c r="U150" s="44"/>
      <c r="V150" s="44"/>
      <c r="W150" s="44"/>
      <c r="X150" s="44"/>
      <c r="Y150" s="44"/>
      <c r="Z150" s="44"/>
      <c r="AA150" s="44"/>
      <c r="AB150" s="44"/>
    </row>
    <row r="151">
      <c r="A151" s="51"/>
      <c r="B151" s="43"/>
      <c r="C151" s="74"/>
      <c r="D151" s="75"/>
      <c r="E151" s="76"/>
      <c r="F151" s="76"/>
      <c r="G151" s="76"/>
      <c r="H151" s="76"/>
      <c r="I151" s="76"/>
      <c r="J151" s="43"/>
      <c r="K151" s="44"/>
      <c r="L151" s="44"/>
      <c r="M151" s="44"/>
      <c r="N151" s="44"/>
      <c r="O151" s="44"/>
      <c r="P151" s="44"/>
      <c r="Q151" s="44"/>
      <c r="R151" s="44"/>
      <c r="S151" s="44"/>
      <c r="T151" s="44"/>
      <c r="U151" s="44"/>
      <c r="V151" s="44"/>
      <c r="W151" s="44"/>
      <c r="X151" s="44"/>
      <c r="Y151" s="44"/>
      <c r="Z151" s="44"/>
      <c r="AA151" s="44"/>
      <c r="AB151" s="44"/>
    </row>
    <row r="152">
      <c r="A152" s="51"/>
      <c r="B152" s="43"/>
      <c r="C152" s="74"/>
      <c r="D152" s="75"/>
      <c r="E152" s="76"/>
      <c r="F152" s="76"/>
      <c r="G152" s="76"/>
      <c r="H152" s="76"/>
      <c r="I152" s="76"/>
      <c r="J152" s="43"/>
      <c r="K152" s="44"/>
      <c r="L152" s="44"/>
      <c r="M152" s="44"/>
      <c r="N152" s="44"/>
      <c r="O152" s="44"/>
      <c r="P152" s="44"/>
      <c r="Q152" s="44"/>
      <c r="R152" s="44"/>
      <c r="S152" s="44"/>
      <c r="T152" s="44"/>
      <c r="U152" s="44"/>
      <c r="V152" s="44"/>
      <c r="W152" s="44"/>
      <c r="X152" s="44"/>
      <c r="Y152" s="44"/>
      <c r="Z152" s="44"/>
      <c r="AA152" s="44"/>
      <c r="AB152" s="44"/>
    </row>
    <row r="153">
      <c r="A153" s="51"/>
      <c r="B153" s="43"/>
      <c r="C153" s="74"/>
      <c r="D153" s="75"/>
      <c r="E153" s="76"/>
      <c r="F153" s="76"/>
      <c r="G153" s="76"/>
      <c r="H153" s="76"/>
      <c r="I153" s="76"/>
      <c r="J153" s="43"/>
      <c r="K153" s="44"/>
      <c r="L153" s="44"/>
      <c r="M153" s="44"/>
      <c r="N153" s="44"/>
      <c r="O153" s="44"/>
      <c r="P153" s="44"/>
      <c r="Q153" s="44"/>
      <c r="R153" s="44"/>
      <c r="S153" s="44"/>
      <c r="T153" s="44"/>
      <c r="U153" s="44"/>
      <c r="V153" s="44"/>
      <c r="W153" s="44"/>
      <c r="X153" s="44"/>
      <c r="Y153" s="44"/>
      <c r="Z153" s="44"/>
      <c r="AA153" s="44"/>
      <c r="AB153" s="44"/>
    </row>
    <row r="154">
      <c r="A154" s="51"/>
      <c r="B154" s="43"/>
      <c r="C154" s="74"/>
      <c r="D154" s="75"/>
      <c r="E154" s="76"/>
      <c r="F154" s="76"/>
      <c r="G154" s="76"/>
      <c r="H154" s="76"/>
      <c r="I154" s="76"/>
      <c r="J154" s="43"/>
      <c r="K154" s="44"/>
      <c r="L154" s="44"/>
      <c r="M154" s="44"/>
      <c r="N154" s="44"/>
      <c r="O154" s="44"/>
      <c r="P154" s="44"/>
      <c r="Q154" s="44"/>
      <c r="R154" s="44"/>
      <c r="S154" s="44"/>
      <c r="T154" s="44"/>
      <c r="U154" s="44"/>
      <c r="V154" s="44"/>
      <c r="W154" s="44"/>
      <c r="X154" s="44"/>
      <c r="Y154" s="44"/>
      <c r="Z154" s="44"/>
      <c r="AA154" s="44"/>
      <c r="AB154" s="44"/>
    </row>
    <row r="155">
      <c r="A155" s="51"/>
      <c r="B155" s="43"/>
      <c r="C155" s="74"/>
      <c r="D155" s="75"/>
      <c r="E155" s="76"/>
      <c r="F155" s="76"/>
      <c r="G155" s="76"/>
      <c r="H155" s="76"/>
      <c r="I155" s="76"/>
      <c r="J155" s="43"/>
      <c r="K155" s="44"/>
      <c r="L155" s="44"/>
      <c r="M155" s="44"/>
      <c r="N155" s="44"/>
      <c r="O155" s="44"/>
      <c r="P155" s="44"/>
      <c r="Q155" s="44"/>
      <c r="R155" s="44"/>
      <c r="S155" s="44"/>
      <c r="T155" s="44"/>
      <c r="U155" s="44"/>
      <c r="V155" s="44"/>
      <c r="W155" s="44"/>
      <c r="X155" s="44"/>
      <c r="Y155" s="44"/>
      <c r="Z155" s="44"/>
      <c r="AA155" s="44"/>
      <c r="AB155" s="44"/>
    </row>
    <row r="156">
      <c r="A156" s="51"/>
      <c r="B156" s="43"/>
      <c r="C156" s="74"/>
      <c r="D156" s="75"/>
      <c r="E156" s="76"/>
      <c r="F156" s="76"/>
      <c r="G156" s="76"/>
      <c r="H156" s="76"/>
      <c r="I156" s="76"/>
      <c r="J156" s="43"/>
      <c r="K156" s="44"/>
      <c r="L156" s="44"/>
      <c r="M156" s="44"/>
      <c r="N156" s="44"/>
      <c r="O156" s="44"/>
      <c r="P156" s="44"/>
      <c r="Q156" s="44"/>
      <c r="R156" s="44"/>
      <c r="S156" s="44"/>
      <c r="T156" s="44"/>
      <c r="U156" s="44"/>
      <c r="V156" s="44"/>
      <c r="W156" s="44"/>
      <c r="X156" s="44"/>
      <c r="Y156" s="44"/>
      <c r="Z156" s="44"/>
      <c r="AA156" s="44"/>
      <c r="AB156" s="44"/>
    </row>
    <row r="157">
      <c r="A157" s="51"/>
      <c r="B157" s="43"/>
      <c r="C157" s="74"/>
      <c r="D157" s="75"/>
      <c r="E157" s="76"/>
      <c r="F157" s="76"/>
      <c r="G157" s="76"/>
      <c r="H157" s="76"/>
      <c r="I157" s="76"/>
      <c r="J157" s="43"/>
      <c r="K157" s="44"/>
      <c r="L157" s="44"/>
      <c r="M157" s="44"/>
      <c r="N157" s="44"/>
      <c r="O157" s="44"/>
      <c r="P157" s="44"/>
      <c r="Q157" s="44"/>
      <c r="R157" s="44"/>
      <c r="S157" s="44"/>
      <c r="T157" s="44"/>
      <c r="U157" s="44"/>
      <c r="V157" s="44"/>
      <c r="W157" s="44"/>
      <c r="X157" s="44"/>
      <c r="Y157" s="44"/>
      <c r="Z157" s="44"/>
      <c r="AA157" s="44"/>
      <c r="AB157" s="44"/>
    </row>
    <row r="158">
      <c r="A158" s="51"/>
      <c r="B158" s="43"/>
      <c r="C158" s="74"/>
      <c r="D158" s="75"/>
      <c r="E158" s="76"/>
      <c r="F158" s="76"/>
      <c r="G158" s="76"/>
      <c r="H158" s="76"/>
      <c r="I158" s="76"/>
      <c r="J158" s="43"/>
      <c r="K158" s="44"/>
      <c r="L158" s="44"/>
      <c r="M158" s="44"/>
      <c r="N158" s="44"/>
      <c r="O158" s="44"/>
      <c r="P158" s="44"/>
      <c r="Q158" s="44"/>
      <c r="R158" s="44"/>
      <c r="S158" s="44"/>
      <c r="T158" s="44"/>
      <c r="U158" s="44"/>
      <c r="V158" s="44"/>
      <c r="W158" s="44"/>
      <c r="X158" s="44"/>
      <c r="Y158" s="44"/>
      <c r="Z158" s="44"/>
      <c r="AA158" s="44"/>
      <c r="AB158" s="44"/>
    </row>
    <row r="159">
      <c r="A159" s="51"/>
      <c r="B159" s="43"/>
      <c r="C159" s="74"/>
      <c r="D159" s="75"/>
      <c r="E159" s="76"/>
      <c r="F159" s="76"/>
      <c r="G159" s="76"/>
      <c r="H159" s="76"/>
      <c r="I159" s="76"/>
      <c r="J159" s="43"/>
      <c r="K159" s="44"/>
      <c r="L159" s="44"/>
      <c r="M159" s="44"/>
      <c r="N159" s="44"/>
      <c r="O159" s="44"/>
      <c r="P159" s="44"/>
      <c r="Q159" s="44"/>
      <c r="R159" s="44"/>
      <c r="S159" s="44"/>
      <c r="T159" s="44"/>
      <c r="U159" s="44"/>
      <c r="V159" s="44"/>
      <c r="W159" s="44"/>
      <c r="X159" s="44"/>
      <c r="Y159" s="44"/>
      <c r="Z159" s="44"/>
      <c r="AA159" s="44"/>
      <c r="AB159" s="44"/>
    </row>
    <row r="160">
      <c r="A160" s="51"/>
      <c r="B160" s="43"/>
      <c r="C160" s="74"/>
      <c r="D160" s="75"/>
      <c r="E160" s="76"/>
      <c r="F160" s="76"/>
      <c r="G160" s="76"/>
      <c r="H160" s="76"/>
      <c r="I160" s="76"/>
      <c r="J160" s="43"/>
      <c r="K160" s="44"/>
      <c r="L160" s="44"/>
      <c r="M160" s="44"/>
      <c r="N160" s="44"/>
      <c r="O160" s="44"/>
      <c r="P160" s="44"/>
      <c r="Q160" s="44"/>
      <c r="R160" s="44"/>
      <c r="S160" s="44"/>
      <c r="T160" s="44"/>
      <c r="U160" s="44"/>
      <c r="V160" s="44"/>
      <c r="W160" s="44"/>
      <c r="X160" s="44"/>
      <c r="Y160" s="44"/>
      <c r="Z160" s="44"/>
      <c r="AA160" s="44"/>
      <c r="AB160" s="44"/>
    </row>
    <row r="161">
      <c r="A161" s="51"/>
      <c r="B161" s="43"/>
      <c r="C161" s="74"/>
      <c r="D161" s="75"/>
      <c r="E161" s="76"/>
      <c r="F161" s="76"/>
      <c r="G161" s="76"/>
      <c r="H161" s="76"/>
      <c r="I161" s="76"/>
      <c r="J161" s="43"/>
      <c r="K161" s="44"/>
      <c r="L161" s="44"/>
      <c r="M161" s="44"/>
      <c r="N161" s="44"/>
      <c r="O161" s="44"/>
      <c r="P161" s="44"/>
      <c r="Q161" s="44"/>
      <c r="R161" s="44"/>
      <c r="S161" s="44"/>
      <c r="T161" s="44"/>
      <c r="U161" s="44"/>
      <c r="V161" s="44"/>
      <c r="W161" s="44"/>
      <c r="X161" s="44"/>
      <c r="Y161" s="44"/>
      <c r="Z161" s="44"/>
      <c r="AA161" s="44"/>
      <c r="AB161" s="44"/>
    </row>
    <row r="162">
      <c r="A162" s="51"/>
      <c r="B162" s="43"/>
      <c r="C162" s="74"/>
      <c r="D162" s="75"/>
      <c r="E162" s="76"/>
      <c r="F162" s="76"/>
      <c r="G162" s="76"/>
      <c r="H162" s="76"/>
      <c r="I162" s="76"/>
      <c r="J162" s="43"/>
      <c r="K162" s="44"/>
      <c r="L162" s="44"/>
      <c r="M162" s="44"/>
      <c r="N162" s="44"/>
      <c r="O162" s="44"/>
      <c r="P162" s="44"/>
      <c r="Q162" s="44"/>
      <c r="R162" s="44"/>
      <c r="S162" s="44"/>
      <c r="T162" s="44"/>
      <c r="U162" s="44"/>
      <c r="V162" s="44"/>
      <c r="W162" s="44"/>
      <c r="X162" s="44"/>
      <c r="Y162" s="44"/>
      <c r="Z162" s="44"/>
      <c r="AA162" s="44"/>
      <c r="AB162" s="44"/>
    </row>
    <row r="163">
      <c r="A163" s="51"/>
      <c r="B163" s="43"/>
      <c r="C163" s="74"/>
      <c r="D163" s="75"/>
      <c r="E163" s="76"/>
      <c r="F163" s="76"/>
      <c r="G163" s="76"/>
      <c r="H163" s="76"/>
      <c r="I163" s="76"/>
      <c r="J163" s="43"/>
      <c r="K163" s="44"/>
      <c r="L163" s="44"/>
      <c r="M163" s="44"/>
      <c r="N163" s="44"/>
      <c r="O163" s="44"/>
      <c r="P163" s="44"/>
      <c r="Q163" s="44"/>
      <c r="R163" s="44"/>
      <c r="S163" s="44"/>
      <c r="T163" s="44"/>
      <c r="U163" s="44"/>
      <c r="V163" s="44"/>
      <c r="W163" s="44"/>
      <c r="X163" s="44"/>
      <c r="Y163" s="44"/>
      <c r="Z163" s="44"/>
      <c r="AA163" s="44"/>
      <c r="AB163" s="44"/>
    </row>
    <row r="164">
      <c r="A164" s="51"/>
      <c r="B164" s="43"/>
      <c r="C164" s="74"/>
      <c r="D164" s="75"/>
      <c r="E164" s="76"/>
      <c r="F164" s="76"/>
      <c r="G164" s="76"/>
      <c r="H164" s="76"/>
      <c r="I164" s="76"/>
      <c r="J164" s="43"/>
      <c r="K164" s="44"/>
      <c r="L164" s="44"/>
      <c r="M164" s="44"/>
      <c r="N164" s="44"/>
      <c r="O164" s="44"/>
      <c r="P164" s="44"/>
      <c r="Q164" s="44"/>
      <c r="R164" s="44"/>
      <c r="S164" s="44"/>
      <c r="T164" s="44"/>
      <c r="U164" s="44"/>
      <c r="V164" s="44"/>
      <c r="W164" s="44"/>
      <c r="X164" s="44"/>
      <c r="Y164" s="44"/>
      <c r="Z164" s="44"/>
      <c r="AA164" s="44"/>
      <c r="AB164" s="44"/>
    </row>
    <row r="165">
      <c r="A165" s="51"/>
      <c r="B165" s="43"/>
      <c r="C165" s="74"/>
      <c r="D165" s="75"/>
      <c r="E165" s="76"/>
      <c r="F165" s="76"/>
      <c r="G165" s="76"/>
      <c r="H165" s="76"/>
      <c r="I165" s="76"/>
      <c r="J165" s="43"/>
      <c r="K165" s="44"/>
      <c r="L165" s="44"/>
      <c r="M165" s="44"/>
      <c r="N165" s="44"/>
      <c r="O165" s="44"/>
      <c r="P165" s="44"/>
      <c r="Q165" s="44"/>
      <c r="R165" s="44"/>
      <c r="S165" s="44"/>
      <c r="T165" s="44"/>
      <c r="U165" s="44"/>
      <c r="V165" s="44"/>
      <c r="W165" s="44"/>
      <c r="X165" s="44"/>
      <c r="Y165" s="44"/>
      <c r="Z165" s="44"/>
      <c r="AA165" s="44"/>
      <c r="AB165" s="44"/>
    </row>
    <row r="166">
      <c r="A166" s="51"/>
      <c r="B166" s="43"/>
      <c r="C166" s="74"/>
      <c r="D166" s="75"/>
      <c r="E166" s="76"/>
      <c r="F166" s="76"/>
      <c r="G166" s="76"/>
      <c r="H166" s="76"/>
      <c r="I166" s="76"/>
      <c r="J166" s="43"/>
      <c r="K166" s="44"/>
      <c r="L166" s="44"/>
      <c r="M166" s="44"/>
      <c r="N166" s="44"/>
      <c r="O166" s="44"/>
      <c r="P166" s="44"/>
      <c r="Q166" s="44"/>
      <c r="R166" s="44"/>
      <c r="S166" s="44"/>
      <c r="T166" s="44"/>
      <c r="U166" s="44"/>
      <c r="V166" s="44"/>
      <c r="W166" s="44"/>
      <c r="X166" s="44"/>
      <c r="Y166" s="44"/>
      <c r="Z166" s="44"/>
      <c r="AA166" s="44"/>
      <c r="AB166" s="44"/>
    </row>
    <row r="167">
      <c r="A167" s="51"/>
      <c r="B167" s="43"/>
      <c r="C167" s="74"/>
      <c r="D167" s="75"/>
      <c r="E167" s="76"/>
      <c r="F167" s="76"/>
      <c r="G167" s="76"/>
      <c r="H167" s="76"/>
      <c r="I167" s="76"/>
      <c r="J167" s="43"/>
      <c r="K167" s="44"/>
      <c r="L167" s="44"/>
      <c r="M167" s="44"/>
      <c r="N167" s="44"/>
      <c r="O167" s="44"/>
      <c r="P167" s="44"/>
      <c r="Q167" s="44"/>
      <c r="R167" s="44"/>
      <c r="S167" s="44"/>
      <c r="T167" s="44"/>
      <c r="U167" s="44"/>
      <c r="V167" s="44"/>
      <c r="W167" s="44"/>
      <c r="X167" s="44"/>
      <c r="Y167" s="44"/>
      <c r="Z167" s="44"/>
      <c r="AA167" s="44"/>
      <c r="AB167" s="44"/>
    </row>
    <row r="168">
      <c r="A168" s="51"/>
      <c r="B168" s="43"/>
      <c r="C168" s="74"/>
      <c r="D168" s="75"/>
      <c r="E168" s="76"/>
      <c r="F168" s="76"/>
      <c r="G168" s="76"/>
      <c r="H168" s="76"/>
      <c r="I168" s="76"/>
      <c r="J168" s="43"/>
      <c r="K168" s="44"/>
      <c r="L168" s="44"/>
      <c r="M168" s="44"/>
      <c r="N168" s="44"/>
      <c r="O168" s="44"/>
      <c r="P168" s="44"/>
      <c r="Q168" s="44"/>
      <c r="R168" s="44"/>
      <c r="S168" s="44"/>
      <c r="T168" s="44"/>
      <c r="U168" s="44"/>
      <c r="V168" s="44"/>
      <c r="W168" s="44"/>
      <c r="X168" s="44"/>
      <c r="Y168" s="44"/>
      <c r="Z168" s="44"/>
      <c r="AA168" s="44"/>
      <c r="AB168" s="44"/>
    </row>
    <row r="169">
      <c r="A169" s="51"/>
      <c r="B169" s="43"/>
      <c r="C169" s="74"/>
      <c r="D169" s="75"/>
      <c r="E169" s="76"/>
      <c r="F169" s="76"/>
      <c r="G169" s="76"/>
      <c r="H169" s="76"/>
      <c r="I169" s="76"/>
      <c r="J169" s="43"/>
      <c r="K169" s="44"/>
      <c r="L169" s="44"/>
      <c r="M169" s="44"/>
      <c r="N169" s="44"/>
      <c r="O169" s="44"/>
      <c r="P169" s="44"/>
      <c r="Q169" s="44"/>
      <c r="R169" s="44"/>
      <c r="S169" s="44"/>
      <c r="T169" s="44"/>
      <c r="U169" s="44"/>
      <c r="V169" s="44"/>
      <c r="W169" s="44"/>
      <c r="X169" s="44"/>
      <c r="Y169" s="44"/>
      <c r="Z169" s="44"/>
      <c r="AA169" s="44"/>
      <c r="AB169" s="44"/>
    </row>
    <row r="170">
      <c r="A170" s="51"/>
      <c r="B170" s="43"/>
      <c r="C170" s="74"/>
      <c r="D170" s="75"/>
      <c r="E170" s="76"/>
      <c r="F170" s="76"/>
      <c r="G170" s="76"/>
      <c r="H170" s="76"/>
      <c r="I170" s="76"/>
      <c r="J170" s="43"/>
      <c r="K170" s="44"/>
      <c r="L170" s="44"/>
      <c r="M170" s="44"/>
      <c r="N170" s="44"/>
      <c r="O170" s="44"/>
      <c r="P170" s="44"/>
      <c r="Q170" s="44"/>
      <c r="R170" s="44"/>
      <c r="S170" s="44"/>
      <c r="T170" s="44"/>
      <c r="U170" s="44"/>
      <c r="V170" s="44"/>
      <c r="W170" s="44"/>
      <c r="X170" s="44"/>
      <c r="Y170" s="44"/>
      <c r="Z170" s="44"/>
      <c r="AA170" s="44"/>
      <c r="AB170" s="44"/>
    </row>
    <row r="171">
      <c r="A171" s="51"/>
      <c r="B171" s="43"/>
      <c r="C171" s="74"/>
      <c r="D171" s="75"/>
      <c r="E171" s="76"/>
      <c r="F171" s="76"/>
      <c r="G171" s="76"/>
      <c r="H171" s="76"/>
      <c r="I171" s="76"/>
      <c r="J171" s="43"/>
      <c r="K171" s="44"/>
      <c r="L171" s="44"/>
      <c r="M171" s="44"/>
      <c r="N171" s="44"/>
      <c r="O171" s="44"/>
      <c r="P171" s="44"/>
      <c r="Q171" s="44"/>
      <c r="R171" s="44"/>
      <c r="S171" s="44"/>
      <c r="T171" s="44"/>
      <c r="U171" s="44"/>
      <c r="V171" s="44"/>
      <c r="W171" s="44"/>
      <c r="X171" s="44"/>
      <c r="Y171" s="44"/>
      <c r="Z171" s="44"/>
      <c r="AA171" s="44"/>
      <c r="AB171" s="44"/>
    </row>
    <row r="172">
      <c r="A172" s="51"/>
      <c r="B172" s="43"/>
      <c r="C172" s="74"/>
      <c r="D172" s="75"/>
      <c r="E172" s="76"/>
      <c r="F172" s="76"/>
      <c r="G172" s="76"/>
      <c r="H172" s="76"/>
      <c r="I172" s="76"/>
      <c r="J172" s="43"/>
      <c r="K172" s="44"/>
      <c r="L172" s="44"/>
      <c r="M172" s="44"/>
      <c r="N172" s="44"/>
      <c r="O172" s="44"/>
      <c r="P172" s="44"/>
      <c r="Q172" s="44"/>
      <c r="R172" s="44"/>
      <c r="S172" s="44"/>
      <c r="T172" s="44"/>
      <c r="U172" s="44"/>
      <c r="V172" s="44"/>
      <c r="W172" s="44"/>
      <c r="X172" s="44"/>
      <c r="Y172" s="44"/>
      <c r="Z172" s="44"/>
      <c r="AA172" s="44"/>
      <c r="AB172" s="44"/>
    </row>
    <row r="173">
      <c r="A173" s="51"/>
      <c r="B173" s="43"/>
      <c r="C173" s="74"/>
      <c r="D173" s="75"/>
      <c r="E173" s="76"/>
      <c r="F173" s="76"/>
      <c r="G173" s="76"/>
      <c r="H173" s="76"/>
      <c r="I173" s="76"/>
      <c r="J173" s="43"/>
      <c r="K173" s="44"/>
      <c r="L173" s="44"/>
      <c r="M173" s="44"/>
      <c r="N173" s="44"/>
      <c r="O173" s="44"/>
      <c r="P173" s="44"/>
      <c r="Q173" s="44"/>
      <c r="R173" s="44"/>
      <c r="S173" s="44"/>
      <c r="T173" s="44"/>
      <c r="U173" s="44"/>
      <c r="V173" s="44"/>
      <c r="W173" s="44"/>
      <c r="X173" s="44"/>
      <c r="Y173" s="44"/>
      <c r="Z173" s="44"/>
      <c r="AA173" s="44"/>
      <c r="AB173" s="44"/>
    </row>
    <row r="174">
      <c r="A174" s="51"/>
      <c r="B174" s="43"/>
      <c r="C174" s="74"/>
      <c r="D174" s="75"/>
      <c r="E174" s="76"/>
      <c r="F174" s="76"/>
      <c r="G174" s="76"/>
      <c r="H174" s="76"/>
      <c r="I174" s="76"/>
      <c r="J174" s="43"/>
      <c r="K174" s="44"/>
      <c r="L174" s="44"/>
      <c r="M174" s="44"/>
      <c r="N174" s="44"/>
      <c r="O174" s="44"/>
      <c r="P174" s="44"/>
      <c r="Q174" s="44"/>
      <c r="R174" s="44"/>
      <c r="S174" s="44"/>
      <c r="T174" s="44"/>
      <c r="U174" s="44"/>
      <c r="V174" s="44"/>
      <c r="W174" s="44"/>
      <c r="X174" s="44"/>
      <c r="Y174" s="44"/>
      <c r="Z174" s="44"/>
      <c r="AA174" s="44"/>
      <c r="AB174" s="44"/>
    </row>
    <row r="175">
      <c r="A175" s="51"/>
      <c r="B175" s="43"/>
      <c r="C175" s="74"/>
      <c r="D175" s="75"/>
      <c r="E175" s="76"/>
      <c r="F175" s="76"/>
      <c r="G175" s="76"/>
      <c r="H175" s="76"/>
      <c r="I175" s="76"/>
      <c r="J175" s="43"/>
      <c r="K175" s="44"/>
      <c r="L175" s="44"/>
      <c r="M175" s="44"/>
      <c r="N175" s="44"/>
      <c r="O175" s="44"/>
      <c r="P175" s="44"/>
      <c r="Q175" s="44"/>
      <c r="R175" s="44"/>
      <c r="S175" s="44"/>
      <c r="T175" s="44"/>
      <c r="U175" s="44"/>
      <c r="V175" s="44"/>
      <c r="W175" s="44"/>
      <c r="X175" s="44"/>
      <c r="Y175" s="44"/>
      <c r="Z175" s="44"/>
      <c r="AA175" s="44"/>
      <c r="AB175" s="44"/>
    </row>
    <row r="176">
      <c r="A176" s="51"/>
      <c r="B176" s="43"/>
      <c r="C176" s="74"/>
      <c r="D176" s="75"/>
      <c r="E176" s="76"/>
      <c r="F176" s="76"/>
      <c r="G176" s="76"/>
      <c r="H176" s="76"/>
      <c r="I176" s="76"/>
      <c r="J176" s="43"/>
      <c r="K176" s="44"/>
      <c r="L176" s="44"/>
      <c r="M176" s="44"/>
      <c r="N176" s="44"/>
      <c r="O176" s="44"/>
      <c r="P176" s="44"/>
      <c r="Q176" s="44"/>
      <c r="R176" s="44"/>
      <c r="S176" s="44"/>
      <c r="T176" s="44"/>
      <c r="U176" s="44"/>
      <c r="V176" s="44"/>
      <c r="W176" s="44"/>
      <c r="X176" s="44"/>
      <c r="Y176" s="44"/>
      <c r="Z176" s="44"/>
      <c r="AA176" s="44"/>
      <c r="AB176" s="44"/>
    </row>
    <row r="177">
      <c r="A177" s="51"/>
      <c r="B177" s="43"/>
      <c r="C177" s="74"/>
      <c r="D177" s="75"/>
      <c r="E177" s="76"/>
      <c r="F177" s="76"/>
      <c r="G177" s="76"/>
      <c r="H177" s="76"/>
      <c r="I177" s="76"/>
      <c r="J177" s="43"/>
      <c r="K177" s="44"/>
      <c r="L177" s="44"/>
      <c r="M177" s="44"/>
      <c r="N177" s="44"/>
      <c r="O177" s="44"/>
      <c r="P177" s="44"/>
      <c r="Q177" s="44"/>
      <c r="R177" s="44"/>
      <c r="S177" s="44"/>
      <c r="T177" s="44"/>
      <c r="U177" s="44"/>
      <c r="V177" s="44"/>
      <c r="W177" s="44"/>
      <c r="X177" s="44"/>
      <c r="Y177" s="44"/>
      <c r="Z177" s="44"/>
      <c r="AA177" s="44"/>
      <c r="AB177" s="44"/>
    </row>
    <row r="178">
      <c r="A178" s="51"/>
      <c r="B178" s="43"/>
      <c r="C178" s="74"/>
      <c r="D178" s="75"/>
      <c r="E178" s="76"/>
      <c r="F178" s="76"/>
      <c r="G178" s="76"/>
      <c r="H178" s="76"/>
      <c r="I178" s="76"/>
      <c r="J178" s="43"/>
      <c r="K178" s="44"/>
      <c r="L178" s="44"/>
      <c r="M178" s="44"/>
      <c r="N178" s="44"/>
      <c r="O178" s="44"/>
      <c r="P178" s="44"/>
      <c r="Q178" s="44"/>
      <c r="R178" s="44"/>
      <c r="S178" s="44"/>
      <c r="T178" s="44"/>
      <c r="U178" s="44"/>
      <c r="V178" s="44"/>
      <c r="W178" s="44"/>
      <c r="X178" s="44"/>
      <c r="Y178" s="44"/>
      <c r="Z178" s="44"/>
      <c r="AA178" s="44"/>
      <c r="AB178" s="44"/>
    </row>
    <row r="179">
      <c r="A179" s="51"/>
      <c r="B179" s="43"/>
      <c r="C179" s="74"/>
      <c r="D179" s="75"/>
      <c r="E179" s="76"/>
      <c r="F179" s="76"/>
      <c r="G179" s="76"/>
      <c r="H179" s="76"/>
      <c r="I179" s="76"/>
      <c r="J179" s="43"/>
      <c r="K179" s="44"/>
      <c r="L179" s="44"/>
      <c r="M179" s="44"/>
      <c r="N179" s="44"/>
      <c r="O179" s="44"/>
      <c r="P179" s="44"/>
      <c r="Q179" s="44"/>
      <c r="R179" s="44"/>
      <c r="S179" s="44"/>
      <c r="T179" s="44"/>
      <c r="U179" s="44"/>
      <c r="V179" s="44"/>
      <c r="W179" s="44"/>
      <c r="X179" s="44"/>
      <c r="Y179" s="44"/>
      <c r="Z179" s="44"/>
      <c r="AA179" s="44"/>
      <c r="AB179" s="44"/>
    </row>
    <row r="180">
      <c r="A180" s="51"/>
      <c r="B180" s="43"/>
      <c r="C180" s="74"/>
      <c r="D180" s="75"/>
      <c r="E180" s="76"/>
      <c r="F180" s="76"/>
      <c r="G180" s="76"/>
      <c r="H180" s="76"/>
      <c r="I180" s="76"/>
      <c r="J180" s="43"/>
      <c r="K180" s="44"/>
      <c r="L180" s="44"/>
      <c r="M180" s="44"/>
      <c r="N180" s="44"/>
      <c r="O180" s="44"/>
      <c r="P180" s="44"/>
      <c r="Q180" s="44"/>
      <c r="R180" s="44"/>
      <c r="S180" s="44"/>
      <c r="T180" s="44"/>
      <c r="U180" s="44"/>
      <c r="V180" s="44"/>
      <c r="W180" s="44"/>
      <c r="X180" s="44"/>
      <c r="Y180" s="44"/>
      <c r="Z180" s="44"/>
      <c r="AA180" s="44"/>
      <c r="AB180" s="44"/>
    </row>
    <row r="181">
      <c r="A181" s="51"/>
      <c r="B181" s="43"/>
      <c r="C181" s="74"/>
      <c r="D181" s="75"/>
      <c r="E181" s="76"/>
      <c r="F181" s="76"/>
      <c r="G181" s="76"/>
      <c r="H181" s="76"/>
      <c r="I181" s="76"/>
      <c r="J181" s="43"/>
      <c r="K181" s="44"/>
      <c r="L181" s="44"/>
      <c r="M181" s="44"/>
      <c r="N181" s="44"/>
      <c r="O181" s="44"/>
      <c r="P181" s="44"/>
      <c r="Q181" s="44"/>
      <c r="R181" s="44"/>
      <c r="S181" s="44"/>
      <c r="T181" s="44"/>
      <c r="U181" s="44"/>
      <c r="V181" s="44"/>
      <c r="W181" s="44"/>
      <c r="X181" s="44"/>
      <c r="Y181" s="44"/>
      <c r="Z181" s="44"/>
      <c r="AA181" s="44"/>
      <c r="AB181" s="44"/>
    </row>
    <row r="182">
      <c r="A182" s="51"/>
      <c r="B182" s="43"/>
      <c r="C182" s="74"/>
      <c r="D182" s="75"/>
      <c r="E182" s="76"/>
      <c r="F182" s="76"/>
      <c r="G182" s="76"/>
      <c r="H182" s="76"/>
      <c r="I182" s="76"/>
      <c r="J182" s="43"/>
      <c r="K182" s="44"/>
      <c r="L182" s="44"/>
      <c r="M182" s="44"/>
      <c r="N182" s="44"/>
      <c r="O182" s="44"/>
      <c r="P182" s="44"/>
      <c r="Q182" s="44"/>
      <c r="R182" s="44"/>
      <c r="S182" s="44"/>
      <c r="T182" s="44"/>
      <c r="U182" s="44"/>
      <c r="V182" s="44"/>
      <c r="W182" s="44"/>
      <c r="X182" s="44"/>
      <c r="Y182" s="44"/>
      <c r="Z182" s="44"/>
      <c r="AA182" s="44"/>
      <c r="AB182" s="44"/>
    </row>
    <row r="183">
      <c r="A183" s="51"/>
      <c r="B183" s="43"/>
      <c r="C183" s="74"/>
      <c r="D183" s="75"/>
      <c r="E183" s="76"/>
      <c r="F183" s="76"/>
      <c r="G183" s="76"/>
      <c r="H183" s="76"/>
      <c r="I183" s="76"/>
      <c r="J183" s="43"/>
      <c r="K183" s="44"/>
      <c r="L183" s="44"/>
      <c r="M183" s="44"/>
      <c r="N183" s="44"/>
      <c r="O183" s="44"/>
      <c r="P183" s="44"/>
      <c r="Q183" s="44"/>
      <c r="R183" s="44"/>
      <c r="S183" s="44"/>
      <c r="T183" s="44"/>
      <c r="U183" s="44"/>
      <c r="V183" s="44"/>
      <c r="W183" s="44"/>
      <c r="X183" s="44"/>
      <c r="Y183" s="44"/>
      <c r="Z183" s="44"/>
      <c r="AA183" s="44"/>
      <c r="AB183" s="44"/>
    </row>
    <row r="184">
      <c r="A184" s="51"/>
      <c r="B184" s="43"/>
      <c r="C184" s="74"/>
      <c r="D184" s="75"/>
      <c r="E184" s="76"/>
      <c r="F184" s="76"/>
      <c r="G184" s="76"/>
      <c r="H184" s="76"/>
      <c r="I184" s="76"/>
      <c r="J184" s="43"/>
      <c r="K184" s="44"/>
      <c r="L184" s="44"/>
      <c r="M184" s="44"/>
      <c r="N184" s="44"/>
      <c r="O184" s="44"/>
      <c r="P184" s="44"/>
      <c r="Q184" s="44"/>
      <c r="R184" s="44"/>
      <c r="S184" s="44"/>
      <c r="T184" s="44"/>
      <c r="U184" s="44"/>
      <c r="V184" s="44"/>
      <c r="W184" s="44"/>
      <c r="X184" s="44"/>
      <c r="Y184" s="44"/>
      <c r="Z184" s="44"/>
      <c r="AA184" s="44"/>
      <c r="AB184" s="44"/>
    </row>
    <row r="185">
      <c r="A185" s="51"/>
      <c r="B185" s="43"/>
      <c r="C185" s="74"/>
      <c r="D185" s="75"/>
      <c r="E185" s="76"/>
      <c r="F185" s="76"/>
      <c r="G185" s="76"/>
      <c r="H185" s="76"/>
      <c r="I185" s="76"/>
      <c r="J185" s="43"/>
      <c r="K185" s="44"/>
      <c r="L185" s="44"/>
      <c r="M185" s="44"/>
      <c r="N185" s="44"/>
      <c r="O185" s="44"/>
      <c r="P185" s="44"/>
      <c r="Q185" s="44"/>
      <c r="R185" s="44"/>
      <c r="S185" s="44"/>
      <c r="T185" s="44"/>
      <c r="U185" s="44"/>
      <c r="V185" s="44"/>
      <c r="W185" s="44"/>
      <c r="X185" s="44"/>
      <c r="Y185" s="44"/>
      <c r="Z185" s="44"/>
      <c r="AA185" s="44"/>
      <c r="AB185" s="44"/>
    </row>
    <row r="186">
      <c r="A186" s="51"/>
      <c r="B186" s="43"/>
      <c r="C186" s="74"/>
      <c r="D186" s="75"/>
      <c r="E186" s="76"/>
      <c r="F186" s="76"/>
      <c r="G186" s="76"/>
      <c r="H186" s="76"/>
      <c r="I186" s="76"/>
      <c r="J186" s="43"/>
      <c r="K186" s="44"/>
      <c r="L186" s="44"/>
      <c r="M186" s="44"/>
      <c r="N186" s="44"/>
      <c r="O186" s="44"/>
      <c r="P186" s="44"/>
      <c r="Q186" s="44"/>
      <c r="R186" s="44"/>
      <c r="S186" s="44"/>
      <c r="T186" s="44"/>
      <c r="U186" s="44"/>
      <c r="V186" s="44"/>
      <c r="W186" s="44"/>
      <c r="X186" s="44"/>
      <c r="Y186" s="44"/>
      <c r="Z186" s="44"/>
      <c r="AA186" s="44"/>
      <c r="AB186" s="44"/>
    </row>
    <row r="187">
      <c r="A187" s="51"/>
      <c r="B187" s="43"/>
      <c r="C187" s="74"/>
      <c r="D187" s="75"/>
      <c r="E187" s="76"/>
      <c r="F187" s="76"/>
      <c r="G187" s="76"/>
      <c r="H187" s="76"/>
      <c r="I187" s="76"/>
      <c r="J187" s="43"/>
      <c r="K187" s="44"/>
      <c r="L187" s="44"/>
      <c r="M187" s="44"/>
      <c r="N187" s="44"/>
      <c r="O187" s="44"/>
      <c r="P187" s="44"/>
      <c r="Q187" s="44"/>
      <c r="R187" s="44"/>
      <c r="S187" s="44"/>
      <c r="T187" s="44"/>
      <c r="U187" s="44"/>
      <c r="V187" s="44"/>
      <c r="W187" s="44"/>
      <c r="X187" s="44"/>
      <c r="Y187" s="44"/>
      <c r="Z187" s="44"/>
      <c r="AA187" s="44"/>
      <c r="AB187" s="44"/>
    </row>
    <row r="188">
      <c r="A188" s="51"/>
      <c r="B188" s="43"/>
      <c r="C188" s="74"/>
      <c r="D188" s="75"/>
      <c r="E188" s="76"/>
      <c r="F188" s="76"/>
      <c r="G188" s="76"/>
      <c r="H188" s="76"/>
      <c r="I188" s="76"/>
      <c r="J188" s="43"/>
      <c r="K188" s="44"/>
      <c r="L188" s="44"/>
      <c r="M188" s="44"/>
      <c r="N188" s="44"/>
      <c r="O188" s="44"/>
      <c r="P188" s="44"/>
      <c r="Q188" s="44"/>
      <c r="R188" s="44"/>
      <c r="S188" s="44"/>
      <c r="T188" s="44"/>
      <c r="U188" s="44"/>
      <c r="V188" s="44"/>
      <c r="W188" s="44"/>
      <c r="X188" s="44"/>
      <c r="Y188" s="44"/>
      <c r="Z188" s="44"/>
      <c r="AA188" s="44"/>
      <c r="AB188" s="44"/>
    </row>
    <row r="189">
      <c r="A189" s="51"/>
      <c r="B189" s="43"/>
      <c r="C189" s="74"/>
      <c r="D189" s="75"/>
      <c r="E189" s="76"/>
      <c r="F189" s="76"/>
      <c r="G189" s="76"/>
      <c r="H189" s="76"/>
      <c r="I189" s="76"/>
      <c r="J189" s="43"/>
      <c r="K189" s="44"/>
      <c r="L189" s="44"/>
      <c r="M189" s="44"/>
      <c r="N189" s="44"/>
      <c r="O189" s="44"/>
      <c r="P189" s="44"/>
      <c r="Q189" s="44"/>
      <c r="R189" s="44"/>
      <c r="S189" s="44"/>
      <c r="T189" s="44"/>
      <c r="U189" s="44"/>
      <c r="V189" s="44"/>
      <c r="W189" s="44"/>
      <c r="X189" s="44"/>
      <c r="Y189" s="44"/>
      <c r="Z189" s="44"/>
      <c r="AA189" s="44"/>
      <c r="AB189" s="44"/>
    </row>
    <row r="190">
      <c r="A190" s="51"/>
      <c r="B190" s="43"/>
      <c r="C190" s="74"/>
      <c r="D190" s="75"/>
      <c r="E190" s="76"/>
      <c r="F190" s="76"/>
      <c r="G190" s="76"/>
      <c r="H190" s="76"/>
      <c r="I190" s="76"/>
      <c r="J190" s="43"/>
      <c r="K190" s="44"/>
      <c r="L190" s="44"/>
      <c r="M190" s="44"/>
      <c r="N190" s="44"/>
      <c r="O190" s="44"/>
      <c r="P190" s="44"/>
      <c r="Q190" s="44"/>
      <c r="R190" s="44"/>
      <c r="S190" s="44"/>
      <c r="T190" s="44"/>
      <c r="U190" s="44"/>
      <c r="V190" s="44"/>
      <c r="W190" s="44"/>
      <c r="X190" s="44"/>
      <c r="Y190" s="44"/>
      <c r="Z190" s="44"/>
      <c r="AA190" s="44"/>
      <c r="AB190" s="44"/>
    </row>
    <row r="191">
      <c r="A191" s="51"/>
      <c r="B191" s="43"/>
      <c r="C191" s="74"/>
      <c r="D191" s="75"/>
      <c r="E191" s="76"/>
      <c r="F191" s="76"/>
      <c r="G191" s="76"/>
      <c r="H191" s="76"/>
      <c r="I191" s="76"/>
      <c r="J191" s="43"/>
      <c r="K191" s="44"/>
      <c r="L191" s="44"/>
      <c r="M191" s="44"/>
      <c r="N191" s="44"/>
      <c r="O191" s="44"/>
      <c r="P191" s="44"/>
      <c r="Q191" s="44"/>
      <c r="R191" s="44"/>
      <c r="S191" s="44"/>
      <c r="T191" s="44"/>
      <c r="U191" s="44"/>
      <c r="V191" s="44"/>
      <c r="W191" s="44"/>
      <c r="X191" s="44"/>
      <c r="Y191" s="44"/>
      <c r="Z191" s="44"/>
      <c r="AA191" s="44"/>
      <c r="AB191" s="44"/>
    </row>
    <row r="192">
      <c r="A192" s="51"/>
      <c r="B192" s="43"/>
      <c r="C192" s="74"/>
      <c r="D192" s="75"/>
      <c r="E192" s="76"/>
      <c r="F192" s="76"/>
      <c r="G192" s="76"/>
      <c r="H192" s="76"/>
      <c r="I192" s="76"/>
      <c r="J192" s="43"/>
      <c r="K192" s="44"/>
      <c r="L192" s="44"/>
      <c r="M192" s="44"/>
      <c r="N192" s="44"/>
      <c r="O192" s="44"/>
      <c r="P192" s="44"/>
      <c r="Q192" s="44"/>
      <c r="R192" s="44"/>
      <c r="S192" s="44"/>
      <c r="T192" s="44"/>
      <c r="U192" s="44"/>
      <c r="V192" s="44"/>
      <c r="W192" s="44"/>
      <c r="X192" s="44"/>
      <c r="Y192" s="44"/>
      <c r="Z192" s="44"/>
      <c r="AA192" s="44"/>
      <c r="AB192" s="44"/>
    </row>
    <row r="193">
      <c r="A193" s="51"/>
      <c r="B193" s="43"/>
      <c r="C193" s="74"/>
      <c r="D193" s="75"/>
      <c r="E193" s="76"/>
      <c r="F193" s="76"/>
      <c r="G193" s="76"/>
      <c r="H193" s="76"/>
      <c r="I193" s="76"/>
      <c r="J193" s="43"/>
      <c r="K193" s="44"/>
      <c r="L193" s="44"/>
      <c r="M193" s="44"/>
      <c r="N193" s="44"/>
      <c r="O193" s="44"/>
      <c r="P193" s="44"/>
      <c r="Q193" s="44"/>
      <c r="R193" s="44"/>
      <c r="S193" s="44"/>
      <c r="T193" s="44"/>
      <c r="U193" s="44"/>
      <c r="V193" s="44"/>
      <c r="W193" s="44"/>
      <c r="X193" s="44"/>
      <c r="Y193" s="44"/>
      <c r="Z193" s="44"/>
      <c r="AA193" s="44"/>
      <c r="AB193" s="44"/>
    </row>
    <row r="194">
      <c r="A194" s="51"/>
      <c r="B194" s="43"/>
      <c r="C194" s="74"/>
      <c r="D194" s="75"/>
      <c r="E194" s="76"/>
      <c r="F194" s="76"/>
      <c r="G194" s="76"/>
      <c r="H194" s="76"/>
      <c r="I194" s="76"/>
      <c r="J194" s="43"/>
      <c r="K194" s="44"/>
      <c r="L194" s="44"/>
      <c r="M194" s="44"/>
      <c r="N194" s="44"/>
      <c r="O194" s="44"/>
      <c r="P194" s="44"/>
      <c r="Q194" s="44"/>
      <c r="R194" s="44"/>
      <c r="S194" s="44"/>
      <c r="T194" s="44"/>
      <c r="U194" s="44"/>
      <c r="V194" s="44"/>
      <c r="W194" s="44"/>
      <c r="X194" s="44"/>
      <c r="Y194" s="44"/>
      <c r="Z194" s="44"/>
      <c r="AA194" s="44"/>
      <c r="AB194" s="44"/>
    </row>
    <row r="195">
      <c r="A195" s="51"/>
      <c r="B195" s="43"/>
      <c r="C195" s="74"/>
      <c r="D195" s="75"/>
      <c r="E195" s="76"/>
      <c r="F195" s="76"/>
      <c r="G195" s="76"/>
      <c r="H195" s="76"/>
      <c r="I195" s="76"/>
      <c r="J195" s="43"/>
      <c r="K195" s="44"/>
      <c r="L195" s="44"/>
      <c r="M195" s="44"/>
      <c r="N195" s="44"/>
      <c r="O195" s="44"/>
      <c r="P195" s="44"/>
      <c r="Q195" s="44"/>
      <c r="R195" s="44"/>
      <c r="S195" s="44"/>
      <c r="T195" s="44"/>
      <c r="U195" s="44"/>
      <c r="V195" s="44"/>
      <c r="W195" s="44"/>
      <c r="X195" s="44"/>
      <c r="Y195" s="44"/>
      <c r="Z195" s="44"/>
      <c r="AA195" s="44"/>
      <c r="AB195" s="44"/>
    </row>
    <row r="196">
      <c r="A196" s="51"/>
      <c r="B196" s="43"/>
      <c r="C196" s="74"/>
      <c r="D196" s="75"/>
      <c r="E196" s="76"/>
      <c r="F196" s="76"/>
      <c r="G196" s="76"/>
      <c r="H196" s="76"/>
      <c r="I196" s="76"/>
      <c r="J196" s="43"/>
      <c r="K196" s="44"/>
      <c r="L196" s="44"/>
      <c r="M196" s="44"/>
      <c r="N196" s="44"/>
      <c r="O196" s="44"/>
      <c r="P196" s="44"/>
      <c r="Q196" s="44"/>
      <c r="R196" s="44"/>
      <c r="S196" s="44"/>
      <c r="T196" s="44"/>
      <c r="U196" s="44"/>
      <c r="V196" s="44"/>
      <c r="W196" s="44"/>
      <c r="X196" s="44"/>
      <c r="Y196" s="44"/>
      <c r="Z196" s="44"/>
      <c r="AA196" s="44"/>
      <c r="AB196" s="44"/>
    </row>
    <row r="197">
      <c r="A197" s="51"/>
      <c r="B197" s="43"/>
      <c r="C197" s="74"/>
      <c r="D197" s="75"/>
      <c r="E197" s="76"/>
      <c r="F197" s="76"/>
      <c r="G197" s="76"/>
      <c r="H197" s="76"/>
      <c r="I197" s="76"/>
      <c r="J197" s="43"/>
      <c r="K197" s="44"/>
      <c r="L197" s="44"/>
      <c r="M197" s="44"/>
      <c r="N197" s="44"/>
      <c r="O197" s="44"/>
      <c r="P197" s="44"/>
      <c r="Q197" s="44"/>
      <c r="R197" s="44"/>
      <c r="S197" s="44"/>
      <c r="T197" s="44"/>
      <c r="U197" s="44"/>
      <c r="V197" s="44"/>
      <c r="W197" s="44"/>
      <c r="X197" s="44"/>
      <c r="Y197" s="44"/>
      <c r="Z197" s="44"/>
      <c r="AA197" s="44"/>
      <c r="AB197" s="44"/>
    </row>
    <row r="198">
      <c r="A198" s="51"/>
      <c r="B198" s="43"/>
      <c r="C198" s="74"/>
      <c r="D198" s="75"/>
      <c r="E198" s="76"/>
      <c r="F198" s="76"/>
      <c r="G198" s="76"/>
      <c r="H198" s="76"/>
      <c r="I198" s="76"/>
      <c r="J198" s="43"/>
      <c r="K198" s="44"/>
      <c r="L198" s="44"/>
      <c r="M198" s="44"/>
      <c r="N198" s="44"/>
      <c r="O198" s="44"/>
      <c r="P198" s="44"/>
      <c r="Q198" s="44"/>
      <c r="R198" s="44"/>
      <c r="S198" s="44"/>
      <c r="T198" s="44"/>
      <c r="U198" s="44"/>
      <c r="V198" s="44"/>
      <c r="W198" s="44"/>
      <c r="X198" s="44"/>
      <c r="Y198" s="44"/>
      <c r="Z198" s="44"/>
      <c r="AA198" s="44"/>
      <c r="AB198" s="44"/>
    </row>
    <row r="199">
      <c r="A199" s="51"/>
      <c r="B199" s="43"/>
      <c r="C199" s="74"/>
      <c r="D199" s="75"/>
      <c r="E199" s="76"/>
      <c r="F199" s="76"/>
      <c r="G199" s="76"/>
      <c r="H199" s="76"/>
      <c r="I199" s="76"/>
      <c r="J199" s="43"/>
      <c r="K199" s="44"/>
      <c r="L199" s="44"/>
      <c r="M199" s="44"/>
      <c r="N199" s="44"/>
      <c r="O199" s="44"/>
      <c r="P199" s="44"/>
      <c r="Q199" s="44"/>
      <c r="R199" s="44"/>
      <c r="S199" s="44"/>
      <c r="T199" s="44"/>
      <c r="U199" s="44"/>
      <c r="V199" s="44"/>
      <c r="W199" s="44"/>
      <c r="X199" s="44"/>
      <c r="Y199" s="44"/>
      <c r="Z199" s="44"/>
      <c r="AA199" s="44"/>
      <c r="AB199" s="44"/>
    </row>
    <row r="200">
      <c r="A200" s="51"/>
      <c r="B200" s="43"/>
      <c r="C200" s="74"/>
      <c r="D200" s="75"/>
      <c r="E200" s="76"/>
      <c r="F200" s="76"/>
      <c r="G200" s="76"/>
      <c r="H200" s="76"/>
      <c r="I200" s="76"/>
      <c r="J200" s="43"/>
      <c r="K200" s="44"/>
      <c r="L200" s="44"/>
      <c r="M200" s="44"/>
      <c r="N200" s="44"/>
      <c r="O200" s="44"/>
      <c r="P200" s="44"/>
      <c r="Q200" s="44"/>
      <c r="R200" s="44"/>
      <c r="S200" s="44"/>
      <c r="T200" s="44"/>
      <c r="U200" s="44"/>
      <c r="V200" s="44"/>
      <c r="W200" s="44"/>
      <c r="X200" s="44"/>
      <c r="Y200" s="44"/>
      <c r="Z200" s="44"/>
      <c r="AA200" s="44"/>
      <c r="AB200" s="44"/>
    </row>
    <row r="201">
      <c r="A201" s="51"/>
      <c r="B201" s="43"/>
      <c r="C201" s="74"/>
      <c r="D201" s="75"/>
      <c r="E201" s="76"/>
      <c r="F201" s="76"/>
      <c r="G201" s="76"/>
      <c r="H201" s="76"/>
      <c r="I201" s="76"/>
      <c r="J201" s="43"/>
      <c r="K201" s="44"/>
      <c r="L201" s="44"/>
      <c r="M201" s="44"/>
      <c r="N201" s="44"/>
      <c r="O201" s="44"/>
      <c r="P201" s="44"/>
      <c r="Q201" s="44"/>
      <c r="R201" s="44"/>
      <c r="S201" s="44"/>
      <c r="T201" s="44"/>
      <c r="U201" s="44"/>
      <c r="V201" s="44"/>
      <c r="W201" s="44"/>
      <c r="X201" s="44"/>
      <c r="Y201" s="44"/>
      <c r="Z201" s="44"/>
      <c r="AA201" s="44"/>
      <c r="AB201" s="44"/>
    </row>
    <row r="202">
      <c r="A202" s="51"/>
      <c r="B202" s="43"/>
      <c r="C202" s="74"/>
      <c r="D202" s="75"/>
      <c r="E202" s="76"/>
      <c r="F202" s="76"/>
      <c r="G202" s="76"/>
      <c r="H202" s="76"/>
      <c r="I202" s="76"/>
      <c r="J202" s="43"/>
      <c r="K202" s="44"/>
      <c r="L202" s="44"/>
      <c r="M202" s="44"/>
      <c r="N202" s="44"/>
      <c r="O202" s="44"/>
      <c r="P202" s="44"/>
      <c r="Q202" s="44"/>
      <c r="R202" s="44"/>
      <c r="S202" s="44"/>
      <c r="T202" s="44"/>
      <c r="U202" s="44"/>
      <c r="V202" s="44"/>
      <c r="W202" s="44"/>
      <c r="X202" s="44"/>
      <c r="Y202" s="44"/>
      <c r="Z202" s="44"/>
      <c r="AA202" s="44"/>
      <c r="AB202" s="44"/>
    </row>
    <row r="203">
      <c r="A203" s="51"/>
      <c r="B203" s="43"/>
      <c r="C203" s="74"/>
      <c r="D203" s="75"/>
      <c r="E203" s="76"/>
      <c r="F203" s="76"/>
      <c r="G203" s="76"/>
      <c r="H203" s="76"/>
      <c r="I203" s="76"/>
      <c r="J203" s="43"/>
      <c r="K203" s="44"/>
      <c r="L203" s="44"/>
      <c r="M203" s="44"/>
      <c r="N203" s="44"/>
      <c r="O203" s="44"/>
      <c r="P203" s="44"/>
      <c r="Q203" s="44"/>
      <c r="R203" s="44"/>
      <c r="S203" s="44"/>
      <c r="T203" s="44"/>
      <c r="U203" s="44"/>
      <c r="V203" s="44"/>
      <c r="W203" s="44"/>
      <c r="X203" s="44"/>
      <c r="Y203" s="44"/>
      <c r="Z203" s="44"/>
      <c r="AA203" s="44"/>
      <c r="AB203" s="44"/>
    </row>
    <row r="204">
      <c r="A204" s="51"/>
      <c r="B204" s="43"/>
      <c r="C204" s="74"/>
      <c r="D204" s="75"/>
      <c r="E204" s="76"/>
      <c r="F204" s="76"/>
      <c r="G204" s="76"/>
      <c r="H204" s="76"/>
      <c r="I204" s="76"/>
      <c r="J204" s="43"/>
      <c r="K204" s="44"/>
      <c r="L204" s="44"/>
      <c r="M204" s="44"/>
      <c r="N204" s="44"/>
      <c r="O204" s="44"/>
      <c r="P204" s="44"/>
      <c r="Q204" s="44"/>
      <c r="R204" s="44"/>
      <c r="S204" s="44"/>
      <c r="T204" s="44"/>
      <c r="U204" s="44"/>
      <c r="V204" s="44"/>
      <c r="W204" s="44"/>
      <c r="X204" s="44"/>
      <c r="Y204" s="44"/>
      <c r="Z204" s="44"/>
      <c r="AA204" s="44"/>
      <c r="AB204" s="44"/>
    </row>
    <row r="205">
      <c r="A205" s="51"/>
      <c r="B205" s="43"/>
      <c r="C205" s="74"/>
      <c r="D205" s="75"/>
      <c r="E205" s="76"/>
      <c r="F205" s="76"/>
      <c r="G205" s="76"/>
      <c r="H205" s="76"/>
      <c r="I205" s="76"/>
      <c r="J205" s="43"/>
      <c r="K205" s="44"/>
      <c r="L205" s="44"/>
      <c r="M205" s="44"/>
      <c r="N205" s="44"/>
      <c r="O205" s="44"/>
      <c r="P205" s="44"/>
      <c r="Q205" s="44"/>
      <c r="R205" s="44"/>
      <c r="S205" s="44"/>
      <c r="T205" s="44"/>
      <c r="U205" s="44"/>
      <c r="V205" s="44"/>
      <c r="W205" s="44"/>
      <c r="X205" s="44"/>
      <c r="Y205" s="44"/>
      <c r="Z205" s="44"/>
      <c r="AA205" s="44"/>
      <c r="AB205" s="44"/>
    </row>
    <row r="206">
      <c r="A206" s="51"/>
      <c r="B206" s="43"/>
      <c r="C206" s="74"/>
      <c r="D206" s="75"/>
      <c r="E206" s="76"/>
      <c r="F206" s="76"/>
      <c r="G206" s="76"/>
      <c r="H206" s="76"/>
      <c r="I206" s="76"/>
      <c r="J206" s="43"/>
      <c r="K206" s="44"/>
      <c r="L206" s="44"/>
      <c r="M206" s="44"/>
      <c r="N206" s="44"/>
      <c r="O206" s="44"/>
      <c r="P206" s="44"/>
      <c r="Q206" s="44"/>
      <c r="R206" s="44"/>
      <c r="S206" s="44"/>
      <c r="T206" s="44"/>
      <c r="U206" s="44"/>
      <c r="V206" s="44"/>
      <c r="W206" s="44"/>
      <c r="X206" s="44"/>
      <c r="Y206" s="44"/>
      <c r="Z206" s="44"/>
      <c r="AA206" s="44"/>
      <c r="AB206" s="44"/>
    </row>
    <row r="207">
      <c r="A207" s="51"/>
      <c r="B207" s="43"/>
      <c r="C207" s="74"/>
      <c r="D207" s="75"/>
      <c r="E207" s="76"/>
      <c r="F207" s="76"/>
      <c r="G207" s="76"/>
      <c r="H207" s="76"/>
      <c r="I207" s="76"/>
      <c r="J207" s="43"/>
      <c r="K207" s="44"/>
      <c r="L207" s="44"/>
      <c r="M207" s="44"/>
      <c r="N207" s="44"/>
      <c r="O207" s="44"/>
      <c r="P207" s="44"/>
      <c r="Q207" s="44"/>
      <c r="R207" s="44"/>
      <c r="S207" s="44"/>
      <c r="T207" s="44"/>
      <c r="U207" s="44"/>
      <c r="V207" s="44"/>
      <c r="W207" s="44"/>
      <c r="X207" s="44"/>
      <c r="Y207" s="44"/>
      <c r="Z207" s="44"/>
      <c r="AA207" s="44"/>
      <c r="AB207" s="44"/>
    </row>
    <row r="208">
      <c r="A208" s="51"/>
      <c r="B208" s="43"/>
      <c r="C208" s="74"/>
      <c r="D208" s="75"/>
      <c r="E208" s="76"/>
      <c r="F208" s="76"/>
      <c r="G208" s="76"/>
      <c r="H208" s="76"/>
      <c r="I208" s="76"/>
      <c r="J208" s="43"/>
      <c r="K208" s="44"/>
      <c r="L208" s="44"/>
      <c r="M208" s="44"/>
      <c r="N208" s="44"/>
      <c r="O208" s="44"/>
      <c r="P208" s="44"/>
      <c r="Q208" s="44"/>
      <c r="R208" s="44"/>
      <c r="S208" s="44"/>
      <c r="T208" s="44"/>
      <c r="U208" s="44"/>
      <c r="V208" s="44"/>
      <c r="W208" s="44"/>
      <c r="X208" s="44"/>
      <c r="Y208" s="44"/>
      <c r="Z208" s="44"/>
      <c r="AA208" s="44"/>
      <c r="AB208" s="44"/>
    </row>
    <row r="209">
      <c r="A209" s="51"/>
      <c r="B209" s="43"/>
      <c r="C209" s="74"/>
      <c r="D209" s="75"/>
      <c r="E209" s="76"/>
      <c r="F209" s="76"/>
      <c r="G209" s="76"/>
      <c r="H209" s="76"/>
      <c r="I209" s="76"/>
      <c r="J209" s="43"/>
      <c r="K209" s="44"/>
      <c r="L209" s="44"/>
      <c r="M209" s="44"/>
      <c r="N209" s="44"/>
      <c r="O209" s="44"/>
      <c r="P209" s="44"/>
      <c r="Q209" s="44"/>
      <c r="R209" s="44"/>
      <c r="S209" s="44"/>
      <c r="T209" s="44"/>
      <c r="U209" s="44"/>
      <c r="V209" s="44"/>
      <c r="W209" s="44"/>
      <c r="X209" s="44"/>
      <c r="Y209" s="44"/>
      <c r="Z209" s="44"/>
      <c r="AA209" s="44"/>
      <c r="AB209" s="44"/>
    </row>
    <row r="210">
      <c r="A210" s="51"/>
      <c r="B210" s="43"/>
      <c r="C210" s="74"/>
      <c r="D210" s="75"/>
      <c r="E210" s="76"/>
      <c r="F210" s="76"/>
      <c r="G210" s="76"/>
      <c r="H210" s="76"/>
      <c r="I210" s="76"/>
      <c r="J210" s="43"/>
      <c r="K210" s="44"/>
      <c r="L210" s="44"/>
      <c r="M210" s="44"/>
      <c r="N210" s="44"/>
      <c r="O210" s="44"/>
      <c r="P210" s="44"/>
      <c r="Q210" s="44"/>
      <c r="R210" s="44"/>
      <c r="S210" s="44"/>
      <c r="T210" s="44"/>
      <c r="U210" s="44"/>
      <c r="V210" s="44"/>
      <c r="W210" s="44"/>
      <c r="X210" s="44"/>
      <c r="Y210" s="44"/>
      <c r="Z210" s="44"/>
      <c r="AA210" s="44"/>
      <c r="AB210" s="44"/>
    </row>
    <row r="211">
      <c r="A211" s="51"/>
      <c r="B211" s="43"/>
      <c r="C211" s="74"/>
      <c r="D211" s="75"/>
      <c r="E211" s="76"/>
      <c r="F211" s="76"/>
      <c r="G211" s="76"/>
      <c r="H211" s="76"/>
      <c r="I211" s="76"/>
      <c r="J211" s="43"/>
      <c r="K211" s="44"/>
      <c r="L211" s="44"/>
      <c r="M211" s="44"/>
      <c r="N211" s="44"/>
      <c r="O211" s="44"/>
      <c r="P211" s="44"/>
      <c r="Q211" s="44"/>
      <c r="R211" s="44"/>
      <c r="S211" s="44"/>
      <c r="T211" s="44"/>
      <c r="U211" s="44"/>
      <c r="V211" s="44"/>
      <c r="W211" s="44"/>
      <c r="X211" s="44"/>
      <c r="Y211" s="44"/>
      <c r="Z211" s="44"/>
      <c r="AA211" s="44"/>
      <c r="AB211" s="44"/>
    </row>
    <row r="212">
      <c r="A212" s="51"/>
      <c r="B212" s="43"/>
      <c r="C212" s="74"/>
      <c r="D212" s="75"/>
      <c r="E212" s="76"/>
      <c r="F212" s="76"/>
      <c r="G212" s="76"/>
      <c r="H212" s="76"/>
      <c r="I212" s="76"/>
      <c r="J212" s="43"/>
      <c r="K212" s="44"/>
      <c r="L212" s="44"/>
      <c r="M212" s="44"/>
      <c r="N212" s="44"/>
      <c r="O212" s="44"/>
      <c r="P212" s="44"/>
      <c r="Q212" s="44"/>
      <c r="R212" s="44"/>
      <c r="S212" s="44"/>
      <c r="T212" s="44"/>
      <c r="U212" s="44"/>
      <c r="V212" s="44"/>
      <c r="W212" s="44"/>
      <c r="X212" s="44"/>
      <c r="Y212" s="44"/>
      <c r="Z212" s="44"/>
      <c r="AA212" s="44"/>
      <c r="AB212" s="44"/>
    </row>
    <row r="213">
      <c r="A213" s="51"/>
      <c r="B213" s="43"/>
      <c r="C213" s="74"/>
      <c r="D213" s="75"/>
      <c r="E213" s="76"/>
      <c r="F213" s="76"/>
      <c r="G213" s="76"/>
      <c r="H213" s="76"/>
      <c r="I213" s="76"/>
      <c r="J213" s="43"/>
      <c r="K213" s="44"/>
      <c r="L213" s="44"/>
      <c r="M213" s="44"/>
      <c r="N213" s="44"/>
      <c r="O213" s="44"/>
      <c r="P213" s="44"/>
      <c r="Q213" s="44"/>
      <c r="R213" s="44"/>
      <c r="S213" s="44"/>
      <c r="T213" s="44"/>
      <c r="U213" s="44"/>
      <c r="V213" s="44"/>
      <c r="W213" s="44"/>
      <c r="X213" s="44"/>
      <c r="Y213" s="44"/>
      <c r="Z213" s="44"/>
      <c r="AA213" s="44"/>
      <c r="AB213" s="44"/>
    </row>
    <row r="214">
      <c r="A214" s="51"/>
      <c r="B214" s="43"/>
      <c r="C214" s="74"/>
      <c r="D214" s="75"/>
      <c r="E214" s="76"/>
      <c r="F214" s="76"/>
      <c r="G214" s="76"/>
      <c r="H214" s="76"/>
      <c r="I214" s="76"/>
      <c r="J214" s="43"/>
      <c r="K214" s="44"/>
      <c r="L214" s="44"/>
      <c r="M214" s="44"/>
      <c r="N214" s="44"/>
      <c r="O214" s="44"/>
      <c r="P214" s="44"/>
      <c r="Q214" s="44"/>
      <c r="R214" s="44"/>
      <c r="S214" s="44"/>
      <c r="T214" s="44"/>
      <c r="U214" s="44"/>
      <c r="V214" s="44"/>
      <c r="W214" s="44"/>
      <c r="X214" s="44"/>
      <c r="Y214" s="44"/>
      <c r="Z214" s="44"/>
      <c r="AA214" s="44"/>
      <c r="AB214" s="44"/>
    </row>
    <row r="215">
      <c r="A215" s="51"/>
      <c r="B215" s="43"/>
      <c r="C215" s="74"/>
      <c r="D215" s="75"/>
      <c r="E215" s="76"/>
      <c r="F215" s="76"/>
      <c r="G215" s="76"/>
      <c r="H215" s="76"/>
      <c r="I215" s="76"/>
      <c r="J215" s="43"/>
      <c r="K215" s="44"/>
      <c r="L215" s="44"/>
      <c r="M215" s="44"/>
      <c r="N215" s="44"/>
      <c r="O215" s="44"/>
      <c r="P215" s="44"/>
      <c r="Q215" s="44"/>
      <c r="R215" s="44"/>
      <c r="S215" s="44"/>
      <c r="T215" s="44"/>
      <c r="U215" s="44"/>
      <c r="V215" s="44"/>
      <c r="W215" s="44"/>
      <c r="X215" s="44"/>
      <c r="Y215" s="44"/>
      <c r="Z215" s="44"/>
      <c r="AA215" s="44"/>
      <c r="AB215" s="44"/>
    </row>
    <row r="216">
      <c r="A216" s="51"/>
      <c r="B216" s="43"/>
      <c r="C216" s="74"/>
      <c r="D216" s="75"/>
      <c r="E216" s="76"/>
      <c r="F216" s="76"/>
      <c r="G216" s="76"/>
      <c r="H216" s="76"/>
      <c r="I216" s="76"/>
      <c r="J216" s="43"/>
      <c r="K216" s="44"/>
      <c r="L216" s="44"/>
      <c r="M216" s="44"/>
      <c r="N216" s="44"/>
      <c r="O216" s="44"/>
      <c r="P216" s="44"/>
      <c r="Q216" s="44"/>
      <c r="R216" s="44"/>
      <c r="S216" s="44"/>
      <c r="T216" s="44"/>
      <c r="U216" s="44"/>
      <c r="V216" s="44"/>
      <c r="W216" s="44"/>
      <c r="X216" s="44"/>
      <c r="Y216" s="44"/>
      <c r="Z216" s="44"/>
      <c r="AA216" s="44"/>
      <c r="AB216" s="44"/>
    </row>
    <row r="217">
      <c r="A217" s="51"/>
      <c r="B217" s="43"/>
      <c r="C217" s="74"/>
      <c r="D217" s="75"/>
      <c r="E217" s="76"/>
      <c r="F217" s="76"/>
      <c r="G217" s="76"/>
      <c r="H217" s="76"/>
      <c r="I217" s="76"/>
      <c r="J217" s="43"/>
      <c r="K217" s="44"/>
      <c r="L217" s="44"/>
      <c r="M217" s="44"/>
      <c r="N217" s="44"/>
      <c r="O217" s="44"/>
      <c r="P217" s="44"/>
      <c r="Q217" s="44"/>
      <c r="R217" s="44"/>
      <c r="S217" s="44"/>
      <c r="T217" s="44"/>
      <c r="U217" s="44"/>
      <c r="V217" s="44"/>
      <c r="W217" s="44"/>
      <c r="X217" s="44"/>
      <c r="Y217" s="44"/>
      <c r="Z217" s="44"/>
      <c r="AA217" s="44"/>
      <c r="AB217" s="44"/>
    </row>
    <row r="218">
      <c r="A218" s="51"/>
      <c r="B218" s="43"/>
      <c r="C218" s="74"/>
      <c r="D218" s="75"/>
      <c r="E218" s="76"/>
      <c r="F218" s="76"/>
      <c r="G218" s="76"/>
      <c r="H218" s="76"/>
      <c r="I218" s="76"/>
      <c r="J218" s="43"/>
      <c r="K218" s="44"/>
      <c r="L218" s="44"/>
      <c r="M218" s="44"/>
      <c r="N218" s="44"/>
      <c r="O218" s="44"/>
      <c r="P218" s="44"/>
      <c r="Q218" s="44"/>
      <c r="R218" s="44"/>
      <c r="S218" s="44"/>
      <c r="T218" s="44"/>
      <c r="U218" s="44"/>
      <c r="V218" s="44"/>
      <c r="W218" s="44"/>
      <c r="X218" s="44"/>
      <c r="Y218" s="44"/>
      <c r="Z218" s="44"/>
      <c r="AA218" s="44"/>
      <c r="AB218" s="44"/>
    </row>
    <row r="219">
      <c r="A219" s="51"/>
      <c r="B219" s="43"/>
      <c r="C219" s="74"/>
      <c r="D219" s="75"/>
      <c r="E219" s="76"/>
      <c r="F219" s="76"/>
      <c r="G219" s="76"/>
      <c r="H219" s="76"/>
      <c r="I219" s="76"/>
      <c r="J219" s="43"/>
      <c r="K219" s="44"/>
      <c r="L219" s="44"/>
      <c r="M219" s="44"/>
      <c r="N219" s="44"/>
      <c r="O219" s="44"/>
      <c r="P219" s="44"/>
      <c r="Q219" s="44"/>
      <c r="R219" s="44"/>
      <c r="S219" s="44"/>
      <c r="T219" s="44"/>
      <c r="U219" s="44"/>
      <c r="V219" s="44"/>
      <c r="W219" s="44"/>
      <c r="X219" s="44"/>
      <c r="Y219" s="44"/>
      <c r="Z219" s="44"/>
      <c r="AA219" s="44"/>
      <c r="AB219" s="44"/>
    </row>
    <row r="220">
      <c r="A220" s="51"/>
      <c r="B220" s="43"/>
      <c r="C220" s="74"/>
      <c r="D220" s="75"/>
      <c r="E220" s="76"/>
      <c r="F220" s="76"/>
      <c r="G220" s="76"/>
      <c r="H220" s="76"/>
      <c r="I220" s="76"/>
      <c r="J220" s="43"/>
      <c r="K220" s="44"/>
      <c r="L220" s="44"/>
      <c r="M220" s="44"/>
      <c r="N220" s="44"/>
      <c r="O220" s="44"/>
      <c r="P220" s="44"/>
      <c r="Q220" s="44"/>
      <c r="R220" s="44"/>
      <c r="S220" s="44"/>
      <c r="T220" s="44"/>
      <c r="U220" s="44"/>
      <c r="V220" s="44"/>
      <c r="W220" s="44"/>
      <c r="X220" s="44"/>
      <c r="Y220" s="44"/>
      <c r="Z220" s="44"/>
      <c r="AA220" s="44"/>
      <c r="AB220" s="44"/>
    </row>
    <row r="221">
      <c r="A221" s="51"/>
      <c r="B221" s="43"/>
      <c r="C221" s="74"/>
      <c r="D221" s="75"/>
      <c r="E221" s="76"/>
      <c r="F221" s="76"/>
      <c r="G221" s="76"/>
      <c r="H221" s="76"/>
      <c r="I221" s="76"/>
      <c r="J221" s="43"/>
      <c r="K221" s="44"/>
      <c r="L221" s="44"/>
      <c r="M221" s="44"/>
      <c r="N221" s="44"/>
      <c r="O221" s="44"/>
      <c r="P221" s="44"/>
      <c r="Q221" s="44"/>
      <c r="R221" s="44"/>
      <c r="S221" s="44"/>
      <c r="T221" s="44"/>
      <c r="U221" s="44"/>
      <c r="V221" s="44"/>
      <c r="W221" s="44"/>
      <c r="X221" s="44"/>
      <c r="Y221" s="44"/>
      <c r="Z221" s="44"/>
      <c r="AA221" s="44"/>
      <c r="AB221" s="44"/>
    </row>
    <row r="222">
      <c r="A222" s="51"/>
      <c r="B222" s="43"/>
      <c r="C222" s="74"/>
      <c r="D222" s="75"/>
      <c r="E222" s="76"/>
      <c r="F222" s="76"/>
      <c r="G222" s="76"/>
      <c r="H222" s="76"/>
      <c r="I222" s="76"/>
      <c r="J222" s="43"/>
      <c r="K222" s="44"/>
      <c r="L222" s="44"/>
      <c r="M222" s="44"/>
      <c r="N222" s="44"/>
      <c r="O222" s="44"/>
      <c r="P222" s="44"/>
      <c r="Q222" s="44"/>
      <c r="R222" s="44"/>
      <c r="S222" s="44"/>
      <c r="T222" s="44"/>
      <c r="U222" s="44"/>
      <c r="V222" s="44"/>
      <c r="W222" s="44"/>
      <c r="X222" s="44"/>
      <c r="Y222" s="44"/>
      <c r="Z222" s="44"/>
      <c r="AA222" s="44"/>
      <c r="AB222" s="44"/>
    </row>
    <row r="223">
      <c r="A223" s="51"/>
      <c r="B223" s="43"/>
      <c r="C223" s="74"/>
      <c r="D223" s="75"/>
      <c r="E223" s="76"/>
      <c r="F223" s="76"/>
      <c r="G223" s="76"/>
      <c r="H223" s="76"/>
      <c r="I223" s="76"/>
      <c r="J223" s="43"/>
      <c r="K223" s="44"/>
      <c r="L223" s="44"/>
      <c r="M223" s="44"/>
      <c r="N223" s="44"/>
      <c r="O223" s="44"/>
      <c r="P223" s="44"/>
      <c r="Q223" s="44"/>
      <c r="R223" s="44"/>
      <c r="S223" s="44"/>
      <c r="T223" s="44"/>
      <c r="U223" s="44"/>
      <c r="V223" s="44"/>
      <c r="W223" s="44"/>
      <c r="X223" s="44"/>
      <c r="Y223" s="44"/>
      <c r="Z223" s="44"/>
      <c r="AA223" s="44"/>
      <c r="AB223" s="44"/>
    </row>
    <row r="224">
      <c r="A224" s="51"/>
      <c r="B224" s="43"/>
      <c r="C224" s="74"/>
      <c r="D224" s="75"/>
      <c r="E224" s="76"/>
      <c r="F224" s="76"/>
      <c r="G224" s="76"/>
      <c r="H224" s="76"/>
      <c r="I224" s="76"/>
      <c r="J224" s="43"/>
      <c r="K224" s="44"/>
      <c r="L224" s="44"/>
      <c r="M224" s="44"/>
      <c r="N224" s="44"/>
      <c r="O224" s="44"/>
      <c r="P224" s="44"/>
      <c r="Q224" s="44"/>
      <c r="R224" s="44"/>
      <c r="S224" s="44"/>
      <c r="T224" s="44"/>
      <c r="U224" s="44"/>
      <c r="V224" s="44"/>
      <c r="W224" s="44"/>
      <c r="X224" s="44"/>
      <c r="Y224" s="44"/>
      <c r="Z224" s="44"/>
      <c r="AA224" s="44"/>
      <c r="AB224" s="44"/>
    </row>
    <row r="225">
      <c r="A225" s="51"/>
      <c r="B225" s="43"/>
      <c r="C225" s="74"/>
      <c r="D225" s="75"/>
      <c r="E225" s="76"/>
      <c r="F225" s="76"/>
      <c r="G225" s="76"/>
      <c r="H225" s="76"/>
      <c r="I225" s="76"/>
      <c r="J225" s="43"/>
      <c r="K225" s="44"/>
      <c r="L225" s="44"/>
      <c r="M225" s="44"/>
      <c r="N225" s="44"/>
      <c r="O225" s="44"/>
      <c r="P225" s="44"/>
      <c r="Q225" s="44"/>
      <c r="R225" s="44"/>
      <c r="S225" s="44"/>
      <c r="T225" s="44"/>
      <c r="U225" s="44"/>
      <c r="V225" s="44"/>
      <c r="W225" s="44"/>
      <c r="X225" s="44"/>
      <c r="Y225" s="44"/>
      <c r="Z225" s="44"/>
      <c r="AA225" s="44"/>
      <c r="AB225" s="44"/>
    </row>
    <row r="226">
      <c r="A226" s="51"/>
      <c r="B226" s="43"/>
      <c r="C226" s="74"/>
      <c r="D226" s="75"/>
      <c r="E226" s="76"/>
      <c r="F226" s="76"/>
      <c r="G226" s="76"/>
      <c r="H226" s="76"/>
      <c r="I226" s="76"/>
      <c r="J226" s="43"/>
      <c r="K226" s="44"/>
      <c r="L226" s="44"/>
      <c r="M226" s="44"/>
      <c r="N226" s="44"/>
      <c r="O226" s="44"/>
      <c r="P226" s="44"/>
      <c r="Q226" s="44"/>
      <c r="R226" s="44"/>
      <c r="S226" s="44"/>
      <c r="T226" s="44"/>
      <c r="U226" s="44"/>
      <c r="V226" s="44"/>
      <c r="W226" s="44"/>
      <c r="X226" s="44"/>
      <c r="Y226" s="44"/>
      <c r="Z226" s="44"/>
      <c r="AA226" s="44"/>
      <c r="AB226" s="44"/>
    </row>
    <row r="227">
      <c r="A227" s="51"/>
      <c r="B227" s="43"/>
      <c r="C227" s="74"/>
      <c r="D227" s="75"/>
      <c r="E227" s="76"/>
      <c r="F227" s="76"/>
      <c r="G227" s="76"/>
      <c r="H227" s="76"/>
      <c r="I227" s="76"/>
      <c r="J227" s="43"/>
      <c r="K227" s="44"/>
      <c r="L227" s="44"/>
      <c r="M227" s="44"/>
      <c r="N227" s="44"/>
      <c r="O227" s="44"/>
      <c r="P227" s="44"/>
      <c r="Q227" s="44"/>
      <c r="R227" s="44"/>
      <c r="S227" s="44"/>
      <c r="T227" s="44"/>
      <c r="U227" s="44"/>
      <c r="V227" s="44"/>
      <c r="W227" s="44"/>
      <c r="X227" s="44"/>
      <c r="Y227" s="44"/>
      <c r="Z227" s="44"/>
      <c r="AA227" s="44"/>
      <c r="AB227" s="44"/>
    </row>
    <row r="228">
      <c r="A228" s="51"/>
      <c r="B228" s="43"/>
      <c r="C228" s="74"/>
      <c r="D228" s="75"/>
      <c r="E228" s="76"/>
      <c r="F228" s="76"/>
      <c r="G228" s="76"/>
      <c r="H228" s="76"/>
      <c r="I228" s="76"/>
      <c r="J228" s="43"/>
      <c r="K228" s="44"/>
      <c r="L228" s="44"/>
      <c r="M228" s="44"/>
      <c r="N228" s="44"/>
      <c r="O228" s="44"/>
      <c r="P228" s="44"/>
      <c r="Q228" s="44"/>
      <c r="R228" s="44"/>
      <c r="S228" s="44"/>
      <c r="T228" s="44"/>
      <c r="U228" s="44"/>
      <c r="V228" s="44"/>
      <c r="W228" s="44"/>
      <c r="X228" s="44"/>
      <c r="Y228" s="44"/>
      <c r="Z228" s="44"/>
      <c r="AA228" s="44"/>
      <c r="AB228" s="44"/>
    </row>
    <row r="229">
      <c r="A229" s="51"/>
      <c r="B229" s="43"/>
      <c r="C229" s="74"/>
      <c r="D229" s="75"/>
      <c r="E229" s="76"/>
      <c r="F229" s="76"/>
      <c r="G229" s="76"/>
      <c r="H229" s="76"/>
      <c r="I229" s="76"/>
      <c r="J229" s="43"/>
      <c r="K229" s="44"/>
      <c r="L229" s="44"/>
      <c r="M229" s="44"/>
      <c r="N229" s="44"/>
      <c r="O229" s="44"/>
      <c r="P229" s="44"/>
      <c r="Q229" s="44"/>
      <c r="R229" s="44"/>
      <c r="S229" s="44"/>
      <c r="T229" s="44"/>
      <c r="U229" s="44"/>
      <c r="V229" s="44"/>
      <c r="W229" s="44"/>
      <c r="X229" s="44"/>
      <c r="Y229" s="44"/>
      <c r="Z229" s="44"/>
      <c r="AA229" s="44"/>
      <c r="AB229" s="44"/>
    </row>
    <row r="230">
      <c r="A230" s="51"/>
      <c r="B230" s="43"/>
      <c r="C230" s="74"/>
      <c r="D230" s="75"/>
      <c r="E230" s="76"/>
      <c r="F230" s="76"/>
      <c r="G230" s="76"/>
      <c r="H230" s="76"/>
      <c r="I230" s="76"/>
      <c r="J230" s="43"/>
      <c r="K230" s="44"/>
      <c r="L230" s="44"/>
      <c r="M230" s="44"/>
      <c r="N230" s="44"/>
      <c r="O230" s="44"/>
      <c r="P230" s="44"/>
      <c r="Q230" s="44"/>
      <c r="R230" s="44"/>
      <c r="S230" s="44"/>
      <c r="T230" s="44"/>
      <c r="U230" s="44"/>
      <c r="V230" s="44"/>
      <c r="W230" s="44"/>
      <c r="X230" s="44"/>
      <c r="Y230" s="44"/>
      <c r="Z230" s="44"/>
      <c r="AA230" s="44"/>
      <c r="AB230" s="44"/>
    </row>
    <row r="231">
      <c r="A231" s="51"/>
      <c r="B231" s="43"/>
      <c r="C231" s="74"/>
      <c r="D231" s="75"/>
      <c r="E231" s="76"/>
      <c r="F231" s="76"/>
      <c r="G231" s="76"/>
      <c r="H231" s="76"/>
      <c r="I231" s="76"/>
      <c r="J231" s="43"/>
      <c r="K231" s="44"/>
      <c r="L231" s="44"/>
      <c r="M231" s="44"/>
      <c r="N231" s="44"/>
      <c r="O231" s="44"/>
      <c r="P231" s="44"/>
      <c r="Q231" s="44"/>
      <c r="R231" s="44"/>
      <c r="S231" s="44"/>
      <c r="T231" s="44"/>
      <c r="U231" s="44"/>
      <c r="V231" s="44"/>
      <c r="W231" s="44"/>
      <c r="X231" s="44"/>
      <c r="Y231" s="44"/>
      <c r="Z231" s="44"/>
      <c r="AA231" s="44"/>
      <c r="AB231" s="44"/>
    </row>
    <row r="232">
      <c r="A232" s="51"/>
      <c r="B232" s="43"/>
      <c r="C232" s="74"/>
      <c r="D232" s="75"/>
      <c r="E232" s="76"/>
      <c r="F232" s="76"/>
      <c r="G232" s="76"/>
      <c r="H232" s="76"/>
      <c r="I232" s="76"/>
      <c r="J232" s="43"/>
      <c r="K232" s="44"/>
      <c r="L232" s="44"/>
      <c r="M232" s="44"/>
      <c r="N232" s="44"/>
      <c r="O232" s="44"/>
      <c r="P232" s="44"/>
      <c r="Q232" s="44"/>
      <c r="R232" s="44"/>
      <c r="S232" s="44"/>
      <c r="T232" s="44"/>
      <c r="U232" s="44"/>
      <c r="V232" s="44"/>
      <c r="W232" s="44"/>
      <c r="X232" s="44"/>
      <c r="Y232" s="44"/>
      <c r="Z232" s="44"/>
      <c r="AA232" s="44"/>
      <c r="AB232" s="44"/>
    </row>
    <row r="233">
      <c r="A233" s="51"/>
      <c r="B233" s="43"/>
      <c r="C233" s="74"/>
      <c r="D233" s="75"/>
      <c r="E233" s="76"/>
      <c r="F233" s="76"/>
      <c r="G233" s="76"/>
      <c r="H233" s="76"/>
      <c r="I233" s="76"/>
      <c r="J233" s="43"/>
      <c r="K233" s="44"/>
      <c r="L233" s="44"/>
      <c r="M233" s="44"/>
      <c r="N233" s="44"/>
      <c r="O233" s="44"/>
      <c r="P233" s="44"/>
      <c r="Q233" s="44"/>
      <c r="R233" s="44"/>
      <c r="S233" s="44"/>
      <c r="T233" s="44"/>
      <c r="U233" s="44"/>
      <c r="V233" s="44"/>
      <c r="W233" s="44"/>
      <c r="X233" s="44"/>
      <c r="Y233" s="44"/>
      <c r="Z233" s="44"/>
      <c r="AA233" s="44"/>
      <c r="AB233" s="44"/>
    </row>
    <row r="234">
      <c r="A234" s="51"/>
      <c r="B234" s="43"/>
      <c r="C234" s="74"/>
      <c r="D234" s="75"/>
      <c r="E234" s="76"/>
      <c r="F234" s="76"/>
      <c r="G234" s="76"/>
      <c r="H234" s="76"/>
      <c r="I234" s="76"/>
      <c r="J234" s="43"/>
      <c r="K234" s="44"/>
      <c r="L234" s="44"/>
      <c r="M234" s="44"/>
      <c r="N234" s="44"/>
      <c r="O234" s="44"/>
      <c r="P234" s="44"/>
      <c r="Q234" s="44"/>
      <c r="R234" s="44"/>
      <c r="S234" s="44"/>
      <c r="T234" s="44"/>
      <c r="U234" s="44"/>
      <c r="V234" s="44"/>
      <c r="W234" s="44"/>
      <c r="X234" s="44"/>
      <c r="Y234" s="44"/>
      <c r="Z234" s="44"/>
      <c r="AA234" s="44"/>
      <c r="AB234" s="44"/>
    </row>
    <row r="235">
      <c r="A235" s="51"/>
      <c r="B235" s="43"/>
      <c r="C235" s="74"/>
      <c r="D235" s="75"/>
      <c r="E235" s="76"/>
      <c r="F235" s="76"/>
      <c r="G235" s="76"/>
      <c r="H235" s="76"/>
      <c r="I235" s="76"/>
      <c r="J235" s="43"/>
      <c r="K235" s="44"/>
      <c r="L235" s="44"/>
      <c r="M235" s="44"/>
      <c r="N235" s="44"/>
      <c r="O235" s="44"/>
      <c r="P235" s="44"/>
      <c r="Q235" s="44"/>
      <c r="R235" s="44"/>
      <c r="S235" s="44"/>
      <c r="T235" s="44"/>
      <c r="U235" s="44"/>
      <c r="V235" s="44"/>
      <c r="W235" s="44"/>
      <c r="X235" s="44"/>
      <c r="Y235" s="44"/>
      <c r="Z235" s="44"/>
      <c r="AA235" s="44"/>
      <c r="AB235" s="44"/>
    </row>
    <row r="236">
      <c r="A236" s="51"/>
      <c r="B236" s="43"/>
      <c r="C236" s="74"/>
      <c r="D236" s="75"/>
      <c r="E236" s="76"/>
      <c r="F236" s="76"/>
      <c r="G236" s="76"/>
      <c r="H236" s="76"/>
      <c r="I236" s="76"/>
      <c r="J236" s="43"/>
      <c r="K236" s="44"/>
      <c r="L236" s="44"/>
      <c r="M236" s="44"/>
      <c r="N236" s="44"/>
      <c r="O236" s="44"/>
      <c r="P236" s="44"/>
      <c r="Q236" s="44"/>
      <c r="R236" s="44"/>
      <c r="S236" s="44"/>
      <c r="T236" s="44"/>
      <c r="U236" s="44"/>
      <c r="V236" s="44"/>
      <c r="W236" s="44"/>
      <c r="X236" s="44"/>
      <c r="Y236" s="44"/>
      <c r="Z236" s="44"/>
      <c r="AA236" s="44"/>
      <c r="AB236" s="44"/>
    </row>
    <row r="237">
      <c r="A237" s="51"/>
      <c r="B237" s="43"/>
      <c r="C237" s="74"/>
      <c r="D237" s="75"/>
      <c r="E237" s="76"/>
      <c r="F237" s="76"/>
      <c r="G237" s="76"/>
      <c r="H237" s="76"/>
      <c r="I237" s="76"/>
      <c r="J237" s="43"/>
      <c r="K237" s="44"/>
      <c r="L237" s="44"/>
      <c r="M237" s="44"/>
      <c r="N237" s="44"/>
      <c r="O237" s="44"/>
      <c r="P237" s="44"/>
      <c r="Q237" s="44"/>
      <c r="R237" s="44"/>
      <c r="S237" s="44"/>
      <c r="T237" s="44"/>
      <c r="U237" s="44"/>
      <c r="V237" s="44"/>
      <c r="W237" s="44"/>
      <c r="X237" s="44"/>
      <c r="Y237" s="44"/>
      <c r="Z237" s="44"/>
      <c r="AA237" s="44"/>
      <c r="AB237" s="44"/>
    </row>
    <row r="238">
      <c r="A238" s="51"/>
      <c r="B238" s="43"/>
      <c r="C238" s="74"/>
      <c r="D238" s="75"/>
      <c r="E238" s="76"/>
      <c r="F238" s="76"/>
      <c r="G238" s="76"/>
      <c r="H238" s="76"/>
      <c r="I238" s="76"/>
      <c r="J238" s="43"/>
      <c r="K238" s="44"/>
      <c r="L238" s="44"/>
      <c r="M238" s="44"/>
      <c r="N238" s="44"/>
      <c r="O238" s="44"/>
      <c r="P238" s="44"/>
      <c r="Q238" s="44"/>
      <c r="R238" s="44"/>
      <c r="S238" s="44"/>
      <c r="T238" s="44"/>
      <c r="U238" s="44"/>
      <c r="V238" s="44"/>
      <c r="W238" s="44"/>
      <c r="X238" s="44"/>
      <c r="Y238" s="44"/>
      <c r="Z238" s="44"/>
      <c r="AA238" s="44"/>
      <c r="AB238" s="44"/>
    </row>
    <row r="239">
      <c r="A239" s="51"/>
      <c r="B239" s="43"/>
      <c r="C239" s="74"/>
      <c r="D239" s="75"/>
      <c r="E239" s="76"/>
      <c r="F239" s="76"/>
      <c r="G239" s="76"/>
      <c r="H239" s="76"/>
      <c r="I239" s="76"/>
      <c r="J239" s="43"/>
      <c r="K239" s="44"/>
      <c r="L239" s="44"/>
      <c r="M239" s="44"/>
      <c r="N239" s="44"/>
      <c r="O239" s="44"/>
      <c r="P239" s="44"/>
      <c r="Q239" s="44"/>
      <c r="R239" s="44"/>
      <c r="S239" s="44"/>
      <c r="T239" s="44"/>
      <c r="U239" s="44"/>
      <c r="V239" s="44"/>
      <c r="W239" s="44"/>
      <c r="X239" s="44"/>
      <c r="Y239" s="44"/>
      <c r="Z239" s="44"/>
      <c r="AA239" s="44"/>
      <c r="AB239" s="44"/>
    </row>
    <row r="240">
      <c r="A240" s="51"/>
      <c r="B240" s="43"/>
      <c r="C240" s="74"/>
      <c r="D240" s="75"/>
      <c r="E240" s="76"/>
      <c r="F240" s="76"/>
      <c r="G240" s="76"/>
      <c r="H240" s="76"/>
      <c r="I240" s="76"/>
      <c r="J240" s="43"/>
      <c r="K240" s="44"/>
      <c r="L240" s="44"/>
      <c r="M240" s="44"/>
      <c r="N240" s="44"/>
      <c r="O240" s="44"/>
      <c r="P240" s="44"/>
      <c r="Q240" s="44"/>
      <c r="R240" s="44"/>
      <c r="S240" s="44"/>
      <c r="T240" s="44"/>
      <c r="U240" s="44"/>
      <c r="V240" s="44"/>
      <c r="W240" s="44"/>
      <c r="X240" s="44"/>
      <c r="Y240" s="44"/>
      <c r="Z240" s="44"/>
      <c r="AA240" s="44"/>
      <c r="AB240" s="44"/>
    </row>
    <row r="241">
      <c r="A241" s="51"/>
      <c r="B241" s="43"/>
      <c r="C241" s="74"/>
      <c r="D241" s="75"/>
      <c r="E241" s="76"/>
      <c r="F241" s="76"/>
      <c r="G241" s="76"/>
      <c r="H241" s="76"/>
      <c r="I241" s="76"/>
      <c r="J241" s="43"/>
      <c r="K241" s="44"/>
      <c r="L241" s="44"/>
      <c r="M241" s="44"/>
      <c r="N241" s="44"/>
      <c r="O241" s="44"/>
      <c r="P241" s="44"/>
      <c r="Q241" s="44"/>
      <c r="R241" s="44"/>
      <c r="S241" s="44"/>
      <c r="T241" s="44"/>
      <c r="U241" s="44"/>
      <c r="V241" s="44"/>
      <c r="W241" s="44"/>
      <c r="X241" s="44"/>
      <c r="Y241" s="44"/>
      <c r="Z241" s="44"/>
      <c r="AA241" s="44"/>
      <c r="AB241" s="44"/>
    </row>
    <row r="242">
      <c r="A242" s="51"/>
      <c r="B242" s="43"/>
      <c r="C242" s="74"/>
      <c r="D242" s="75"/>
      <c r="E242" s="76"/>
      <c r="F242" s="76"/>
      <c r="G242" s="76"/>
      <c r="H242" s="76"/>
      <c r="I242" s="76"/>
      <c r="J242" s="43"/>
      <c r="K242" s="44"/>
      <c r="L242" s="44"/>
      <c r="M242" s="44"/>
      <c r="N242" s="44"/>
      <c r="O242" s="44"/>
      <c r="P242" s="44"/>
      <c r="Q242" s="44"/>
      <c r="R242" s="44"/>
      <c r="S242" s="44"/>
      <c r="T242" s="44"/>
      <c r="U242" s="44"/>
      <c r="V242" s="44"/>
      <c r="W242" s="44"/>
      <c r="X242" s="44"/>
      <c r="Y242" s="44"/>
      <c r="Z242" s="44"/>
      <c r="AA242" s="44"/>
      <c r="AB242" s="44"/>
    </row>
    <row r="243">
      <c r="A243" s="51"/>
      <c r="B243" s="43"/>
      <c r="C243" s="74"/>
      <c r="D243" s="75"/>
      <c r="E243" s="76"/>
      <c r="F243" s="76"/>
      <c r="G243" s="76"/>
      <c r="H243" s="76"/>
      <c r="I243" s="76"/>
      <c r="J243" s="43"/>
      <c r="K243" s="44"/>
      <c r="L243" s="44"/>
      <c r="M243" s="44"/>
      <c r="N243" s="44"/>
      <c r="O243" s="44"/>
      <c r="P243" s="44"/>
      <c r="Q243" s="44"/>
      <c r="R243" s="44"/>
      <c r="S243" s="44"/>
      <c r="T243" s="44"/>
      <c r="U243" s="44"/>
      <c r="V243" s="44"/>
      <c r="W243" s="44"/>
      <c r="X243" s="44"/>
      <c r="Y243" s="44"/>
      <c r="Z243" s="44"/>
      <c r="AA243" s="44"/>
      <c r="AB243" s="44"/>
    </row>
    <row r="244">
      <c r="A244" s="51"/>
      <c r="B244" s="43"/>
      <c r="C244" s="74"/>
      <c r="D244" s="75"/>
      <c r="E244" s="76"/>
      <c r="F244" s="76"/>
      <c r="G244" s="76"/>
      <c r="H244" s="76"/>
      <c r="I244" s="76"/>
      <c r="J244" s="43"/>
      <c r="K244" s="44"/>
      <c r="L244" s="44"/>
      <c r="M244" s="44"/>
      <c r="N244" s="44"/>
      <c r="O244" s="44"/>
      <c r="P244" s="44"/>
      <c r="Q244" s="44"/>
      <c r="R244" s="44"/>
      <c r="S244" s="44"/>
      <c r="T244" s="44"/>
      <c r="U244" s="44"/>
      <c r="V244" s="44"/>
      <c r="W244" s="44"/>
      <c r="X244" s="44"/>
      <c r="Y244" s="44"/>
      <c r="Z244" s="44"/>
      <c r="AA244" s="44"/>
      <c r="AB244" s="44"/>
    </row>
    <row r="245">
      <c r="A245" s="51"/>
      <c r="B245" s="43"/>
      <c r="C245" s="74"/>
      <c r="D245" s="75"/>
      <c r="E245" s="76"/>
      <c r="F245" s="76"/>
      <c r="G245" s="76"/>
      <c r="H245" s="76"/>
      <c r="I245" s="76"/>
      <c r="J245" s="43"/>
      <c r="K245" s="44"/>
      <c r="L245" s="44"/>
      <c r="M245" s="44"/>
      <c r="N245" s="44"/>
      <c r="O245" s="44"/>
      <c r="P245" s="44"/>
      <c r="Q245" s="44"/>
      <c r="R245" s="44"/>
      <c r="S245" s="44"/>
      <c r="T245" s="44"/>
      <c r="U245" s="44"/>
      <c r="V245" s="44"/>
      <c r="W245" s="44"/>
      <c r="X245" s="44"/>
      <c r="Y245" s="44"/>
      <c r="Z245" s="44"/>
      <c r="AA245" s="44"/>
      <c r="AB245" s="44"/>
    </row>
    <row r="246">
      <c r="A246" s="51"/>
      <c r="B246" s="43"/>
      <c r="C246" s="74"/>
      <c r="D246" s="75"/>
      <c r="E246" s="76"/>
      <c r="F246" s="76"/>
      <c r="G246" s="76"/>
      <c r="H246" s="76"/>
      <c r="I246" s="76"/>
      <c r="J246" s="43"/>
      <c r="K246" s="44"/>
      <c r="L246" s="44"/>
      <c r="M246" s="44"/>
      <c r="N246" s="44"/>
      <c r="O246" s="44"/>
      <c r="P246" s="44"/>
      <c r="Q246" s="44"/>
      <c r="R246" s="44"/>
      <c r="S246" s="44"/>
      <c r="T246" s="44"/>
      <c r="U246" s="44"/>
      <c r="V246" s="44"/>
      <c r="W246" s="44"/>
      <c r="X246" s="44"/>
      <c r="Y246" s="44"/>
      <c r="Z246" s="44"/>
      <c r="AA246" s="44"/>
      <c r="AB246" s="44"/>
    </row>
    <row r="247">
      <c r="A247" s="51"/>
      <c r="B247" s="43"/>
      <c r="C247" s="74"/>
      <c r="D247" s="75"/>
      <c r="E247" s="76"/>
      <c r="F247" s="76"/>
      <c r="G247" s="76"/>
      <c r="H247" s="76"/>
      <c r="I247" s="76"/>
      <c r="J247" s="43"/>
      <c r="K247" s="44"/>
      <c r="L247" s="44"/>
      <c r="M247" s="44"/>
      <c r="N247" s="44"/>
      <c r="O247" s="44"/>
      <c r="P247" s="44"/>
      <c r="Q247" s="44"/>
      <c r="R247" s="44"/>
      <c r="S247" s="44"/>
      <c r="T247" s="44"/>
      <c r="U247" s="44"/>
      <c r="V247" s="44"/>
      <c r="W247" s="44"/>
      <c r="X247" s="44"/>
      <c r="Y247" s="44"/>
      <c r="Z247" s="44"/>
      <c r="AA247" s="44"/>
      <c r="AB247" s="44"/>
    </row>
    <row r="248">
      <c r="A248" s="51"/>
      <c r="B248" s="43"/>
      <c r="C248" s="74"/>
      <c r="D248" s="75"/>
      <c r="E248" s="76"/>
      <c r="F248" s="76"/>
      <c r="G248" s="76"/>
      <c r="H248" s="76"/>
      <c r="I248" s="76"/>
      <c r="J248" s="43"/>
      <c r="K248" s="44"/>
      <c r="L248" s="44"/>
      <c r="M248" s="44"/>
      <c r="N248" s="44"/>
      <c r="O248" s="44"/>
      <c r="P248" s="44"/>
      <c r="Q248" s="44"/>
      <c r="R248" s="44"/>
      <c r="S248" s="44"/>
      <c r="T248" s="44"/>
      <c r="U248" s="44"/>
      <c r="V248" s="44"/>
      <c r="W248" s="44"/>
      <c r="X248" s="44"/>
      <c r="Y248" s="44"/>
      <c r="Z248" s="44"/>
      <c r="AA248" s="44"/>
      <c r="AB248" s="44"/>
    </row>
    <row r="249">
      <c r="A249" s="51"/>
      <c r="B249" s="43"/>
      <c r="C249" s="74"/>
      <c r="D249" s="75"/>
      <c r="E249" s="76"/>
      <c r="F249" s="76"/>
      <c r="G249" s="76"/>
      <c r="H249" s="76"/>
      <c r="I249" s="76"/>
      <c r="J249" s="43"/>
      <c r="K249" s="44"/>
      <c r="L249" s="44"/>
      <c r="M249" s="44"/>
      <c r="N249" s="44"/>
      <c r="O249" s="44"/>
      <c r="P249" s="44"/>
      <c r="Q249" s="44"/>
      <c r="R249" s="44"/>
      <c r="S249" s="44"/>
      <c r="T249" s="44"/>
      <c r="U249" s="44"/>
      <c r="V249" s="44"/>
      <c r="W249" s="44"/>
      <c r="X249" s="44"/>
      <c r="Y249" s="44"/>
      <c r="Z249" s="44"/>
      <c r="AA249" s="44"/>
      <c r="AB249" s="44"/>
    </row>
    <row r="250">
      <c r="A250" s="51"/>
      <c r="B250" s="43"/>
      <c r="C250" s="74"/>
      <c r="D250" s="75"/>
      <c r="E250" s="76"/>
      <c r="F250" s="76"/>
      <c r="G250" s="76"/>
      <c r="H250" s="76"/>
      <c r="I250" s="76"/>
      <c r="J250" s="43"/>
      <c r="K250" s="44"/>
      <c r="L250" s="44"/>
      <c r="M250" s="44"/>
      <c r="N250" s="44"/>
      <c r="O250" s="44"/>
      <c r="P250" s="44"/>
      <c r="Q250" s="44"/>
      <c r="R250" s="44"/>
      <c r="S250" s="44"/>
      <c r="T250" s="44"/>
      <c r="U250" s="44"/>
      <c r="V250" s="44"/>
      <c r="W250" s="44"/>
      <c r="X250" s="44"/>
      <c r="Y250" s="44"/>
      <c r="Z250" s="44"/>
      <c r="AA250" s="44"/>
      <c r="AB250" s="44"/>
    </row>
    <row r="251">
      <c r="A251" s="51"/>
      <c r="B251" s="43"/>
      <c r="C251" s="74"/>
      <c r="D251" s="75"/>
      <c r="E251" s="76"/>
      <c r="F251" s="76"/>
      <c r="G251" s="76"/>
      <c r="H251" s="76"/>
      <c r="I251" s="76"/>
      <c r="J251" s="43"/>
      <c r="K251" s="44"/>
      <c r="L251" s="44"/>
      <c r="M251" s="44"/>
      <c r="N251" s="44"/>
      <c r="O251" s="44"/>
      <c r="P251" s="44"/>
      <c r="Q251" s="44"/>
      <c r="R251" s="44"/>
      <c r="S251" s="44"/>
      <c r="T251" s="44"/>
      <c r="U251" s="44"/>
      <c r="V251" s="44"/>
      <c r="W251" s="44"/>
      <c r="X251" s="44"/>
      <c r="Y251" s="44"/>
      <c r="Z251" s="44"/>
      <c r="AA251" s="44"/>
      <c r="AB251" s="44"/>
    </row>
    <row r="252">
      <c r="A252" s="51"/>
      <c r="B252" s="43"/>
      <c r="C252" s="74"/>
      <c r="D252" s="75"/>
      <c r="E252" s="76"/>
      <c r="F252" s="76"/>
      <c r="G252" s="76"/>
      <c r="H252" s="76"/>
      <c r="I252" s="76"/>
      <c r="J252" s="43"/>
      <c r="K252" s="44"/>
      <c r="L252" s="44"/>
      <c r="M252" s="44"/>
      <c r="N252" s="44"/>
      <c r="O252" s="44"/>
      <c r="P252" s="44"/>
      <c r="Q252" s="44"/>
      <c r="R252" s="44"/>
      <c r="S252" s="44"/>
      <c r="T252" s="44"/>
      <c r="U252" s="44"/>
      <c r="V252" s="44"/>
      <c r="W252" s="44"/>
      <c r="X252" s="44"/>
      <c r="Y252" s="44"/>
      <c r="Z252" s="44"/>
      <c r="AA252" s="44"/>
      <c r="AB252" s="44"/>
    </row>
    <row r="253">
      <c r="A253" s="51"/>
      <c r="B253" s="43"/>
      <c r="C253" s="74"/>
      <c r="D253" s="75"/>
      <c r="E253" s="76"/>
      <c r="F253" s="76"/>
      <c r="G253" s="76"/>
      <c r="H253" s="76"/>
      <c r="I253" s="76"/>
      <c r="J253" s="43"/>
      <c r="K253" s="44"/>
      <c r="L253" s="44"/>
      <c r="M253" s="44"/>
      <c r="N253" s="44"/>
      <c r="O253" s="44"/>
      <c r="P253" s="44"/>
      <c r="Q253" s="44"/>
      <c r="R253" s="44"/>
      <c r="S253" s="44"/>
      <c r="T253" s="44"/>
      <c r="U253" s="44"/>
      <c r="V253" s="44"/>
      <c r="W253" s="44"/>
      <c r="X253" s="44"/>
      <c r="Y253" s="44"/>
      <c r="Z253" s="44"/>
      <c r="AA253" s="44"/>
      <c r="AB253" s="44"/>
    </row>
    <row r="254">
      <c r="A254" s="51"/>
      <c r="B254" s="43"/>
      <c r="C254" s="74"/>
      <c r="D254" s="75"/>
      <c r="E254" s="76"/>
      <c r="F254" s="76"/>
      <c r="G254" s="76"/>
      <c r="H254" s="76"/>
      <c r="I254" s="76"/>
      <c r="J254" s="43"/>
      <c r="K254" s="44"/>
      <c r="L254" s="44"/>
      <c r="M254" s="44"/>
      <c r="N254" s="44"/>
      <c r="O254" s="44"/>
      <c r="P254" s="44"/>
      <c r="Q254" s="44"/>
      <c r="R254" s="44"/>
      <c r="S254" s="44"/>
      <c r="T254" s="44"/>
      <c r="U254" s="44"/>
      <c r="V254" s="44"/>
      <c r="W254" s="44"/>
      <c r="X254" s="44"/>
      <c r="Y254" s="44"/>
      <c r="Z254" s="44"/>
      <c r="AA254" s="44"/>
      <c r="AB254" s="44"/>
    </row>
    <row r="255">
      <c r="A255" s="51"/>
      <c r="B255" s="43"/>
      <c r="C255" s="74"/>
      <c r="D255" s="75"/>
      <c r="E255" s="76"/>
      <c r="F255" s="76"/>
      <c r="G255" s="76"/>
      <c r="H255" s="76"/>
      <c r="I255" s="76"/>
      <c r="J255" s="43"/>
      <c r="K255" s="44"/>
      <c r="L255" s="44"/>
      <c r="M255" s="44"/>
      <c r="N255" s="44"/>
      <c r="O255" s="44"/>
      <c r="P255" s="44"/>
      <c r="Q255" s="44"/>
      <c r="R255" s="44"/>
      <c r="S255" s="44"/>
      <c r="T255" s="44"/>
      <c r="U255" s="44"/>
      <c r="V255" s="44"/>
      <c r="W255" s="44"/>
      <c r="X255" s="44"/>
      <c r="Y255" s="44"/>
      <c r="Z255" s="44"/>
      <c r="AA255" s="44"/>
      <c r="AB255" s="44"/>
    </row>
    <row r="256">
      <c r="A256" s="51"/>
      <c r="B256" s="43"/>
      <c r="C256" s="74"/>
      <c r="D256" s="75"/>
      <c r="E256" s="76"/>
      <c r="F256" s="76"/>
      <c r="G256" s="76"/>
      <c r="H256" s="76"/>
      <c r="I256" s="76"/>
      <c r="J256" s="43"/>
      <c r="K256" s="44"/>
      <c r="L256" s="44"/>
      <c r="M256" s="44"/>
      <c r="N256" s="44"/>
      <c r="O256" s="44"/>
      <c r="P256" s="44"/>
      <c r="Q256" s="44"/>
      <c r="R256" s="44"/>
      <c r="S256" s="44"/>
      <c r="T256" s="44"/>
      <c r="U256" s="44"/>
      <c r="V256" s="44"/>
      <c r="W256" s="44"/>
      <c r="X256" s="44"/>
      <c r="Y256" s="44"/>
      <c r="Z256" s="44"/>
      <c r="AA256" s="44"/>
      <c r="AB256" s="44"/>
    </row>
    <row r="257">
      <c r="A257" s="51"/>
      <c r="B257" s="43"/>
      <c r="C257" s="74"/>
      <c r="D257" s="75"/>
      <c r="E257" s="76"/>
      <c r="F257" s="76"/>
      <c r="G257" s="76"/>
      <c r="H257" s="76"/>
      <c r="I257" s="76"/>
      <c r="J257" s="43"/>
      <c r="K257" s="44"/>
      <c r="L257" s="44"/>
      <c r="M257" s="44"/>
      <c r="N257" s="44"/>
      <c r="O257" s="44"/>
      <c r="P257" s="44"/>
      <c r="Q257" s="44"/>
      <c r="R257" s="44"/>
      <c r="S257" s="44"/>
      <c r="T257" s="44"/>
      <c r="U257" s="44"/>
      <c r="V257" s="44"/>
      <c r="W257" s="44"/>
      <c r="X257" s="44"/>
      <c r="Y257" s="44"/>
      <c r="Z257" s="44"/>
      <c r="AA257" s="44"/>
      <c r="AB257" s="44"/>
    </row>
    <row r="258">
      <c r="A258" s="51"/>
      <c r="B258" s="43"/>
      <c r="C258" s="74"/>
      <c r="D258" s="75"/>
      <c r="E258" s="76"/>
      <c r="F258" s="76"/>
      <c r="G258" s="76"/>
      <c r="H258" s="76"/>
      <c r="I258" s="76"/>
      <c r="J258" s="43"/>
      <c r="K258" s="44"/>
      <c r="L258" s="44"/>
      <c r="M258" s="44"/>
      <c r="N258" s="44"/>
      <c r="O258" s="44"/>
      <c r="P258" s="44"/>
      <c r="Q258" s="44"/>
      <c r="R258" s="44"/>
      <c r="S258" s="44"/>
      <c r="T258" s="44"/>
      <c r="U258" s="44"/>
      <c r="V258" s="44"/>
      <c r="W258" s="44"/>
      <c r="X258" s="44"/>
      <c r="Y258" s="44"/>
      <c r="Z258" s="44"/>
      <c r="AA258" s="44"/>
      <c r="AB258" s="44"/>
    </row>
    <row r="259">
      <c r="A259" s="51"/>
      <c r="B259" s="43"/>
      <c r="C259" s="74"/>
      <c r="D259" s="75"/>
      <c r="E259" s="76"/>
      <c r="F259" s="76"/>
      <c r="G259" s="76"/>
      <c r="H259" s="76"/>
      <c r="I259" s="76"/>
      <c r="J259" s="43"/>
      <c r="K259" s="44"/>
      <c r="L259" s="44"/>
      <c r="M259" s="44"/>
      <c r="N259" s="44"/>
      <c r="O259" s="44"/>
      <c r="P259" s="44"/>
      <c r="Q259" s="44"/>
      <c r="R259" s="44"/>
      <c r="S259" s="44"/>
      <c r="T259" s="44"/>
      <c r="U259" s="44"/>
      <c r="V259" s="44"/>
      <c r="W259" s="44"/>
      <c r="X259" s="44"/>
      <c r="Y259" s="44"/>
      <c r="Z259" s="44"/>
      <c r="AA259" s="44"/>
      <c r="AB259" s="44"/>
    </row>
    <row r="260">
      <c r="A260" s="51"/>
      <c r="B260" s="43"/>
      <c r="C260" s="74"/>
      <c r="D260" s="75"/>
      <c r="E260" s="76"/>
      <c r="F260" s="76"/>
      <c r="G260" s="76"/>
      <c r="H260" s="76"/>
      <c r="I260" s="76"/>
      <c r="J260" s="43"/>
      <c r="K260" s="44"/>
      <c r="L260" s="44"/>
      <c r="M260" s="44"/>
      <c r="N260" s="44"/>
      <c r="O260" s="44"/>
      <c r="P260" s="44"/>
      <c r="Q260" s="44"/>
      <c r="R260" s="44"/>
      <c r="S260" s="44"/>
      <c r="T260" s="44"/>
      <c r="U260" s="44"/>
      <c r="V260" s="44"/>
      <c r="W260" s="44"/>
      <c r="X260" s="44"/>
      <c r="Y260" s="44"/>
      <c r="Z260" s="44"/>
      <c r="AA260" s="44"/>
      <c r="AB260" s="44"/>
    </row>
    <row r="261">
      <c r="A261" s="51"/>
      <c r="B261" s="43"/>
      <c r="C261" s="74"/>
      <c r="D261" s="75"/>
      <c r="E261" s="76"/>
      <c r="F261" s="76"/>
      <c r="G261" s="76"/>
      <c r="H261" s="76"/>
      <c r="I261" s="76"/>
      <c r="J261" s="43"/>
      <c r="K261" s="44"/>
      <c r="L261" s="44"/>
      <c r="M261" s="44"/>
      <c r="N261" s="44"/>
      <c r="O261" s="44"/>
      <c r="P261" s="44"/>
      <c r="Q261" s="44"/>
      <c r="R261" s="44"/>
      <c r="S261" s="44"/>
      <c r="T261" s="44"/>
      <c r="U261" s="44"/>
      <c r="V261" s="44"/>
      <c r="W261" s="44"/>
      <c r="X261" s="44"/>
      <c r="Y261" s="44"/>
      <c r="Z261" s="44"/>
      <c r="AA261" s="44"/>
      <c r="AB261" s="44"/>
    </row>
    <row r="262">
      <c r="A262" s="51"/>
      <c r="B262" s="43"/>
      <c r="C262" s="74"/>
      <c r="D262" s="75"/>
      <c r="E262" s="76"/>
      <c r="F262" s="76"/>
      <c r="G262" s="76"/>
      <c r="H262" s="76"/>
      <c r="I262" s="76"/>
      <c r="J262" s="43"/>
      <c r="K262" s="44"/>
      <c r="L262" s="44"/>
      <c r="M262" s="44"/>
      <c r="N262" s="44"/>
      <c r="O262" s="44"/>
      <c r="P262" s="44"/>
      <c r="Q262" s="44"/>
      <c r="R262" s="44"/>
      <c r="S262" s="44"/>
      <c r="T262" s="44"/>
      <c r="U262" s="44"/>
      <c r="V262" s="44"/>
      <c r="W262" s="44"/>
      <c r="X262" s="44"/>
      <c r="Y262" s="44"/>
      <c r="Z262" s="44"/>
      <c r="AA262" s="44"/>
      <c r="AB262" s="44"/>
    </row>
    <row r="263">
      <c r="A263" s="51"/>
      <c r="B263" s="43"/>
      <c r="C263" s="74"/>
      <c r="D263" s="75"/>
      <c r="E263" s="76"/>
      <c r="F263" s="76"/>
      <c r="G263" s="76"/>
      <c r="H263" s="76"/>
      <c r="I263" s="76"/>
      <c r="J263" s="43"/>
      <c r="K263" s="44"/>
      <c r="L263" s="44"/>
      <c r="M263" s="44"/>
      <c r="N263" s="44"/>
      <c r="O263" s="44"/>
      <c r="P263" s="44"/>
      <c r="Q263" s="44"/>
      <c r="R263" s="44"/>
      <c r="S263" s="44"/>
      <c r="T263" s="44"/>
      <c r="U263" s="44"/>
      <c r="V263" s="44"/>
      <c r="W263" s="44"/>
      <c r="X263" s="44"/>
      <c r="Y263" s="44"/>
      <c r="Z263" s="44"/>
      <c r="AA263" s="44"/>
      <c r="AB263" s="44"/>
    </row>
    <row r="264">
      <c r="A264" s="51"/>
      <c r="B264" s="43"/>
      <c r="C264" s="74"/>
      <c r="D264" s="75"/>
      <c r="E264" s="76"/>
      <c r="F264" s="76"/>
      <c r="G264" s="76"/>
      <c r="H264" s="76"/>
      <c r="I264" s="76"/>
      <c r="J264" s="43"/>
      <c r="K264" s="44"/>
      <c r="L264" s="44"/>
      <c r="M264" s="44"/>
      <c r="N264" s="44"/>
      <c r="O264" s="44"/>
      <c r="P264" s="44"/>
      <c r="Q264" s="44"/>
      <c r="R264" s="44"/>
      <c r="S264" s="44"/>
      <c r="T264" s="44"/>
      <c r="U264" s="44"/>
      <c r="V264" s="44"/>
      <c r="W264" s="44"/>
      <c r="X264" s="44"/>
      <c r="Y264" s="44"/>
      <c r="Z264" s="44"/>
      <c r="AA264" s="44"/>
      <c r="AB264" s="44"/>
    </row>
    <row r="265">
      <c r="A265" s="51"/>
      <c r="B265" s="43"/>
      <c r="C265" s="74"/>
      <c r="D265" s="75"/>
      <c r="E265" s="76"/>
      <c r="F265" s="76"/>
      <c r="G265" s="76"/>
      <c r="H265" s="76"/>
      <c r="I265" s="76"/>
      <c r="J265" s="43"/>
      <c r="K265" s="44"/>
      <c r="L265" s="44"/>
      <c r="M265" s="44"/>
      <c r="N265" s="44"/>
      <c r="O265" s="44"/>
      <c r="P265" s="44"/>
      <c r="Q265" s="44"/>
      <c r="R265" s="44"/>
      <c r="S265" s="44"/>
      <c r="T265" s="44"/>
      <c r="U265" s="44"/>
      <c r="V265" s="44"/>
      <c r="W265" s="44"/>
      <c r="X265" s="44"/>
      <c r="Y265" s="44"/>
      <c r="Z265" s="44"/>
      <c r="AA265" s="44"/>
      <c r="AB265" s="44"/>
    </row>
    <row r="266">
      <c r="A266" s="51"/>
      <c r="B266" s="43"/>
      <c r="C266" s="74"/>
      <c r="D266" s="75"/>
      <c r="E266" s="76"/>
      <c r="F266" s="76"/>
      <c r="G266" s="76"/>
      <c r="H266" s="76"/>
      <c r="I266" s="76"/>
      <c r="J266" s="43"/>
      <c r="K266" s="44"/>
      <c r="L266" s="44"/>
      <c r="M266" s="44"/>
      <c r="N266" s="44"/>
      <c r="O266" s="44"/>
      <c r="P266" s="44"/>
      <c r="Q266" s="44"/>
      <c r="R266" s="44"/>
      <c r="S266" s="44"/>
      <c r="T266" s="44"/>
      <c r="U266" s="44"/>
      <c r="V266" s="44"/>
      <c r="W266" s="44"/>
      <c r="X266" s="44"/>
      <c r="Y266" s="44"/>
      <c r="Z266" s="44"/>
      <c r="AA266" s="44"/>
      <c r="AB266" s="44"/>
    </row>
    <row r="267">
      <c r="A267" s="51"/>
      <c r="B267" s="43"/>
      <c r="C267" s="74"/>
      <c r="D267" s="75"/>
      <c r="E267" s="76"/>
      <c r="F267" s="76"/>
      <c r="G267" s="76"/>
      <c r="H267" s="76"/>
      <c r="I267" s="76"/>
      <c r="J267" s="43"/>
      <c r="K267" s="44"/>
      <c r="L267" s="44"/>
      <c r="M267" s="44"/>
      <c r="N267" s="44"/>
      <c r="O267" s="44"/>
      <c r="P267" s="44"/>
      <c r="Q267" s="44"/>
      <c r="R267" s="44"/>
      <c r="S267" s="44"/>
      <c r="T267" s="44"/>
      <c r="U267" s="44"/>
      <c r="V267" s="44"/>
      <c r="W267" s="44"/>
      <c r="X267" s="44"/>
      <c r="Y267" s="44"/>
      <c r="Z267" s="44"/>
      <c r="AA267" s="44"/>
      <c r="AB267" s="44"/>
    </row>
    <row r="268">
      <c r="A268" s="51"/>
      <c r="B268" s="43"/>
      <c r="C268" s="74"/>
      <c r="D268" s="75"/>
      <c r="E268" s="76"/>
      <c r="F268" s="76"/>
      <c r="G268" s="76"/>
      <c r="H268" s="76"/>
      <c r="I268" s="76"/>
      <c r="J268" s="43"/>
      <c r="K268" s="44"/>
      <c r="L268" s="44"/>
      <c r="M268" s="44"/>
      <c r="N268" s="44"/>
      <c r="O268" s="44"/>
      <c r="P268" s="44"/>
      <c r="Q268" s="44"/>
      <c r="R268" s="44"/>
      <c r="S268" s="44"/>
      <c r="T268" s="44"/>
      <c r="U268" s="44"/>
      <c r="V268" s="44"/>
      <c r="W268" s="44"/>
      <c r="X268" s="44"/>
      <c r="Y268" s="44"/>
      <c r="Z268" s="44"/>
      <c r="AA268" s="44"/>
      <c r="AB268" s="44"/>
    </row>
    <row r="269">
      <c r="A269" s="51"/>
      <c r="B269" s="43"/>
      <c r="C269" s="74"/>
      <c r="D269" s="75"/>
      <c r="E269" s="76"/>
      <c r="F269" s="76"/>
      <c r="G269" s="76"/>
      <c r="H269" s="76"/>
      <c r="I269" s="76"/>
      <c r="J269" s="43"/>
      <c r="K269" s="44"/>
      <c r="L269" s="44"/>
      <c r="M269" s="44"/>
      <c r="N269" s="44"/>
      <c r="O269" s="44"/>
      <c r="P269" s="44"/>
      <c r="Q269" s="44"/>
      <c r="R269" s="44"/>
      <c r="S269" s="44"/>
      <c r="T269" s="44"/>
      <c r="U269" s="44"/>
      <c r="V269" s="44"/>
      <c r="W269" s="44"/>
      <c r="X269" s="44"/>
      <c r="Y269" s="44"/>
      <c r="Z269" s="44"/>
      <c r="AA269" s="44"/>
      <c r="AB269" s="44"/>
    </row>
    <row r="270">
      <c r="A270" s="51"/>
      <c r="B270" s="43"/>
      <c r="C270" s="74"/>
      <c r="D270" s="75"/>
      <c r="E270" s="76"/>
      <c r="F270" s="76"/>
      <c r="G270" s="76"/>
      <c r="H270" s="76"/>
      <c r="I270" s="76"/>
      <c r="J270" s="43"/>
      <c r="K270" s="44"/>
      <c r="L270" s="44"/>
      <c r="M270" s="44"/>
      <c r="N270" s="44"/>
      <c r="O270" s="44"/>
      <c r="P270" s="44"/>
      <c r="Q270" s="44"/>
      <c r="R270" s="44"/>
      <c r="S270" s="44"/>
      <c r="T270" s="44"/>
      <c r="U270" s="44"/>
      <c r="V270" s="44"/>
      <c r="W270" s="44"/>
      <c r="X270" s="44"/>
      <c r="Y270" s="44"/>
      <c r="Z270" s="44"/>
      <c r="AA270" s="44"/>
      <c r="AB270" s="44"/>
    </row>
    <row r="271">
      <c r="A271" s="51"/>
      <c r="B271" s="43"/>
      <c r="C271" s="74"/>
      <c r="D271" s="75"/>
      <c r="E271" s="76"/>
      <c r="F271" s="76"/>
      <c r="G271" s="76"/>
      <c r="H271" s="76"/>
      <c r="I271" s="76"/>
      <c r="J271" s="43"/>
      <c r="K271" s="44"/>
      <c r="L271" s="44"/>
      <c r="M271" s="44"/>
      <c r="N271" s="44"/>
      <c r="O271" s="44"/>
      <c r="P271" s="44"/>
      <c r="Q271" s="44"/>
      <c r="R271" s="44"/>
      <c r="S271" s="44"/>
      <c r="T271" s="44"/>
      <c r="U271" s="44"/>
      <c r="V271" s="44"/>
      <c r="W271" s="44"/>
      <c r="X271" s="44"/>
      <c r="Y271" s="44"/>
      <c r="Z271" s="44"/>
      <c r="AA271" s="44"/>
      <c r="AB271" s="44"/>
    </row>
    <row r="272">
      <c r="A272" s="51"/>
      <c r="B272" s="43"/>
      <c r="C272" s="74"/>
      <c r="D272" s="75"/>
      <c r="E272" s="76"/>
      <c r="F272" s="76"/>
      <c r="G272" s="76"/>
      <c r="H272" s="76"/>
      <c r="I272" s="76"/>
      <c r="J272" s="43"/>
      <c r="K272" s="44"/>
      <c r="L272" s="44"/>
      <c r="M272" s="44"/>
      <c r="N272" s="44"/>
      <c r="O272" s="44"/>
      <c r="P272" s="44"/>
      <c r="Q272" s="44"/>
      <c r="R272" s="44"/>
      <c r="S272" s="44"/>
      <c r="T272" s="44"/>
      <c r="U272" s="44"/>
      <c r="V272" s="44"/>
      <c r="W272" s="44"/>
      <c r="X272" s="44"/>
      <c r="Y272" s="44"/>
      <c r="Z272" s="44"/>
      <c r="AA272" s="44"/>
      <c r="AB272" s="44"/>
    </row>
    <row r="273">
      <c r="A273" s="51"/>
      <c r="B273" s="43"/>
      <c r="C273" s="74"/>
      <c r="D273" s="75"/>
      <c r="E273" s="76"/>
      <c r="F273" s="76"/>
      <c r="G273" s="76"/>
      <c r="H273" s="76"/>
      <c r="I273" s="76"/>
      <c r="J273" s="43"/>
      <c r="K273" s="44"/>
      <c r="L273" s="44"/>
      <c r="M273" s="44"/>
      <c r="N273" s="44"/>
      <c r="O273" s="44"/>
      <c r="P273" s="44"/>
      <c r="Q273" s="44"/>
      <c r="R273" s="44"/>
      <c r="S273" s="44"/>
      <c r="T273" s="44"/>
      <c r="U273" s="44"/>
      <c r="V273" s="44"/>
      <c r="W273" s="44"/>
      <c r="X273" s="44"/>
      <c r="Y273" s="44"/>
      <c r="Z273" s="44"/>
      <c r="AA273" s="44"/>
      <c r="AB273" s="44"/>
    </row>
    <row r="274">
      <c r="A274" s="51"/>
      <c r="B274" s="43"/>
      <c r="C274" s="74"/>
      <c r="D274" s="75"/>
      <c r="E274" s="76"/>
      <c r="F274" s="76"/>
      <c r="G274" s="76"/>
      <c r="H274" s="76"/>
      <c r="I274" s="76"/>
      <c r="J274" s="43"/>
      <c r="K274" s="44"/>
      <c r="L274" s="44"/>
      <c r="M274" s="44"/>
      <c r="N274" s="44"/>
      <c r="O274" s="44"/>
      <c r="P274" s="44"/>
      <c r="Q274" s="44"/>
      <c r="R274" s="44"/>
      <c r="S274" s="44"/>
      <c r="T274" s="44"/>
      <c r="U274" s="44"/>
      <c r="V274" s="44"/>
      <c r="W274" s="44"/>
      <c r="X274" s="44"/>
      <c r="Y274" s="44"/>
      <c r="Z274" s="44"/>
      <c r="AA274" s="44"/>
      <c r="AB274" s="44"/>
    </row>
    <row r="275">
      <c r="A275" s="51"/>
      <c r="B275" s="43"/>
      <c r="C275" s="74"/>
      <c r="D275" s="75"/>
      <c r="E275" s="76"/>
      <c r="F275" s="76"/>
      <c r="G275" s="76"/>
      <c r="H275" s="76"/>
      <c r="I275" s="76"/>
      <c r="J275" s="43"/>
      <c r="K275" s="44"/>
      <c r="L275" s="44"/>
      <c r="M275" s="44"/>
      <c r="N275" s="44"/>
      <c r="O275" s="44"/>
      <c r="P275" s="44"/>
      <c r="Q275" s="44"/>
      <c r="R275" s="44"/>
      <c r="S275" s="44"/>
      <c r="T275" s="44"/>
      <c r="U275" s="44"/>
      <c r="V275" s="44"/>
      <c r="W275" s="44"/>
      <c r="X275" s="44"/>
      <c r="Y275" s="44"/>
      <c r="Z275" s="44"/>
      <c r="AA275" s="44"/>
      <c r="AB275" s="44"/>
    </row>
    <row r="276">
      <c r="A276" s="51"/>
      <c r="B276" s="43"/>
      <c r="C276" s="74"/>
      <c r="D276" s="75"/>
      <c r="E276" s="76"/>
      <c r="F276" s="76"/>
      <c r="G276" s="76"/>
      <c r="H276" s="76"/>
      <c r="I276" s="76"/>
      <c r="J276" s="43"/>
      <c r="K276" s="44"/>
      <c r="L276" s="44"/>
      <c r="M276" s="44"/>
      <c r="N276" s="44"/>
      <c r="O276" s="44"/>
      <c r="P276" s="44"/>
      <c r="Q276" s="44"/>
      <c r="R276" s="44"/>
      <c r="S276" s="44"/>
      <c r="T276" s="44"/>
      <c r="U276" s="44"/>
      <c r="V276" s="44"/>
      <c r="W276" s="44"/>
      <c r="X276" s="44"/>
      <c r="Y276" s="44"/>
      <c r="Z276" s="44"/>
      <c r="AA276" s="44"/>
      <c r="AB276" s="44"/>
    </row>
    <row r="277">
      <c r="A277" s="51"/>
      <c r="B277" s="43"/>
      <c r="C277" s="74"/>
      <c r="D277" s="75"/>
      <c r="E277" s="76"/>
      <c r="F277" s="76"/>
      <c r="G277" s="76"/>
      <c r="H277" s="76"/>
      <c r="I277" s="76"/>
      <c r="J277" s="43"/>
      <c r="K277" s="44"/>
      <c r="L277" s="44"/>
      <c r="M277" s="44"/>
      <c r="N277" s="44"/>
      <c r="O277" s="44"/>
      <c r="P277" s="44"/>
      <c r="Q277" s="44"/>
      <c r="R277" s="44"/>
      <c r="S277" s="44"/>
      <c r="T277" s="44"/>
      <c r="U277" s="44"/>
      <c r="V277" s="44"/>
      <c r="W277" s="44"/>
      <c r="X277" s="44"/>
      <c r="Y277" s="44"/>
      <c r="Z277" s="44"/>
      <c r="AA277" s="44"/>
      <c r="AB277" s="44"/>
    </row>
    <row r="278">
      <c r="A278" s="51"/>
      <c r="B278" s="43"/>
      <c r="C278" s="74"/>
      <c r="D278" s="75"/>
      <c r="E278" s="76"/>
      <c r="F278" s="76"/>
      <c r="G278" s="76"/>
      <c r="H278" s="76"/>
      <c r="I278" s="76"/>
      <c r="J278" s="43"/>
      <c r="K278" s="44"/>
      <c r="L278" s="44"/>
      <c r="M278" s="44"/>
      <c r="N278" s="44"/>
      <c r="O278" s="44"/>
      <c r="P278" s="44"/>
      <c r="Q278" s="44"/>
      <c r="R278" s="44"/>
      <c r="S278" s="44"/>
      <c r="T278" s="44"/>
      <c r="U278" s="44"/>
      <c r="V278" s="44"/>
      <c r="W278" s="44"/>
      <c r="X278" s="44"/>
      <c r="Y278" s="44"/>
      <c r="Z278" s="44"/>
      <c r="AA278" s="44"/>
      <c r="AB278" s="44"/>
    </row>
    <row r="279">
      <c r="A279" s="51"/>
      <c r="B279" s="43"/>
      <c r="C279" s="74"/>
      <c r="D279" s="75"/>
      <c r="E279" s="76"/>
      <c r="F279" s="76"/>
      <c r="G279" s="76"/>
      <c r="H279" s="76"/>
      <c r="I279" s="76"/>
      <c r="J279" s="43"/>
      <c r="K279" s="44"/>
      <c r="L279" s="44"/>
      <c r="M279" s="44"/>
      <c r="N279" s="44"/>
      <c r="O279" s="44"/>
      <c r="P279" s="44"/>
      <c r="Q279" s="44"/>
      <c r="R279" s="44"/>
      <c r="S279" s="44"/>
      <c r="T279" s="44"/>
      <c r="U279" s="44"/>
      <c r="V279" s="44"/>
      <c r="W279" s="44"/>
      <c r="X279" s="44"/>
      <c r="Y279" s="44"/>
      <c r="Z279" s="44"/>
      <c r="AA279" s="44"/>
      <c r="AB279" s="44"/>
    </row>
    <row r="280">
      <c r="A280" s="51"/>
      <c r="B280" s="43"/>
      <c r="C280" s="74"/>
      <c r="D280" s="75"/>
      <c r="E280" s="76"/>
      <c r="F280" s="76"/>
      <c r="G280" s="76"/>
      <c r="H280" s="76"/>
      <c r="I280" s="76"/>
      <c r="J280" s="43"/>
      <c r="K280" s="44"/>
      <c r="L280" s="44"/>
      <c r="M280" s="44"/>
      <c r="N280" s="44"/>
      <c r="O280" s="44"/>
      <c r="P280" s="44"/>
      <c r="Q280" s="44"/>
      <c r="R280" s="44"/>
      <c r="S280" s="44"/>
      <c r="T280" s="44"/>
      <c r="U280" s="44"/>
      <c r="V280" s="44"/>
      <c r="W280" s="44"/>
      <c r="X280" s="44"/>
      <c r="Y280" s="44"/>
      <c r="Z280" s="44"/>
      <c r="AA280" s="44"/>
      <c r="AB280" s="44"/>
    </row>
    <row r="281">
      <c r="A281" s="51"/>
      <c r="B281" s="43"/>
      <c r="C281" s="74"/>
      <c r="D281" s="75"/>
      <c r="E281" s="76"/>
      <c r="F281" s="76"/>
      <c r="G281" s="76"/>
      <c r="H281" s="76"/>
      <c r="I281" s="76"/>
      <c r="J281" s="43"/>
      <c r="K281" s="44"/>
      <c r="L281" s="44"/>
      <c r="M281" s="44"/>
      <c r="N281" s="44"/>
      <c r="O281" s="44"/>
      <c r="P281" s="44"/>
      <c r="Q281" s="44"/>
      <c r="R281" s="44"/>
      <c r="S281" s="44"/>
      <c r="T281" s="44"/>
      <c r="U281" s="44"/>
      <c r="V281" s="44"/>
      <c r="W281" s="44"/>
      <c r="X281" s="44"/>
      <c r="Y281" s="44"/>
      <c r="Z281" s="44"/>
      <c r="AA281" s="44"/>
      <c r="AB281" s="44"/>
    </row>
    <row r="282">
      <c r="A282" s="51"/>
      <c r="B282" s="43"/>
      <c r="C282" s="74"/>
      <c r="D282" s="75"/>
      <c r="E282" s="76"/>
      <c r="F282" s="76"/>
      <c r="G282" s="76"/>
      <c r="H282" s="76"/>
      <c r="I282" s="76"/>
      <c r="J282" s="43"/>
      <c r="K282" s="44"/>
      <c r="L282" s="44"/>
      <c r="M282" s="44"/>
      <c r="N282" s="44"/>
      <c r="O282" s="44"/>
      <c r="P282" s="44"/>
      <c r="Q282" s="44"/>
      <c r="R282" s="44"/>
      <c r="S282" s="44"/>
      <c r="T282" s="44"/>
      <c r="U282" s="44"/>
      <c r="V282" s="44"/>
      <c r="W282" s="44"/>
      <c r="X282" s="44"/>
      <c r="Y282" s="44"/>
      <c r="Z282" s="44"/>
      <c r="AA282" s="44"/>
      <c r="AB282" s="44"/>
    </row>
    <row r="283">
      <c r="A283" s="51"/>
      <c r="B283" s="43"/>
      <c r="C283" s="74"/>
      <c r="D283" s="75"/>
      <c r="E283" s="76"/>
      <c r="F283" s="76"/>
      <c r="G283" s="76"/>
      <c r="H283" s="76"/>
      <c r="I283" s="76"/>
      <c r="J283" s="43"/>
      <c r="K283" s="44"/>
      <c r="L283" s="44"/>
      <c r="M283" s="44"/>
      <c r="N283" s="44"/>
      <c r="O283" s="44"/>
      <c r="P283" s="44"/>
      <c r="Q283" s="44"/>
      <c r="R283" s="44"/>
      <c r="S283" s="44"/>
      <c r="T283" s="44"/>
      <c r="U283" s="44"/>
      <c r="V283" s="44"/>
      <c r="W283" s="44"/>
      <c r="X283" s="44"/>
      <c r="Y283" s="44"/>
      <c r="Z283" s="44"/>
      <c r="AA283" s="44"/>
      <c r="AB283" s="44"/>
    </row>
    <row r="284">
      <c r="A284" s="51"/>
      <c r="B284" s="43"/>
      <c r="C284" s="74"/>
      <c r="D284" s="75"/>
      <c r="E284" s="76"/>
      <c r="F284" s="76"/>
      <c r="G284" s="76"/>
      <c r="H284" s="76"/>
      <c r="I284" s="76"/>
      <c r="J284" s="43"/>
      <c r="K284" s="44"/>
      <c r="L284" s="44"/>
      <c r="M284" s="44"/>
      <c r="N284" s="44"/>
      <c r="O284" s="44"/>
      <c r="P284" s="44"/>
      <c r="Q284" s="44"/>
      <c r="R284" s="44"/>
      <c r="S284" s="44"/>
      <c r="T284" s="44"/>
      <c r="U284" s="44"/>
      <c r="V284" s="44"/>
      <c r="W284" s="44"/>
      <c r="X284" s="44"/>
      <c r="Y284" s="44"/>
      <c r="Z284" s="44"/>
      <c r="AA284" s="44"/>
      <c r="AB284" s="44"/>
    </row>
    <row r="285">
      <c r="A285" s="51"/>
      <c r="B285" s="43"/>
      <c r="C285" s="74"/>
      <c r="D285" s="75"/>
      <c r="E285" s="76"/>
      <c r="F285" s="76"/>
      <c r="G285" s="76"/>
      <c r="H285" s="76"/>
      <c r="I285" s="76"/>
      <c r="J285" s="43"/>
      <c r="K285" s="44"/>
      <c r="L285" s="44"/>
      <c r="M285" s="44"/>
      <c r="N285" s="44"/>
      <c r="O285" s="44"/>
      <c r="P285" s="44"/>
      <c r="Q285" s="44"/>
      <c r="R285" s="44"/>
      <c r="S285" s="44"/>
      <c r="T285" s="44"/>
      <c r="U285" s="44"/>
      <c r="V285" s="44"/>
      <c r="W285" s="44"/>
      <c r="X285" s="44"/>
      <c r="Y285" s="44"/>
      <c r="Z285" s="44"/>
      <c r="AA285" s="44"/>
      <c r="AB285" s="44"/>
    </row>
    <row r="286">
      <c r="A286" s="51"/>
      <c r="B286" s="43"/>
      <c r="C286" s="74"/>
      <c r="D286" s="75"/>
      <c r="E286" s="76"/>
      <c r="F286" s="76"/>
      <c r="G286" s="76"/>
      <c r="H286" s="76"/>
      <c r="I286" s="76"/>
      <c r="J286" s="43"/>
      <c r="K286" s="44"/>
      <c r="L286" s="44"/>
      <c r="M286" s="44"/>
      <c r="N286" s="44"/>
      <c r="O286" s="44"/>
      <c r="P286" s="44"/>
      <c r="Q286" s="44"/>
      <c r="R286" s="44"/>
      <c r="S286" s="44"/>
      <c r="T286" s="44"/>
      <c r="U286" s="44"/>
      <c r="V286" s="44"/>
      <c r="W286" s="44"/>
      <c r="X286" s="44"/>
      <c r="Y286" s="44"/>
      <c r="Z286" s="44"/>
      <c r="AA286" s="44"/>
      <c r="AB286" s="44"/>
    </row>
    <row r="287">
      <c r="A287" s="51"/>
      <c r="B287" s="43"/>
      <c r="C287" s="74"/>
      <c r="D287" s="75"/>
      <c r="E287" s="76"/>
      <c r="F287" s="76"/>
      <c r="G287" s="76"/>
      <c r="H287" s="76"/>
      <c r="I287" s="76"/>
      <c r="J287" s="43"/>
      <c r="K287" s="44"/>
      <c r="L287" s="44"/>
      <c r="M287" s="44"/>
      <c r="N287" s="44"/>
      <c r="O287" s="44"/>
      <c r="P287" s="44"/>
      <c r="Q287" s="44"/>
      <c r="R287" s="44"/>
      <c r="S287" s="44"/>
      <c r="T287" s="44"/>
      <c r="U287" s="44"/>
      <c r="V287" s="44"/>
      <c r="W287" s="44"/>
      <c r="X287" s="44"/>
      <c r="Y287" s="44"/>
      <c r="Z287" s="44"/>
      <c r="AA287" s="44"/>
      <c r="AB287" s="44"/>
    </row>
    <row r="288">
      <c r="A288" s="51"/>
      <c r="B288" s="43"/>
      <c r="C288" s="74"/>
      <c r="D288" s="75"/>
      <c r="E288" s="76"/>
      <c r="F288" s="76"/>
      <c r="G288" s="76"/>
      <c r="H288" s="76"/>
      <c r="I288" s="76"/>
      <c r="J288" s="43"/>
      <c r="K288" s="44"/>
      <c r="L288" s="44"/>
      <c r="M288" s="44"/>
      <c r="N288" s="44"/>
      <c r="O288" s="44"/>
      <c r="P288" s="44"/>
      <c r="Q288" s="44"/>
      <c r="R288" s="44"/>
      <c r="S288" s="44"/>
      <c r="T288" s="44"/>
      <c r="U288" s="44"/>
      <c r="V288" s="44"/>
      <c r="W288" s="44"/>
      <c r="X288" s="44"/>
      <c r="Y288" s="44"/>
      <c r="Z288" s="44"/>
      <c r="AA288" s="44"/>
      <c r="AB288" s="44"/>
    </row>
    <row r="289">
      <c r="A289" s="51"/>
      <c r="B289" s="43"/>
      <c r="C289" s="74"/>
      <c r="D289" s="75"/>
      <c r="E289" s="76"/>
      <c r="F289" s="76"/>
      <c r="G289" s="76"/>
      <c r="H289" s="76"/>
      <c r="I289" s="76"/>
      <c r="J289" s="43"/>
      <c r="K289" s="44"/>
      <c r="L289" s="44"/>
      <c r="M289" s="44"/>
      <c r="N289" s="44"/>
      <c r="O289" s="44"/>
      <c r="P289" s="44"/>
      <c r="Q289" s="44"/>
      <c r="R289" s="44"/>
      <c r="S289" s="44"/>
      <c r="T289" s="44"/>
      <c r="U289" s="44"/>
      <c r="V289" s="44"/>
      <c r="W289" s="44"/>
      <c r="X289" s="44"/>
      <c r="Y289" s="44"/>
      <c r="Z289" s="44"/>
      <c r="AA289" s="44"/>
      <c r="AB289" s="44"/>
    </row>
    <row r="290">
      <c r="A290" s="51"/>
      <c r="B290" s="43"/>
      <c r="C290" s="74"/>
      <c r="D290" s="75"/>
      <c r="E290" s="76"/>
      <c r="F290" s="76"/>
      <c r="G290" s="76"/>
      <c r="H290" s="76"/>
      <c r="I290" s="76"/>
      <c r="J290" s="43"/>
      <c r="K290" s="44"/>
      <c r="L290" s="44"/>
      <c r="M290" s="44"/>
      <c r="N290" s="44"/>
      <c r="O290" s="44"/>
      <c r="P290" s="44"/>
      <c r="Q290" s="44"/>
      <c r="R290" s="44"/>
      <c r="S290" s="44"/>
      <c r="T290" s="44"/>
      <c r="U290" s="44"/>
      <c r="V290" s="44"/>
      <c r="W290" s="44"/>
      <c r="X290" s="44"/>
      <c r="Y290" s="44"/>
      <c r="Z290" s="44"/>
      <c r="AA290" s="44"/>
      <c r="AB290" s="44"/>
    </row>
    <row r="291">
      <c r="A291" s="51"/>
      <c r="B291" s="43"/>
      <c r="C291" s="74"/>
      <c r="D291" s="75"/>
      <c r="E291" s="76"/>
      <c r="F291" s="76"/>
      <c r="G291" s="76"/>
      <c r="H291" s="76"/>
      <c r="I291" s="76"/>
      <c r="J291" s="43"/>
      <c r="K291" s="44"/>
      <c r="L291" s="44"/>
      <c r="M291" s="44"/>
      <c r="N291" s="44"/>
      <c r="O291" s="44"/>
      <c r="P291" s="44"/>
      <c r="Q291" s="44"/>
      <c r="R291" s="44"/>
      <c r="S291" s="44"/>
      <c r="T291" s="44"/>
      <c r="U291" s="44"/>
      <c r="V291" s="44"/>
      <c r="W291" s="44"/>
      <c r="X291" s="44"/>
      <c r="Y291" s="44"/>
      <c r="Z291" s="44"/>
      <c r="AA291" s="44"/>
      <c r="AB291" s="44"/>
    </row>
    <row r="292">
      <c r="A292" s="51"/>
      <c r="B292" s="43"/>
      <c r="C292" s="74"/>
      <c r="D292" s="75"/>
      <c r="E292" s="76"/>
      <c r="F292" s="76"/>
      <c r="G292" s="76"/>
      <c r="H292" s="76"/>
      <c r="I292" s="76"/>
      <c r="J292" s="43"/>
      <c r="K292" s="44"/>
      <c r="L292" s="44"/>
      <c r="M292" s="44"/>
      <c r="N292" s="44"/>
      <c r="O292" s="44"/>
      <c r="P292" s="44"/>
      <c r="Q292" s="44"/>
      <c r="R292" s="44"/>
      <c r="S292" s="44"/>
      <c r="T292" s="44"/>
      <c r="U292" s="44"/>
      <c r="V292" s="44"/>
      <c r="W292" s="44"/>
      <c r="X292" s="44"/>
      <c r="Y292" s="44"/>
      <c r="Z292" s="44"/>
      <c r="AA292" s="44"/>
      <c r="AB292" s="44"/>
    </row>
    <row r="293">
      <c r="A293" s="51"/>
      <c r="B293" s="43"/>
      <c r="C293" s="74"/>
      <c r="D293" s="75"/>
      <c r="E293" s="76"/>
      <c r="F293" s="76"/>
      <c r="G293" s="76"/>
      <c r="H293" s="76"/>
      <c r="I293" s="76"/>
      <c r="J293" s="43"/>
      <c r="K293" s="44"/>
      <c r="L293" s="44"/>
      <c r="M293" s="44"/>
      <c r="N293" s="44"/>
      <c r="O293" s="44"/>
      <c r="P293" s="44"/>
      <c r="Q293" s="44"/>
      <c r="R293" s="44"/>
      <c r="S293" s="44"/>
      <c r="T293" s="44"/>
      <c r="U293" s="44"/>
      <c r="V293" s="44"/>
      <c r="W293" s="44"/>
      <c r="X293" s="44"/>
      <c r="Y293" s="44"/>
      <c r="Z293" s="44"/>
      <c r="AA293" s="44"/>
      <c r="AB293" s="44"/>
    </row>
    <row r="294">
      <c r="A294" s="51"/>
      <c r="B294" s="43"/>
      <c r="C294" s="74"/>
      <c r="D294" s="75"/>
      <c r="E294" s="76"/>
      <c r="F294" s="76"/>
      <c r="G294" s="76"/>
      <c r="H294" s="76"/>
      <c r="I294" s="76"/>
      <c r="J294" s="43"/>
      <c r="K294" s="44"/>
      <c r="L294" s="44"/>
      <c r="M294" s="44"/>
      <c r="N294" s="44"/>
      <c r="O294" s="44"/>
      <c r="P294" s="44"/>
      <c r="Q294" s="44"/>
      <c r="R294" s="44"/>
      <c r="S294" s="44"/>
      <c r="T294" s="44"/>
      <c r="U294" s="44"/>
      <c r="V294" s="44"/>
      <c r="W294" s="44"/>
      <c r="X294" s="44"/>
      <c r="Y294" s="44"/>
      <c r="Z294" s="44"/>
      <c r="AA294" s="44"/>
      <c r="AB294" s="44"/>
    </row>
    <row r="295">
      <c r="A295" s="51"/>
      <c r="B295" s="43"/>
      <c r="C295" s="74"/>
      <c r="D295" s="75"/>
      <c r="E295" s="76"/>
      <c r="F295" s="76"/>
      <c r="G295" s="76"/>
      <c r="H295" s="76"/>
      <c r="I295" s="76"/>
      <c r="J295" s="43"/>
      <c r="K295" s="44"/>
      <c r="L295" s="44"/>
      <c r="M295" s="44"/>
      <c r="N295" s="44"/>
      <c r="O295" s="44"/>
      <c r="P295" s="44"/>
      <c r="Q295" s="44"/>
      <c r="R295" s="44"/>
      <c r="S295" s="44"/>
      <c r="T295" s="44"/>
      <c r="U295" s="44"/>
      <c r="V295" s="44"/>
      <c r="W295" s="44"/>
      <c r="X295" s="44"/>
      <c r="Y295" s="44"/>
      <c r="Z295" s="44"/>
      <c r="AA295" s="44"/>
      <c r="AB295" s="44"/>
    </row>
    <row r="296">
      <c r="A296" s="51"/>
      <c r="B296" s="43"/>
      <c r="C296" s="74"/>
      <c r="D296" s="75"/>
      <c r="E296" s="76"/>
      <c r="F296" s="76"/>
      <c r="G296" s="76"/>
      <c r="H296" s="76"/>
      <c r="I296" s="76"/>
      <c r="J296" s="43"/>
      <c r="K296" s="44"/>
      <c r="L296" s="44"/>
      <c r="M296" s="44"/>
      <c r="N296" s="44"/>
      <c r="O296" s="44"/>
      <c r="P296" s="44"/>
      <c r="Q296" s="44"/>
      <c r="R296" s="44"/>
      <c r="S296" s="44"/>
      <c r="T296" s="44"/>
      <c r="U296" s="44"/>
      <c r="V296" s="44"/>
      <c r="W296" s="44"/>
      <c r="X296" s="44"/>
      <c r="Y296" s="44"/>
      <c r="Z296" s="44"/>
      <c r="AA296" s="44"/>
      <c r="AB296" s="44"/>
    </row>
    <row r="297">
      <c r="A297" s="51"/>
      <c r="B297" s="43"/>
      <c r="C297" s="74"/>
      <c r="D297" s="75"/>
      <c r="E297" s="76"/>
      <c r="F297" s="76"/>
      <c r="G297" s="76"/>
      <c r="H297" s="76"/>
      <c r="I297" s="76"/>
      <c r="J297" s="43"/>
      <c r="K297" s="44"/>
      <c r="L297" s="44"/>
      <c r="M297" s="44"/>
      <c r="N297" s="44"/>
      <c r="O297" s="44"/>
      <c r="P297" s="44"/>
      <c r="Q297" s="44"/>
      <c r="R297" s="44"/>
      <c r="S297" s="44"/>
      <c r="T297" s="44"/>
      <c r="U297" s="44"/>
      <c r="V297" s="44"/>
      <c r="W297" s="44"/>
      <c r="X297" s="44"/>
      <c r="Y297" s="44"/>
      <c r="Z297" s="44"/>
      <c r="AA297" s="44"/>
      <c r="AB297" s="44"/>
    </row>
    <row r="298">
      <c r="A298" s="51"/>
      <c r="B298" s="43"/>
      <c r="C298" s="74"/>
      <c r="D298" s="75"/>
      <c r="E298" s="76"/>
      <c r="F298" s="76"/>
      <c r="G298" s="76"/>
      <c r="H298" s="76"/>
      <c r="I298" s="76"/>
      <c r="J298" s="43"/>
      <c r="K298" s="44"/>
      <c r="L298" s="44"/>
      <c r="M298" s="44"/>
      <c r="N298" s="44"/>
      <c r="O298" s="44"/>
      <c r="P298" s="44"/>
      <c r="Q298" s="44"/>
      <c r="R298" s="44"/>
      <c r="S298" s="44"/>
      <c r="T298" s="44"/>
      <c r="U298" s="44"/>
      <c r="V298" s="44"/>
      <c r="W298" s="44"/>
      <c r="X298" s="44"/>
      <c r="Y298" s="44"/>
      <c r="Z298" s="44"/>
      <c r="AA298" s="44"/>
      <c r="AB298" s="44"/>
    </row>
    <row r="299">
      <c r="A299" s="51"/>
      <c r="B299" s="43"/>
      <c r="C299" s="74"/>
      <c r="D299" s="75"/>
      <c r="E299" s="76"/>
      <c r="F299" s="76"/>
      <c r="G299" s="76"/>
      <c r="H299" s="76"/>
      <c r="I299" s="76"/>
      <c r="J299" s="43"/>
      <c r="K299" s="44"/>
      <c r="L299" s="44"/>
      <c r="M299" s="44"/>
      <c r="N299" s="44"/>
      <c r="O299" s="44"/>
      <c r="P299" s="44"/>
      <c r="Q299" s="44"/>
      <c r="R299" s="44"/>
      <c r="S299" s="44"/>
      <c r="T299" s="44"/>
      <c r="U299" s="44"/>
      <c r="V299" s="44"/>
      <c r="W299" s="44"/>
      <c r="X299" s="44"/>
      <c r="Y299" s="44"/>
      <c r="Z299" s="44"/>
      <c r="AA299" s="44"/>
      <c r="AB299" s="44"/>
    </row>
    <row r="300">
      <c r="A300" s="51"/>
      <c r="B300" s="43"/>
      <c r="C300" s="74"/>
      <c r="D300" s="75"/>
      <c r="E300" s="76"/>
      <c r="F300" s="76"/>
      <c r="G300" s="76"/>
      <c r="H300" s="76"/>
      <c r="I300" s="76"/>
      <c r="J300" s="43"/>
      <c r="K300" s="44"/>
      <c r="L300" s="44"/>
      <c r="M300" s="44"/>
      <c r="N300" s="44"/>
      <c r="O300" s="44"/>
      <c r="P300" s="44"/>
      <c r="Q300" s="44"/>
      <c r="R300" s="44"/>
      <c r="S300" s="44"/>
      <c r="T300" s="44"/>
      <c r="U300" s="44"/>
      <c r="V300" s="44"/>
      <c r="W300" s="44"/>
      <c r="X300" s="44"/>
      <c r="Y300" s="44"/>
      <c r="Z300" s="44"/>
      <c r="AA300" s="44"/>
      <c r="AB300" s="44"/>
    </row>
    <row r="301">
      <c r="A301" s="51"/>
      <c r="B301" s="43"/>
      <c r="C301" s="74"/>
      <c r="D301" s="75"/>
      <c r="E301" s="76"/>
      <c r="F301" s="76"/>
      <c r="G301" s="76"/>
      <c r="H301" s="76"/>
      <c r="I301" s="76"/>
      <c r="J301" s="43"/>
      <c r="K301" s="44"/>
      <c r="L301" s="44"/>
      <c r="M301" s="44"/>
      <c r="N301" s="44"/>
      <c r="O301" s="44"/>
      <c r="P301" s="44"/>
      <c r="Q301" s="44"/>
      <c r="R301" s="44"/>
      <c r="S301" s="44"/>
      <c r="T301" s="44"/>
      <c r="U301" s="44"/>
      <c r="V301" s="44"/>
      <c r="W301" s="44"/>
      <c r="X301" s="44"/>
      <c r="Y301" s="44"/>
      <c r="Z301" s="44"/>
      <c r="AA301" s="44"/>
      <c r="AB301" s="44"/>
    </row>
    <row r="302">
      <c r="A302" s="51"/>
      <c r="B302" s="43"/>
      <c r="C302" s="74"/>
      <c r="D302" s="75"/>
      <c r="E302" s="76"/>
      <c r="F302" s="76"/>
      <c r="G302" s="76"/>
      <c r="H302" s="76"/>
      <c r="I302" s="76"/>
      <c r="J302" s="43"/>
      <c r="K302" s="44"/>
      <c r="L302" s="44"/>
      <c r="M302" s="44"/>
      <c r="N302" s="44"/>
      <c r="O302" s="44"/>
      <c r="P302" s="44"/>
      <c r="Q302" s="44"/>
      <c r="R302" s="44"/>
      <c r="S302" s="44"/>
      <c r="T302" s="44"/>
      <c r="U302" s="44"/>
      <c r="V302" s="44"/>
      <c r="W302" s="44"/>
      <c r="X302" s="44"/>
      <c r="Y302" s="44"/>
      <c r="Z302" s="44"/>
      <c r="AA302" s="44"/>
      <c r="AB302" s="44"/>
    </row>
    <row r="303">
      <c r="A303" s="51"/>
      <c r="B303" s="43"/>
      <c r="C303" s="74"/>
      <c r="D303" s="75"/>
      <c r="E303" s="76"/>
      <c r="F303" s="76"/>
      <c r="G303" s="76"/>
      <c r="H303" s="76"/>
      <c r="I303" s="76"/>
      <c r="J303" s="43"/>
      <c r="K303" s="44"/>
      <c r="L303" s="44"/>
      <c r="M303" s="44"/>
      <c r="N303" s="44"/>
      <c r="O303" s="44"/>
      <c r="P303" s="44"/>
      <c r="Q303" s="44"/>
      <c r="R303" s="44"/>
      <c r="S303" s="44"/>
      <c r="T303" s="44"/>
      <c r="U303" s="44"/>
      <c r="V303" s="44"/>
      <c r="W303" s="44"/>
      <c r="X303" s="44"/>
      <c r="Y303" s="44"/>
      <c r="Z303" s="44"/>
      <c r="AA303" s="44"/>
      <c r="AB303" s="44"/>
    </row>
    <row r="304">
      <c r="A304" s="51"/>
      <c r="B304" s="43"/>
      <c r="C304" s="74"/>
      <c r="D304" s="75"/>
      <c r="E304" s="76"/>
      <c r="F304" s="76"/>
      <c r="G304" s="76"/>
      <c r="H304" s="76"/>
      <c r="I304" s="76"/>
      <c r="J304" s="43"/>
      <c r="K304" s="44"/>
      <c r="L304" s="44"/>
      <c r="M304" s="44"/>
      <c r="N304" s="44"/>
      <c r="O304" s="44"/>
      <c r="P304" s="44"/>
      <c r="Q304" s="44"/>
      <c r="R304" s="44"/>
      <c r="S304" s="44"/>
      <c r="T304" s="44"/>
      <c r="U304" s="44"/>
      <c r="V304" s="44"/>
      <c r="W304" s="44"/>
      <c r="X304" s="44"/>
      <c r="Y304" s="44"/>
      <c r="Z304" s="44"/>
      <c r="AA304" s="44"/>
      <c r="AB304" s="44"/>
    </row>
    <row r="305">
      <c r="A305" s="51"/>
      <c r="B305" s="43"/>
      <c r="C305" s="74"/>
      <c r="D305" s="75"/>
      <c r="E305" s="76"/>
      <c r="F305" s="76"/>
      <c r="G305" s="76"/>
      <c r="H305" s="76"/>
      <c r="I305" s="76"/>
      <c r="J305" s="43"/>
      <c r="K305" s="44"/>
      <c r="L305" s="44"/>
      <c r="M305" s="44"/>
      <c r="N305" s="44"/>
      <c r="O305" s="44"/>
      <c r="P305" s="44"/>
      <c r="Q305" s="44"/>
      <c r="R305" s="44"/>
      <c r="S305" s="44"/>
      <c r="T305" s="44"/>
      <c r="U305" s="44"/>
      <c r="V305" s="44"/>
      <c r="W305" s="44"/>
      <c r="X305" s="44"/>
      <c r="Y305" s="44"/>
      <c r="Z305" s="44"/>
      <c r="AA305" s="44"/>
      <c r="AB305" s="44"/>
    </row>
    <row r="306">
      <c r="A306" s="51"/>
      <c r="B306" s="43"/>
      <c r="C306" s="74"/>
      <c r="D306" s="75"/>
      <c r="E306" s="76"/>
      <c r="F306" s="76"/>
      <c r="G306" s="76"/>
      <c r="H306" s="76"/>
      <c r="I306" s="76"/>
      <c r="J306" s="43"/>
      <c r="K306" s="44"/>
      <c r="L306" s="44"/>
      <c r="M306" s="44"/>
      <c r="N306" s="44"/>
      <c r="O306" s="44"/>
      <c r="P306" s="44"/>
      <c r="Q306" s="44"/>
      <c r="R306" s="44"/>
      <c r="S306" s="44"/>
      <c r="T306" s="44"/>
      <c r="U306" s="44"/>
      <c r="V306" s="44"/>
      <c r="W306" s="44"/>
      <c r="X306" s="44"/>
      <c r="Y306" s="44"/>
      <c r="Z306" s="44"/>
      <c r="AA306" s="44"/>
      <c r="AB306" s="44"/>
    </row>
    <row r="307">
      <c r="A307" s="51"/>
      <c r="B307" s="43"/>
      <c r="C307" s="74"/>
      <c r="D307" s="75"/>
      <c r="E307" s="76"/>
      <c r="F307" s="76"/>
      <c r="G307" s="76"/>
      <c r="H307" s="76"/>
      <c r="I307" s="76"/>
      <c r="J307" s="43"/>
      <c r="K307" s="44"/>
      <c r="L307" s="44"/>
      <c r="M307" s="44"/>
      <c r="N307" s="44"/>
      <c r="O307" s="44"/>
      <c r="P307" s="44"/>
      <c r="Q307" s="44"/>
      <c r="R307" s="44"/>
      <c r="S307" s="44"/>
      <c r="T307" s="44"/>
      <c r="U307" s="44"/>
      <c r="V307" s="44"/>
      <c r="W307" s="44"/>
      <c r="X307" s="44"/>
      <c r="Y307" s="44"/>
      <c r="Z307" s="44"/>
      <c r="AA307" s="44"/>
      <c r="AB307" s="44"/>
    </row>
    <row r="308">
      <c r="A308" s="51"/>
      <c r="B308" s="43"/>
      <c r="C308" s="74"/>
      <c r="D308" s="75"/>
      <c r="E308" s="76"/>
      <c r="F308" s="76"/>
      <c r="G308" s="76"/>
      <c r="H308" s="76"/>
      <c r="I308" s="76"/>
      <c r="J308" s="43"/>
      <c r="K308" s="44"/>
      <c r="L308" s="44"/>
      <c r="M308" s="44"/>
      <c r="N308" s="44"/>
      <c r="O308" s="44"/>
      <c r="P308" s="44"/>
      <c r="Q308" s="44"/>
      <c r="R308" s="44"/>
      <c r="S308" s="44"/>
      <c r="T308" s="44"/>
      <c r="U308" s="44"/>
      <c r="V308" s="44"/>
      <c r="W308" s="44"/>
      <c r="X308" s="44"/>
      <c r="Y308" s="44"/>
      <c r="Z308" s="44"/>
      <c r="AA308" s="44"/>
      <c r="AB308" s="44"/>
    </row>
    <row r="309">
      <c r="A309" s="51"/>
      <c r="B309" s="43"/>
      <c r="C309" s="74"/>
      <c r="D309" s="75"/>
      <c r="E309" s="76"/>
      <c r="F309" s="76"/>
      <c r="G309" s="76"/>
      <c r="H309" s="76"/>
      <c r="I309" s="76"/>
      <c r="J309" s="43"/>
      <c r="K309" s="44"/>
      <c r="L309" s="44"/>
      <c r="M309" s="44"/>
      <c r="N309" s="44"/>
      <c r="O309" s="44"/>
      <c r="P309" s="44"/>
      <c r="Q309" s="44"/>
      <c r="R309" s="44"/>
      <c r="S309" s="44"/>
      <c r="T309" s="44"/>
      <c r="U309" s="44"/>
      <c r="V309" s="44"/>
      <c r="W309" s="44"/>
      <c r="X309" s="44"/>
      <c r="Y309" s="44"/>
      <c r="Z309" s="44"/>
      <c r="AA309" s="44"/>
      <c r="AB309" s="44"/>
    </row>
    <row r="310">
      <c r="A310" s="51"/>
      <c r="B310" s="43"/>
      <c r="C310" s="74"/>
      <c r="D310" s="75"/>
      <c r="E310" s="76"/>
      <c r="F310" s="76"/>
      <c r="G310" s="76"/>
      <c r="H310" s="76"/>
      <c r="I310" s="76"/>
      <c r="J310" s="43"/>
      <c r="K310" s="44"/>
      <c r="L310" s="44"/>
      <c r="M310" s="44"/>
      <c r="N310" s="44"/>
      <c r="O310" s="44"/>
      <c r="P310" s="44"/>
      <c r="Q310" s="44"/>
      <c r="R310" s="44"/>
      <c r="S310" s="44"/>
      <c r="T310" s="44"/>
      <c r="U310" s="44"/>
      <c r="V310" s="44"/>
      <c r="W310" s="44"/>
      <c r="X310" s="44"/>
      <c r="Y310" s="44"/>
      <c r="Z310" s="44"/>
      <c r="AA310" s="44"/>
      <c r="AB310" s="44"/>
    </row>
    <row r="311">
      <c r="A311" s="51"/>
      <c r="B311" s="43"/>
      <c r="C311" s="74"/>
      <c r="D311" s="75"/>
      <c r="E311" s="76"/>
      <c r="F311" s="76"/>
      <c r="G311" s="76"/>
      <c r="H311" s="76"/>
      <c r="I311" s="76"/>
      <c r="J311" s="43"/>
      <c r="K311" s="44"/>
      <c r="L311" s="44"/>
      <c r="M311" s="44"/>
      <c r="N311" s="44"/>
      <c r="O311" s="44"/>
      <c r="P311" s="44"/>
      <c r="Q311" s="44"/>
      <c r="R311" s="44"/>
      <c r="S311" s="44"/>
      <c r="T311" s="44"/>
      <c r="U311" s="44"/>
      <c r="V311" s="44"/>
      <c r="W311" s="44"/>
      <c r="X311" s="44"/>
      <c r="Y311" s="44"/>
      <c r="Z311" s="44"/>
      <c r="AA311" s="44"/>
      <c r="AB311" s="44"/>
    </row>
    <row r="312">
      <c r="A312" s="51"/>
      <c r="B312" s="43"/>
      <c r="C312" s="74"/>
      <c r="D312" s="75"/>
      <c r="E312" s="76"/>
      <c r="F312" s="76"/>
      <c r="G312" s="76"/>
      <c r="H312" s="76"/>
      <c r="I312" s="76"/>
      <c r="J312" s="43"/>
      <c r="K312" s="44"/>
      <c r="L312" s="44"/>
      <c r="M312" s="44"/>
      <c r="N312" s="44"/>
      <c r="O312" s="44"/>
      <c r="P312" s="44"/>
      <c r="Q312" s="44"/>
      <c r="R312" s="44"/>
      <c r="S312" s="44"/>
      <c r="T312" s="44"/>
      <c r="U312" s="44"/>
      <c r="V312" s="44"/>
      <c r="W312" s="44"/>
      <c r="X312" s="44"/>
      <c r="Y312" s="44"/>
      <c r="Z312" s="44"/>
      <c r="AA312" s="44"/>
      <c r="AB312" s="44"/>
    </row>
    <row r="313">
      <c r="A313" s="51"/>
      <c r="B313" s="43"/>
      <c r="C313" s="74"/>
      <c r="D313" s="75"/>
      <c r="E313" s="76"/>
      <c r="F313" s="76"/>
      <c r="G313" s="76"/>
      <c r="H313" s="76"/>
      <c r="I313" s="76"/>
      <c r="J313" s="43"/>
      <c r="K313" s="44"/>
      <c r="L313" s="44"/>
      <c r="M313" s="44"/>
      <c r="N313" s="44"/>
      <c r="O313" s="44"/>
      <c r="P313" s="44"/>
      <c r="Q313" s="44"/>
      <c r="R313" s="44"/>
      <c r="S313" s="44"/>
      <c r="T313" s="44"/>
      <c r="U313" s="44"/>
      <c r="V313" s="44"/>
      <c r="W313" s="44"/>
      <c r="X313" s="44"/>
      <c r="Y313" s="44"/>
      <c r="Z313" s="44"/>
      <c r="AA313" s="44"/>
      <c r="AB313" s="44"/>
    </row>
    <row r="314">
      <c r="A314" s="51"/>
      <c r="B314" s="43"/>
      <c r="C314" s="74"/>
      <c r="D314" s="75"/>
      <c r="E314" s="76"/>
      <c r="F314" s="76"/>
      <c r="G314" s="76"/>
      <c r="H314" s="76"/>
      <c r="I314" s="76"/>
      <c r="J314" s="43"/>
      <c r="K314" s="44"/>
      <c r="L314" s="44"/>
      <c r="M314" s="44"/>
      <c r="N314" s="44"/>
      <c r="O314" s="44"/>
      <c r="P314" s="44"/>
      <c r="Q314" s="44"/>
      <c r="R314" s="44"/>
      <c r="S314" s="44"/>
      <c r="T314" s="44"/>
      <c r="U314" s="44"/>
      <c r="V314" s="44"/>
      <c r="W314" s="44"/>
      <c r="X314" s="44"/>
      <c r="Y314" s="44"/>
      <c r="Z314" s="44"/>
      <c r="AA314" s="44"/>
      <c r="AB314" s="44"/>
    </row>
    <row r="315">
      <c r="A315" s="51"/>
      <c r="B315" s="43"/>
      <c r="C315" s="74"/>
      <c r="D315" s="75"/>
      <c r="E315" s="76"/>
      <c r="F315" s="76"/>
      <c r="G315" s="76"/>
      <c r="H315" s="76"/>
      <c r="I315" s="76"/>
      <c r="J315" s="43"/>
      <c r="K315" s="44"/>
      <c r="L315" s="44"/>
      <c r="M315" s="44"/>
      <c r="N315" s="44"/>
      <c r="O315" s="44"/>
      <c r="P315" s="44"/>
      <c r="Q315" s="44"/>
      <c r="R315" s="44"/>
      <c r="S315" s="44"/>
      <c r="T315" s="44"/>
      <c r="U315" s="44"/>
      <c r="V315" s="44"/>
      <c r="W315" s="44"/>
      <c r="X315" s="44"/>
      <c r="Y315" s="44"/>
      <c r="Z315" s="44"/>
      <c r="AA315" s="44"/>
      <c r="AB315" s="44"/>
    </row>
    <row r="316">
      <c r="A316" s="51"/>
      <c r="B316" s="43"/>
      <c r="C316" s="74"/>
      <c r="D316" s="75"/>
      <c r="E316" s="76"/>
      <c r="F316" s="76"/>
      <c r="G316" s="76"/>
      <c r="H316" s="76"/>
      <c r="I316" s="76"/>
      <c r="J316" s="43"/>
      <c r="K316" s="44"/>
      <c r="L316" s="44"/>
      <c r="M316" s="44"/>
      <c r="N316" s="44"/>
      <c r="O316" s="44"/>
      <c r="P316" s="44"/>
      <c r="Q316" s="44"/>
      <c r="R316" s="44"/>
      <c r="S316" s="44"/>
      <c r="T316" s="44"/>
      <c r="U316" s="44"/>
      <c r="V316" s="44"/>
      <c r="W316" s="44"/>
      <c r="X316" s="44"/>
      <c r="Y316" s="44"/>
      <c r="Z316" s="44"/>
      <c r="AA316" s="44"/>
      <c r="AB316" s="44"/>
    </row>
    <row r="317">
      <c r="A317" s="51"/>
      <c r="B317" s="43"/>
      <c r="C317" s="74"/>
      <c r="D317" s="75"/>
      <c r="E317" s="76"/>
      <c r="F317" s="76"/>
      <c r="G317" s="76"/>
      <c r="H317" s="76"/>
      <c r="I317" s="76"/>
      <c r="J317" s="43"/>
      <c r="K317" s="44"/>
      <c r="L317" s="44"/>
      <c r="M317" s="44"/>
      <c r="N317" s="44"/>
      <c r="O317" s="44"/>
      <c r="P317" s="44"/>
      <c r="Q317" s="44"/>
      <c r="R317" s="44"/>
      <c r="S317" s="44"/>
      <c r="T317" s="44"/>
      <c r="U317" s="44"/>
      <c r="V317" s="44"/>
      <c r="W317" s="44"/>
      <c r="X317" s="44"/>
      <c r="Y317" s="44"/>
      <c r="Z317" s="44"/>
      <c r="AA317" s="44"/>
      <c r="AB317" s="44"/>
    </row>
    <row r="318">
      <c r="A318" s="51"/>
      <c r="B318" s="43"/>
      <c r="C318" s="74"/>
      <c r="D318" s="75"/>
      <c r="E318" s="76"/>
      <c r="F318" s="76"/>
      <c r="G318" s="76"/>
      <c r="H318" s="76"/>
      <c r="I318" s="76"/>
      <c r="J318" s="43"/>
      <c r="K318" s="44"/>
      <c r="L318" s="44"/>
      <c r="M318" s="44"/>
      <c r="N318" s="44"/>
      <c r="O318" s="44"/>
      <c r="P318" s="44"/>
      <c r="Q318" s="44"/>
      <c r="R318" s="44"/>
      <c r="S318" s="44"/>
      <c r="T318" s="44"/>
      <c r="U318" s="44"/>
      <c r="V318" s="44"/>
      <c r="W318" s="44"/>
      <c r="X318" s="44"/>
      <c r="Y318" s="44"/>
      <c r="Z318" s="44"/>
      <c r="AA318" s="44"/>
      <c r="AB318" s="44"/>
    </row>
    <row r="319">
      <c r="A319" s="51"/>
      <c r="B319" s="43"/>
      <c r="C319" s="74"/>
      <c r="D319" s="75"/>
      <c r="E319" s="76"/>
      <c r="F319" s="76"/>
      <c r="G319" s="76"/>
      <c r="H319" s="76"/>
      <c r="I319" s="76"/>
      <c r="J319" s="43"/>
      <c r="K319" s="44"/>
      <c r="L319" s="44"/>
      <c r="M319" s="44"/>
      <c r="N319" s="44"/>
      <c r="O319" s="44"/>
      <c r="P319" s="44"/>
      <c r="Q319" s="44"/>
      <c r="R319" s="44"/>
      <c r="S319" s="44"/>
      <c r="T319" s="44"/>
      <c r="U319" s="44"/>
      <c r="V319" s="44"/>
      <c r="W319" s="44"/>
      <c r="X319" s="44"/>
      <c r="Y319" s="44"/>
      <c r="Z319" s="44"/>
      <c r="AA319" s="44"/>
      <c r="AB319" s="44"/>
    </row>
    <row r="320">
      <c r="A320" s="51"/>
      <c r="B320" s="43"/>
      <c r="C320" s="74"/>
      <c r="D320" s="75"/>
      <c r="E320" s="76"/>
      <c r="F320" s="76"/>
      <c r="G320" s="76"/>
      <c r="H320" s="76"/>
      <c r="I320" s="76"/>
      <c r="J320" s="43"/>
      <c r="K320" s="44"/>
      <c r="L320" s="44"/>
      <c r="M320" s="44"/>
      <c r="N320" s="44"/>
      <c r="O320" s="44"/>
      <c r="P320" s="44"/>
      <c r="Q320" s="44"/>
      <c r="R320" s="44"/>
      <c r="S320" s="44"/>
      <c r="T320" s="44"/>
      <c r="U320" s="44"/>
      <c r="V320" s="44"/>
      <c r="W320" s="44"/>
      <c r="X320" s="44"/>
      <c r="Y320" s="44"/>
      <c r="Z320" s="44"/>
      <c r="AA320" s="44"/>
      <c r="AB320" s="44"/>
    </row>
    <row r="321">
      <c r="A321" s="51"/>
      <c r="B321" s="43"/>
      <c r="C321" s="74"/>
      <c r="D321" s="75"/>
      <c r="E321" s="76"/>
      <c r="F321" s="76"/>
      <c r="G321" s="76"/>
      <c r="H321" s="76"/>
      <c r="I321" s="76"/>
      <c r="J321" s="43"/>
      <c r="K321" s="44"/>
      <c r="L321" s="44"/>
      <c r="M321" s="44"/>
      <c r="N321" s="44"/>
      <c r="O321" s="44"/>
      <c r="P321" s="44"/>
      <c r="Q321" s="44"/>
      <c r="R321" s="44"/>
      <c r="S321" s="44"/>
      <c r="T321" s="44"/>
      <c r="U321" s="44"/>
      <c r="V321" s="44"/>
      <c r="W321" s="44"/>
      <c r="X321" s="44"/>
      <c r="Y321" s="44"/>
      <c r="Z321" s="44"/>
      <c r="AA321" s="44"/>
      <c r="AB321" s="44"/>
    </row>
    <row r="322">
      <c r="A322" s="51"/>
      <c r="B322" s="43"/>
      <c r="C322" s="74"/>
      <c r="D322" s="75"/>
      <c r="E322" s="76"/>
      <c r="F322" s="76"/>
      <c r="G322" s="76"/>
      <c r="H322" s="76"/>
      <c r="I322" s="76"/>
      <c r="J322" s="43"/>
      <c r="K322" s="44"/>
      <c r="L322" s="44"/>
      <c r="M322" s="44"/>
      <c r="N322" s="44"/>
      <c r="O322" s="44"/>
      <c r="P322" s="44"/>
      <c r="Q322" s="44"/>
      <c r="R322" s="44"/>
      <c r="S322" s="44"/>
      <c r="T322" s="44"/>
      <c r="U322" s="44"/>
      <c r="V322" s="44"/>
      <c r="W322" s="44"/>
      <c r="X322" s="44"/>
      <c r="Y322" s="44"/>
      <c r="Z322" s="44"/>
      <c r="AA322" s="44"/>
      <c r="AB322" s="44"/>
    </row>
    <row r="323">
      <c r="A323" s="51"/>
      <c r="B323" s="43"/>
      <c r="C323" s="74"/>
      <c r="D323" s="75"/>
      <c r="E323" s="76"/>
      <c r="F323" s="76"/>
      <c r="G323" s="76"/>
      <c r="H323" s="76"/>
      <c r="I323" s="76"/>
      <c r="J323" s="43"/>
      <c r="K323" s="44"/>
      <c r="L323" s="44"/>
      <c r="M323" s="44"/>
      <c r="N323" s="44"/>
      <c r="O323" s="44"/>
      <c r="P323" s="44"/>
      <c r="Q323" s="44"/>
      <c r="R323" s="44"/>
      <c r="S323" s="44"/>
      <c r="T323" s="44"/>
      <c r="U323" s="44"/>
      <c r="V323" s="44"/>
      <c r="W323" s="44"/>
      <c r="X323" s="44"/>
      <c r="Y323" s="44"/>
      <c r="Z323" s="44"/>
      <c r="AA323" s="44"/>
      <c r="AB323" s="44"/>
    </row>
    <row r="324">
      <c r="A324" s="51"/>
      <c r="B324" s="43"/>
      <c r="C324" s="74"/>
      <c r="D324" s="75"/>
      <c r="E324" s="76"/>
      <c r="F324" s="76"/>
      <c r="G324" s="76"/>
      <c r="H324" s="76"/>
      <c r="I324" s="76"/>
      <c r="J324" s="43"/>
      <c r="K324" s="44"/>
      <c r="L324" s="44"/>
      <c r="M324" s="44"/>
      <c r="N324" s="44"/>
      <c r="O324" s="44"/>
      <c r="P324" s="44"/>
      <c r="Q324" s="44"/>
      <c r="R324" s="44"/>
      <c r="S324" s="44"/>
      <c r="T324" s="44"/>
      <c r="U324" s="44"/>
      <c r="V324" s="44"/>
      <c r="W324" s="44"/>
      <c r="X324" s="44"/>
      <c r="Y324" s="44"/>
      <c r="Z324" s="44"/>
      <c r="AA324" s="44"/>
      <c r="AB324" s="44"/>
    </row>
    <row r="325">
      <c r="A325" s="51"/>
      <c r="B325" s="43"/>
      <c r="C325" s="74"/>
      <c r="D325" s="75"/>
      <c r="E325" s="76"/>
      <c r="F325" s="76"/>
      <c r="G325" s="76"/>
      <c r="H325" s="76"/>
      <c r="I325" s="76"/>
      <c r="J325" s="43"/>
      <c r="K325" s="44"/>
      <c r="L325" s="44"/>
      <c r="M325" s="44"/>
      <c r="N325" s="44"/>
      <c r="O325" s="44"/>
      <c r="P325" s="44"/>
      <c r="Q325" s="44"/>
      <c r="R325" s="44"/>
      <c r="S325" s="44"/>
      <c r="T325" s="44"/>
      <c r="U325" s="44"/>
      <c r="V325" s="44"/>
      <c r="W325" s="44"/>
      <c r="X325" s="44"/>
      <c r="Y325" s="44"/>
      <c r="Z325" s="44"/>
      <c r="AA325" s="44"/>
      <c r="AB325" s="44"/>
    </row>
    <row r="326">
      <c r="A326" s="51"/>
      <c r="B326" s="43"/>
      <c r="C326" s="74"/>
      <c r="D326" s="75"/>
      <c r="E326" s="76"/>
      <c r="F326" s="76"/>
      <c r="G326" s="76"/>
      <c r="H326" s="76"/>
      <c r="I326" s="76"/>
      <c r="J326" s="43"/>
      <c r="K326" s="44"/>
      <c r="L326" s="44"/>
      <c r="M326" s="44"/>
      <c r="N326" s="44"/>
      <c r="O326" s="44"/>
      <c r="P326" s="44"/>
      <c r="Q326" s="44"/>
      <c r="R326" s="44"/>
      <c r="S326" s="44"/>
      <c r="T326" s="44"/>
      <c r="U326" s="44"/>
      <c r="V326" s="44"/>
      <c r="W326" s="44"/>
      <c r="X326" s="44"/>
      <c r="Y326" s="44"/>
      <c r="Z326" s="44"/>
      <c r="AA326" s="44"/>
      <c r="AB326" s="44"/>
    </row>
    <row r="327">
      <c r="A327" s="51"/>
      <c r="B327" s="43"/>
      <c r="C327" s="74"/>
      <c r="D327" s="75"/>
      <c r="E327" s="76"/>
      <c r="F327" s="76"/>
      <c r="G327" s="76"/>
      <c r="H327" s="76"/>
      <c r="I327" s="76"/>
      <c r="J327" s="43"/>
      <c r="K327" s="44"/>
      <c r="L327" s="44"/>
      <c r="M327" s="44"/>
      <c r="N327" s="44"/>
      <c r="O327" s="44"/>
      <c r="P327" s="44"/>
      <c r="Q327" s="44"/>
      <c r="R327" s="44"/>
      <c r="S327" s="44"/>
      <c r="T327" s="44"/>
      <c r="U327" s="44"/>
      <c r="V327" s="44"/>
      <c r="W327" s="44"/>
      <c r="X327" s="44"/>
      <c r="Y327" s="44"/>
      <c r="Z327" s="44"/>
      <c r="AA327" s="44"/>
      <c r="AB327" s="44"/>
    </row>
    <row r="328">
      <c r="A328" s="51"/>
      <c r="B328" s="43"/>
      <c r="C328" s="74"/>
      <c r="D328" s="75"/>
      <c r="E328" s="76"/>
      <c r="F328" s="76"/>
      <c r="G328" s="76"/>
      <c r="H328" s="76"/>
      <c r="I328" s="76"/>
      <c r="J328" s="43"/>
      <c r="K328" s="44"/>
      <c r="L328" s="44"/>
      <c r="M328" s="44"/>
      <c r="N328" s="44"/>
      <c r="O328" s="44"/>
      <c r="P328" s="44"/>
      <c r="Q328" s="44"/>
      <c r="R328" s="44"/>
      <c r="S328" s="44"/>
      <c r="T328" s="44"/>
      <c r="U328" s="44"/>
      <c r="V328" s="44"/>
      <c r="W328" s="44"/>
      <c r="X328" s="44"/>
      <c r="Y328" s="44"/>
      <c r="Z328" s="44"/>
      <c r="AA328" s="44"/>
      <c r="AB328" s="44"/>
    </row>
    <row r="329">
      <c r="A329" s="51"/>
      <c r="B329" s="43"/>
      <c r="C329" s="74"/>
      <c r="D329" s="75"/>
      <c r="E329" s="76"/>
      <c r="F329" s="76"/>
      <c r="G329" s="76"/>
      <c r="H329" s="76"/>
      <c r="I329" s="76"/>
      <c r="J329" s="43"/>
      <c r="K329" s="44"/>
      <c r="L329" s="44"/>
      <c r="M329" s="44"/>
      <c r="N329" s="44"/>
      <c r="O329" s="44"/>
      <c r="P329" s="44"/>
      <c r="Q329" s="44"/>
      <c r="R329" s="44"/>
      <c r="S329" s="44"/>
      <c r="T329" s="44"/>
      <c r="U329" s="44"/>
      <c r="V329" s="44"/>
      <c r="W329" s="44"/>
      <c r="X329" s="44"/>
      <c r="Y329" s="44"/>
      <c r="Z329" s="44"/>
      <c r="AA329" s="44"/>
      <c r="AB329" s="44"/>
    </row>
    <row r="330">
      <c r="A330" s="51"/>
      <c r="B330" s="43"/>
      <c r="C330" s="74"/>
      <c r="D330" s="75"/>
      <c r="E330" s="76"/>
      <c r="F330" s="76"/>
      <c r="G330" s="76"/>
      <c r="H330" s="76"/>
      <c r="I330" s="76"/>
      <c r="J330" s="43"/>
      <c r="K330" s="44"/>
      <c r="L330" s="44"/>
      <c r="M330" s="44"/>
      <c r="N330" s="44"/>
      <c r="O330" s="44"/>
      <c r="P330" s="44"/>
      <c r="Q330" s="44"/>
      <c r="R330" s="44"/>
      <c r="S330" s="44"/>
      <c r="T330" s="44"/>
      <c r="U330" s="44"/>
      <c r="V330" s="44"/>
      <c r="W330" s="44"/>
      <c r="X330" s="44"/>
      <c r="Y330" s="44"/>
      <c r="Z330" s="44"/>
      <c r="AA330" s="44"/>
      <c r="AB330" s="44"/>
    </row>
    <row r="331">
      <c r="A331" s="51"/>
      <c r="B331" s="43"/>
      <c r="C331" s="74"/>
      <c r="D331" s="75"/>
      <c r="E331" s="76"/>
      <c r="F331" s="76"/>
      <c r="G331" s="76"/>
      <c r="H331" s="76"/>
      <c r="I331" s="76"/>
      <c r="J331" s="43"/>
      <c r="K331" s="44"/>
      <c r="L331" s="44"/>
      <c r="M331" s="44"/>
      <c r="N331" s="44"/>
      <c r="O331" s="44"/>
      <c r="P331" s="44"/>
      <c r="Q331" s="44"/>
      <c r="R331" s="44"/>
      <c r="S331" s="44"/>
      <c r="T331" s="44"/>
      <c r="U331" s="44"/>
      <c r="V331" s="44"/>
      <c r="W331" s="44"/>
      <c r="X331" s="44"/>
      <c r="Y331" s="44"/>
      <c r="Z331" s="44"/>
      <c r="AA331" s="44"/>
      <c r="AB331" s="44"/>
    </row>
    <row r="332">
      <c r="A332" s="51"/>
      <c r="B332" s="43"/>
      <c r="C332" s="74"/>
      <c r="D332" s="75"/>
      <c r="E332" s="76"/>
      <c r="F332" s="76"/>
      <c r="G332" s="76"/>
      <c r="H332" s="76"/>
      <c r="I332" s="76"/>
      <c r="J332" s="43"/>
      <c r="K332" s="44"/>
      <c r="L332" s="44"/>
      <c r="M332" s="44"/>
      <c r="N332" s="44"/>
      <c r="O332" s="44"/>
      <c r="P332" s="44"/>
      <c r="Q332" s="44"/>
      <c r="R332" s="44"/>
      <c r="S332" s="44"/>
      <c r="T332" s="44"/>
      <c r="U332" s="44"/>
      <c r="V332" s="44"/>
      <c r="W332" s="44"/>
      <c r="X332" s="44"/>
      <c r="Y332" s="44"/>
      <c r="Z332" s="44"/>
      <c r="AA332" s="44"/>
      <c r="AB332" s="44"/>
    </row>
    <row r="333">
      <c r="A333" s="51"/>
      <c r="B333" s="43"/>
      <c r="C333" s="74"/>
      <c r="D333" s="75"/>
      <c r="E333" s="76"/>
      <c r="F333" s="76"/>
      <c r="G333" s="76"/>
      <c r="H333" s="76"/>
      <c r="I333" s="76"/>
      <c r="J333" s="43"/>
      <c r="K333" s="44"/>
      <c r="L333" s="44"/>
      <c r="M333" s="44"/>
      <c r="N333" s="44"/>
      <c r="O333" s="44"/>
      <c r="P333" s="44"/>
      <c r="Q333" s="44"/>
      <c r="R333" s="44"/>
      <c r="S333" s="44"/>
      <c r="T333" s="44"/>
      <c r="U333" s="44"/>
      <c r="V333" s="44"/>
      <c r="W333" s="44"/>
      <c r="X333" s="44"/>
      <c r="Y333" s="44"/>
      <c r="Z333" s="44"/>
      <c r="AA333" s="44"/>
      <c r="AB333" s="44"/>
    </row>
    <row r="334">
      <c r="A334" s="51"/>
      <c r="B334" s="43"/>
      <c r="C334" s="74"/>
      <c r="D334" s="75"/>
      <c r="E334" s="76"/>
      <c r="F334" s="76"/>
      <c r="G334" s="76"/>
      <c r="H334" s="76"/>
      <c r="I334" s="76"/>
      <c r="J334" s="43"/>
      <c r="K334" s="44"/>
      <c r="L334" s="44"/>
      <c r="M334" s="44"/>
      <c r="N334" s="44"/>
      <c r="O334" s="44"/>
      <c r="P334" s="44"/>
      <c r="Q334" s="44"/>
      <c r="R334" s="44"/>
      <c r="S334" s="44"/>
      <c r="T334" s="44"/>
      <c r="U334" s="44"/>
      <c r="V334" s="44"/>
      <c r="W334" s="44"/>
      <c r="X334" s="44"/>
      <c r="Y334" s="44"/>
      <c r="Z334" s="44"/>
      <c r="AA334" s="44"/>
      <c r="AB334" s="44"/>
    </row>
    <row r="335">
      <c r="A335" s="51"/>
      <c r="B335" s="43"/>
      <c r="C335" s="74"/>
      <c r="D335" s="75"/>
      <c r="E335" s="76"/>
      <c r="F335" s="76"/>
      <c r="G335" s="76"/>
      <c r="H335" s="76"/>
      <c r="I335" s="76"/>
      <c r="J335" s="43"/>
      <c r="K335" s="44"/>
      <c r="L335" s="44"/>
      <c r="M335" s="44"/>
      <c r="N335" s="44"/>
      <c r="O335" s="44"/>
      <c r="P335" s="44"/>
      <c r="Q335" s="44"/>
      <c r="R335" s="44"/>
      <c r="S335" s="44"/>
      <c r="T335" s="44"/>
      <c r="U335" s="44"/>
      <c r="V335" s="44"/>
      <c r="W335" s="44"/>
      <c r="X335" s="44"/>
      <c r="Y335" s="44"/>
      <c r="Z335" s="44"/>
      <c r="AA335" s="44"/>
      <c r="AB335" s="44"/>
    </row>
    <row r="336">
      <c r="A336" s="51"/>
      <c r="B336" s="43"/>
      <c r="C336" s="74"/>
      <c r="D336" s="75"/>
      <c r="E336" s="76"/>
      <c r="F336" s="76"/>
      <c r="G336" s="76"/>
      <c r="H336" s="76"/>
      <c r="I336" s="76"/>
      <c r="J336" s="43"/>
      <c r="K336" s="44"/>
      <c r="L336" s="44"/>
      <c r="M336" s="44"/>
      <c r="N336" s="44"/>
      <c r="O336" s="44"/>
      <c r="P336" s="44"/>
      <c r="Q336" s="44"/>
      <c r="R336" s="44"/>
      <c r="S336" s="44"/>
      <c r="T336" s="44"/>
      <c r="U336" s="44"/>
      <c r="V336" s="44"/>
      <c r="W336" s="44"/>
      <c r="X336" s="44"/>
      <c r="Y336" s="44"/>
      <c r="Z336" s="44"/>
      <c r="AA336" s="44"/>
      <c r="AB336" s="44"/>
    </row>
    <row r="337">
      <c r="A337" s="51"/>
      <c r="B337" s="43"/>
      <c r="C337" s="74"/>
      <c r="D337" s="75"/>
      <c r="E337" s="76"/>
      <c r="F337" s="76"/>
      <c r="G337" s="76"/>
      <c r="H337" s="76"/>
      <c r="I337" s="76"/>
      <c r="J337" s="43"/>
      <c r="K337" s="44"/>
      <c r="L337" s="44"/>
      <c r="M337" s="44"/>
      <c r="N337" s="44"/>
      <c r="O337" s="44"/>
      <c r="P337" s="44"/>
      <c r="Q337" s="44"/>
      <c r="R337" s="44"/>
      <c r="S337" s="44"/>
      <c r="T337" s="44"/>
      <c r="U337" s="44"/>
      <c r="V337" s="44"/>
      <c r="W337" s="44"/>
      <c r="X337" s="44"/>
      <c r="Y337" s="44"/>
      <c r="Z337" s="44"/>
      <c r="AA337" s="44"/>
      <c r="AB337" s="44"/>
    </row>
    <row r="338">
      <c r="A338" s="51"/>
      <c r="B338" s="43"/>
      <c r="C338" s="74"/>
      <c r="D338" s="75"/>
      <c r="E338" s="76"/>
      <c r="F338" s="76"/>
      <c r="G338" s="76"/>
      <c r="H338" s="76"/>
      <c r="I338" s="76"/>
      <c r="J338" s="43"/>
      <c r="K338" s="44"/>
      <c r="L338" s="44"/>
      <c r="M338" s="44"/>
      <c r="N338" s="44"/>
      <c r="O338" s="44"/>
      <c r="P338" s="44"/>
      <c r="Q338" s="44"/>
      <c r="R338" s="44"/>
      <c r="S338" s="44"/>
      <c r="T338" s="44"/>
      <c r="U338" s="44"/>
      <c r="V338" s="44"/>
      <c r="W338" s="44"/>
      <c r="X338" s="44"/>
      <c r="Y338" s="44"/>
      <c r="Z338" s="44"/>
      <c r="AA338" s="44"/>
      <c r="AB338" s="44"/>
    </row>
    <row r="339">
      <c r="A339" s="51"/>
      <c r="B339" s="43"/>
      <c r="C339" s="74"/>
      <c r="D339" s="75"/>
      <c r="E339" s="76"/>
      <c r="F339" s="76"/>
      <c r="G339" s="76"/>
      <c r="H339" s="76"/>
      <c r="I339" s="76"/>
      <c r="J339" s="43"/>
      <c r="K339" s="44"/>
      <c r="L339" s="44"/>
      <c r="M339" s="44"/>
      <c r="N339" s="44"/>
      <c r="O339" s="44"/>
      <c r="P339" s="44"/>
      <c r="Q339" s="44"/>
      <c r="R339" s="44"/>
      <c r="S339" s="44"/>
      <c r="T339" s="44"/>
      <c r="U339" s="44"/>
      <c r="V339" s="44"/>
      <c r="W339" s="44"/>
      <c r="X339" s="44"/>
      <c r="Y339" s="44"/>
      <c r="Z339" s="44"/>
      <c r="AA339" s="44"/>
      <c r="AB339" s="44"/>
    </row>
    <row r="340">
      <c r="A340" s="51"/>
      <c r="B340" s="43"/>
      <c r="C340" s="74"/>
      <c r="D340" s="75"/>
      <c r="E340" s="76"/>
      <c r="F340" s="76"/>
      <c r="G340" s="76"/>
      <c r="H340" s="76"/>
      <c r="I340" s="76"/>
      <c r="J340" s="43"/>
      <c r="K340" s="44"/>
      <c r="L340" s="44"/>
      <c r="M340" s="44"/>
      <c r="N340" s="44"/>
      <c r="O340" s="44"/>
      <c r="P340" s="44"/>
      <c r="Q340" s="44"/>
      <c r="R340" s="44"/>
      <c r="S340" s="44"/>
      <c r="T340" s="44"/>
      <c r="U340" s="44"/>
      <c r="V340" s="44"/>
      <c r="W340" s="44"/>
      <c r="X340" s="44"/>
      <c r="Y340" s="44"/>
      <c r="Z340" s="44"/>
      <c r="AA340" s="44"/>
      <c r="AB340" s="44"/>
    </row>
    <row r="341">
      <c r="A341" s="51"/>
      <c r="B341" s="43"/>
      <c r="C341" s="74"/>
      <c r="D341" s="75"/>
      <c r="E341" s="76"/>
      <c r="F341" s="76"/>
      <c r="G341" s="76"/>
      <c r="H341" s="76"/>
      <c r="I341" s="76"/>
      <c r="J341" s="43"/>
      <c r="K341" s="44"/>
      <c r="L341" s="44"/>
      <c r="M341" s="44"/>
      <c r="N341" s="44"/>
      <c r="O341" s="44"/>
      <c r="P341" s="44"/>
      <c r="Q341" s="44"/>
      <c r="R341" s="44"/>
      <c r="S341" s="44"/>
      <c r="T341" s="44"/>
      <c r="U341" s="44"/>
      <c r="V341" s="44"/>
      <c r="W341" s="44"/>
      <c r="X341" s="44"/>
      <c r="Y341" s="44"/>
      <c r="Z341" s="44"/>
      <c r="AA341" s="44"/>
      <c r="AB341" s="44"/>
    </row>
    <row r="342">
      <c r="A342" s="51"/>
      <c r="B342" s="43"/>
      <c r="C342" s="74"/>
      <c r="D342" s="75"/>
      <c r="E342" s="76"/>
      <c r="F342" s="76"/>
      <c r="G342" s="76"/>
      <c r="H342" s="76"/>
      <c r="I342" s="76"/>
      <c r="J342" s="43"/>
      <c r="K342" s="44"/>
      <c r="L342" s="44"/>
      <c r="M342" s="44"/>
      <c r="N342" s="44"/>
      <c r="O342" s="44"/>
      <c r="P342" s="44"/>
      <c r="Q342" s="44"/>
      <c r="R342" s="44"/>
      <c r="S342" s="44"/>
      <c r="T342" s="44"/>
      <c r="U342" s="44"/>
      <c r="V342" s="44"/>
      <c r="W342" s="44"/>
      <c r="X342" s="44"/>
      <c r="Y342" s="44"/>
      <c r="Z342" s="44"/>
      <c r="AA342" s="44"/>
      <c r="AB342" s="44"/>
    </row>
    <row r="343">
      <c r="A343" s="51"/>
      <c r="B343" s="43"/>
      <c r="C343" s="74"/>
      <c r="D343" s="75"/>
      <c r="E343" s="76"/>
      <c r="F343" s="76"/>
      <c r="G343" s="76"/>
      <c r="H343" s="76"/>
      <c r="I343" s="76"/>
      <c r="J343" s="43"/>
      <c r="K343" s="44"/>
      <c r="L343" s="44"/>
      <c r="M343" s="44"/>
      <c r="N343" s="44"/>
      <c r="O343" s="44"/>
      <c r="P343" s="44"/>
      <c r="Q343" s="44"/>
      <c r="R343" s="44"/>
      <c r="S343" s="44"/>
      <c r="T343" s="44"/>
      <c r="U343" s="44"/>
      <c r="V343" s="44"/>
      <c r="W343" s="44"/>
      <c r="X343" s="44"/>
      <c r="Y343" s="44"/>
      <c r="Z343" s="44"/>
      <c r="AA343" s="44"/>
      <c r="AB343" s="44"/>
    </row>
    <row r="344">
      <c r="A344" s="51"/>
      <c r="B344" s="43"/>
      <c r="C344" s="74"/>
      <c r="D344" s="75"/>
      <c r="E344" s="76"/>
      <c r="F344" s="76"/>
      <c r="G344" s="76"/>
      <c r="H344" s="76"/>
      <c r="I344" s="76"/>
      <c r="J344" s="43"/>
      <c r="K344" s="44"/>
      <c r="L344" s="44"/>
      <c r="M344" s="44"/>
      <c r="N344" s="44"/>
      <c r="O344" s="44"/>
      <c r="P344" s="44"/>
      <c r="Q344" s="44"/>
      <c r="R344" s="44"/>
      <c r="S344" s="44"/>
      <c r="T344" s="44"/>
      <c r="U344" s="44"/>
      <c r="V344" s="44"/>
      <c r="W344" s="44"/>
      <c r="X344" s="44"/>
      <c r="Y344" s="44"/>
      <c r="Z344" s="44"/>
      <c r="AA344" s="44"/>
      <c r="AB344" s="44"/>
    </row>
    <row r="345">
      <c r="A345" s="51"/>
      <c r="B345" s="43"/>
      <c r="C345" s="74"/>
      <c r="D345" s="75"/>
      <c r="E345" s="76"/>
      <c r="F345" s="76"/>
      <c r="G345" s="76"/>
      <c r="H345" s="76"/>
      <c r="I345" s="76"/>
      <c r="J345" s="43"/>
      <c r="K345" s="44"/>
      <c r="L345" s="44"/>
      <c r="M345" s="44"/>
      <c r="N345" s="44"/>
      <c r="O345" s="44"/>
      <c r="P345" s="44"/>
      <c r="Q345" s="44"/>
      <c r="R345" s="44"/>
      <c r="S345" s="44"/>
      <c r="T345" s="44"/>
      <c r="U345" s="44"/>
      <c r="V345" s="44"/>
      <c r="W345" s="44"/>
      <c r="X345" s="44"/>
      <c r="Y345" s="44"/>
      <c r="Z345" s="44"/>
      <c r="AA345" s="44"/>
      <c r="AB345" s="44"/>
    </row>
    <row r="346">
      <c r="A346" s="51"/>
      <c r="B346" s="43"/>
      <c r="C346" s="74"/>
      <c r="D346" s="75"/>
      <c r="E346" s="76"/>
      <c r="F346" s="76"/>
      <c r="G346" s="76"/>
      <c r="H346" s="76"/>
      <c r="I346" s="76"/>
      <c r="J346" s="43"/>
      <c r="K346" s="44"/>
      <c r="L346" s="44"/>
      <c r="M346" s="44"/>
      <c r="N346" s="44"/>
      <c r="O346" s="44"/>
      <c r="P346" s="44"/>
      <c r="Q346" s="44"/>
      <c r="R346" s="44"/>
      <c r="S346" s="44"/>
      <c r="T346" s="44"/>
      <c r="U346" s="44"/>
      <c r="V346" s="44"/>
      <c r="W346" s="44"/>
      <c r="X346" s="44"/>
      <c r="Y346" s="44"/>
      <c r="Z346" s="44"/>
      <c r="AA346" s="44"/>
      <c r="AB346" s="44"/>
    </row>
    <row r="347">
      <c r="A347" s="51"/>
      <c r="B347" s="43"/>
      <c r="C347" s="74"/>
      <c r="D347" s="75"/>
      <c r="E347" s="76"/>
      <c r="F347" s="76"/>
      <c r="G347" s="76"/>
      <c r="H347" s="76"/>
      <c r="I347" s="76"/>
      <c r="J347" s="43"/>
      <c r="K347" s="44"/>
      <c r="L347" s="44"/>
      <c r="M347" s="44"/>
      <c r="N347" s="44"/>
      <c r="O347" s="44"/>
      <c r="P347" s="44"/>
      <c r="Q347" s="44"/>
      <c r="R347" s="44"/>
      <c r="S347" s="44"/>
      <c r="T347" s="44"/>
      <c r="U347" s="44"/>
      <c r="V347" s="44"/>
      <c r="W347" s="44"/>
      <c r="X347" s="44"/>
      <c r="Y347" s="44"/>
      <c r="Z347" s="44"/>
      <c r="AA347" s="44"/>
      <c r="AB347" s="44"/>
    </row>
    <row r="348">
      <c r="A348" s="51"/>
      <c r="B348" s="43"/>
      <c r="C348" s="74"/>
      <c r="D348" s="75"/>
      <c r="E348" s="76"/>
      <c r="F348" s="76"/>
      <c r="G348" s="76"/>
      <c r="H348" s="76"/>
      <c r="I348" s="76"/>
      <c r="J348" s="43"/>
      <c r="K348" s="44"/>
      <c r="L348" s="44"/>
      <c r="M348" s="44"/>
      <c r="N348" s="44"/>
      <c r="O348" s="44"/>
      <c r="P348" s="44"/>
      <c r="Q348" s="44"/>
      <c r="R348" s="44"/>
      <c r="S348" s="44"/>
      <c r="T348" s="44"/>
      <c r="U348" s="44"/>
      <c r="V348" s="44"/>
      <c r="W348" s="44"/>
      <c r="X348" s="44"/>
      <c r="Y348" s="44"/>
      <c r="Z348" s="44"/>
      <c r="AA348" s="44"/>
      <c r="AB348" s="44"/>
    </row>
    <row r="349">
      <c r="A349" s="51"/>
      <c r="B349" s="43"/>
      <c r="C349" s="74"/>
      <c r="D349" s="75"/>
      <c r="E349" s="76"/>
      <c r="F349" s="76"/>
      <c r="G349" s="76"/>
      <c r="H349" s="76"/>
      <c r="I349" s="76"/>
      <c r="J349" s="43"/>
      <c r="K349" s="44"/>
      <c r="L349" s="44"/>
      <c r="M349" s="44"/>
      <c r="N349" s="44"/>
      <c r="O349" s="44"/>
      <c r="P349" s="44"/>
      <c r="Q349" s="44"/>
      <c r="R349" s="44"/>
      <c r="S349" s="44"/>
      <c r="T349" s="44"/>
      <c r="U349" s="44"/>
      <c r="V349" s="44"/>
      <c r="W349" s="44"/>
      <c r="X349" s="44"/>
      <c r="Y349" s="44"/>
      <c r="Z349" s="44"/>
      <c r="AA349" s="44"/>
      <c r="AB349" s="44"/>
    </row>
    <row r="350">
      <c r="A350" s="51"/>
      <c r="B350" s="43"/>
      <c r="C350" s="74"/>
      <c r="D350" s="75"/>
      <c r="E350" s="76"/>
      <c r="F350" s="76"/>
      <c r="G350" s="76"/>
      <c r="H350" s="76"/>
      <c r="I350" s="76"/>
      <c r="J350" s="43"/>
      <c r="K350" s="44"/>
      <c r="L350" s="44"/>
      <c r="M350" s="44"/>
      <c r="N350" s="44"/>
      <c r="O350" s="44"/>
      <c r="P350" s="44"/>
      <c r="Q350" s="44"/>
      <c r="R350" s="44"/>
      <c r="S350" s="44"/>
      <c r="T350" s="44"/>
      <c r="U350" s="44"/>
      <c r="V350" s="44"/>
      <c r="W350" s="44"/>
      <c r="X350" s="44"/>
      <c r="Y350" s="44"/>
      <c r="Z350" s="44"/>
      <c r="AA350" s="44"/>
      <c r="AB350" s="44"/>
    </row>
    <row r="351">
      <c r="A351" s="51"/>
      <c r="B351" s="43"/>
      <c r="C351" s="74"/>
      <c r="D351" s="75"/>
      <c r="E351" s="76"/>
      <c r="F351" s="76"/>
      <c r="G351" s="76"/>
      <c r="H351" s="76"/>
      <c r="I351" s="76"/>
      <c r="J351" s="43"/>
      <c r="K351" s="44"/>
      <c r="L351" s="44"/>
      <c r="M351" s="44"/>
      <c r="N351" s="44"/>
      <c r="O351" s="44"/>
      <c r="P351" s="44"/>
      <c r="Q351" s="44"/>
      <c r="R351" s="44"/>
      <c r="S351" s="44"/>
      <c r="T351" s="44"/>
      <c r="U351" s="44"/>
      <c r="V351" s="44"/>
      <c r="W351" s="44"/>
      <c r="X351" s="44"/>
      <c r="Y351" s="44"/>
      <c r="Z351" s="44"/>
      <c r="AA351" s="44"/>
      <c r="AB351" s="44"/>
    </row>
    <row r="352">
      <c r="A352" s="51"/>
      <c r="B352" s="43"/>
      <c r="C352" s="74"/>
      <c r="D352" s="75"/>
      <c r="E352" s="76"/>
      <c r="F352" s="76"/>
      <c r="G352" s="76"/>
      <c r="H352" s="76"/>
      <c r="I352" s="76"/>
      <c r="J352" s="43"/>
      <c r="K352" s="44"/>
      <c r="L352" s="44"/>
      <c r="M352" s="44"/>
      <c r="N352" s="44"/>
      <c r="O352" s="44"/>
      <c r="P352" s="44"/>
      <c r="Q352" s="44"/>
      <c r="R352" s="44"/>
      <c r="S352" s="44"/>
      <c r="T352" s="44"/>
      <c r="U352" s="44"/>
      <c r="V352" s="44"/>
      <c r="W352" s="44"/>
      <c r="X352" s="44"/>
      <c r="Y352" s="44"/>
      <c r="Z352" s="44"/>
      <c r="AA352" s="44"/>
      <c r="AB352" s="44"/>
    </row>
    <row r="353">
      <c r="A353" s="51"/>
      <c r="B353" s="43"/>
      <c r="C353" s="74"/>
      <c r="D353" s="75"/>
      <c r="E353" s="76"/>
      <c r="F353" s="76"/>
      <c r="G353" s="76"/>
      <c r="H353" s="76"/>
      <c r="I353" s="76"/>
      <c r="J353" s="43"/>
      <c r="K353" s="44"/>
      <c r="L353" s="44"/>
      <c r="M353" s="44"/>
      <c r="N353" s="44"/>
      <c r="O353" s="44"/>
      <c r="P353" s="44"/>
      <c r="Q353" s="44"/>
      <c r="R353" s="44"/>
      <c r="S353" s="44"/>
      <c r="T353" s="44"/>
      <c r="U353" s="44"/>
      <c r="V353" s="44"/>
      <c r="W353" s="44"/>
      <c r="X353" s="44"/>
      <c r="Y353" s="44"/>
      <c r="Z353" s="44"/>
      <c r="AA353" s="44"/>
      <c r="AB353" s="44"/>
    </row>
    <row r="354">
      <c r="A354" s="51"/>
      <c r="B354" s="43"/>
      <c r="C354" s="74"/>
      <c r="D354" s="75"/>
      <c r="E354" s="76"/>
      <c r="F354" s="76"/>
      <c r="G354" s="76"/>
      <c r="H354" s="76"/>
      <c r="I354" s="76"/>
      <c r="J354" s="43"/>
      <c r="K354" s="44"/>
      <c r="L354" s="44"/>
      <c r="M354" s="44"/>
      <c r="N354" s="44"/>
      <c r="O354" s="44"/>
      <c r="P354" s="44"/>
      <c r="Q354" s="44"/>
      <c r="R354" s="44"/>
      <c r="S354" s="44"/>
      <c r="T354" s="44"/>
      <c r="U354" s="44"/>
      <c r="V354" s="44"/>
      <c r="W354" s="44"/>
      <c r="X354" s="44"/>
      <c r="Y354" s="44"/>
      <c r="Z354" s="44"/>
      <c r="AA354" s="44"/>
      <c r="AB354" s="44"/>
    </row>
    <row r="355">
      <c r="A355" s="51"/>
      <c r="B355" s="43"/>
      <c r="C355" s="74"/>
      <c r="D355" s="75"/>
      <c r="E355" s="76"/>
      <c r="F355" s="76"/>
      <c r="G355" s="76"/>
      <c r="H355" s="76"/>
      <c r="I355" s="76"/>
      <c r="J355" s="43"/>
      <c r="K355" s="44"/>
      <c r="L355" s="44"/>
      <c r="M355" s="44"/>
      <c r="N355" s="44"/>
      <c r="O355" s="44"/>
      <c r="P355" s="44"/>
      <c r="Q355" s="44"/>
      <c r="R355" s="44"/>
      <c r="S355" s="44"/>
      <c r="T355" s="44"/>
      <c r="U355" s="44"/>
      <c r="V355" s="44"/>
      <c r="W355" s="44"/>
      <c r="X355" s="44"/>
      <c r="Y355" s="44"/>
      <c r="Z355" s="44"/>
      <c r="AA355" s="44"/>
      <c r="AB355" s="44"/>
    </row>
    <row r="356">
      <c r="A356" s="51"/>
      <c r="B356" s="43"/>
      <c r="C356" s="74"/>
      <c r="D356" s="75"/>
      <c r="E356" s="76"/>
      <c r="F356" s="76"/>
      <c r="G356" s="76"/>
      <c r="H356" s="76"/>
      <c r="I356" s="76"/>
      <c r="J356" s="43"/>
      <c r="K356" s="44"/>
      <c r="L356" s="44"/>
      <c r="M356" s="44"/>
      <c r="N356" s="44"/>
      <c r="O356" s="44"/>
      <c r="P356" s="44"/>
      <c r="Q356" s="44"/>
      <c r="R356" s="44"/>
      <c r="S356" s="44"/>
      <c r="T356" s="44"/>
      <c r="U356" s="44"/>
      <c r="V356" s="44"/>
      <c r="W356" s="44"/>
      <c r="X356" s="44"/>
      <c r="Y356" s="44"/>
      <c r="Z356" s="44"/>
      <c r="AA356" s="44"/>
      <c r="AB356" s="44"/>
    </row>
    <row r="357">
      <c r="A357" s="51"/>
      <c r="B357" s="43"/>
      <c r="C357" s="74"/>
      <c r="D357" s="75"/>
      <c r="E357" s="76"/>
      <c r="F357" s="76"/>
      <c r="G357" s="76"/>
      <c r="H357" s="76"/>
      <c r="I357" s="76"/>
      <c r="J357" s="43"/>
      <c r="K357" s="44"/>
      <c r="L357" s="44"/>
      <c r="M357" s="44"/>
      <c r="N357" s="44"/>
      <c r="O357" s="44"/>
      <c r="P357" s="44"/>
      <c r="Q357" s="44"/>
      <c r="R357" s="44"/>
      <c r="S357" s="44"/>
      <c r="T357" s="44"/>
      <c r="U357" s="44"/>
      <c r="V357" s="44"/>
      <c r="W357" s="44"/>
      <c r="X357" s="44"/>
      <c r="Y357" s="44"/>
      <c r="Z357" s="44"/>
      <c r="AA357" s="44"/>
      <c r="AB357" s="44"/>
    </row>
    <row r="358">
      <c r="A358" s="51"/>
      <c r="B358" s="43"/>
      <c r="C358" s="74"/>
      <c r="D358" s="75"/>
      <c r="E358" s="76"/>
      <c r="F358" s="76"/>
      <c r="G358" s="76"/>
      <c r="H358" s="76"/>
      <c r="I358" s="76"/>
      <c r="J358" s="43"/>
      <c r="K358" s="44"/>
      <c r="L358" s="44"/>
      <c r="M358" s="44"/>
      <c r="N358" s="44"/>
      <c r="O358" s="44"/>
      <c r="P358" s="44"/>
      <c r="Q358" s="44"/>
      <c r="R358" s="44"/>
      <c r="S358" s="44"/>
      <c r="T358" s="44"/>
      <c r="U358" s="44"/>
      <c r="V358" s="44"/>
      <c r="W358" s="44"/>
      <c r="X358" s="44"/>
      <c r="Y358" s="44"/>
      <c r="Z358" s="44"/>
      <c r="AA358" s="44"/>
      <c r="AB358" s="44"/>
    </row>
    <row r="359">
      <c r="A359" s="51"/>
      <c r="B359" s="43"/>
      <c r="C359" s="74"/>
      <c r="D359" s="75"/>
      <c r="E359" s="76"/>
      <c r="F359" s="76"/>
      <c r="G359" s="76"/>
      <c r="H359" s="76"/>
      <c r="I359" s="76"/>
      <c r="J359" s="43"/>
      <c r="K359" s="44"/>
      <c r="L359" s="44"/>
      <c r="M359" s="44"/>
      <c r="N359" s="44"/>
      <c r="O359" s="44"/>
      <c r="P359" s="44"/>
      <c r="Q359" s="44"/>
      <c r="R359" s="44"/>
      <c r="S359" s="44"/>
      <c r="T359" s="44"/>
      <c r="U359" s="44"/>
      <c r="V359" s="44"/>
      <c r="W359" s="44"/>
      <c r="X359" s="44"/>
      <c r="Y359" s="44"/>
      <c r="Z359" s="44"/>
      <c r="AA359" s="44"/>
      <c r="AB359" s="44"/>
    </row>
    <row r="360">
      <c r="A360" s="51"/>
      <c r="B360" s="43"/>
      <c r="C360" s="74"/>
      <c r="D360" s="75"/>
      <c r="E360" s="76"/>
      <c r="F360" s="76"/>
      <c r="G360" s="76"/>
      <c r="H360" s="76"/>
      <c r="I360" s="76"/>
      <c r="J360" s="43"/>
      <c r="K360" s="44"/>
      <c r="L360" s="44"/>
      <c r="M360" s="44"/>
      <c r="N360" s="44"/>
      <c r="O360" s="44"/>
      <c r="P360" s="44"/>
      <c r="Q360" s="44"/>
      <c r="R360" s="44"/>
      <c r="S360" s="44"/>
      <c r="T360" s="44"/>
      <c r="U360" s="44"/>
      <c r="V360" s="44"/>
      <c r="W360" s="44"/>
      <c r="X360" s="44"/>
      <c r="Y360" s="44"/>
      <c r="Z360" s="44"/>
      <c r="AA360" s="44"/>
      <c r="AB360" s="44"/>
    </row>
    <row r="361">
      <c r="A361" s="51"/>
      <c r="B361" s="43"/>
      <c r="C361" s="74"/>
      <c r="D361" s="75"/>
      <c r="E361" s="76"/>
      <c r="F361" s="76"/>
      <c r="G361" s="76"/>
      <c r="H361" s="76"/>
      <c r="I361" s="76"/>
      <c r="J361" s="43"/>
      <c r="K361" s="44"/>
      <c r="L361" s="44"/>
      <c r="M361" s="44"/>
      <c r="N361" s="44"/>
      <c r="O361" s="44"/>
      <c r="P361" s="44"/>
      <c r="Q361" s="44"/>
      <c r="R361" s="44"/>
      <c r="S361" s="44"/>
      <c r="T361" s="44"/>
      <c r="U361" s="44"/>
      <c r="V361" s="44"/>
      <c r="W361" s="44"/>
      <c r="X361" s="44"/>
      <c r="Y361" s="44"/>
      <c r="Z361" s="44"/>
      <c r="AA361" s="44"/>
      <c r="AB361" s="44"/>
    </row>
    <row r="362">
      <c r="A362" s="51"/>
      <c r="B362" s="43"/>
      <c r="C362" s="74"/>
      <c r="D362" s="75"/>
      <c r="E362" s="76"/>
      <c r="F362" s="76"/>
      <c r="G362" s="76"/>
      <c r="H362" s="76"/>
      <c r="I362" s="76"/>
      <c r="J362" s="43"/>
      <c r="K362" s="44"/>
      <c r="L362" s="44"/>
      <c r="M362" s="44"/>
      <c r="N362" s="44"/>
      <c r="O362" s="44"/>
      <c r="P362" s="44"/>
      <c r="Q362" s="44"/>
      <c r="R362" s="44"/>
      <c r="S362" s="44"/>
      <c r="T362" s="44"/>
      <c r="U362" s="44"/>
      <c r="V362" s="44"/>
      <c r="W362" s="44"/>
      <c r="X362" s="44"/>
      <c r="Y362" s="44"/>
      <c r="Z362" s="44"/>
      <c r="AA362" s="44"/>
      <c r="AB362" s="44"/>
    </row>
    <row r="363">
      <c r="A363" s="51"/>
      <c r="B363" s="43"/>
      <c r="C363" s="74"/>
      <c r="D363" s="75"/>
      <c r="E363" s="76"/>
      <c r="F363" s="76"/>
      <c r="G363" s="76"/>
      <c r="H363" s="76"/>
      <c r="I363" s="76"/>
      <c r="J363" s="43"/>
      <c r="K363" s="44"/>
      <c r="L363" s="44"/>
      <c r="M363" s="44"/>
      <c r="N363" s="44"/>
      <c r="O363" s="44"/>
      <c r="P363" s="44"/>
      <c r="Q363" s="44"/>
      <c r="R363" s="44"/>
      <c r="S363" s="44"/>
      <c r="T363" s="44"/>
      <c r="U363" s="44"/>
      <c r="V363" s="44"/>
      <c r="W363" s="44"/>
      <c r="X363" s="44"/>
      <c r="Y363" s="44"/>
      <c r="Z363" s="44"/>
      <c r="AA363" s="44"/>
      <c r="AB363" s="44"/>
    </row>
    <row r="364">
      <c r="A364" s="51"/>
      <c r="B364" s="43"/>
      <c r="C364" s="74"/>
      <c r="D364" s="75"/>
      <c r="E364" s="76"/>
      <c r="F364" s="76"/>
      <c r="G364" s="76"/>
      <c r="H364" s="76"/>
      <c r="I364" s="76"/>
      <c r="J364" s="43"/>
      <c r="K364" s="44"/>
      <c r="L364" s="44"/>
      <c r="M364" s="44"/>
      <c r="N364" s="44"/>
      <c r="O364" s="44"/>
      <c r="P364" s="44"/>
      <c r="Q364" s="44"/>
      <c r="R364" s="44"/>
      <c r="S364" s="44"/>
      <c r="T364" s="44"/>
      <c r="U364" s="44"/>
      <c r="V364" s="44"/>
      <c r="W364" s="44"/>
      <c r="X364" s="44"/>
      <c r="Y364" s="44"/>
      <c r="Z364" s="44"/>
      <c r="AA364" s="44"/>
      <c r="AB364" s="44"/>
    </row>
    <row r="365">
      <c r="A365" s="51"/>
      <c r="B365" s="43"/>
      <c r="C365" s="74"/>
      <c r="D365" s="75"/>
      <c r="E365" s="76"/>
      <c r="F365" s="76"/>
      <c r="G365" s="76"/>
      <c r="H365" s="76"/>
      <c r="I365" s="76"/>
      <c r="J365" s="43"/>
      <c r="K365" s="44"/>
      <c r="L365" s="44"/>
      <c r="M365" s="44"/>
      <c r="N365" s="44"/>
      <c r="O365" s="44"/>
      <c r="P365" s="44"/>
      <c r="Q365" s="44"/>
      <c r="R365" s="44"/>
      <c r="S365" s="44"/>
      <c r="T365" s="44"/>
      <c r="U365" s="44"/>
      <c r="V365" s="44"/>
      <c r="W365" s="44"/>
      <c r="X365" s="44"/>
      <c r="Y365" s="44"/>
      <c r="Z365" s="44"/>
      <c r="AA365" s="44"/>
      <c r="AB365" s="44"/>
    </row>
    <row r="366">
      <c r="A366" s="51"/>
      <c r="B366" s="43"/>
      <c r="C366" s="74"/>
      <c r="D366" s="75"/>
      <c r="E366" s="76"/>
      <c r="F366" s="76"/>
      <c r="G366" s="76"/>
      <c r="H366" s="76"/>
      <c r="I366" s="76"/>
      <c r="J366" s="43"/>
      <c r="K366" s="44"/>
      <c r="L366" s="44"/>
      <c r="M366" s="44"/>
      <c r="N366" s="44"/>
      <c r="O366" s="44"/>
      <c r="P366" s="44"/>
      <c r="Q366" s="44"/>
      <c r="R366" s="44"/>
      <c r="S366" s="44"/>
      <c r="T366" s="44"/>
      <c r="U366" s="44"/>
      <c r="V366" s="44"/>
      <c r="W366" s="44"/>
      <c r="X366" s="44"/>
      <c r="Y366" s="44"/>
      <c r="Z366" s="44"/>
      <c r="AA366" s="44"/>
      <c r="AB366" s="44"/>
    </row>
    <row r="367">
      <c r="A367" s="51"/>
      <c r="B367" s="43"/>
      <c r="C367" s="74"/>
      <c r="D367" s="75"/>
      <c r="E367" s="76"/>
      <c r="F367" s="76"/>
      <c r="G367" s="76"/>
      <c r="H367" s="76"/>
      <c r="I367" s="76"/>
      <c r="J367" s="43"/>
      <c r="K367" s="44"/>
      <c r="L367" s="44"/>
      <c r="M367" s="44"/>
      <c r="N367" s="44"/>
      <c r="O367" s="44"/>
      <c r="P367" s="44"/>
      <c r="Q367" s="44"/>
      <c r="R367" s="44"/>
      <c r="S367" s="44"/>
      <c r="T367" s="44"/>
      <c r="U367" s="44"/>
      <c r="V367" s="44"/>
      <c r="W367" s="44"/>
      <c r="X367" s="44"/>
      <c r="Y367" s="44"/>
      <c r="Z367" s="44"/>
      <c r="AA367" s="44"/>
      <c r="AB367" s="44"/>
    </row>
    <row r="368">
      <c r="A368" s="51"/>
      <c r="B368" s="43"/>
      <c r="C368" s="74"/>
      <c r="D368" s="75"/>
      <c r="E368" s="76"/>
      <c r="F368" s="76"/>
      <c r="G368" s="76"/>
      <c r="H368" s="76"/>
      <c r="I368" s="76"/>
      <c r="J368" s="43"/>
      <c r="K368" s="44"/>
      <c r="L368" s="44"/>
      <c r="M368" s="44"/>
      <c r="N368" s="44"/>
      <c r="O368" s="44"/>
      <c r="P368" s="44"/>
      <c r="Q368" s="44"/>
      <c r="R368" s="44"/>
      <c r="S368" s="44"/>
      <c r="T368" s="44"/>
      <c r="U368" s="44"/>
      <c r="V368" s="44"/>
      <c r="W368" s="44"/>
      <c r="X368" s="44"/>
      <c r="Y368" s="44"/>
      <c r="Z368" s="44"/>
      <c r="AA368" s="44"/>
      <c r="AB368" s="44"/>
    </row>
    <row r="369">
      <c r="A369" s="51"/>
      <c r="B369" s="43"/>
      <c r="C369" s="74"/>
      <c r="D369" s="75"/>
      <c r="E369" s="76"/>
      <c r="F369" s="76"/>
      <c r="G369" s="76"/>
      <c r="H369" s="76"/>
      <c r="I369" s="76"/>
      <c r="J369" s="43"/>
      <c r="K369" s="44"/>
      <c r="L369" s="44"/>
      <c r="M369" s="44"/>
      <c r="N369" s="44"/>
      <c r="O369" s="44"/>
      <c r="P369" s="44"/>
      <c r="Q369" s="44"/>
      <c r="R369" s="44"/>
      <c r="S369" s="44"/>
      <c r="T369" s="44"/>
      <c r="U369" s="44"/>
      <c r="V369" s="44"/>
      <c r="W369" s="44"/>
      <c r="X369" s="44"/>
      <c r="Y369" s="44"/>
      <c r="Z369" s="44"/>
      <c r="AA369" s="44"/>
      <c r="AB369" s="44"/>
    </row>
    <row r="370">
      <c r="A370" s="51"/>
      <c r="B370" s="43"/>
      <c r="C370" s="74"/>
      <c r="D370" s="75"/>
      <c r="E370" s="76"/>
      <c r="F370" s="76"/>
      <c r="G370" s="76"/>
      <c r="H370" s="76"/>
      <c r="I370" s="76"/>
      <c r="J370" s="43"/>
      <c r="K370" s="44"/>
      <c r="L370" s="44"/>
      <c r="M370" s="44"/>
      <c r="N370" s="44"/>
      <c r="O370" s="44"/>
      <c r="P370" s="44"/>
      <c r="Q370" s="44"/>
      <c r="R370" s="44"/>
      <c r="S370" s="44"/>
      <c r="T370" s="44"/>
      <c r="U370" s="44"/>
      <c r="V370" s="44"/>
      <c r="W370" s="44"/>
      <c r="X370" s="44"/>
      <c r="Y370" s="44"/>
      <c r="Z370" s="44"/>
      <c r="AA370" s="44"/>
      <c r="AB370" s="44"/>
    </row>
    <row r="371">
      <c r="A371" s="51"/>
      <c r="B371" s="43"/>
      <c r="C371" s="74"/>
      <c r="D371" s="75"/>
      <c r="E371" s="76"/>
      <c r="F371" s="76"/>
      <c r="G371" s="76"/>
      <c r="H371" s="76"/>
      <c r="I371" s="76"/>
      <c r="J371" s="43"/>
      <c r="K371" s="44"/>
      <c r="L371" s="44"/>
      <c r="M371" s="44"/>
      <c r="N371" s="44"/>
      <c r="O371" s="44"/>
      <c r="P371" s="44"/>
      <c r="Q371" s="44"/>
      <c r="R371" s="44"/>
      <c r="S371" s="44"/>
      <c r="T371" s="44"/>
      <c r="U371" s="44"/>
      <c r="V371" s="44"/>
      <c r="W371" s="44"/>
      <c r="X371" s="44"/>
      <c r="Y371" s="44"/>
      <c r="Z371" s="44"/>
      <c r="AA371" s="44"/>
      <c r="AB371" s="44"/>
    </row>
    <row r="372">
      <c r="A372" s="51"/>
      <c r="B372" s="43"/>
      <c r="C372" s="74"/>
      <c r="D372" s="75"/>
      <c r="E372" s="76"/>
      <c r="F372" s="76"/>
      <c r="G372" s="76"/>
      <c r="H372" s="76"/>
      <c r="I372" s="76"/>
      <c r="J372" s="43"/>
      <c r="K372" s="44"/>
      <c r="L372" s="44"/>
      <c r="M372" s="44"/>
      <c r="N372" s="44"/>
      <c r="O372" s="44"/>
      <c r="P372" s="44"/>
      <c r="Q372" s="44"/>
      <c r="R372" s="44"/>
      <c r="S372" s="44"/>
      <c r="T372" s="44"/>
      <c r="U372" s="44"/>
      <c r="V372" s="44"/>
      <c r="W372" s="44"/>
      <c r="X372" s="44"/>
      <c r="Y372" s="44"/>
      <c r="Z372" s="44"/>
      <c r="AA372" s="44"/>
      <c r="AB372" s="44"/>
    </row>
    <row r="373">
      <c r="A373" s="51"/>
      <c r="B373" s="43"/>
      <c r="C373" s="74"/>
      <c r="D373" s="75"/>
      <c r="E373" s="76"/>
      <c r="F373" s="76"/>
      <c r="G373" s="76"/>
      <c r="H373" s="76"/>
      <c r="I373" s="76"/>
      <c r="J373" s="43"/>
      <c r="K373" s="44"/>
      <c r="L373" s="44"/>
      <c r="M373" s="44"/>
      <c r="N373" s="44"/>
      <c r="O373" s="44"/>
      <c r="P373" s="44"/>
      <c r="Q373" s="44"/>
      <c r="R373" s="44"/>
      <c r="S373" s="44"/>
      <c r="T373" s="44"/>
      <c r="U373" s="44"/>
      <c r="V373" s="44"/>
      <c r="W373" s="44"/>
      <c r="X373" s="44"/>
      <c r="Y373" s="44"/>
      <c r="Z373" s="44"/>
      <c r="AA373" s="44"/>
      <c r="AB373" s="44"/>
    </row>
    <row r="374">
      <c r="A374" s="51"/>
      <c r="B374" s="43"/>
      <c r="C374" s="74"/>
      <c r="D374" s="75"/>
      <c r="E374" s="76"/>
      <c r="F374" s="76"/>
      <c r="G374" s="76"/>
      <c r="H374" s="76"/>
      <c r="I374" s="76"/>
      <c r="J374" s="43"/>
      <c r="K374" s="44"/>
      <c r="L374" s="44"/>
      <c r="M374" s="44"/>
      <c r="N374" s="44"/>
      <c r="O374" s="44"/>
      <c r="P374" s="44"/>
      <c r="Q374" s="44"/>
      <c r="R374" s="44"/>
      <c r="S374" s="44"/>
      <c r="T374" s="44"/>
      <c r="U374" s="44"/>
      <c r="V374" s="44"/>
      <c r="W374" s="44"/>
      <c r="X374" s="44"/>
      <c r="Y374" s="44"/>
      <c r="Z374" s="44"/>
      <c r="AA374" s="44"/>
      <c r="AB374" s="44"/>
    </row>
    <row r="375">
      <c r="A375" s="51"/>
      <c r="B375" s="43"/>
      <c r="C375" s="74"/>
      <c r="D375" s="75"/>
      <c r="E375" s="76"/>
      <c r="F375" s="76"/>
      <c r="G375" s="76"/>
      <c r="H375" s="76"/>
      <c r="I375" s="76"/>
      <c r="J375" s="43"/>
      <c r="K375" s="44"/>
      <c r="L375" s="44"/>
      <c r="M375" s="44"/>
      <c r="N375" s="44"/>
      <c r="O375" s="44"/>
      <c r="P375" s="44"/>
      <c r="Q375" s="44"/>
      <c r="R375" s="44"/>
      <c r="S375" s="44"/>
      <c r="T375" s="44"/>
      <c r="U375" s="44"/>
      <c r="V375" s="44"/>
      <c r="W375" s="44"/>
      <c r="X375" s="44"/>
      <c r="Y375" s="44"/>
      <c r="Z375" s="44"/>
      <c r="AA375" s="44"/>
      <c r="AB375" s="44"/>
    </row>
    <row r="376">
      <c r="A376" s="51"/>
      <c r="B376" s="43"/>
      <c r="C376" s="74"/>
      <c r="D376" s="75"/>
      <c r="E376" s="76"/>
      <c r="F376" s="76"/>
      <c r="G376" s="76"/>
      <c r="H376" s="76"/>
      <c r="I376" s="76"/>
      <c r="J376" s="43"/>
      <c r="K376" s="44"/>
      <c r="L376" s="44"/>
      <c r="M376" s="44"/>
      <c r="N376" s="44"/>
      <c r="O376" s="44"/>
      <c r="P376" s="44"/>
      <c r="Q376" s="44"/>
      <c r="R376" s="44"/>
      <c r="S376" s="44"/>
      <c r="T376" s="44"/>
      <c r="U376" s="44"/>
      <c r="V376" s="44"/>
      <c r="W376" s="44"/>
      <c r="X376" s="44"/>
      <c r="Y376" s="44"/>
      <c r="Z376" s="44"/>
      <c r="AA376" s="44"/>
      <c r="AB376" s="44"/>
    </row>
    <row r="377">
      <c r="A377" s="51"/>
      <c r="B377" s="43"/>
      <c r="C377" s="74"/>
      <c r="D377" s="75"/>
      <c r="E377" s="76"/>
      <c r="F377" s="76"/>
      <c r="G377" s="76"/>
      <c r="H377" s="76"/>
      <c r="I377" s="76"/>
      <c r="J377" s="43"/>
      <c r="K377" s="44"/>
      <c r="L377" s="44"/>
      <c r="M377" s="44"/>
      <c r="N377" s="44"/>
      <c r="O377" s="44"/>
      <c r="P377" s="44"/>
      <c r="Q377" s="44"/>
      <c r="R377" s="44"/>
      <c r="S377" s="44"/>
      <c r="T377" s="44"/>
      <c r="U377" s="44"/>
      <c r="V377" s="44"/>
      <c r="W377" s="44"/>
      <c r="X377" s="44"/>
      <c r="Y377" s="44"/>
      <c r="Z377" s="44"/>
      <c r="AA377" s="44"/>
      <c r="AB377" s="44"/>
    </row>
    <row r="378">
      <c r="A378" s="51"/>
      <c r="B378" s="43"/>
      <c r="C378" s="74"/>
      <c r="D378" s="75"/>
      <c r="E378" s="76"/>
      <c r="F378" s="76"/>
      <c r="G378" s="76"/>
      <c r="H378" s="76"/>
      <c r="I378" s="76"/>
      <c r="J378" s="43"/>
      <c r="K378" s="44"/>
      <c r="L378" s="44"/>
      <c r="M378" s="44"/>
      <c r="N378" s="44"/>
      <c r="O378" s="44"/>
      <c r="P378" s="44"/>
      <c r="Q378" s="44"/>
      <c r="R378" s="44"/>
      <c r="S378" s="44"/>
      <c r="T378" s="44"/>
      <c r="U378" s="44"/>
      <c r="V378" s="44"/>
      <c r="W378" s="44"/>
      <c r="X378" s="44"/>
      <c r="Y378" s="44"/>
      <c r="Z378" s="44"/>
      <c r="AA378" s="44"/>
      <c r="AB378" s="44"/>
    </row>
    <row r="379">
      <c r="A379" s="51"/>
      <c r="B379" s="43"/>
      <c r="C379" s="74"/>
      <c r="D379" s="75"/>
      <c r="E379" s="76"/>
      <c r="F379" s="76"/>
      <c r="G379" s="76"/>
      <c r="H379" s="76"/>
      <c r="I379" s="76"/>
      <c r="J379" s="43"/>
      <c r="K379" s="44"/>
      <c r="L379" s="44"/>
      <c r="M379" s="44"/>
      <c r="N379" s="44"/>
      <c r="O379" s="44"/>
      <c r="P379" s="44"/>
      <c r="Q379" s="44"/>
      <c r="R379" s="44"/>
      <c r="S379" s="44"/>
      <c r="T379" s="44"/>
      <c r="U379" s="44"/>
      <c r="V379" s="44"/>
      <c r="W379" s="44"/>
      <c r="X379" s="44"/>
      <c r="Y379" s="44"/>
      <c r="Z379" s="44"/>
      <c r="AA379" s="44"/>
      <c r="AB379" s="44"/>
    </row>
    <row r="380">
      <c r="A380" s="51"/>
      <c r="B380" s="43"/>
      <c r="C380" s="74"/>
      <c r="D380" s="75"/>
      <c r="E380" s="76"/>
      <c r="F380" s="76"/>
      <c r="G380" s="76"/>
      <c r="H380" s="76"/>
      <c r="I380" s="76"/>
      <c r="J380" s="43"/>
      <c r="K380" s="44"/>
      <c r="L380" s="44"/>
      <c r="M380" s="44"/>
      <c r="N380" s="44"/>
      <c r="O380" s="44"/>
      <c r="P380" s="44"/>
      <c r="Q380" s="44"/>
      <c r="R380" s="44"/>
      <c r="S380" s="44"/>
      <c r="T380" s="44"/>
      <c r="U380" s="44"/>
      <c r="V380" s="44"/>
      <c r="W380" s="44"/>
      <c r="X380" s="44"/>
      <c r="Y380" s="44"/>
      <c r="Z380" s="44"/>
      <c r="AA380" s="44"/>
      <c r="AB380" s="44"/>
    </row>
    <row r="381">
      <c r="A381" s="51"/>
      <c r="B381" s="43"/>
      <c r="C381" s="74"/>
      <c r="D381" s="75"/>
      <c r="E381" s="76"/>
      <c r="F381" s="76"/>
      <c r="G381" s="76"/>
      <c r="H381" s="76"/>
      <c r="I381" s="76"/>
      <c r="J381" s="43"/>
      <c r="K381" s="44"/>
      <c r="L381" s="44"/>
      <c r="M381" s="44"/>
      <c r="N381" s="44"/>
      <c r="O381" s="44"/>
      <c r="P381" s="44"/>
      <c r="Q381" s="44"/>
      <c r="R381" s="44"/>
      <c r="S381" s="44"/>
      <c r="T381" s="44"/>
      <c r="U381" s="44"/>
      <c r="V381" s="44"/>
      <c r="W381" s="44"/>
      <c r="X381" s="44"/>
      <c r="Y381" s="44"/>
      <c r="Z381" s="44"/>
      <c r="AA381" s="44"/>
      <c r="AB381" s="44"/>
    </row>
    <row r="382">
      <c r="A382" s="51"/>
      <c r="B382" s="43"/>
      <c r="C382" s="74"/>
      <c r="D382" s="75"/>
      <c r="E382" s="76"/>
      <c r="F382" s="76"/>
      <c r="G382" s="76"/>
      <c r="H382" s="76"/>
      <c r="I382" s="76"/>
      <c r="J382" s="43"/>
      <c r="K382" s="44"/>
      <c r="L382" s="44"/>
      <c r="M382" s="44"/>
      <c r="N382" s="44"/>
      <c r="O382" s="44"/>
      <c r="P382" s="44"/>
      <c r="Q382" s="44"/>
      <c r="R382" s="44"/>
      <c r="S382" s="44"/>
      <c r="T382" s="44"/>
      <c r="U382" s="44"/>
      <c r="V382" s="44"/>
      <c r="W382" s="44"/>
      <c r="X382" s="44"/>
      <c r="Y382" s="44"/>
      <c r="Z382" s="44"/>
      <c r="AA382" s="44"/>
      <c r="AB382" s="44"/>
    </row>
    <row r="383">
      <c r="A383" s="51"/>
      <c r="B383" s="43"/>
      <c r="C383" s="74"/>
      <c r="D383" s="75"/>
      <c r="E383" s="76"/>
      <c r="F383" s="76"/>
      <c r="G383" s="76"/>
      <c r="H383" s="76"/>
      <c r="I383" s="76"/>
      <c r="J383" s="43"/>
      <c r="K383" s="44"/>
      <c r="L383" s="44"/>
      <c r="M383" s="44"/>
      <c r="N383" s="44"/>
      <c r="O383" s="44"/>
      <c r="P383" s="44"/>
      <c r="Q383" s="44"/>
      <c r="R383" s="44"/>
      <c r="S383" s="44"/>
      <c r="T383" s="44"/>
      <c r="U383" s="44"/>
      <c r="V383" s="44"/>
      <c r="W383" s="44"/>
      <c r="X383" s="44"/>
      <c r="Y383" s="44"/>
      <c r="Z383" s="44"/>
      <c r="AA383" s="44"/>
      <c r="AB383" s="44"/>
    </row>
    <row r="384">
      <c r="A384" s="51"/>
      <c r="B384" s="43"/>
      <c r="C384" s="74"/>
      <c r="D384" s="75"/>
      <c r="E384" s="76"/>
      <c r="F384" s="76"/>
      <c r="G384" s="76"/>
      <c r="H384" s="76"/>
      <c r="I384" s="76"/>
      <c r="J384" s="43"/>
      <c r="K384" s="44"/>
      <c r="L384" s="44"/>
      <c r="M384" s="44"/>
      <c r="N384" s="44"/>
      <c r="O384" s="44"/>
      <c r="P384" s="44"/>
      <c r="Q384" s="44"/>
      <c r="R384" s="44"/>
      <c r="S384" s="44"/>
      <c r="T384" s="44"/>
      <c r="U384" s="44"/>
      <c r="V384" s="44"/>
      <c r="W384" s="44"/>
      <c r="X384" s="44"/>
      <c r="Y384" s="44"/>
      <c r="Z384" s="44"/>
      <c r="AA384" s="44"/>
      <c r="AB384" s="44"/>
    </row>
    <row r="385">
      <c r="A385" s="51"/>
      <c r="B385" s="43"/>
      <c r="C385" s="74"/>
      <c r="D385" s="75"/>
      <c r="E385" s="76"/>
      <c r="F385" s="76"/>
      <c r="G385" s="76"/>
      <c r="H385" s="76"/>
      <c r="I385" s="76"/>
      <c r="J385" s="43"/>
      <c r="K385" s="44"/>
      <c r="L385" s="44"/>
      <c r="M385" s="44"/>
      <c r="N385" s="44"/>
      <c r="O385" s="44"/>
      <c r="P385" s="44"/>
      <c r="Q385" s="44"/>
      <c r="R385" s="44"/>
      <c r="S385" s="44"/>
      <c r="T385" s="44"/>
      <c r="U385" s="44"/>
      <c r="V385" s="44"/>
      <c r="W385" s="44"/>
      <c r="X385" s="44"/>
      <c r="Y385" s="44"/>
      <c r="Z385" s="44"/>
      <c r="AA385" s="44"/>
      <c r="AB385" s="44"/>
    </row>
    <row r="386">
      <c r="A386" s="51"/>
      <c r="B386" s="43"/>
      <c r="C386" s="74"/>
      <c r="D386" s="75"/>
      <c r="E386" s="76"/>
      <c r="F386" s="76"/>
      <c r="G386" s="76"/>
      <c r="H386" s="76"/>
      <c r="I386" s="76"/>
      <c r="J386" s="43"/>
      <c r="K386" s="44"/>
      <c r="L386" s="44"/>
      <c r="M386" s="44"/>
      <c r="N386" s="44"/>
      <c r="O386" s="44"/>
      <c r="P386" s="44"/>
      <c r="Q386" s="44"/>
      <c r="R386" s="44"/>
      <c r="S386" s="44"/>
      <c r="T386" s="44"/>
      <c r="U386" s="44"/>
      <c r="V386" s="44"/>
      <c r="W386" s="44"/>
      <c r="X386" s="44"/>
      <c r="Y386" s="44"/>
      <c r="Z386" s="44"/>
      <c r="AA386" s="44"/>
      <c r="AB386" s="44"/>
    </row>
    <row r="387">
      <c r="A387" s="51"/>
      <c r="B387" s="43"/>
      <c r="C387" s="74"/>
      <c r="D387" s="75"/>
      <c r="E387" s="76"/>
      <c r="F387" s="76"/>
      <c r="G387" s="76"/>
      <c r="H387" s="76"/>
      <c r="I387" s="76"/>
      <c r="J387" s="43"/>
      <c r="K387" s="44"/>
      <c r="L387" s="44"/>
      <c r="M387" s="44"/>
      <c r="N387" s="44"/>
      <c r="O387" s="44"/>
      <c r="P387" s="44"/>
      <c r="Q387" s="44"/>
      <c r="R387" s="44"/>
      <c r="S387" s="44"/>
      <c r="T387" s="44"/>
      <c r="U387" s="44"/>
      <c r="V387" s="44"/>
      <c r="W387" s="44"/>
      <c r="X387" s="44"/>
      <c r="Y387" s="44"/>
      <c r="Z387" s="44"/>
      <c r="AA387" s="44"/>
      <c r="AB387" s="44"/>
    </row>
    <row r="388">
      <c r="A388" s="51"/>
      <c r="B388" s="43"/>
      <c r="C388" s="74"/>
      <c r="D388" s="75"/>
      <c r="E388" s="76"/>
      <c r="F388" s="76"/>
      <c r="G388" s="76"/>
      <c r="H388" s="76"/>
      <c r="I388" s="76"/>
      <c r="J388" s="43"/>
      <c r="K388" s="44"/>
      <c r="L388" s="44"/>
      <c r="M388" s="44"/>
      <c r="N388" s="44"/>
      <c r="O388" s="44"/>
      <c r="P388" s="44"/>
      <c r="Q388" s="44"/>
      <c r="R388" s="44"/>
      <c r="S388" s="44"/>
      <c r="T388" s="44"/>
      <c r="U388" s="44"/>
      <c r="V388" s="44"/>
      <c r="W388" s="44"/>
      <c r="X388" s="44"/>
      <c r="Y388" s="44"/>
      <c r="Z388" s="44"/>
      <c r="AA388" s="44"/>
      <c r="AB388" s="44"/>
    </row>
    <row r="389">
      <c r="A389" s="51"/>
      <c r="B389" s="43"/>
      <c r="C389" s="74"/>
      <c r="D389" s="75"/>
      <c r="E389" s="76"/>
      <c r="F389" s="76"/>
      <c r="G389" s="76"/>
      <c r="H389" s="76"/>
      <c r="I389" s="76"/>
      <c r="J389" s="43"/>
      <c r="K389" s="44"/>
      <c r="L389" s="44"/>
      <c r="M389" s="44"/>
      <c r="N389" s="44"/>
      <c r="O389" s="44"/>
      <c r="P389" s="44"/>
      <c r="Q389" s="44"/>
      <c r="R389" s="44"/>
      <c r="S389" s="44"/>
      <c r="T389" s="44"/>
      <c r="U389" s="44"/>
      <c r="V389" s="44"/>
      <c r="W389" s="44"/>
      <c r="X389" s="44"/>
      <c r="Y389" s="44"/>
      <c r="Z389" s="44"/>
      <c r="AA389" s="44"/>
      <c r="AB389" s="44"/>
    </row>
    <row r="390">
      <c r="A390" s="51"/>
      <c r="B390" s="43"/>
      <c r="C390" s="74"/>
      <c r="D390" s="75"/>
      <c r="E390" s="76"/>
      <c r="F390" s="76"/>
      <c r="G390" s="76"/>
      <c r="H390" s="76"/>
      <c r="I390" s="76"/>
      <c r="J390" s="43"/>
      <c r="K390" s="44"/>
      <c r="L390" s="44"/>
      <c r="M390" s="44"/>
      <c r="N390" s="44"/>
      <c r="O390" s="44"/>
      <c r="P390" s="44"/>
      <c r="Q390" s="44"/>
      <c r="R390" s="44"/>
      <c r="S390" s="44"/>
      <c r="T390" s="44"/>
      <c r="U390" s="44"/>
      <c r="V390" s="44"/>
      <c r="W390" s="44"/>
      <c r="X390" s="44"/>
      <c r="Y390" s="44"/>
      <c r="Z390" s="44"/>
      <c r="AA390" s="44"/>
      <c r="AB390" s="44"/>
    </row>
    <row r="391">
      <c r="A391" s="51"/>
      <c r="B391" s="43"/>
      <c r="C391" s="74"/>
      <c r="D391" s="75"/>
      <c r="E391" s="76"/>
      <c r="F391" s="76"/>
      <c r="G391" s="76"/>
      <c r="H391" s="76"/>
      <c r="I391" s="76"/>
      <c r="J391" s="43"/>
      <c r="K391" s="44"/>
      <c r="L391" s="44"/>
      <c r="M391" s="44"/>
      <c r="N391" s="44"/>
      <c r="O391" s="44"/>
      <c r="P391" s="44"/>
      <c r="Q391" s="44"/>
      <c r="R391" s="44"/>
      <c r="S391" s="44"/>
      <c r="T391" s="44"/>
      <c r="U391" s="44"/>
      <c r="V391" s="44"/>
      <c r="W391" s="44"/>
      <c r="X391" s="44"/>
      <c r="Y391" s="44"/>
      <c r="Z391" s="44"/>
      <c r="AA391" s="44"/>
      <c r="AB391" s="44"/>
    </row>
    <row r="392">
      <c r="A392" s="51"/>
      <c r="B392" s="43"/>
      <c r="C392" s="74"/>
      <c r="D392" s="75"/>
      <c r="E392" s="76"/>
      <c r="F392" s="76"/>
      <c r="G392" s="76"/>
      <c r="H392" s="76"/>
      <c r="I392" s="76"/>
      <c r="J392" s="43"/>
      <c r="K392" s="44"/>
      <c r="L392" s="44"/>
      <c r="M392" s="44"/>
      <c r="N392" s="44"/>
      <c r="O392" s="44"/>
      <c r="P392" s="44"/>
      <c r="Q392" s="44"/>
      <c r="R392" s="44"/>
      <c r="S392" s="44"/>
      <c r="T392" s="44"/>
      <c r="U392" s="44"/>
      <c r="V392" s="44"/>
      <c r="W392" s="44"/>
      <c r="X392" s="44"/>
      <c r="Y392" s="44"/>
      <c r="Z392" s="44"/>
      <c r="AA392" s="44"/>
      <c r="AB392" s="44"/>
    </row>
    <row r="393">
      <c r="A393" s="51"/>
      <c r="B393" s="43"/>
      <c r="C393" s="74"/>
      <c r="D393" s="75"/>
      <c r="E393" s="76"/>
      <c r="F393" s="76"/>
      <c r="G393" s="76"/>
      <c r="H393" s="76"/>
      <c r="I393" s="76"/>
      <c r="J393" s="43"/>
      <c r="K393" s="44"/>
      <c r="L393" s="44"/>
      <c r="M393" s="44"/>
      <c r="N393" s="44"/>
      <c r="O393" s="44"/>
      <c r="P393" s="44"/>
      <c r="Q393" s="44"/>
      <c r="R393" s="44"/>
      <c r="S393" s="44"/>
      <c r="T393" s="44"/>
      <c r="U393" s="44"/>
      <c r="V393" s="44"/>
      <c r="W393" s="44"/>
      <c r="X393" s="44"/>
      <c r="Y393" s="44"/>
      <c r="Z393" s="44"/>
      <c r="AA393" s="44"/>
      <c r="AB393" s="44"/>
    </row>
    <row r="394">
      <c r="A394" s="51"/>
      <c r="B394" s="43"/>
      <c r="C394" s="74"/>
      <c r="D394" s="75"/>
      <c r="E394" s="76"/>
      <c r="F394" s="76"/>
      <c r="G394" s="76"/>
      <c r="H394" s="76"/>
      <c r="I394" s="76"/>
      <c r="J394" s="43"/>
      <c r="K394" s="44"/>
      <c r="L394" s="44"/>
      <c r="M394" s="44"/>
      <c r="N394" s="44"/>
      <c r="O394" s="44"/>
      <c r="P394" s="44"/>
      <c r="Q394" s="44"/>
      <c r="R394" s="44"/>
      <c r="S394" s="44"/>
      <c r="T394" s="44"/>
      <c r="U394" s="44"/>
      <c r="V394" s="44"/>
      <c r="W394" s="44"/>
      <c r="X394" s="44"/>
      <c r="Y394" s="44"/>
      <c r="Z394" s="44"/>
      <c r="AA394" s="44"/>
      <c r="AB394" s="44"/>
    </row>
    <row r="395">
      <c r="A395" s="51"/>
      <c r="B395" s="43"/>
      <c r="C395" s="74"/>
      <c r="D395" s="75"/>
      <c r="E395" s="76"/>
      <c r="F395" s="76"/>
      <c r="G395" s="76"/>
      <c r="H395" s="76"/>
      <c r="I395" s="76"/>
      <c r="J395" s="43"/>
      <c r="K395" s="44"/>
      <c r="L395" s="44"/>
      <c r="M395" s="44"/>
      <c r="N395" s="44"/>
      <c r="O395" s="44"/>
      <c r="P395" s="44"/>
      <c r="Q395" s="44"/>
      <c r="R395" s="44"/>
      <c r="S395" s="44"/>
      <c r="T395" s="44"/>
      <c r="U395" s="44"/>
      <c r="V395" s="44"/>
      <c r="W395" s="44"/>
      <c r="X395" s="44"/>
      <c r="Y395" s="44"/>
      <c r="Z395" s="44"/>
      <c r="AA395" s="44"/>
      <c r="AB395" s="44"/>
    </row>
    <row r="396">
      <c r="A396" s="51"/>
      <c r="B396" s="43"/>
      <c r="C396" s="74"/>
      <c r="D396" s="75"/>
      <c r="E396" s="76"/>
      <c r="F396" s="76"/>
      <c r="G396" s="76"/>
      <c r="H396" s="76"/>
      <c r="I396" s="76"/>
      <c r="J396" s="43"/>
      <c r="K396" s="44"/>
      <c r="L396" s="44"/>
      <c r="M396" s="44"/>
      <c r="N396" s="44"/>
      <c r="O396" s="44"/>
      <c r="P396" s="44"/>
      <c r="Q396" s="44"/>
      <c r="R396" s="44"/>
      <c r="S396" s="44"/>
      <c r="T396" s="44"/>
      <c r="U396" s="44"/>
      <c r="V396" s="44"/>
      <c r="W396" s="44"/>
      <c r="X396" s="44"/>
      <c r="Y396" s="44"/>
      <c r="Z396" s="44"/>
      <c r="AA396" s="44"/>
      <c r="AB396" s="44"/>
    </row>
    <row r="397">
      <c r="A397" s="51"/>
      <c r="B397" s="43"/>
      <c r="C397" s="74"/>
      <c r="D397" s="75"/>
      <c r="E397" s="76"/>
      <c r="F397" s="76"/>
      <c r="G397" s="76"/>
      <c r="H397" s="76"/>
      <c r="I397" s="76"/>
      <c r="J397" s="43"/>
      <c r="K397" s="44"/>
      <c r="L397" s="44"/>
      <c r="M397" s="44"/>
      <c r="N397" s="44"/>
      <c r="O397" s="44"/>
      <c r="P397" s="44"/>
      <c r="Q397" s="44"/>
      <c r="R397" s="44"/>
      <c r="S397" s="44"/>
      <c r="T397" s="44"/>
      <c r="U397" s="44"/>
      <c r="V397" s="44"/>
      <c r="W397" s="44"/>
      <c r="X397" s="44"/>
      <c r="Y397" s="44"/>
      <c r="Z397" s="44"/>
      <c r="AA397" s="44"/>
      <c r="AB397" s="44"/>
    </row>
    <row r="398">
      <c r="A398" s="51"/>
      <c r="B398" s="43"/>
      <c r="C398" s="74"/>
      <c r="D398" s="75"/>
      <c r="E398" s="76"/>
      <c r="F398" s="76"/>
      <c r="G398" s="76"/>
      <c r="H398" s="76"/>
      <c r="I398" s="76"/>
      <c r="J398" s="43"/>
      <c r="K398" s="44"/>
      <c r="L398" s="44"/>
      <c r="M398" s="44"/>
      <c r="N398" s="44"/>
      <c r="O398" s="44"/>
      <c r="P398" s="44"/>
      <c r="Q398" s="44"/>
      <c r="R398" s="44"/>
      <c r="S398" s="44"/>
      <c r="T398" s="44"/>
      <c r="U398" s="44"/>
      <c r="V398" s="44"/>
      <c r="W398" s="44"/>
      <c r="X398" s="44"/>
      <c r="Y398" s="44"/>
      <c r="Z398" s="44"/>
      <c r="AA398" s="44"/>
      <c r="AB398" s="44"/>
    </row>
    <row r="399">
      <c r="A399" s="51"/>
      <c r="B399" s="43"/>
      <c r="C399" s="74"/>
      <c r="D399" s="75"/>
      <c r="E399" s="76"/>
      <c r="F399" s="76"/>
      <c r="G399" s="76"/>
      <c r="H399" s="76"/>
      <c r="I399" s="76"/>
      <c r="J399" s="43"/>
      <c r="K399" s="44"/>
      <c r="L399" s="44"/>
      <c r="M399" s="44"/>
      <c r="N399" s="44"/>
      <c r="O399" s="44"/>
      <c r="P399" s="44"/>
      <c r="Q399" s="44"/>
      <c r="R399" s="44"/>
      <c r="S399" s="44"/>
      <c r="T399" s="44"/>
      <c r="U399" s="44"/>
      <c r="V399" s="44"/>
      <c r="W399" s="44"/>
      <c r="X399" s="44"/>
      <c r="Y399" s="44"/>
      <c r="Z399" s="44"/>
      <c r="AA399" s="44"/>
      <c r="AB399" s="44"/>
    </row>
    <row r="400">
      <c r="A400" s="51"/>
      <c r="B400" s="43"/>
      <c r="C400" s="74"/>
      <c r="D400" s="75"/>
      <c r="E400" s="76"/>
      <c r="F400" s="76"/>
      <c r="G400" s="76"/>
      <c r="H400" s="76"/>
      <c r="I400" s="76"/>
      <c r="J400" s="43"/>
      <c r="K400" s="44"/>
      <c r="L400" s="44"/>
      <c r="M400" s="44"/>
      <c r="N400" s="44"/>
      <c r="O400" s="44"/>
      <c r="P400" s="44"/>
      <c r="Q400" s="44"/>
      <c r="R400" s="44"/>
      <c r="S400" s="44"/>
      <c r="T400" s="44"/>
      <c r="U400" s="44"/>
      <c r="V400" s="44"/>
      <c r="W400" s="44"/>
      <c r="X400" s="44"/>
      <c r="Y400" s="44"/>
      <c r="Z400" s="44"/>
      <c r="AA400" s="44"/>
      <c r="AB400" s="44"/>
    </row>
    <row r="401">
      <c r="A401" s="51"/>
      <c r="B401" s="43"/>
      <c r="C401" s="74"/>
      <c r="D401" s="75"/>
      <c r="E401" s="76"/>
      <c r="F401" s="76"/>
      <c r="G401" s="76"/>
      <c r="H401" s="76"/>
      <c r="I401" s="76"/>
      <c r="J401" s="43"/>
      <c r="K401" s="44"/>
      <c r="L401" s="44"/>
      <c r="M401" s="44"/>
      <c r="N401" s="44"/>
      <c r="O401" s="44"/>
      <c r="P401" s="44"/>
      <c r="Q401" s="44"/>
      <c r="R401" s="44"/>
      <c r="S401" s="44"/>
      <c r="T401" s="44"/>
      <c r="U401" s="44"/>
      <c r="V401" s="44"/>
      <c r="W401" s="44"/>
      <c r="X401" s="44"/>
      <c r="Y401" s="44"/>
      <c r="Z401" s="44"/>
      <c r="AA401" s="44"/>
      <c r="AB401" s="44"/>
    </row>
    <row r="402">
      <c r="A402" s="51"/>
      <c r="B402" s="43"/>
      <c r="C402" s="74"/>
      <c r="D402" s="75"/>
      <c r="E402" s="76"/>
      <c r="F402" s="76"/>
      <c r="G402" s="76"/>
      <c r="H402" s="76"/>
      <c r="I402" s="76"/>
      <c r="J402" s="43"/>
      <c r="K402" s="44"/>
      <c r="L402" s="44"/>
      <c r="M402" s="44"/>
      <c r="N402" s="44"/>
      <c r="O402" s="44"/>
      <c r="P402" s="44"/>
      <c r="Q402" s="44"/>
      <c r="R402" s="44"/>
      <c r="S402" s="44"/>
      <c r="T402" s="44"/>
      <c r="U402" s="44"/>
      <c r="V402" s="44"/>
      <c r="W402" s="44"/>
      <c r="X402" s="44"/>
      <c r="Y402" s="44"/>
      <c r="Z402" s="44"/>
      <c r="AA402" s="44"/>
      <c r="AB402" s="44"/>
    </row>
    <row r="403">
      <c r="A403" s="51"/>
      <c r="B403" s="43"/>
      <c r="C403" s="74"/>
      <c r="D403" s="75"/>
      <c r="E403" s="76"/>
      <c r="F403" s="76"/>
      <c r="G403" s="76"/>
      <c r="H403" s="76"/>
      <c r="I403" s="76"/>
      <c r="J403" s="43"/>
      <c r="K403" s="44"/>
      <c r="L403" s="44"/>
      <c r="M403" s="44"/>
      <c r="N403" s="44"/>
      <c r="O403" s="44"/>
      <c r="P403" s="44"/>
      <c r="Q403" s="44"/>
      <c r="R403" s="44"/>
      <c r="S403" s="44"/>
      <c r="T403" s="44"/>
      <c r="U403" s="44"/>
      <c r="V403" s="44"/>
      <c r="W403" s="44"/>
      <c r="X403" s="44"/>
      <c r="Y403" s="44"/>
      <c r="Z403" s="44"/>
      <c r="AA403" s="44"/>
      <c r="AB403" s="44"/>
    </row>
    <row r="404">
      <c r="A404" s="51"/>
      <c r="B404" s="43"/>
      <c r="C404" s="74"/>
      <c r="D404" s="75"/>
      <c r="E404" s="76"/>
      <c r="F404" s="76"/>
      <c r="G404" s="76"/>
      <c r="H404" s="76"/>
      <c r="I404" s="76"/>
      <c r="J404" s="43"/>
      <c r="K404" s="44"/>
      <c r="L404" s="44"/>
      <c r="M404" s="44"/>
      <c r="N404" s="44"/>
      <c r="O404" s="44"/>
      <c r="P404" s="44"/>
      <c r="Q404" s="44"/>
      <c r="R404" s="44"/>
      <c r="S404" s="44"/>
      <c r="T404" s="44"/>
      <c r="U404" s="44"/>
      <c r="V404" s="44"/>
      <c r="W404" s="44"/>
      <c r="X404" s="44"/>
      <c r="Y404" s="44"/>
      <c r="Z404" s="44"/>
      <c r="AA404" s="44"/>
      <c r="AB404" s="44"/>
    </row>
    <row r="405">
      <c r="A405" s="51"/>
      <c r="B405" s="43"/>
      <c r="C405" s="74"/>
      <c r="D405" s="75"/>
      <c r="E405" s="76"/>
      <c r="F405" s="76"/>
      <c r="G405" s="76"/>
      <c r="H405" s="76"/>
      <c r="I405" s="76"/>
      <c r="J405" s="43"/>
      <c r="K405" s="44"/>
      <c r="L405" s="44"/>
      <c r="M405" s="44"/>
      <c r="N405" s="44"/>
      <c r="O405" s="44"/>
      <c r="P405" s="44"/>
      <c r="Q405" s="44"/>
      <c r="R405" s="44"/>
      <c r="S405" s="44"/>
      <c r="T405" s="44"/>
      <c r="U405" s="44"/>
      <c r="V405" s="44"/>
      <c r="W405" s="44"/>
      <c r="X405" s="44"/>
      <c r="Y405" s="44"/>
      <c r="Z405" s="44"/>
      <c r="AA405" s="44"/>
      <c r="AB405" s="44"/>
    </row>
    <row r="406">
      <c r="A406" s="51"/>
      <c r="B406" s="43"/>
      <c r="C406" s="74"/>
      <c r="D406" s="75"/>
      <c r="E406" s="76"/>
      <c r="F406" s="76"/>
      <c r="G406" s="76"/>
      <c r="H406" s="76"/>
      <c r="I406" s="76"/>
      <c r="J406" s="43"/>
      <c r="K406" s="44"/>
      <c r="L406" s="44"/>
      <c r="M406" s="44"/>
      <c r="N406" s="44"/>
      <c r="O406" s="44"/>
      <c r="P406" s="44"/>
      <c r="Q406" s="44"/>
      <c r="R406" s="44"/>
      <c r="S406" s="44"/>
      <c r="T406" s="44"/>
      <c r="U406" s="44"/>
      <c r="V406" s="44"/>
      <c r="W406" s="44"/>
      <c r="X406" s="44"/>
      <c r="Y406" s="44"/>
      <c r="Z406" s="44"/>
      <c r="AA406" s="44"/>
      <c r="AB406" s="44"/>
    </row>
    <row r="407">
      <c r="A407" s="51"/>
      <c r="B407" s="43"/>
      <c r="C407" s="74"/>
      <c r="D407" s="75"/>
      <c r="E407" s="76"/>
      <c r="F407" s="76"/>
      <c r="G407" s="76"/>
      <c r="H407" s="76"/>
      <c r="I407" s="76"/>
      <c r="J407" s="43"/>
      <c r="K407" s="44"/>
      <c r="L407" s="44"/>
      <c r="M407" s="44"/>
      <c r="N407" s="44"/>
      <c r="O407" s="44"/>
      <c r="P407" s="44"/>
      <c r="Q407" s="44"/>
      <c r="R407" s="44"/>
      <c r="S407" s="44"/>
      <c r="T407" s="44"/>
      <c r="U407" s="44"/>
      <c r="V407" s="44"/>
      <c r="W407" s="44"/>
      <c r="X407" s="44"/>
      <c r="Y407" s="44"/>
      <c r="Z407" s="44"/>
      <c r="AA407" s="44"/>
      <c r="AB407" s="44"/>
    </row>
    <row r="408">
      <c r="A408" s="51"/>
      <c r="B408" s="43"/>
      <c r="C408" s="74"/>
      <c r="D408" s="75"/>
      <c r="E408" s="76"/>
      <c r="F408" s="76"/>
      <c r="G408" s="76"/>
      <c r="H408" s="76"/>
      <c r="I408" s="76"/>
      <c r="J408" s="43"/>
      <c r="K408" s="44"/>
      <c r="L408" s="44"/>
      <c r="M408" s="44"/>
      <c r="N408" s="44"/>
      <c r="O408" s="44"/>
      <c r="P408" s="44"/>
      <c r="Q408" s="44"/>
      <c r="R408" s="44"/>
      <c r="S408" s="44"/>
      <c r="T408" s="44"/>
      <c r="U408" s="44"/>
      <c r="V408" s="44"/>
      <c r="W408" s="44"/>
      <c r="X408" s="44"/>
      <c r="Y408" s="44"/>
      <c r="Z408" s="44"/>
      <c r="AA408" s="44"/>
      <c r="AB408" s="44"/>
    </row>
    <row r="409">
      <c r="A409" s="51"/>
      <c r="B409" s="43"/>
      <c r="C409" s="74"/>
      <c r="D409" s="75"/>
      <c r="E409" s="76"/>
      <c r="F409" s="76"/>
      <c r="G409" s="76"/>
      <c r="H409" s="76"/>
      <c r="I409" s="76"/>
      <c r="J409" s="43"/>
      <c r="K409" s="44"/>
      <c r="L409" s="44"/>
      <c r="M409" s="44"/>
      <c r="N409" s="44"/>
      <c r="O409" s="44"/>
      <c r="P409" s="44"/>
      <c r="Q409" s="44"/>
      <c r="R409" s="44"/>
      <c r="S409" s="44"/>
      <c r="T409" s="44"/>
      <c r="U409" s="44"/>
      <c r="V409" s="44"/>
      <c r="W409" s="44"/>
      <c r="X409" s="44"/>
      <c r="Y409" s="44"/>
      <c r="Z409" s="44"/>
      <c r="AA409" s="44"/>
      <c r="AB409" s="44"/>
    </row>
    <row r="410">
      <c r="A410" s="51"/>
      <c r="B410" s="43"/>
      <c r="C410" s="74"/>
      <c r="D410" s="75"/>
      <c r="E410" s="76"/>
      <c r="F410" s="76"/>
      <c r="G410" s="76"/>
      <c r="H410" s="76"/>
      <c r="I410" s="76"/>
      <c r="J410" s="43"/>
      <c r="K410" s="44"/>
      <c r="L410" s="44"/>
      <c r="M410" s="44"/>
      <c r="N410" s="44"/>
      <c r="O410" s="44"/>
      <c r="P410" s="44"/>
      <c r="Q410" s="44"/>
      <c r="R410" s="44"/>
      <c r="S410" s="44"/>
      <c r="T410" s="44"/>
      <c r="U410" s="44"/>
      <c r="V410" s="44"/>
      <c r="W410" s="44"/>
      <c r="X410" s="44"/>
      <c r="Y410" s="44"/>
      <c r="Z410" s="44"/>
      <c r="AA410" s="44"/>
      <c r="AB410" s="44"/>
    </row>
    <row r="411">
      <c r="A411" s="51"/>
      <c r="B411" s="43"/>
      <c r="C411" s="74"/>
      <c r="D411" s="75"/>
      <c r="E411" s="76"/>
      <c r="F411" s="76"/>
      <c r="G411" s="76"/>
      <c r="H411" s="76"/>
      <c r="I411" s="76"/>
      <c r="J411" s="43"/>
      <c r="K411" s="44"/>
      <c r="L411" s="44"/>
      <c r="M411" s="44"/>
      <c r="N411" s="44"/>
      <c r="O411" s="44"/>
      <c r="P411" s="44"/>
      <c r="Q411" s="44"/>
      <c r="R411" s="44"/>
      <c r="S411" s="44"/>
      <c r="T411" s="44"/>
      <c r="U411" s="44"/>
      <c r="V411" s="44"/>
      <c r="W411" s="44"/>
      <c r="X411" s="44"/>
      <c r="Y411" s="44"/>
      <c r="Z411" s="44"/>
      <c r="AA411" s="44"/>
      <c r="AB411" s="44"/>
    </row>
    <row r="412">
      <c r="A412" s="51"/>
      <c r="B412" s="43"/>
      <c r="C412" s="74"/>
      <c r="D412" s="75"/>
      <c r="E412" s="76"/>
      <c r="F412" s="76"/>
      <c r="G412" s="76"/>
      <c r="H412" s="76"/>
      <c r="I412" s="76"/>
      <c r="J412" s="43"/>
      <c r="K412" s="44"/>
      <c r="L412" s="44"/>
      <c r="M412" s="44"/>
      <c r="N412" s="44"/>
      <c r="O412" s="44"/>
      <c r="P412" s="44"/>
      <c r="Q412" s="44"/>
      <c r="R412" s="44"/>
      <c r="S412" s="44"/>
      <c r="T412" s="44"/>
      <c r="U412" s="44"/>
      <c r="V412" s="44"/>
      <c r="W412" s="44"/>
      <c r="X412" s="44"/>
      <c r="Y412" s="44"/>
      <c r="Z412" s="44"/>
      <c r="AA412" s="44"/>
      <c r="AB412" s="44"/>
    </row>
    <row r="413">
      <c r="A413" s="51"/>
      <c r="B413" s="43"/>
      <c r="C413" s="74"/>
      <c r="D413" s="75"/>
      <c r="E413" s="76"/>
      <c r="F413" s="76"/>
      <c r="G413" s="76"/>
      <c r="H413" s="76"/>
      <c r="I413" s="76"/>
      <c r="J413" s="43"/>
      <c r="K413" s="44"/>
      <c r="L413" s="44"/>
      <c r="M413" s="44"/>
      <c r="N413" s="44"/>
      <c r="O413" s="44"/>
      <c r="P413" s="44"/>
      <c r="Q413" s="44"/>
      <c r="R413" s="44"/>
      <c r="S413" s="44"/>
      <c r="T413" s="44"/>
      <c r="U413" s="44"/>
      <c r="V413" s="44"/>
      <c r="W413" s="44"/>
      <c r="X413" s="44"/>
      <c r="Y413" s="44"/>
      <c r="Z413" s="44"/>
      <c r="AA413" s="44"/>
      <c r="AB413" s="44"/>
    </row>
    <row r="414">
      <c r="A414" s="51"/>
      <c r="B414" s="43"/>
      <c r="C414" s="74"/>
      <c r="D414" s="75"/>
      <c r="E414" s="76"/>
      <c r="F414" s="76"/>
      <c r="G414" s="76"/>
      <c r="H414" s="76"/>
      <c r="I414" s="76"/>
      <c r="J414" s="43"/>
      <c r="K414" s="44"/>
      <c r="L414" s="44"/>
      <c r="M414" s="44"/>
      <c r="N414" s="44"/>
      <c r="O414" s="44"/>
      <c r="P414" s="44"/>
      <c r="Q414" s="44"/>
      <c r="R414" s="44"/>
      <c r="S414" s="44"/>
      <c r="T414" s="44"/>
      <c r="U414" s="44"/>
      <c r="V414" s="44"/>
      <c r="W414" s="44"/>
      <c r="X414" s="44"/>
      <c r="Y414" s="44"/>
      <c r="Z414" s="44"/>
      <c r="AA414" s="44"/>
      <c r="AB414" s="44"/>
    </row>
    <row r="415">
      <c r="A415" s="51"/>
      <c r="B415" s="43"/>
      <c r="C415" s="74"/>
      <c r="D415" s="75"/>
      <c r="E415" s="76"/>
      <c r="F415" s="76"/>
      <c r="G415" s="76"/>
      <c r="H415" s="76"/>
      <c r="I415" s="76"/>
      <c r="J415" s="43"/>
      <c r="K415" s="44"/>
      <c r="L415" s="44"/>
      <c r="M415" s="44"/>
      <c r="N415" s="44"/>
      <c r="O415" s="44"/>
      <c r="P415" s="44"/>
      <c r="Q415" s="44"/>
      <c r="R415" s="44"/>
      <c r="S415" s="44"/>
      <c r="T415" s="44"/>
      <c r="U415" s="44"/>
      <c r="V415" s="44"/>
      <c r="W415" s="44"/>
      <c r="X415" s="44"/>
      <c r="Y415" s="44"/>
      <c r="Z415" s="44"/>
      <c r="AA415" s="44"/>
      <c r="AB415" s="44"/>
    </row>
    <row r="416">
      <c r="A416" s="51"/>
      <c r="B416" s="43"/>
      <c r="C416" s="74"/>
      <c r="D416" s="75"/>
      <c r="E416" s="76"/>
      <c r="F416" s="76"/>
      <c r="G416" s="76"/>
      <c r="H416" s="76"/>
      <c r="I416" s="76"/>
      <c r="J416" s="43"/>
      <c r="K416" s="44"/>
      <c r="L416" s="44"/>
      <c r="M416" s="44"/>
      <c r="N416" s="44"/>
      <c r="O416" s="44"/>
      <c r="P416" s="44"/>
      <c r="Q416" s="44"/>
      <c r="R416" s="44"/>
      <c r="S416" s="44"/>
      <c r="T416" s="44"/>
      <c r="U416" s="44"/>
      <c r="V416" s="44"/>
      <c r="W416" s="44"/>
      <c r="X416" s="44"/>
      <c r="Y416" s="44"/>
      <c r="Z416" s="44"/>
      <c r="AA416" s="44"/>
      <c r="AB416" s="44"/>
    </row>
    <row r="417">
      <c r="A417" s="51"/>
      <c r="B417" s="43"/>
      <c r="C417" s="74"/>
      <c r="D417" s="75"/>
      <c r="E417" s="76"/>
      <c r="F417" s="76"/>
      <c r="G417" s="76"/>
      <c r="H417" s="76"/>
      <c r="I417" s="76"/>
      <c r="J417" s="43"/>
      <c r="K417" s="44"/>
      <c r="L417" s="44"/>
      <c r="M417" s="44"/>
      <c r="N417" s="44"/>
      <c r="O417" s="44"/>
      <c r="P417" s="44"/>
      <c r="Q417" s="44"/>
      <c r="R417" s="44"/>
      <c r="S417" s="44"/>
      <c r="T417" s="44"/>
      <c r="U417" s="44"/>
      <c r="V417" s="44"/>
      <c r="W417" s="44"/>
      <c r="X417" s="44"/>
      <c r="Y417" s="44"/>
      <c r="Z417" s="44"/>
      <c r="AA417" s="44"/>
      <c r="AB417" s="44"/>
    </row>
    <row r="418">
      <c r="A418" s="51"/>
      <c r="B418" s="43"/>
      <c r="C418" s="74"/>
      <c r="D418" s="75"/>
      <c r="E418" s="76"/>
      <c r="F418" s="76"/>
      <c r="G418" s="76"/>
      <c r="H418" s="76"/>
      <c r="I418" s="76"/>
      <c r="J418" s="43"/>
      <c r="K418" s="44"/>
      <c r="L418" s="44"/>
      <c r="M418" s="44"/>
      <c r="N418" s="44"/>
      <c r="O418" s="44"/>
      <c r="P418" s="44"/>
      <c r="Q418" s="44"/>
      <c r="R418" s="44"/>
      <c r="S418" s="44"/>
      <c r="T418" s="44"/>
      <c r="U418" s="44"/>
      <c r="V418" s="44"/>
      <c r="W418" s="44"/>
      <c r="X418" s="44"/>
      <c r="Y418" s="44"/>
      <c r="Z418" s="44"/>
      <c r="AA418" s="44"/>
      <c r="AB418" s="44"/>
    </row>
    <row r="419">
      <c r="A419" s="51"/>
      <c r="B419" s="43"/>
      <c r="C419" s="74"/>
      <c r="D419" s="75"/>
      <c r="E419" s="76"/>
      <c r="F419" s="76"/>
      <c r="G419" s="76"/>
      <c r="H419" s="76"/>
      <c r="I419" s="76"/>
      <c r="J419" s="43"/>
      <c r="K419" s="44"/>
      <c r="L419" s="44"/>
      <c r="M419" s="44"/>
      <c r="N419" s="44"/>
      <c r="O419" s="44"/>
      <c r="P419" s="44"/>
      <c r="Q419" s="44"/>
      <c r="R419" s="44"/>
      <c r="S419" s="44"/>
      <c r="T419" s="44"/>
      <c r="U419" s="44"/>
      <c r="V419" s="44"/>
      <c r="W419" s="44"/>
      <c r="X419" s="44"/>
      <c r="Y419" s="44"/>
      <c r="Z419" s="44"/>
      <c r="AA419" s="44"/>
      <c r="AB419" s="44"/>
    </row>
    <row r="420">
      <c r="A420" s="51"/>
      <c r="B420" s="43"/>
      <c r="C420" s="74"/>
      <c r="D420" s="75"/>
      <c r="E420" s="76"/>
      <c r="F420" s="76"/>
      <c r="G420" s="76"/>
      <c r="H420" s="76"/>
      <c r="I420" s="76"/>
      <c r="J420" s="43"/>
      <c r="K420" s="44"/>
      <c r="L420" s="44"/>
      <c r="M420" s="44"/>
      <c r="N420" s="44"/>
      <c r="O420" s="44"/>
      <c r="P420" s="44"/>
      <c r="Q420" s="44"/>
      <c r="R420" s="44"/>
      <c r="S420" s="44"/>
      <c r="T420" s="44"/>
      <c r="U420" s="44"/>
      <c r="V420" s="44"/>
      <c r="W420" s="44"/>
      <c r="X420" s="44"/>
      <c r="Y420" s="44"/>
      <c r="Z420" s="44"/>
      <c r="AA420" s="44"/>
      <c r="AB420" s="44"/>
    </row>
    <row r="421">
      <c r="A421" s="51"/>
      <c r="B421" s="43"/>
      <c r="C421" s="74"/>
      <c r="D421" s="75"/>
      <c r="E421" s="76"/>
      <c r="F421" s="76"/>
      <c r="G421" s="76"/>
      <c r="H421" s="76"/>
      <c r="I421" s="76"/>
      <c r="J421" s="43"/>
      <c r="K421" s="44"/>
      <c r="L421" s="44"/>
      <c r="M421" s="44"/>
      <c r="N421" s="44"/>
      <c r="O421" s="44"/>
      <c r="P421" s="44"/>
      <c r="Q421" s="44"/>
      <c r="R421" s="44"/>
      <c r="S421" s="44"/>
      <c r="T421" s="44"/>
      <c r="U421" s="44"/>
      <c r="V421" s="44"/>
      <c r="W421" s="44"/>
      <c r="X421" s="44"/>
      <c r="Y421" s="44"/>
      <c r="Z421" s="44"/>
      <c r="AA421" s="44"/>
      <c r="AB421" s="44"/>
    </row>
    <row r="422">
      <c r="A422" s="51"/>
      <c r="B422" s="43"/>
      <c r="C422" s="74"/>
      <c r="D422" s="75"/>
      <c r="E422" s="76"/>
      <c r="F422" s="76"/>
      <c r="G422" s="76"/>
      <c r="H422" s="76"/>
      <c r="I422" s="76"/>
      <c r="J422" s="43"/>
      <c r="K422" s="44"/>
      <c r="L422" s="44"/>
      <c r="M422" s="44"/>
      <c r="N422" s="44"/>
      <c r="O422" s="44"/>
      <c r="P422" s="44"/>
      <c r="Q422" s="44"/>
      <c r="R422" s="44"/>
      <c r="S422" s="44"/>
      <c r="T422" s="44"/>
      <c r="U422" s="44"/>
      <c r="V422" s="44"/>
      <c r="W422" s="44"/>
      <c r="X422" s="44"/>
      <c r="Y422" s="44"/>
      <c r="Z422" s="44"/>
      <c r="AA422" s="44"/>
      <c r="AB422" s="44"/>
    </row>
    <row r="423">
      <c r="A423" s="51"/>
      <c r="B423" s="43"/>
      <c r="C423" s="74"/>
      <c r="D423" s="75"/>
      <c r="E423" s="76"/>
      <c r="F423" s="76"/>
      <c r="G423" s="76"/>
      <c r="H423" s="76"/>
      <c r="I423" s="76"/>
      <c r="J423" s="43"/>
      <c r="K423" s="44"/>
      <c r="L423" s="44"/>
      <c r="M423" s="44"/>
      <c r="N423" s="44"/>
      <c r="O423" s="44"/>
      <c r="P423" s="44"/>
      <c r="Q423" s="44"/>
      <c r="R423" s="44"/>
      <c r="S423" s="44"/>
      <c r="T423" s="44"/>
      <c r="U423" s="44"/>
      <c r="V423" s="44"/>
      <c r="W423" s="44"/>
      <c r="X423" s="44"/>
      <c r="Y423" s="44"/>
      <c r="Z423" s="44"/>
      <c r="AA423" s="44"/>
      <c r="AB423" s="44"/>
    </row>
    <row r="424">
      <c r="A424" s="51"/>
      <c r="B424" s="43"/>
      <c r="C424" s="74"/>
      <c r="D424" s="75"/>
      <c r="E424" s="76"/>
      <c r="F424" s="76"/>
      <c r="G424" s="76"/>
      <c r="H424" s="76"/>
      <c r="I424" s="76"/>
      <c r="J424" s="43"/>
      <c r="K424" s="44"/>
      <c r="L424" s="44"/>
      <c r="M424" s="44"/>
      <c r="N424" s="44"/>
      <c r="O424" s="44"/>
      <c r="P424" s="44"/>
      <c r="Q424" s="44"/>
      <c r="R424" s="44"/>
      <c r="S424" s="44"/>
      <c r="T424" s="44"/>
      <c r="U424" s="44"/>
      <c r="V424" s="44"/>
      <c r="W424" s="44"/>
      <c r="X424" s="44"/>
      <c r="Y424" s="44"/>
      <c r="Z424" s="44"/>
      <c r="AA424" s="44"/>
      <c r="AB424" s="44"/>
    </row>
    <row r="425">
      <c r="A425" s="51"/>
      <c r="B425" s="43"/>
      <c r="C425" s="74"/>
      <c r="D425" s="75"/>
      <c r="E425" s="76"/>
      <c r="F425" s="76"/>
      <c r="G425" s="76"/>
      <c r="H425" s="76"/>
      <c r="I425" s="76"/>
      <c r="J425" s="43"/>
      <c r="K425" s="44"/>
      <c r="L425" s="44"/>
      <c r="M425" s="44"/>
      <c r="N425" s="44"/>
      <c r="O425" s="44"/>
      <c r="P425" s="44"/>
      <c r="Q425" s="44"/>
      <c r="R425" s="44"/>
      <c r="S425" s="44"/>
      <c r="T425" s="44"/>
      <c r="U425" s="44"/>
      <c r="V425" s="44"/>
      <c r="W425" s="44"/>
      <c r="X425" s="44"/>
      <c r="Y425" s="44"/>
      <c r="Z425" s="44"/>
      <c r="AA425" s="44"/>
      <c r="AB425" s="44"/>
    </row>
    <row r="426">
      <c r="A426" s="51"/>
      <c r="B426" s="43"/>
      <c r="C426" s="74"/>
      <c r="D426" s="75"/>
      <c r="E426" s="76"/>
      <c r="F426" s="76"/>
      <c r="G426" s="76"/>
      <c r="H426" s="76"/>
      <c r="I426" s="76"/>
      <c r="J426" s="43"/>
      <c r="K426" s="44"/>
      <c r="L426" s="44"/>
      <c r="M426" s="44"/>
      <c r="N426" s="44"/>
      <c r="O426" s="44"/>
      <c r="P426" s="44"/>
      <c r="Q426" s="44"/>
      <c r="R426" s="44"/>
      <c r="S426" s="44"/>
      <c r="T426" s="44"/>
      <c r="U426" s="44"/>
      <c r="V426" s="44"/>
      <c r="W426" s="44"/>
      <c r="X426" s="44"/>
      <c r="Y426" s="44"/>
      <c r="Z426" s="44"/>
      <c r="AA426" s="44"/>
      <c r="AB426" s="44"/>
    </row>
    <row r="427">
      <c r="A427" s="51"/>
      <c r="B427" s="43"/>
      <c r="C427" s="74"/>
      <c r="D427" s="75"/>
      <c r="E427" s="76"/>
      <c r="F427" s="76"/>
      <c r="G427" s="76"/>
      <c r="H427" s="76"/>
      <c r="I427" s="76"/>
      <c r="J427" s="43"/>
      <c r="K427" s="44"/>
      <c r="L427" s="44"/>
      <c r="M427" s="44"/>
      <c r="N427" s="44"/>
      <c r="O427" s="44"/>
      <c r="P427" s="44"/>
      <c r="Q427" s="44"/>
      <c r="R427" s="44"/>
      <c r="S427" s="44"/>
      <c r="T427" s="44"/>
      <c r="U427" s="44"/>
      <c r="V427" s="44"/>
      <c r="W427" s="44"/>
      <c r="X427" s="44"/>
      <c r="Y427" s="44"/>
      <c r="Z427" s="44"/>
      <c r="AA427" s="44"/>
      <c r="AB427" s="44"/>
    </row>
    <row r="428">
      <c r="A428" s="51"/>
      <c r="B428" s="43"/>
      <c r="C428" s="74"/>
      <c r="D428" s="75"/>
      <c r="E428" s="76"/>
      <c r="F428" s="76"/>
      <c r="G428" s="76"/>
      <c r="H428" s="76"/>
      <c r="I428" s="76"/>
      <c r="J428" s="43"/>
      <c r="K428" s="44"/>
      <c r="L428" s="44"/>
      <c r="M428" s="44"/>
      <c r="N428" s="44"/>
      <c r="O428" s="44"/>
      <c r="P428" s="44"/>
      <c r="Q428" s="44"/>
      <c r="R428" s="44"/>
      <c r="S428" s="44"/>
      <c r="T428" s="44"/>
      <c r="U428" s="44"/>
      <c r="V428" s="44"/>
      <c r="W428" s="44"/>
      <c r="X428" s="44"/>
      <c r="Y428" s="44"/>
      <c r="Z428" s="44"/>
      <c r="AA428" s="44"/>
      <c r="AB428" s="44"/>
    </row>
    <row r="429">
      <c r="A429" s="51"/>
      <c r="B429" s="43"/>
      <c r="C429" s="74"/>
      <c r="D429" s="75"/>
      <c r="E429" s="76"/>
      <c r="F429" s="76"/>
      <c r="G429" s="76"/>
      <c r="H429" s="76"/>
      <c r="I429" s="76"/>
      <c r="J429" s="43"/>
      <c r="K429" s="44"/>
      <c r="L429" s="44"/>
      <c r="M429" s="44"/>
      <c r="N429" s="44"/>
      <c r="O429" s="44"/>
      <c r="P429" s="44"/>
      <c r="Q429" s="44"/>
      <c r="R429" s="44"/>
      <c r="S429" s="44"/>
      <c r="T429" s="44"/>
      <c r="U429" s="44"/>
      <c r="V429" s="44"/>
      <c r="W429" s="44"/>
      <c r="X429" s="44"/>
      <c r="Y429" s="44"/>
      <c r="Z429" s="44"/>
      <c r="AA429" s="44"/>
      <c r="AB429" s="44"/>
    </row>
    <row r="430">
      <c r="A430" s="51"/>
      <c r="B430" s="43"/>
      <c r="C430" s="74"/>
      <c r="D430" s="75"/>
      <c r="E430" s="76"/>
      <c r="F430" s="76"/>
      <c r="G430" s="76"/>
      <c r="H430" s="76"/>
      <c r="I430" s="76"/>
      <c r="J430" s="43"/>
      <c r="K430" s="44"/>
      <c r="L430" s="44"/>
      <c r="M430" s="44"/>
      <c r="N430" s="44"/>
      <c r="O430" s="44"/>
      <c r="P430" s="44"/>
      <c r="Q430" s="44"/>
      <c r="R430" s="44"/>
      <c r="S430" s="44"/>
      <c r="T430" s="44"/>
      <c r="U430" s="44"/>
      <c r="V430" s="44"/>
      <c r="W430" s="44"/>
      <c r="X430" s="44"/>
      <c r="Y430" s="44"/>
      <c r="Z430" s="44"/>
      <c r="AA430" s="44"/>
      <c r="AB430" s="44"/>
    </row>
    <row r="431">
      <c r="A431" s="51"/>
      <c r="B431" s="43"/>
      <c r="C431" s="74"/>
      <c r="D431" s="75"/>
      <c r="E431" s="76"/>
      <c r="F431" s="76"/>
      <c r="G431" s="76"/>
      <c r="H431" s="76"/>
      <c r="I431" s="76"/>
      <c r="J431" s="43"/>
      <c r="K431" s="44"/>
      <c r="L431" s="44"/>
      <c r="M431" s="44"/>
      <c r="N431" s="44"/>
      <c r="O431" s="44"/>
      <c r="P431" s="44"/>
      <c r="Q431" s="44"/>
      <c r="R431" s="44"/>
      <c r="S431" s="44"/>
      <c r="T431" s="44"/>
      <c r="U431" s="44"/>
      <c r="V431" s="44"/>
      <c r="W431" s="44"/>
      <c r="X431" s="44"/>
      <c r="Y431" s="44"/>
      <c r="Z431" s="44"/>
      <c r="AA431" s="44"/>
      <c r="AB431" s="44"/>
    </row>
    <row r="432">
      <c r="A432" s="51"/>
      <c r="B432" s="43"/>
      <c r="C432" s="74"/>
      <c r="D432" s="75"/>
      <c r="E432" s="76"/>
      <c r="F432" s="76"/>
      <c r="G432" s="76"/>
      <c r="H432" s="76"/>
      <c r="I432" s="76"/>
      <c r="J432" s="43"/>
      <c r="K432" s="44"/>
      <c r="L432" s="44"/>
      <c r="M432" s="44"/>
      <c r="N432" s="44"/>
      <c r="O432" s="44"/>
      <c r="P432" s="44"/>
      <c r="Q432" s="44"/>
      <c r="R432" s="44"/>
      <c r="S432" s="44"/>
      <c r="T432" s="44"/>
      <c r="U432" s="44"/>
      <c r="V432" s="44"/>
      <c r="W432" s="44"/>
      <c r="X432" s="44"/>
      <c r="Y432" s="44"/>
      <c r="Z432" s="44"/>
      <c r="AA432" s="44"/>
      <c r="AB432" s="44"/>
    </row>
    <row r="433">
      <c r="A433" s="51"/>
      <c r="B433" s="43"/>
      <c r="C433" s="74"/>
      <c r="D433" s="75"/>
      <c r="E433" s="76"/>
      <c r="F433" s="76"/>
      <c r="G433" s="76"/>
      <c r="H433" s="76"/>
      <c r="I433" s="76"/>
      <c r="J433" s="43"/>
      <c r="K433" s="44"/>
      <c r="L433" s="44"/>
      <c r="M433" s="44"/>
      <c r="N433" s="44"/>
      <c r="O433" s="44"/>
      <c r="P433" s="44"/>
      <c r="Q433" s="44"/>
      <c r="R433" s="44"/>
      <c r="S433" s="44"/>
      <c r="T433" s="44"/>
      <c r="U433" s="44"/>
      <c r="V433" s="44"/>
      <c r="W433" s="44"/>
      <c r="X433" s="44"/>
      <c r="Y433" s="44"/>
      <c r="Z433" s="44"/>
      <c r="AA433" s="44"/>
      <c r="AB433" s="44"/>
    </row>
    <row r="434">
      <c r="A434" s="51"/>
      <c r="B434" s="43"/>
      <c r="C434" s="74"/>
      <c r="D434" s="75"/>
      <c r="E434" s="76"/>
      <c r="F434" s="76"/>
      <c r="G434" s="76"/>
      <c r="H434" s="76"/>
      <c r="I434" s="76"/>
      <c r="J434" s="43"/>
      <c r="K434" s="44"/>
      <c r="L434" s="44"/>
      <c r="M434" s="44"/>
      <c r="N434" s="44"/>
      <c r="O434" s="44"/>
      <c r="P434" s="44"/>
      <c r="Q434" s="44"/>
      <c r="R434" s="44"/>
      <c r="S434" s="44"/>
      <c r="T434" s="44"/>
      <c r="U434" s="44"/>
      <c r="V434" s="44"/>
      <c r="W434" s="44"/>
      <c r="X434" s="44"/>
      <c r="Y434" s="44"/>
      <c r="Z434" s="44"/>
      <c r="AA434" s="44"/>
      <c r="AB434" s="44"/>
    </row>
    <row r="435">
      <c r="A435" s="51"/>
      <c r="B435" s="43"/>
      <c r="C435" s="74"/>
      <c r="D435" s="75"/>
      <c r="E435" s="76"/>
      <c r="F435" s="76"/>
      <c r="G435" s="76"/>
      <c r="H435" s="76"/>
      <c r="I435" s="76"/>
      <c r="J435" s="43"/>
      <c r="K435" s="44"/>
      <c r="L435" s="44"/>
      <c r="M435" s="44"/>
      <c r="N435" s="44"/>
      <c r="O435" s="44"/>
      <c r="P435" s="44"/>
      <c r="Q435" s="44"/>
      <c r="R435" s="44"/>
      <c r="S435" s="44"/>
      <c r="T435" s="44"/>
      <c r="U435" s="44"/>
      <c r="V435" s="44"/>
      <c r="W435" s="44"/>
      <c r="X435" s="44"/>
      <c r="Y435" s="44"/>
      <c r="Z435" s="44"/>
      <c r="AA435" s="44"/>
      <c r="AB435" s="44"/>
    </row>
    <row r="436">
      <c r="A436" s="51"/>
      <c r="B436" s="43"/>
      <c r="C436" s="74"/>
      <c r="D436" s="75"/>
      <c r="E436" s="76"/>
      <c r="F436" s="76"/>
      <c r="G436" s="76"/>
      <c r="H436" s="76"/>
      <c r="I436" s="76"/>
      <c r="J436" s="43"/>
      <c r="K436" s="44"/>
      <c r="L436" s="44"/>
      <c r="M436" s="44"/>
      <c r="N436" s="44"/>
      <c r="O436" s="44"/>
      <c r="P436" s="44"/>
      <c r="Q436" s="44"/>
      <c r="R436" s="44"/>
      <c r="S436" s="44"/>
      <c r="T436" s="44"/>
      <c r="U436" s="44"/>
      <c r="V436" s="44"/>
      <c r="W436" s="44"/>
      <c r="X436" s="44"/>
      <c r="Y436" s="44"/>
      <c r="Z436" s="44"/>
      <c r="AA436" s="44"/>
      <c r="AB436" s="44"/>
    </row>
    <row r="437">
      <c r="A437" s="51"/>
      <c r="B437" s="43"/>
      <c r="C437" s="74"/>
      <c r="D437" s="75"/>
      <c r="E437" s="76"/>
      <c r="F437" s="76"/>
      <c r="G437" s="76"/>
      <c r="H437" s="76"/>
      <c r="I437" s="76"/>
      <c r="J437" s="43"/>
      <c r="K437" s="44"/>
      <c r="L437" s="44"/>
      <c r="M437" s="44"/>
      <c r="N437" s="44"/>
      <c r="O437" s="44"/>
      <c r="P437" s="44"/>
      <c r="Q437" s="44"/>
      <c r="R437" s="44"/>
      <c r="S437" s="44"/>
      <c r="T437" s="44"/>
      <c r="U437" s="44"/>
      <c r="V437" s="44"/>
      <c r="W437" s="44"/>
      <c r="X437" s="44"/>
      <c r="Y437" s="44"/>
      <c r="Z437" s="44"/>
      <c r="AA437" s="44"/>
      <c r="AB437" s="44"/>
    </row>
    <row r="438">
      <c r="A438" s="51"/>
      <c r="B438" s="43"/>
      <c r="C438" s="74"/>
      <c r="D438" s="75"/>
      <c r="E438" s="76"/>
      <c r="F438" s="76"/>
      <c r="G438" s="76"/>
      <c r="H438" s="76"/>
      <c r="I438" s="76"/>
      <c r="J438" s="43"/>
      <c r="K438" s="44"/>
      <c r="L438" s="44"/>
      <c r="M438" s="44"/>
      <c r="N438" s="44"/>
      <c r="O438" s="44"/>
      <c r="P438" s="44"/>
      <c r="Q438" s="44"/>
      <c r="R438" s="44"/>
      <c r="S438" s="44"/>
      <c r="T438" s="44"/>
      <c r="U438" s="44"/>
      <c r="V438" s="44"/>
      <c r="W438" s="44"/>
      <c r="X438" s="44"/>
      <c r="Y438" s="44"/>
      <c r="Z438" s="44"/>
      <c r="AA438" s="44"/>
      <c r="AB438" s="44"/>
    </row>
    <row r="439">
      <c r="A439" s="51"/>
      <c r="B439" s="43"/>
      <c r="C439" s="74"/>
      <c r="D439" s="75"/>
      <c r="E439" s="76"/>
      <c r="F439" s="76"/>
      <c r="G439" s="76"/>
      <c r="H439" s="76"/>
      <c r="I439" s="76"/>
      <c r="J439" s="43"/>
      <c r="K439" s="44"/>
      <c r="L439" s="44"/>
      <c r="M439" s="44"/>
      <c r="N439" s="44"/>
      <c r="O439" s="44"/>
      <c r="P439" s="44"/>
      <c r="Q439" s="44"/>
      <c r="R439" s="44"/>
      <c r="S439" s="44"/>
      <c r="T439" s="44"/>
      <c r="U439" s="44"/>
      <c r="V439" s="44"/>
      <c r="W439" s="44"/>
      <c r="X439" s="44"/>
      <c r="Y439" s="44"/>
      <c r="Z439" s="44"/>
      <c r="AA439" s="44"/>
      <c r="AB439" s="44"/>
    </row>
    <row r="440">
      <c r="A440" s="51"/>
      <c r="B440" s="43"/>
      <c r="C440" s="74"/>
      <c r="D440" s="75"/>
      <c r="E440" s="76"/>
      <c r="F440" s="76"/>
      <c r="G440" s="76"/>
      <c r="H440" s="76"/>
      <c r="I440" s="76"/>
      <c r="J440" s="43"/>
      <c r="K440" s="44"/>
      <c r="L440" s="44"/>
      <c r="M440" s="44"/>
      <c r="N440" s="44"/>
      <c r="O440" s="44"/>
      <c r="P440" s="44"/>
      <c r="Q440" s="44"/>
      <c r="R440" s="44"/>
      <c r="S440" s="44"/>
      <c r="T440" s="44"/>
      <c r="U440" s="44"/>
      <c r="V440" s="44"/>
      <c r="W440" s="44"/>
      <c r="X440" s="44"/>
      <c r="Y440" s="44"/>
      <c r="Z440" s="44"/>
      <c r="AA440" s="44"/>
      <c r="AB440" s="44"/>
    </row>
    <row r="441">
      <c r="A441" s="51"/>
      <c r="B441" s="43"/>
      <c r="C441" s="74"/>
      <c r="D441" s="75"/>
      <c r="E441" s="76"/>
      <c r="F441" s="76"/>
      <c r="G441" s="76"/>
      <c r="H441" s="76"/>
      <c r="I441" s="76"/>
      <c r="J441" s="43"/>
      <c r="K441" s="44"/>
      <c r="L441" s="44"/>
      <c r="M441" s="44"/>
      <c r="N441" s="44"/>
      <c r="O441" s="44"/>
      <c r="P441" s="44"/>
      <c r="Q441" s="44"/>
      <c r="R441" s="44"/>
      <c r="S441" s="44"/>
      <c r="T441" s="44"/>
      <c r="U441" s="44"/>
      <c r="V441" s="44"/>
      <c r="W441" s="44"/>
      <c r="X441" s="44"/>
      <c r="Y441" s="44"/>
      <c r="Z441" s="44"/>
      <c r="AA441" s="44"/>
      <c r="AB441" s="44"/>
    </row>
    <row r="442">
      <c r="A442" s="51"/>
      <c r="B442" s="43"/>
      <c r="C442" s="74"/>
      <c r="D442" s="75"/>
      <c r="E442" s="76"/>
      <c r="F442" s="76"/>
      <c r="G442" s="76"/>
      <c r="H442" s="76"/>
      <c r="I442" s="76"/>
      <c r="J442" s="43"/>
      <c r="K442" s="44"/>
      <c r="L442" s="44"/>
      <c r="M442" s="44"/>
      <c r="N442" s="44"/>
      <c r="O442" s="44"/>
      <c r="P442" s="44"/>
      <c r="Q442" s="44"/>
      <c r="R442" s="44"/>
      <c r="S442" s="44"/>
      <c r="T442" s="44"/>
      <c r="U442" s="44"/>
      <c r="V442" s="44"/>
      <c r="W442" s="44"/>
      <c r="X442" s="44"/>
      <c r="Y442" s="44"/>
      <c r="Z442" s="44"/>
      <c r="AA442" s="44"/>
      <c r="AB442" s="44"/>
    </row>
    <row r="443">
      <c r="A443" s="51"/>
      <c r="B443" s="43"/>
      <c r="C443" s="74"/>
      <c r="D443" s="75"/>
      <c r="E443" s="76"/>
      <c r="F443" s="76"/>
      <c r="G443" s="76"/>
      <c r="H443" s="76"/>
      <c r="I443" s="76"/>
      <c r="J443" s="43"/>
      <c r="K443" s="44"/>
      <c r="L443" s="44"/>
      <c r="M443" s="44"/>
      <c r="N443" s="44"/>
      <c r="O443" s="44"/>
      <c r="P443" s="44"/>
      <c r="Q443" s="44"/>
      <c r="R443" s="44"/>
      <c r="S443" s="44"/>
      <c r="T443" s="44"/>
      <c r="U443" s="44"/>
      <c r="V443" s="44"/>
      <c r="W443" s="44"/>
      <c r="X443" s="44"/>
      <c r="Y443" s="44"/>
      <c r="Z443" s="44"/>
      <c r="AA443" s="44"/>
      <c r="AB443" s="44"/>
    </row>
    <row r="444">
      <c r="A444" s="51"/>
      <c r="B444" s="43"/>
      <c r="C444" s="74"/>
      <c r="D444" s="75"/>
      <c r="E444" s="76"/>
      <c r="F444" s="76"/>
      <c r="G444" s="76"/>
      <c r="H444" s="76"/>
      <c r="I444" s="76"/>
      <c r="J444" s="43"/>
      <c r="K444" s="44"/>
      <c r="L444" s="44"/>
      <c r="M444" s="44"/>
      <c r="N444" s="44"/>
      <c r="O444" s="44"/>
      <c r="P444" s="44"/>
      <c r="Q444" s="44"/>
      <c r="R444" s="44"/>
      <c r="S444" s="44"/>
      <c r="T444" s="44"/>
      <c r="U444" s="44"/>
      <c r="V444" s="44"/>
      <c r="W444" s="44"/>
      <c r="X444" s="44"/>
      <c r="Y444" s="44"/>
      <c r="Z444" s="44"/>
      <c r="AA444" s="44"/>
      <c r="AB444" s="44"/>
    </row>
    <row r="445">
      <c r="A445" s="51"/>
      <c r="B445" s="43"/>
      <c r="C445" s="74"/>
      <c r="D445" s="75"/>
      <c r="E445" s="76"/>
      <c r="F445" s="76"/>
      <c r="G445" s="76"/>
      <c r="H445" s="76"/>
      <c r="I445" s="76"/>
      <c r="J445" s="43"/>
      <c r="K445" s="44"/>
      <c r="L445" s="44"/>
      <c r="M445" s="44"/>
      <c r="N445" s="44"/>
      <c r="O445" s="44"/>
      <c r="P445" s="44"/>
      <c r="Q445" s="44"/>
      <c r="R445" s="44"/>
      <c r="S445" s="44"/>
      <c r="T445" s="44"/>
      <c r="U445" s="44"/>
      <c r="V445" s="44"/>
      <c r="W445" s="44"/>
      <c r="X445" s="44"/>
      <c r="Y445" s="44"/>
      <c r="Z445" s="44"/>
      <c r="AA445" s="44"/>
      <c r="AB445" s="44"/>
    </row>
    <row r="446">
      <c r="A446" s="51"/>
      <c r="B446" s="43"/>
      <c r="C446" s="74"/>
      <c r="D446" s="75"/>
      <c r="E446" s="76"/>
      <c r="F446" s="76"/>
      <c r="G446" s="76"/>
      <c r="H446" s="76"/>
      <c r="I446" s="76"/>
      <c r="J446" s="43"/>
      <c r="K446" s="44"/>
      <c r="L446" s="44"/>
      <c r="M446" s="44"/>
      <c r="N446" s="44"/>
      <c r="O446" s="44"/>
      <c r="P446" s="44"/>
      <c r="Q446" s="44"/>
      <c r="R446" s="44"/>
      <c r="S446" s="44"/>
      <c r="T446" s="44"/>
      <c r="U446" s="44"/>
      <c r="V446" s="44"/>
      <c r="W446" s="44"/>
      <c r="X446" s="44"/>
      <c r="Y446" s="44"/>
      <c r="Z446" s="44"/>
      <c r="AA446" s="44"/>
      <c r="AB446" s="44"/>
    </row>
    <row r="447">
      <c r="A447" s="51"/>
      <c r="B447" s="43"/>
      <c r="C447" s="74"/>
      <c r="D447" s="75"/>
      <c r="E447" s="76"/>
      <c r="F447" s="76"/>
      <c r="G447" s="76"/>
      <c r="H447" s="76"/>
      <c r="I447" s="76"/>
      <c r="J447" s="43"/>
      <c r="K447" s="44"/>
      <c r="L447" s="44"/>
      <c r="M447" s="44"/>
      <c r="N447" s="44"/>
      <c r="O447" s="44"/>
      <c r="P447" s="44"/>
      <c r="Q447" s="44"/>
      <c r="R447" s="44"/>
      <c r="S447" s="44"/>
      <c r="T447" s="44"/>
      <c r="U447" s="44"/>
      <c r="V447" s="44"/>
      <c r="W447" s="44"/>
      <c r="X447" s="44"/>
      <c r="Y447" s="44"/>
      <c r="Z447" s="44"/>
      <c r="AA447" s="44"/>
      <c r="AB447" s="44"/>
    </row>
    <row r="448">
      <c r="A448" s="51"/>
      <c r="B448" s="43"/>
      <c r="C448" s="74"/>
      <c r="D448" s="75"/>
      <c r="E448" s="76"/>
      <c r="F448" s="76"/>
      <c r="G448" s="76"/>
      <c r="H448" s="76"/>
      <c r="I448" s="76"/>
      <c r="J448" s="43"/>
      <c r="K448" s="44"/>
      <c r="L448" s="44"/>
      <c r="M448" s="44"/>
      <c r="N448" s="44"/>
      <c r="O448" s="44"/>
      <c r="P448" s="44"/>
      <c r="Q448" s="44"/>
      <c r="R448" s="44"/>
      <c r="S448" s="44"/>
      <c r="T448" s="44"/>
      <c r="U448" s="44"/>
      <c r="V448" s="44"/>
      <c r="W448" s="44"/>
      <c r="X448" s="44"/>
      <c r="Y448" s="44"/>
      <c r="Z448" s="44"/>
      <c r="AA448" s="44"/>
      <c r="AB448" s="44"/>
    </row>
    <row r="449">
      <c r="A449" s="51"/>
      <c r="B449" s="43"/>
      <c r="C449" s="74"/>
      <c r="D449" s="75"/>
      <c r="E449" s="76"/>
      <c r="F449" s="76"/>
      <c r="G449" s="76"/>
      <c r="H449" s="76"/>
      <c r="I449" s="76"/>
      <c r="J449" s="43"/>
      <c r="K449" s="44"/>
      <c r="L449" s="44"/>
      <c r="M449" s="44"/>
      <c r="N449" s="44"/>
      <c r="O449" s="44"/>
      <c r="P449" s="44"/>
      <c r="Q449" s="44"/>
      <c r="R449" s="44"/>
      <c r="S449" s="44"/>
      <c r="T449" s="44"/>
      <c r="U449" s="44"/>
      <c r="V449" s="44"/>
      <c r="W449" s="44"/>
      <c r="X449" s="44"/>
      <c r="Y449" s="44"/>
      <c r="Z449" s="44"/>
      <c r="AA449" s="44"/>
      <c r="AB449" s="44"/>
    </row>
    <row r="450">
      <c r="A450" s="51"/>
      <c r="B450" s="43"/>
      <c r="C450" s="74"/>
      <c r="D450" s="75"/>
      <c r="E450" s="76"/>
      <c r="F450" s="76"/>
      <c r="G450" s="76"/>
      <c r="H450" s="76"/>
      <c r="I450" s="76"/>
      <c r="J450" s="43"/>
      <c r="K450" s="44"/>
      <c r="L450" s="44"/>
      <c r="M450" s="44"/>
      <c r="N450" s="44"/>
      <c r="O450" s="44"/>
      <c r="P450" s="44"/>
      <c r="Q450" s="44"/>
      <c r="R450" s="44"/>
      <c r="S450" s="44"/>
      <c r="T450" s="44"/>
      <c r="U450" s="44"/>
      <c r="V450" s="44"/>
      <c r="W450" s="44"/>
      <c r="X450" s="44"/>
      <c r="Y450" s="44"/>
      <c r="Z450" s="44"/>
      <c r="AA450" s="44"/>
      <c r="AB450" s="44"/>
    </row>
    <row r="451">
      <c r="A451" s="51"/>
      <c r="B451" s="43"/>
      <c r="C451" s="74"/>
      <c r="D451" s="75"/>
      <c r="E451" s="76"/>
      <c r="F451" s="76"/>
      <c r="G451" s="76"/>
      <c r="H451" s="76"/>
      <c r="I451" s="76"/>
      <c r="J451" s="43"/>
      <c r="K451" s="44"/>
      <c r="L451" s="44"/>
      <c r="M451" s="44"/>
      <c r="N451" s="44"/>
      <c r="O451" s="44"/>
      <c r="P451" s="44"/>
      <c r="Q451" s="44"/>
      <c r="R451" s="44"/>
      <c r="S451" s="44"/>
      <c r="T451" s="44"/>
      <c r="U451" s="44"/>
      <c r="V451" s="44"/>
      <c r="W451" s="44"/>
      <c r="X451" s="44"/>
      <c r="Y451" s="44"/>
      <c r="Z451" s="44"/>
      <c r="AA451" s="44"/>
      <c r="AB451" s="44"/>
    </row>
    <row r="452">
      <c r="A452" s="51"/>
      <c r="B452" s="43"/>
      <c r="C452" s="74"/>
      <c r="D452" s="75"/>
      <c r="E452" s="76"/>
      <c r="F452" s="76"/>
      <c r="G452" s="76"/>
      <c r="H452" s="76"/>
      <c r="I452" s="76"/>
      <c r="J452" s="43"/>
      <c r="K452" s="44"/>
      <c r="L452" s="44"/>
      <c r="M452" s="44"/>
      <c r="N452" s="44"/>
      <c r="O452" s="44"/>
      <c r="P452" s="44"/>
      <c r="Q452" s="44"/>
      <c r="R452" s="44"/>
      <c r="S452" s="44"/>
      <c r="T452" s="44"/>
      <c r="U452" s="44"/>
      <c r="V452" s="44"/>
      <c r="W452" s="44"/>
      <c r="X452" s="44"/>
      <c r="Y452" s="44"/>
      <c r="Z452" s="44"/>
      <c r="AA452" s="44"/>
      <c r="AB452" s="44"/>
    </row>
    <row r="453">
      <c r="A453" s="51"/>
      <c r="B453" s="43"/>
      <c r="C453" s="74"/>
      <c r="D453" s="75"/>
      <c r="E453" s="76"/>
      <c r="F453" s="76"/>
      <c r="G453" s="76"/>
      <c r="H453" s="76"/>
      <c r="I453" s="76"/>
      <c r="J453" s="43"/>
      <c r="K453" s="44"/>
      <c r="L453" s="44"/>
      <c r="M453" s="44"/>
      <c r="N453" s="44"/>
      <c r="O453" s="44"/>
      <c r="P453" s="44"/>
      <c r="Q453" s="44"/>
      <c r="R453" s="44"/>
      <c r="S453" s="44"/>
      <c r="T453" s="44"/>
      <c r="U453" s="44"/>
      <c r="V453" s="44"/>
      <c r="W453" s="44"/>
      <c r="X453" s="44"/>
      <c r="Y453" s="44"/>
      <c r="Z453" s="44"/>
      <c r="AA453" s="44"/>
      <c r="AB453" s="44"/>
    </row>
    <row r="454">
      <c r="A454" s="51"/>
      <c r="B454" s="43"/>
      <c r="C454" s="74"/>
      <c r="D454" s="75"/>
      <c r="E454" s="76"/>
      <c r="F454" s="76"/>
      <c r="G454" s="76"/>
      <c r="H454" s="76"/>
      <c r="I454" s="76"/>
      <c r="J454" s="43"/>
      <c r="K454" s="44"/>
      <c r="L454" s="44"/>
      <c r="M454" s="44"/>
      <c r="N454" s="44"/>
      <c r="O454" s="44"/>
      <c r="P454" s="44"/>
      <c r="Q454" s="44"/>
      <c r="R454" s="44"/>
      <c r="S454" s="44"/>
      <c r="T454" s="44"/>
      <c r="U454" s="44"/>
      <c r="V454" s="44"/>
      <c r="W454" s="44"/>
      <c r="X454" s="44"/>
      <c r="Y454" s="44"/>
      <c r="Z454" s="44"/>
      <c r="AA454" s="44"/>
      <c r="AB454" s="44"/>
    </row>
    <row r="455">
      <c r="A455" s="51"/>
      <c r="B455" s="43"/>
      <c r="C455" s="74"/>
      <c r="D455" s="75"/>
      <c r="E455" s="76"/>
      <c r="F455" s="76"/>
      <c r="G455" s="76"/>
      <c r="H455" s="76"/>
      <c r="I455" s="76"/>
      <c r="J455" s="43"/>
      <c r="K455" s="44"/>
      <c r="L455" s="44"/>
      <c r="M455" s="44"/>
      <c r="N455" s="44"/>
      <c r="O455" s="44"/>
      <c r="P455" s="44"/>
      <c r="Q455" s="44"/>
      <c r="R455" s="44"/>
      <c r="S455" s="44"/>
      <c r="T455" s="44"/>
      <c r="U455" s="44"/>
      <c r="V455" s="44"/>
      <c r="W455" s="44"/>
      <c r="X455" s="44"/>
      <c r="Y455" s="44"/>
      <c r="Z455" s="44"/>
      <c r="AA455" s="44"/>
      <c r="AB455" s="44"/>
    </row>
    <row r="456">
      <c r="A456" s="51"/>
      <c r="B456" s="43"/>
      <c r="C456" s="74"/>
      <c r="D456" s="75"/>
      <c r="E456" s="76"/>
      <c r="F456" s="76"/>
      <c r="G456" s="76"/>
      <c r="H456" s="76"/>
      <c r="I456" s="76"/>
      <c r="J456" s="43"/>
      <c r="K456" s="44"/>
      <c r="L456" s="44"/>
      <c r="M456" s="44"/>
      <c r="N456" s="44"/>
      <c r="O456" s="44"/>
      <c r="P456" s="44"/>
      <c r="Q456" s="44"/>
      <c r="R456" s="44"/>
      <c r="S456" s="44"/>
      <c r="T456" s="44"/>
      <c r="U456" s="44"/>
      <c r="V456" s="44"/>
      <c r="W456" s="44"/>
      <c r="X456" s="44"/>
      <c r="Y456" s="44"/>
      <c r="Z456" s="44"/>
      <c r="AA456" s="44"/>
      <c r="AB456" s="44"/>
    </row>
    <row r="457">
      <c r="A457" s="51"/>
      <c r="B457" s="43"/>
      <c r="C457" s="74"/>
      <c r="D457" s="75"/>
      <c r="E457" s="76"/>
      <c r="F457" s="76"/>
      <c r="G457" s="76"/>
      <c r="H457" s="76"/>
      <c r="I457" s="76"/>
      <c r="J457" s="43"/>
      <c r="K457" s="44"/>
      <c r="L457" s="44"/>
      <c r="M457" s="44"/>
      <c r="N457" s="44"/>
      <c r="O457" s="44"/>
      <c r="P457" s="44"/>
      <c r="Q457" s="44"/>
      <c r="R457" s="44"/>
      <c r="S457" s="44"/>
      <c r="T457" s="44"/>
      <c r="U457" s="44"/>
      <c r="V457" s="44"/>
      <c r="W457" s="44"/>
      <c r="X457" s="44"/>
      <c r="Y457" s="44"/>
      <c r="Z457" s="44"/>
      <c r="AA457" s="44"/>
      <c r="AB457" s="44"/>
    </row>
    <row r="458">
      <c r="A458" s="51"/>
      <c r="B458" s="43"/>
      <c r="C458" s="74"/>
      <c r="D458" s="75"/>
      <c r="E458" s="76"/>
      <c r="F458" s="76"/>
      <c r="G458" s="76"/>
      <c r="H458" s="76"/>
      <c r="I458" s="76"/>
      <c r="J458" s="43"/>
      <c r="K458" s="44"/>
      <c r="L458" s="44"/>
      <c r="M458" s="44"/>
      <c r="N458" s="44"/>
      <c r="O458" s="44"/>
      <c r="P458" s="44"/>
      <c r="Q458" s="44"/>
      <c r="R458" s="44"/>
      <c r="S458" s="44"/>
      <c r="T458" s="44"/>
      <c r="U458" s="44"/>
      <c r="V458" s="44"/>
      <c r="W458" s="44"/>
      <c r="X458" s="44"/>
      <c r="Y458" s="44"/>
      <c r="Z458" s="44"/>
      <c r="AA458" s="44"/>
      <c r="AB458" s="44"/>
    </row>
    <row r="459">
      <c r="A459" s="51"/>
      <c r="B459" s="43"/>
      <c r="C459" s="74"/>
      <c r="D459" s="75"/>
      <c r="E459" s="76"/>
      <c r="F459" s="76"/>
      <c r="G459" s="76"/>
      <c r="H459" s="76"/>
      <c r="I459" s="76"/>
      <c r="J459" s="43"/>
      <c r="K459" s="44"/>
      <c r="L459" s="44"/>
      <c r="M459" s="44"/>
      <c r="N459" s="44"/>
      <c r="O459" s="44"/>
      <c r="P459" s="44"/>
      <c r="Q459" s="44"/>
      <c r="R459" s="44"/>
      <c r="S459" s="44"/>
      <c r="T459" s="44"/>
      <c r="U459" s="44"/>
      <c r="V459" s="44"/>
      <c r="W459" s="44"/>
      <c r="X459" s="44"/>
      <c r="Y459" s="44"/>
      <c r="Z459" s="44"/>
      <c r="AA459" s="44"/>
      <c r="AB459" s="44"/>
    </row>
    <row r="460">
      <c r="A460" s="51"/>
      <c r="B460" s="43"/>
      <c r="C460" s="74"/>
      <c r="D460" s="75"/>
      <c r="E460" s="76"/>
      <c r="F460" s="76"/>
      <c r="G460" s="76"/>
      <c r="H460" s="76"/>
      <c r="I460" s="76"/>
      <c r="J460" s="43"/>
      <c r="K460" s="44"/>
      <c r="L460" s="44"/>
      <c r="M460" s="44"/>
      <c r="N460" s="44"/>
      <c r="O460" s="44"/>
      <c r="P460" s="44"/>
      <c r="Q460" s="44"/>
      <c r="R460" s="44"/>
      <c r="S460" s="44"/>
      <c r="T460" s="44"/>
      <c r="U460" s="44"/>
      <c r="V460" s="44"/>
      <c r="W460" s="44"/>
      <c r="X460" s="44"/>
      <c r="Y460" s="44"/>
      <c r="Z460" s="44"/>
      <c r="AA460" s="44"/>
      <c r="AB460" s="44"/>
    </row>
    <row r="461">
      <c r="A461" s="51"/>
      <c r="B461" s="43"/>
      <c r="C461" s="74"/>
      <c r="D461" s="75"/>
      <c r="E461" s="76"/>
      <c r="F461" s="76"/>
      <c r="G461" s="76"/>
      <c r="H461" s="76"/>
      <c r="I461" s="76"/>
      <c r="J461" s="43"/>
      <c r="K461" s="44"/>
      <c r="L461" s="44"/>
      <c r="M461" s="44"/>
      <c r="N461" s="44"/>
      <c r="O461" s="44"/>
      <c r="P461" s="44"/>
      <c r="Q461" s="44"/>
      <c r="R461" s="44"/>
      <c r="S461" s="44"/>
      <c r="T461" s="44"/>
      <c r="U461" s="44"/>
      <c r="V461" s="44"/>
      <c r="W461" s="44"/>
      <c r="X461" s="44"/>
      <c r="Y461" s="44"/>
      <c r="Z461" s="44"/>
      <c r="AA461" s="44"/>
      <c r="AB461" s="44"/>
    </row>
    <row r="462">
      <c r="A462" s="51"/>
      <c r="B462" s="43"/>
      <c r="C462" s="74"/>
      <c r="D462" s="75"/>
      <c r="E462" s="76"/>
      <c r="F462" s="76"/>
      <c r="G462" s="76"/>
      <c r="H462" s="76"/>
      <c r="I462" s="76"/>
      <c r="J462" s="43"/>
      <c r="K462" s="44"/>
      <c r="L462" s="44"/>
      <c r="M462" s="44"/>
      <c r="N462" s="44"/>
      <c r="O462" s="44"/>
      <c r="P462" s="44"/>
      <c r="Q462" s="44"/>
      <c r="R462" s="44"/>
      <c r="S462" s="44"/>
      <c r="T462" s="44"/>
      <c r="U462" s="44"/>
      <c r="V462" s="44"/>
      <c r="W462" s="44"/>
      <c r="X462" s="44"/>
      <c r="Y462" s="44"/>
      <c r="Z462" s="44"/>
      <c r="AA462" s="44"/>
      <c r="AB462" s="44"/>
    </row>
    <row r="463">
      <c r="A463" s="51"/>
      <c r="B463" s="43"/>
      <c r="C463" s="74"/>
      <c r="D463" s="75"/>
      <c r="E463" s="76"/>
      <c r="F463" s="76"/>
      <c r="G463" s="76"/>
      <c r="H463" s="76"/>
      <c r="I463" s="76"/>
      <c r="J463" s="43"/>
      <c r="K463" s="44"/>
      <c r="L463" s="44"/>
      <c r="M463" s="44"/>
      <c r="N463" s="44"/>
      <c r="O463" s="44"/>
      <c r="P463" s="44"/>
      <c r="Q463" s="44"/>
      <c r="R463" s="44"/>
      <c r="S463" s="44"/>
      <c r="T463" s="44"/>
      <c r="U463" s="44"/>
      <c r="V463" s="44"/>
      <c r="W463" s="44"/>
      <c r="X463" s="44"/>
      <c r="Y463" s="44"/>
      <c r="Z463" s="44"/>
      <c r="AA463" s="44"/>
      <c r="AB463" s="44"/>
    </row>
    <row r="464">
      <c r="A464" s="51"/>
      <c r="B464" s="43"/>
      <c r="C464" s="74"/>
      <c r="D464" s="75"/>
      <c r="E464" s="76"/>
      <c r="F464" s="76"/>
      <c r="G464" s="76"/>
      <c r="H464" s="76"/>
      <c r="I464" s="76"/>
      <c r="J464" s="43"/>
      <c r="K464" s="44"/>
      <c r="L464" s="44"/>
      <c r="M464" s="44"/>
      <c r="N464" s="44"/>
      <c r="O464" s="44"/>
      <c r="P464" s="44"/>
      <c r="Q464" s="44"/>
      <c r="R464" s="44"/>
      <c r="S464" s="44"/>
      <c r="T464" s="44"/>
      <c r="U464" s="44"/>
      <c r="V464" s="44"/>
      <c r="W464" s="44"/>
      <c r="X464" s="44"/>
      <c r="Y464" s="44"/>
      <c r="Z464" s="44"/>
      <c r="AA464" s="44"/>
      <c r="AB464" s="44"/>
    </row>
    <row r="465">
      <c r="A465" s="51"/>
      <c r="B465" s="43"/>
      <c r="C465" s="74"/>
      <c r="D465" s="75"/>
      <c r="E465" s="76"/>
      <c r="F465" s="76"/>
      <c r="G465" s="76"/>
      <c r="H465" s="76"/>
      <c r="I465" s="76"/>
      <c r="J465" s="43"/>
      <c r="K465" s="44"/>
      <c r="L465" s="44"/>
      <c r="M465" s="44"/>
      <c r="N465" s="44"/>
      <c r="O465" s="44"/>
      <c r="P465" s="44"/>
      <c r="Q465" s="44"/>
      <c r="R465" s="44"/>
      <c r="S465" s="44"/>
      <c r="T465" s="44"/>
      <c r="U465" s="44"/>
      <c r="V465" s="44"/>
      <c r="W465" s="44"/>
      <c r="X465" s="44"/>
      <c r="Y465" s="44"/>
      <c r="Z465" s="44"/>
      <c r="AA465" s="44"/>
      <c r="AB465" s="44"/>
    </row>
    <row r="466">
      <c r="A466" s="51"/>
      <c r="B466" s="43"/>
      <c r="C466" s="74"/>
      <c r="D466" s="75"/>
      <c r="E466" s="76"/>
      <c r="F466" s="76"/>
      <c r="G466" s="76"/>
      <c r="H466" s="76"/>
      <c r="I466" s="76"/>
      <c r="J466" s="43"/>
      <c r="K466" s="44"/>
      <c r="L466" s="44"/>
      <c r="M466" s="44"/>
      <c r="N466" s="44"/>
      <c r="O466" s="44"/>
      <c r="P466" s="44"/>
      <c r="Q466" s="44"/>
      <c r="R466" s="44"/>
      <c r="S466" s="44"/>
      <c r="T466" s="44"/>
      <c r="U466" s="44"/>
      <c r="V466" s="44"/>
      <c r="W466" s="44"/>
      <c r="X466" s="44"/>
      <c r="Y466" s="44"/>
      <c r="Z466" s="44"/>
      <c r="AA466" s="44"/>
      <c r="AB466" s="44"/>
    </row>
    <row r="467">
      <c r="A467" s="51"/>
      <c r="B467" s="43"/>
      <c r="C467" s="74"/>
      <c r="D467" s="75"/>
      <c r="E467" s="76"/>
      <c r="F467" s="76"/>
      <c r="G467" s="76"/>
      <c r="H467" s="76"/>
      <c r="I467" s="76"/>
      <c r="J467" s="43"/>
      <c r="K467" s="44"/>
      <c r="L467" s="44"/>
      <c r="M467" s="44"/>
      <c r="N467" s="44"/>
      <c r="O467" s="44"/>
      <c r="P467" s="44"/>
      <c r="Q467" s="44"/>
      <c r="R467" s="44"/>
      <c r="S467" s="44"/>
      <c r="T467" s="44"/>
      <c r="U467" s="44"/>
      <c r="V467" s="44"/>
      <c r="W467" s="44"/>
      <c r="X467" s="44"/>
      <c r="Y467" s="44"/>
      <c r="Z467" s="44"/>
      <c r="AA467" s="44"/>
      <c r="AB467" s="44"/>
    </row>
    <row r="468">
      <c r="A468" s="51"/>
      <c r="B468" s="43"/>
      <c r="C468" s="74"/>
      <c r="D468" s="75"/>
      <c r="E468" s="76"/>
      <c r="F468" s="76"/>
      <c r="G468" s="76"/>
      <c r="H468" s="76"/>
      <c r="I468" s="76"/>
      <c r="J468" s="43"/>
      <c r="K468" s="44"/>
      <c r="L468" s="44"/>
      <c r="M468" s="44"/>
      <c r="N468" s="44"/>
      <c r="O468" s="44"/>
      <c r="P468" s="44"/>
      <c r="Q468" s="44"/>
      <c r="R468" s="44"/>
      <c r="S468" s="44"/>
      <c r="T468" s="44"/>
      <c r="U468" s="44"/>
      <c r="V468" s="44"/>
      <c r="W468" s="44"/>
      <c r="X468" s="44"/>
      <c r="Y468" s="44"/>
      <c r="Z468" s="44"/>
      <c r="AA468" s="44"/>
      <c r="AB468" s="44"/>
    </row>
    <row r="469">
      <c r="A469" s="51"/>
      <c r="B469" s="43"/>
      <c r="C469" s="74"/>
      <c r="D469" s="75"/>
      <c r="E469" s="76"/>
      <c r="F469" s="76"/>
      <c r="G469" s="76"/>
      <c r="H469" s="76"/>
      <c r="I469" s="76"/>
      <c r="J469" s="43"/>
      <c r="K469" s="44"/>
      <c r="L469" s="44"/>
      <c r="M469" s="44"/>
      <c r="N469" s="44"/>
      <c r="O469" s="44"/>
      <c r="P469" s="44"/>
      <c r="Q469" s="44"/>
      <c r="R469" s="44"/>
      <c r="S469" s="44"/>
      <c r="T469" s="44"/>
      <c r="U469" s="44"/>
      <c r="V469" s="44"/>
      <c r="W469" s="44"/>
      <c r="X469" s="44"/>
      <c r="Y469" s="44"/>
      <c r="Z469" s="44"/>
      <c r="AA469" s="44"/>
      <c r="AB469" s="44"/>
    </row>
    <row r="470">
      <c r="A470" s="51"/>
      <c r="B470" s="43"/>
      <c r="C470" s="74"/>
      <c r="D470" s="75"/>
      <c r="E470" s="76"/>
      <c r="F470" s="76"/>
      <c r="G470" s="76"/>
      <c r="H470" s="76"/>
      <c r="I470" s="76"/>
      <c r="J470" s="43"/>
      <c r="K470" s="44"/>
      <c r="L470" s="44"/>
      <c r="M470" s="44"/>
      <c r="N470" s="44"/>
      <c r="O470" s="44"/>
      <c r="P470" s="44"/>
      <c r="Q470" s="44"/>
      <c r="R470" s="44"/>
      <c r="S470" s="44"/>
      <c r="T470" s="44"/>
      <c r="U470" s="44"/>
      <c r="V470" s="44"/>
      <c r="W470" s="44"/>
      <c r="X470" s="44"/>
      <c r="Y470" s="44"/>
      <c r="Z470" s="44"/>
      <c r="AA470" s="44"/>
      <c r="AB470" s="44"/>
    </row>
    <row r="471">
      <c r="A471" s="51"/>
      <c r="B471" s="43"/>
      <c r="C471" s="74"/>
      <c r="D471" s="75"/>
      <c r="E471" s="76"/>
      <c r="F471" s="76"/>
      <c r="G471" s="76"/>
      <c r="H471" s="76"/>
      <c r="I471" s="76"/>
      <c r="J471" s="43"/>
      <c r="K471" s="44"/>
      <c r="L471" s="44"/>
      <c r="M471" s="44"/>
      <c r="N471" s="44"/>
      <c r="O471" s="44"/>
      <c r="P471" s="44"/>
      <c r="Q471" s="44"/>
      <c r="R471" s="44"/>
      <c r="S471" s="44"/>
      <c r="T471" s="44"/>
      <c r="U471" s="44"/>
      <c r="V471" s="44"/>
      <c r="W471" s="44"/>
      <c r="X471" s="44"/>
      <c r="Y471" s="44"/>
      <c r="Z471" s="44"/>
      <c r="AA471" s="44"/>
      <c r="AB471" s="44"/>
    </row>
    <row r="472">
      <c r="A472" s="51"/>
      <c r="B472" s="43"/>
      <c r="C472" s="74"/>
      <c r="D472" s="75"/>
      <c r="E472" s="76"/>
      <c r="F472" s="76"/>
      <c r="G472" s="76"/>
      <c r="H472" s="76"/>
      <c r="I472" s="76"/>
      <c r="J472" s="43"/>
      <c r="K472" s="44"/>
      <c r="L472" s="44"/>
      <c r="M472" s="44"/>
      <c r="N472" s="44"/>
      <c r="O472" s="44"/>
      <c r="P472" s="44"/>
      <c r="Q472" s="44"/>
      <c r="R472" s="44"/>
      <c r="S472" s="44"/>
      <c r="T472" s="44"/>
      <c r="U472" s="44"/>
      <c r="V472" s="44"/>
      <c r="W472" s="44"/>
      <c r="X472" s="44"/>
      <c r="Y472" s="44"/>
      <c r="Z472" s="44"/>
      <c r="AA472" s="44"/>
      <c r="AB472" s="44"/>
    </row>
    <row r="473">
      <c r="A473" s="51"/>
      <c r="B473" s="43"/>
      <c r="C473" s="74"/>
      <c r="D473" s="75"/>
      <c r="E473" s="76"/>
      <c r="F473" s="76"/>
      <c r="G473" s="76"/>
      <c r="H473" s="76"/>
      <c r="I473" s="76"/>
      <c r="J473" s="43"/>
      <c r="K473" s="44"/>
      <c r="L473" s="44"/>
      <c r="M473" s="44"/>
      <c r="N473" s="44"/>
      <c r="O473" s="44"/>
      <c r="P473" s="44"/>
      <c r="Q473" s="44"/>
      <c r="R473" s="44"/>
      <c r="S473" s="44"/>
      <c r="T473" s="44"/>
      <c r="U473" s="44"/>
      <c r="V473" s="44"/>
      <c r="W473" s="44"/>
      <c r="X473" s="44"/>
      <c r="Y473" s="44"/>
      <c r="Z473" s="44"/>
      <c r="AA473" s="44"/>
      <c r="AB473" s="44"/>
    </row>
    <row r="474">
      <c r="A474" s="51"/>
      <c r="B474" s="43"/>
      <c r="C474" s="74"/>
      <c r="D474" s="75"/>
      <c r="E474" s="76"/>
      <c r="F474" s="76"/>
      <c r="G474" s="76"/>
      <c r="H474" s="76"/>
      <c r="I474" s="76"/>
      <c r="J474" s="43"/>
      <c r="K474" s="44"/>
      <c r="L474" s="44"/>
      <c r="M474" s="44"/>
      <c r="N474" s="44"/>
      <c r="O474" s="44"/>
      <c r="P474" s="44"/>
      <c r="Q474" s="44"/>
      <c r="R474" s="44"/>
      <c r="S474" s="44"/>
      <c r="T474" s="44"/>
      <c r="U474" s="44"/>
      <c r="V474" s="44"/>
      <c r="W474" s="44"/>
      <c r="X474" s="44"/>
      <c r="Y474" s="44"/>
      <c r="Z474" s="44"/>
      <c r="AA474" s="44"/>
      <c r="AB474" s="44"/>
    </row>
    <row r="475">
      <c r="A475" s="51"/>
      <c r="B475" s="43"/>
      <c r="C475" s="74"/>
      <c r="D475" s="75"/>
      <c r="E475" s="76"/>
      <c r="F475" s="76"/>
      <c r="G475" s="76"/>
      <c r="H475" s="76"/>
      <c r="I475" s="76"/>
      <c r="J475" s="43"/>
      <c r="K475" s="44"/>
      <c r="L475" s="44"/>
      <c r="M475" s="44"/>
      <c r="N475" s="44"/>
      <c r="O475" s="44"/>
      <c r="P475" s="44"/>
      <c r="Q475" s="44"/>
      <c r="R475" s="44"/>
      <c r="S475" s="44"/>
      <c r="T475" s="44"/>
      <c r="U475" s="44"/>
      <c r="V475" s="44"/>
      <c r="W475" s="44"/>
      <c r="X475" s="44"/>
      <c r="Y475" s="44"/>
      <c r="Z475" s="44"/>
      <c r="AA475" s="44"/>
      <c r="AB475" s="44"/>
    </row>
    <row r="476">
      <c r="A476" s="51"/>
      <c r="B476" s="43"/>
      <c r="C476" s="74"/>
      <c r="D476" s="75"/>
      <c r="E476" s="76"/>
      <c r="F476" s="76"/>
      <c r="G476" s="76"/>
      <c r="H476" s="76"/>
      <c r="I476" s="76"/>
      <c r="J476" s="43"/>
      <c r="K476" s="44"/>
      <c r="L476" s="44"/>
      <c r="M476" s="44"/>
      <c r="N476" s="44"/>
      <c r="O476" s="44"/>
      <c r="P476" s="44"/>
      <c r="Q476" s="44"/>
      <c r="R476" s="44"/>
      <c r="S476" s="44"/>
      <c r="T476" s="44"/>
      <c r="U476" s="44"/>
      <c r="V476" s="44"/>
      <c r="W476" s="44"/>
      <c r="X476" s="44"/>
      <c r="Y476" s="44"/>
      <c r="Z476" s="44"/>
      <c r="AA476" s="44"/>
      <c r="AB476" s="44"/>
    </row>
    <row r="477">
      <c r="A477" s="51"/>
      <c r="B477" s="43"/>
      <c r="C477" s="74"/>
      <c r="D477" s="75"/>
      <c r="E477" s="76"/>
      <c r="F477" s="76"/>
      <c r="G477" s="76"/>
      <c r="H477" s="76"/>
      <c r="I477" s="76"/>
      <c r="J477" s="43"/>
      <c r="K477" s="44"/>
      <c r="L477" s="44"/>
      <c r="M477" s="44"/>
      <c r="N477" s="44"/>
      <c r="O477" s="44"/>
      <c r="P477" s="44"/>
      <c r="Q477" s="44"/>
      <c r="R477" s="44"/>
      <c r="S477" s="44"/>
      <c r="T477" s="44"/>
      <c r="U477" s="44"/>
      <c r="V477" s="44"/>
      <c r="W477" s="44"/>
      <c r="X477" s="44"/>
      <c r="Y477" s="44"/>
      <c r="Z477" s="44"/>
      <c r="AA477" s="44"/>
      <c r="AB477" s="44"/>
    </row>
    <row r="478">
      <c r="A478" s="51"/>
      <c r="B478" s="43"/>
      <c r="C478" s="74"/>
      <c r="D478" s="75"/>
      <c r="E478" s="76"/>
      <c r="F478" s="76"/>
      <c r="G478" s="76"/>
      <c r="H478" s="76"/>
      <c r="I478" s="76"/>
      <c r="J478" s="43"/>
      <c r="K478" s="44"/>
      <c r="L478" s="44"/>
      <c r="M478" s="44"/>
      <c r="N478" s="44"/>
      <c r="O478" s="44"/>
      <c r="P478" s="44"/>
      <c r="Q478" s="44"/>
      <c r="R478" s="44"/>
      <c r="S478" s="44"/>
      <c r="T478" s="44"/>
      <c r="U478" s="44"/>
      <c r="V478" s="44"/>
      <c r="W478" s="44"/>
      <c r="X478" s="44"/>
      <c r="Y478" s="44"/>
      <c r="Z478" s="44"/>
      <c r="AA478" s="44"/>
      <c r="AB478" s="44"/>
    </row>
    <row r="479">
      <c r="A479" s="51"/>
      <c r="B479" s="43"/>
      <c r="C479" s="74"/>
      <c r="D479" s="75"/>
      <c r="E479" s="76"/>
      <c r="F479" s="76"/>
      <c r="G479" s="76"/>
      <c r="H479" s="76"/>
      <c r="I479" s="76"/>
      <c r="J479" s="43"/>
      <c r="K479" s="44"/>
      <c r="L479" s="44"/>
      <c r="M479" s="44"/>
      <c r="N479" s="44"/>
      <c r="O479" s="44"/>
      <c r="P479" s="44"/>
      <c r="Q479" s="44"/>
      <c r="R479" s="44"/>
      <c r="S479" s="44"/>
      <c r="T479" s="44"/>
      <c r="U479" s="44"/>
      <c r="V479" s="44"/>
      <c r="W479" s="44"/>
      <c r="X479" s="44"/>
      <c r="Y479" s="44"/>
      <c r="Z479" s="44"/>
      <c r="AA479" s="44"/>
      <c r="AB479" s="44"/>
    </row>
    <row r="480">
      <c r="A480" s="51"/>
      <c r="B480" s="43"/>
      <c r="C480" s="74"/>
      <c r="D480" s="75"/>
      <c r="E480" s="76"/>
      <c r="F480" s="76"/>
      <c r="G480" s="76"/>
      <c r="H480" s="76"/>
      <c r="I480" s="76"/>
      <c r="J480" s="43"/>
      <c r="K480" s="44"/>
      <c r="L480" s="44"/>
      <c r="M480" s="44"/>
      <c r="N480" s="44"/>
      <c r="O480" s="44"/>
      <c r="P480" s="44"/>
      <c r="Q480" s="44"/>
      <c r="R480" s="44"/>
      <c r="S480" s="44"/>
      <c r="T480" s="44"/>
      <c r="U480" s="44"/>
      <c r="V480" s="44"/>
      <c r="W480" s="44"/>
      <c r="X480" s="44"/>
      <c r="Y480" s="44"/>
      <c r="Z480" s="44"/>
      <c r="AA480" s="44"/>
      <c r="AB480" s="44"/>
    </row>
    <row r="481">
      <c r="A481" s="51"/>
      <c r="B481" s="43"/>
      <c r="C481" s="74"/>
      <c r="D481" s="75"/>
      <c r="E481" s="76"/>
      <c r="F481" s="76"/>
      <c r="G481" s="76"/>
      <c r="H481" s="76"/>
      <c r="I481" s="76"/>
      <c r="J481" s="43"/>
      <c r="K481" s="44"/>
      <c r="L481" s="44"/>
      <c r="M481" s="44"/>
      <c r="N481" s="44"/>
      <c r="O481" s="44"/>
      <c r="P481" s="44"/>
      <c r="Q481" s="44"/>
      <c r="R481" s="44"/>
      <c r="S481" s="44"/>
      <c r="T481" s="44"/>
      <c r="U481" s="44"/>
      <c r="V481" s="44"/>
      <c r="W481" s="44"/>
      <c r="X481" s="44"/>
      <c r="Y481" s="44"/>
      <c r="Z481" s="44"/>
      <c r="AA481" s="44"/>
      <c r="AB481" s="44"/>
    </row>
    <row r="482">
      <c r="A482" s="51"/>
      <c r="B482" s="43"/>
      <c r="C482" s="74"/>
      <c r="D482" s="75"/>
      <c r="E482" s="76"/>
      <c r="F482" s="76"/>
      <c r="G482" s="76"/>
      <c r="H482" s="76"/>
      <c r="I482" s="76"/>
      <c r="J482" s="43"/>
      <c r="K482" s="44"/>
      <c r="L482" s="44"/>
      <c r="M482" s="44"/>
      <c r="N482" s="44"/>
      <c r="O482" s="44"/>
      <c r="P482" s="44"/>
      <c r="Q482" s="44"/>
      <c r="R482" s="44"/>
      <c r="S482" s="44"/>
      <c r="T482" s="44"/>
      <c r="U482" s="44"/>
      <c r="V482" s="44"/>
      <c r="W482" s="44"/>
      <c r="X482" s="44"/>
      <c r="Y482" s="44"/>
      <c r="Z482" s="44"/>
      <c r="AA482" s="44"/>
      <c r="AB482" s="44"/>
    </row>
    <row r="483">
      <c r="A483" s="51"/>
      <c r="B483" s="43"/>
      <c r="C483" s="74"/>
      <c r="D483" s="75"/>
      <c r="E483" s="76"/>
      <c r="F483" s="76"/>
      <c r="G483" s="76"/>
      <c r="H483" s="76"/>
      <c r="I483" s="76"/>
      <c r="J483" s="43"/>
      <c r="K483" s="44"/>
      <c r="L483" s="44"/>
      <c r="M483" s="44"/>
      <c r="N483" s="44"/>
      <c r="O483" s="44"/>
      <c r="P483" s="44"/>
      <c r="Q483" s="44"/>
      <c r="R483" s="44"/>
      <c r="S483" s="44"/>
      <c r="T483" s="44"/>
      <c r="U483" s="44"/>
      <c r="V483" s="44"/>
      <c r="W483" s="44"/>
      <c r="X483" s="44"/>
      <c r="Y483" s="44"/>
      <c r="Z483" s="44"/>
      <c r="AA483" s="44"/>
      <c r="AB483" s="44"/>
    </row>
    <row r="484">
      <c r="A484" s="51"/>
      <c r="B484" s="43"/>
      <c r="C484" s="74"/>
      <c r="D484" s="75"/>
      <c r="E484" s="76"/>
      <c r="F484" s="76"/>
      <c r="G484" s="76"/>
      <c r="H484" s="76"/>
      <c r="I484" s="76"/>
      <c r="J484" s="43"/>
      <c r="K484" s="44"/>
      <c r="L484" s="44"/>
      <c r="M484" s="44"/>
      <c r="N484" s="44"/>
      <c r="O484" s="44"/>
      <c r="P484" s="44"/>
      <c r="Q484" s="44"/>
      <c r="R484" s="44"/>
      <c r="S484" s="44"/>
      <c r="T484" s="44"/>
      <c r="U484" s="44"/>
      <c r="V484" s="44"/>
      <c r="W484" s="44"/>
      <c r="X484" s="44"/>
      <c r="Y484" s="44"/>
      <c r="Z484" s="44"/>
      <c r="AA484" s="44"/>
      <c r="AB484" s="44"/>
    </row>
    <row r="485">
      <c r="A485" s="51"/>
      <c r="B485" s="43"/>
      <c r="C485" s="74"/>
      <c r="D485" s="75"/>
      <c r="E485" s="76"/>
      <c r="F485" s="76"/>
      <c r="G485" s="76"/>
      <c r="H485" s="76"/>
      <c r="I485" s="76"/>
      <c r="J485" s="43"/>
      <c r="K485" s="44"/>
      <c r="L485" s="44"/>
      <c r="M485" s="44"/>
      <c r="N485" s="44"/>
      <c r="O485" s="44"/>
      <c r="P485" s="44"/>
      <c r="Q485" s="44"/>
      <c r="R485" s="44"/>
      <c r="S485" s="44"/>
      <c r="T485" s="44"/>
      <c r="U485" s="44"/>
      <c r="V485" s="44"/>
      <c r="W485" s="44"/>
      <c r="X485" s="44"/>
      <c r="Y485" s="44"/>
      <c r="Z485" s="44"/>
      <c r="AA485" s="44"/>
      <c r="AB485" s="44"/>
    </row>
    <row r="486">
      <c r="A486" s="51"/>
      <c r="B486" s="43"/>
      <c r="C486" s="74"/>
      <c r="D486" s="75"/>
      <c r="E486" s="76"/>
      <c r="F486" s="76"/>
      <c r="G486" s="76"/>
      <c r="H486" s="76"/>
      <c r="I486" s="76"/>
      <c r="J486" s="43"/>
      <c r="K486" s="44"/>
      <c r="L486" s="44"/>
      <c r="M486" s="44"/>
      <c r="N486" s="44"/>
      <c r="O486" s="44"/>
      <c r="P486" s="44"/>
      <c r="Q486" s="44"/>
      <c r="R486" s="44"/>
      <c r="S486" s="44"/>
      <c r="T486" s="44"/>
      <c r="U486" s="44"/>
      <c r="V486" s="44"/>
      <c r="W486" s="44"/>
      <c r="X486" s="44"/>
      <c r="Y486" s="44"/>
      <c r="Z486" s="44"/>
      <c r="AA486" s="44"/>
      <c r="AB486" s="44"/>
    </row>
    <row r="487">
      <c r="A487" s="51"/>
      <c r="B487" s="43"/>
      <c r="C487" s="74"/>
      <c r="D487" s="75"/>
      <c r="E487" s="76"/>
      <c r="F487" s="76"/>
      <c r="G487" s="76"/>
      <c r="H487" s="76"/>
      <c r="I487" s="76"/>
      <c r="J487" s="43"/>
      <c r="K487" s="44"/>
      <c r="L487" s="44"/>
      <c r="M487" s="44"/>
      <c r="N487" s="44"/>
      <c r="O487" s="44"/>
      <c r="P487" s="44"/>
      <c r="Q487" s="44"/>
      <c r="R487" s="44"/>
      <c r="S487" s="44"/>
      <c r="T487" s="44"/>
      <c r="U487" s="44"/>
      <c r="V487" s="44"/>
      <c r="W487" s="44"/>
      <c r="X487" s="44"/>
      <c r="Y487" s="44"/>
      <c r="Z487" s="44"/>
      <c r="AA487" s="44"/>
      <c r="AB487" s="44"/>
    </row>
    <row r="488">
      <c r="A488" s="51"/>
      <c r="B488" s="43"/>
      <c r="C488" s="74"/>
      <c r="D488" s="75"/>
      <c r="E488" s="76"/>
      <c r="F488" s="76"/>
      <c r="G488" s="76"/>
      <c r="H488" s="76"/>
      <c r="I488" s="76"/>
      <c r="J488" s="43"/>
      <c r="K488" s="44"/>
      <c r="L488" s="44"/>
      <c r="M488" s="44"/>
      <c r="N488" s="44"/>
      <c r="O488" s="44"/>
      <c r="P488" s="44"/>
      <c r="Q488" s="44"/>
      <c r="R488" s="44"/>
      <c r="S488" s="44"/>
      <c r="T488" s="44"/>
      <c r="U488" s="44"/>
      <c r="V488" s="44"/>
      <c r="W488" s="44"/>
      <c r="X488" s="44"/>
      <c r="Y488" s="44"/>
      <c r="Z488" s="44"/>
      <c r="AA488" s="44"/>
      <c r="AB488" s="44"/>
    </row>
    <row r="489">
      <c r="A489" s="51"/>
      <c r="B489" s="43"/>
      <c r="C489" s="74"/>
      <c r="D489" s="75"/>
      <c r="E489" s="76"/>
      <c r="F489" s="76"/>
      <c r="G489" s="76"/>
      <c r="H489" s="76"/>
      <c r="I489" s="76"/>
      <c r="J489" s="43"/>
      <c r="K489" s="44"/>
      <c r="L489" s="44"/>
      <c r="M489" s="44"/>
      <c r="N489" s="44"/>
      <c r="O489" s="44"/>
      <c r="P489" s="44"/>
      <c r="Q489" s="44"/>
      <c r="R489" s="44"/>
      <c r="S489" s="44"/>
      <c r="T489" s="44"/>
      <c r="U489" s="44"/>
      <c r="V489" s="44"/>
      <c r="W489" s="44"/>
      <c r="X489" s="44"/>
      <c r="Y489" s="44"/>
      <c r="Z489" s="44"/>
      <c r="AA489" s="44"/>
      <c r="AB489" s="44"/>
    </row>
    <row r="490">
      <c r="A490" s="51"/>
      <c r="B490" s="43"/>
      <c r="C490" s="74"/>
      <c r="D490" s="75"/>
      <c r="E490" s="76"/>
      <c r="F490" s="76"/>
      <c r="G490" s="76"/>
      <c r="H490" s="76"/>
      <c r="I490" s="76"/>
      <c r="J490" s="43"/>
      <c r="K490" s="44"/>
      <c r="L490" s="44"/>
      <c r="M490" s="44"/>
      <c r="N490" s="44"/>
      <c r="O490" s="44"/>
      <c r="P490" s="44"/>
      <c r="Q490" s="44"/>
      <c r="R490" s="44"/>
      <c r="S490" s="44"/>
      <c r="T490" s="44"/>
      <c r="U490" s="44"/>
      <c r="V490" s="44"/>
      <c r="W490" s="44"/>
      <c r="X490" s="44"/>
      <c r="Y490" s="44"/>
      <c r="Z490" s="44"/>
      <c r="AA490" s="44"/>
      <c r="AB490" s="44"/>
    </row>
    <row r="491">
      <c r="A491" s="51"/>
      <c r="B491" s="43"/>
      <c r="C491" s="74"/>
      <c r="D491" s="75"/>
      <c r="E491" s="76"/>
      <c r="F491" s="76"/>
      <c r="G491" s="76"/>
      <c r="H491" s="76"/>
      <c r="I491" s="76"/>
      <c r="J491" s="43"/>
      <c r="K491" s="44"/>
      <c r="L491" s="44"/>
      <c r="M491" s="44"/>
      <c r="N491" s="44"/>
      <c r="O491" s="44"/>
      <c r="P491" s="44"/>
      <c r="Q491" s="44"/>
      <c r="R491" s="44"/>
      <c r="S491" s="44"/>
      <c r="T491" s="44"/>
      <c r="U491" s="44"/>
      <c r="V491" s="44"/>
      <c r="W491" s="44"/>
      <c r="X491" s="44"/>
      <c r="Y491" s="44"/>
      <c r="Z491" s="44"/>
      <c r="AA491" s="44"/>
      <c r="AB491" s="44"/>
    </row>
    <row r="492">
      <c r="A492" s="51"/>
      <c r="B492" s="43"/>
      <c r="C492" s="74"/>
      <c r="D492" s="75"/>
      <c r="E492" s="76"/>
      <c r="F492" s="76"/>
      <c r="G492" s="76"/>
      <c r="H492" s="76"/>
      <c r="I492" s="76"/>
      <c r="J492" s="43"/>
      <c r="K492" s="44"/>
      <c r="L492" s="44"/>
      <c r="M492" s="44"/>
      <c r="N492" s="44"/>
      <c r="O492" s="44"/>
      <c r="P492" s="44"/>
      <c r="Q492" s="44"/>
      <c r="R492" s="44"/>
      <c r="S492" s="44"/>
      <c r="T492" s="44"/>
      <c r="U492" s="44"/>
      <c r="V492" s="44"/>
      <c r="W492" s="44"/>
      <c r="X492" s="44"/>
      <c r="Y492" s="44"/>
      <c r="Z492" s="44"/>
      <c r="AA492" s="44"/>
      <c r="AB492" s="44"/>
    </row>
    <row r="493">
      <c r="A493" s="51"/>
      <c r="B493" s="43"/>
      <c r="C493" s="74"/>
      <c r="D493" s="75"/>
      <c r="E493" s="76"/>
      <c r="F493" s="76"/>
      <c r="G493" s="76"/>
      <c r="H493" s="76"/>
      <c r="I493" s="76"/>
      <c r="J493" s="43"/>
      <c r="K493" s="44"/>
      <c r="L493" s="44"/>
      <c r="M493" s="44"/>
      <c r="N493" s="44"/>
      <c r="O493" s="44"/>
      <c r="P493" s="44"/>
      <c r="Q493" s="44"/>
      <c r="R493" s="44"/>
      <c r="S493" s="44"/>
      <c r="T493" s="44"/>
      <c r="U493" s="44"/>
      <c r="V493" s="44"/>
      <c r="W493" s="44"/>
      <c r="X493" s="44"/>
      <c r="Y493" s="44"/>
      <c r="Z493" s="44"/>
      <c r="AA493" s="44"/>
      <c r="AB493" s="44"/>
    </row>
    <row r="494">
      <c r="A494" s="51"/>
      <c r="B494" s="43"/>
      <c r="C494" s="74"/>
      <c r="D494" s="75"/>
      <c r="E494" s="76"/>
      <c r="F494" s="76"/>
      <c r="G494" s="76"/>
      <c r="H494" s="76"/>
      <c r="I494" s="76"/>
      <c r="J494" s="43"/>
      <c r="K494" s="44"/>
      <c r="L494" s="44"/>
      <c r="M494" s="44"/>
      <c r="N494" s="44"/>
      <c r="O494" s="44"/>
      <c r="P494" s="44"/>
      <c r="Q494" s="44"/>
      <c r="R494" s="44"/>
      <c r="S494" s="44"/>
      <c r="T494" s="44"/>
      <c r="U494" s="44"/>
      <c r="V494" s="44"/>
      <c r="W494" s="44"/>
      <c r="X494" s="44"/>
      <c r="Y494" s="44"/>
      <c r="Z494" s="44"/>
      <c r="AA494" s="44"/>
      <c r="AB494" s="44"/>
    </row>
    <row r="495">
      <c r="A495" s="51"/>
      <c r="B495" s="43"/>
      <c r="C495" s="74"/>
      <c r="D495" s="75"/>
      <c r="E495" s="76"/>
      <c r="F495" s="76"/>
      <c r="G495" s="76"/>
      <c r="H495" s="76"/>
      <c r="I495" s="76"/>
      <c r="J495" s="43"/>
      <c r="K495" s="44"/>
      <c r="L495" s="44"/>
      <c r="M495" s="44"/>
      <c r="N495" s="44"/>
      <c r="O495" s="44"/>
      <c r="P495" s="44"/>
      <c r="Q495" s="44"/>
      <c r="R495" s="44"/>
      <c r="S495" s="44"/>
      <c r="T495" s="44"/>
      <c r="U495" s="44"/>
      <c r="V495" s="44"/>
      <c r="W495" s="44"/>
      <c r="X495" s="44"/>
      <c r="Y495" s="44"/>
      <c r="Z495" s="44"/>
      <c r="AA495" s="44"/>
      <c r="AB495" s="44"/>
    </row>
    <row r="496">
      <c r="A496" s="51"/>
      <c r="B496" s="43"/>
      <c r="C496" s="74"/>
      <c r="D496" s="75"/>
      <c r="E496" s="76"/>
      <c r="F496" s="76"/>
      <c r="G496" s="76"/>
      <c r="H496" s="76"/>
      <c r="I496" s="76"/>
      <c r="J496" s="43"/>
      <c r="K496" s="44"/>
      <c r="L496" s="44"/>
      <c r="M496" s="44"/>
      <c r="N496" s="44"/>
      <c r="O496" s="44"/>
      <c r="P496" s="44"/>
      <c r="Q496" s="44"/>
      <c r="R496" s="44"/>
      <c r="S496" s="44"/>
      <c r="T496" s="44"/>
      <c r="U496" s="44"/>
      <c r="V496" s="44"/>
      <c r="W496" s="44"/>
      <c r="X496" s="44"/>
      <c r="Y496" s="44"/>
      <c r="Z496" s="44"/>
      <c r="AA496" s="44"/>
      <c r="AB496" s="44"/>
    </row>
    <row r="497">
      <c r="A497" s="51"/>
      <c r="B497" s="43"/>
      <c r="C497" s="74"/>
      <c r="D497" s="75"/>
      <c r="E497" s="76"/>
      <c r="F497" s="76"/>
      <c r="G497" s="76"/>
      <c r="H497" s="76"/>
      <c r="I497" s="76"/>
      <c r="J497" s="43"/>
      <c r="K497" s="44"/>
      <c r="L497" s="44"/>
      <c r="M497" s="44"/>
      <c r="N497" s="44"/>
      <c r="O497" s="44"/>
      <c r="P497" s="44"/>
      <c r="Q497" s="44"/>
      <c r="R497" s="44"/>
      <c r="S497" s="44"/>
      <c r="T497" s="44"/>
      <c r="U497" s="44"/>
      <c r="V497" s="44"/>
      <c r="W497" s="44"/>
      <c r="X497" s="44"/>
      <c r="Y497" s="44"/>
      <c r="Z497" s="44"/>
      <c r="AA497" s="44"/>
      <c r="AB497" s="44"/>
    </row>
    <row r="498">
      <c r="A498" s="51"/>
      <c r="B498" s="43"/>
      <c r="C498" s="74"/>
      <c r="D498" s="75"/>
      <c r="E498" s="76"/>
      <c r="F498" s="76"/>
      <c r="G498" s="76"/>
      <c r="H498" s="76"/>
      <c r="I498" s="76"/>
      <c r="J498" s="43"/>
      <c r="K498" s="44"/>
      <c r="L498" s="44"/>
      <c r="M498" s="44"/>
      <c r="N498" s="44"/>
      <c r="O498" s="44"/>
      <c r="P498" s="44"/>
      <c r="Q498" s="44"/>
      <c r="R498" s="44"/>
      <c r="S498" s="44"/>
      <c r="T498" s="44"/>
      <c r="U498" s="44"/>
      <c r="V498" s="44"/>
      <c r="W498" s="44"/>
      <c r="X498" s="44"/>
      <c r="Y498" s="44"/>
      <c r="Z498" s="44"/>
      <c r="AA498" s="44"/>
      <c r="AB498" s="44"/>
    </row>
    <row r="499">
      <c r="A499" s="51"/>
      <c r="B499" s="43"/>
      <c r="C499" s="74"/>
      <c r="D499" s="75"/>
      <c r="E499" s="76"/>
      <c r="F499" s="76"/>
      <c r="G499" s="76"/>
      <c r="H499" s="76"/>
      <c r="I499" s="76"/>
      <c r="J499" s="43"/>
      <c r="K499" s="44"/>
      <c r="L499" s="44"/>
      <c r="M499" s="44"/>
      <c r="N499" s="44"/>
      <c r="O499" s="44"/>
      <c r="P499" s="44"/>
      <c r="Q499" s="44"/>
      <c r="R499" s="44"/>
      <c r="S499" s="44"/>
      <c r="T499" s="44"/>
      <c r="U499" s="44"/>
      <c r="V499" s="44"/>
      <c r="W499" s="44"/>
      <c r="X499" s="44"/>
      <c r="Y499" s="44"/>
      <c r="Z499" s="44"/>
      <c r="AA499" s="44"/>
      <c r="AB499" s="44"/>
    </row>
    <row r="500">
      <c r="A500" s="51"/>
      <c r="B500" s="43"/>
      <c r="C500" s="74"/>
      <c r="D500" s="75"/>
      <c r="E500" s="76"/>
      <c r="F500" s="76"/>
      <c r="G500" s="76"/>
      <c r="H500" s="76"/>
      <c r="I500" s="76"/>
      <c r="J500" s="43"/>
      <c r="K500" s="44"/>
      <c r="L500" s="44"/>
      <c r="M500" s="44"/>
      <c r="N500" s="44"/>
      <c r="O500" s="44"/>
      <c r="P500" s="44"/>
      <c r="Q500" s="44"/>
      <c r="R500" s="44"/>
      <c r="S500" s="44"/>
      <c r="T500" s="44"/>
      <c r="U500" s="44"/>
      <c r="V500" s="44"/>
      <c r="W500" s="44"/>
      <c r="X500" s="44"/>
      <c r="Y500" s="44"/>
      <c r="Z500" s="44"/>
      <c r="AA500" s="44"/>
      <c r="AB500" s="44"/>
    </row>
    <row r="501">
      <c r="A501" s="51"/>
      <c r="B501" s="43"/>
      <c r="C501" s="74"/>
      <c r="D501" s="75"/>
      <c r="E501" s="76"/>
      <c r="F501" s="76"/>
      <c r="G501" s="76"/>
      <c r="H501" s="76"/>
      <c r="I501" s="76"/>
      <c r="J501" s="43"/>
      <c r="K501" s="44"/>
      <c r="L501" s="44"/>
      <c r="M501" s="44"/>
      <c r="N501" s="44"/>
      <c r="O501" s="44"/>
      <c r="P501" s="44"/>
      <c r="Q501" s="44"/>
      <c r="R501" s="44"/>
      <c r="S501" s="44"/>
      <c r="T501" s="44"/>
      <c r="U501" s="44"/>
      <c r="V501" s="44"/>
      <c r="W501" s="44"/>
      <c r="X501" s="44"/>
      <c r="Y501" s="44"/>
      <c r="Z501" s="44"/>
      <c r="AA501" s="44"/>
      <c r="AB501" s="44"/>
    </row>
    <row r="502">
      <c r="A502" s="51"/>
      <c r="B502" s="43"/>
      <c r="C502" s="74"/>
      <c r="D502" s="75"/>
      <c r="E502" s="76"/>
      <c r="F502" s="76"/>
      <c r="G502" s="76"/>
      <c r="H502" s="76"/>
      <c r="I502" s="76"/>
      <c r="J502" s="43"/>
      <c r="K502" s="44"/>
      <c r="L502" s="44"/>
      <c r="M502" s="44"/>
      <c r="N502" s="44"/>
      <c r="O502" s="44"/>
      <c r="P502" s="44"/>
      <c r="Q502" s="44"/>
      <c r="R502" s="44"/>
      <c r="S502" s="44"/>
      <c r="T502" s="44"/>
      <c r="U502" s="44"/>
      <c r="V502" s="44"/>
      <c r="W502" s="44"/>
      <c r="X502" s="44"/>
      <c r="Y502" s="44"/>
      <c r="Z502" s="44"/>
      <c r="AA502" s="44"/>
      <c r="AB502" s="44"/>
    </row>
    <row r="503">
      <c r="A503" s="51"/>
      <c r="B503" s="43"/>
      <c r="C503" s="74"/>
      <c r="D503" s="75"/>
      <c r="E503" s="76"/>
      <c r="F503" s="76"/>
      <c r="G503" s="76"/>
      <c r="H503" s="76"/>
      <c r="I503" s="76"/>
      <c r="J503" s="43"/>
      <c r="K503" s="44"/>
      <c r="L503" s="44"/>
      <c r="M503" s="44"/>
      <c r="N503" s="44"/>
      <c r="O503" s="44"/>
      <c r="P503" s="44"/>
      <c r="Q503" s="44"/>
      <c r="R503" s="44"/>
      <c r="S503" s="44"/>
      <c r="T503" s="44"/>
      <c r="U503" s="44"/>
      <c r="V503" s="44"/>
      <c r="W503" s="44"/>
      <c r="X503" s="44"/>
      <c r="Y503" s="44"/>
      <c r="Z503" s="44"/>
      <c r="AA503" s="44"/>
      <c r="AB503" s="44"/>
    </row>
    <row r="504">
      <c r="A504" s="51"/>
      <c r="B504" s="43"/>
      <c r="C504" s="74"/>
      <c r="D504" s="75"/>
      <c r="E504" s="76"/>
      <c r="F504" s="76"/>
      <c r="G504" s="76"/>
      <c r="H504" s="76"/>
      <c r="I504" s="76"/>
      <c r="J504" s="43"/>
      <c r="K504" s="44"/>
      <c r="L504" s="44"/>
      <c r="M504" s="44"/>
      <c r="N504" s="44"/>
      <c r="O504" s="44"/>
      <c r="P504" s="44"/>
      <c r="Q504" s="44"/>
      <c r="R504" s="44"/>
      <c r="S504" s="44"/>
      <c r="T504" s="44"/>
      <c r="U504" s="44"/>
      <c r="V504" s="44"/>
      <c r="W504" s="44"/>
      <c r="X504" s="44"/>
      <c r="Y504" s="44"/>
      <c r="Z504" s="44"/>
      <c r="AA504" s="44"/>
      <c r="AB504" s="44"/>
    </row>
    <row r="505">
      <c r="A505" s="51"/>
      <c r="B505" s="43"/>
      <c r="C505" s="74"/>
      <c r="D505" s="75"/>
      <c r="E505" s="76"/>
      <c r="F505" s="76"/>
      <c r="G505" s="76"/>
      <c r="H505" s="76"/>
      <c r="I505" s="76"/>
      <c r="J505" s="43"/>
      <c r="K505" s="44"/>
      <c r="L505" s="44"/>
      <c r="M505" s="44"/>
      <c r="N505" s="44"/>
      <c r="O505" s="44"/>
      <c r="P505" s="44"/>
      <c r="Q505" s="44"/>
      <c r="R505" s="44"/>
      <c r="S505" s="44"/>
      <c r="T505" s="44"/>
      <c r="U505" s="44"/>
      <c r="V505" s="44"/>
      <c r="W505" s="44"/>
      <c r="X505" s="44"/>
      <c r="Y505" s="44"/>
      <c r="Z505" s="44"/>
      <c r="AA505" s="44"/>
      <c r="AB505" s="44"/>
    </row>
    <row r="506">
      <c r="A506" s="51"/>
      <c r="B506" s="43"/>
      <c r="C506" s="74"/>
      <c r="D506" s="75"/>
      <c r="E506" s="76"/>
      <c r="F506" s="76"/>
      <c r="G506" s="76"/>
      <c r="H506" s="76"/>
      <c r="I506" s="76"/>
      <c r="J506" s="43"/>
      <c r="K506" s="44"/>
      <c r="L506" s="44"/>
      <c r="M506" s="44"/>
      <c r="N506" s="44"/>
      <c r="O506" s="44"/>
      <c r="P506" s="44"/>
      <c r="Q506" s="44"/>
      <c r="R506" s="44"/>
      <c r="S506" s="44"/>
      <c r="T506" s="44"/>
      <c r="U506" s="44"/>
      <c r="V506" s="44"/>
      <c r="W506" s="44"/>
      <c r="X506" s="44"/>
      <c r="Y506" s="44"/>
      <c r="Z506" s="44"/>
      <c r="AA506" s="44"/>
      <c r="AB506" s="44"/>
    </row>
    <row r="507">
      <c r="A507" s="51"/>
      <c r="B507" s="43"/>
      <c r="C507" s="74"/>
      <c r="D507" s="75"/>
      <c r="E507" s="76"/>
      <c r="F507" s="76"/>
      <c r="G507" s="76"/>
      <c r="H507" s="76"/>
      <c r="I507" s="76"/>
      <c r="J507" s="43"/>
      <c r="K507" s="44"/>
      <c r="L507" s="44"/>
      <c r="M507" s="44"/>
      <c r="N507" s="44"/>
      <c r="O507" s="44"/>
      <c r="P507" s="44"/>
      <c r="Q507" s="44"/>
      <c r="R507" s="44"/>
      <c r="S507" s="44"/>
      <c r="T507" s="44"/>
      <c r="U507" s="44"/>
      <c r="V507" s="44"/>
      <c r="W507" s="44"/>
      <c r="X507" s="44"/>
      <c r="Y507" s="44"/>
      <c r="Z507" s="44"/>
      <c r="AA507" s="44"/>
      <c r="AB507" s="44"/>
    </row>
    <row r="508">
      <c r="A508" s="51"/>
      <c r="B508" s="43"/>
      <c r="C508" s="74"/>
      <c r="D508" s="75"/>
      <c r="E508" s="76"/>
      <c r="F508" s="76"/>
      <c r="G508" s="76"/>
      <c r="H508" s="76"/>
      <c r="I508" s="76"/>
      <c r="J508" s="43"/>
      <c r="K508" s="44"/>
      <c r="L508" s="44"/>
      <c r="M508" s="44"/>
      <c r="N508" s="44"/>
      <c r="O508" s="44"/>
      <c r="P508" s="44"/>
      <c r="Q508" s="44"/>
      <c r="R508" s="44"/>
      <c r="S508" s="44"/>
      <c r="T508" s="44"/>
      <c r="U508" s="44"/>
      <c r="V508" s="44"/>
      <c r="W508" s="44"/>
      <c r="X508" s="44"/>
      <c r="Y508" s="44"/>
      <c r="Z508" s="44"/>
      <c r="AA508" s="44"/>
      <c r="AB508" s="44"/>
    </row>
    <row r="509">
      <c r="A509" s="51"/>
      <c r="B509" s="43"/>
      <c r="C509" s="74"/>
      <c r="D509" s="75"/>
      <c r="E509" s="76"/>
      <c r="F509" s="76"/>
      <c r="G509" s="76"/>
      <c r="H509" s="76"/>
      <c r="I509" s="76"/>
      <c r="J509" s="43"/>
      <c r="K509" s="44"/>
      <c r="L509" s="44"/>
      <c r="M509" s="44"/>
      <c r="N509" s="44"/>
      <c r="O509" s="44"/>
      <c r="P509" s="44"/>
      <c r="Q509" s="44"/>
      <c r="R509" s="44"/>
      <c r="S509" s="44"/>
      <c r="T509" s="44"/>
      <c r="U509" s="44"/>
      <c r="V509" s="44"/>
      <c r="W509" s="44"/>
      <c r="X509" s="44"/>
      <c r="Y509" s="44"/>
      <c r="Z509" s="44"/>
      <c r="AA509" s="44"/>
      <c r="AB509" s="44"/>
    </row>
    <row r="510">
      <c r="A510" s="51"/>
      <c r="B510" s="43"/>
      <c r="C510" s="74"/>
      <c r="D510" s="75"/>
      <c r="E510" s="76"/>
      <c r="F510" s="76"/>
      <c r="G510" s="76"/>
      <c r="H510" s="76"/>
      <c r="I510" s="76"/>
      <c r="J510" s="43"/>
      <c r="K510" s="44"/>
      <c r="L510" s="44"/>
      <c r="M510" s="44"/>
      <c r="N510" s="44"/>
      <c r="O510" s="44"/>
      <c r="P510" s="44"/>
      <c r="Q510" s="44"/>
      <c r="R510" s="44"/>
      <c r="S510" s="44"/>
      <c r="T510" s="44"/>
      <c r="U510" s="44"/>
      <c r="V510" s="44"/>
      <c r="W510" s="44"/>
      <c r="X510" s="44"/>
      <c r="Y510" s="44"/>
      <c r="Z510" s="44"/>
      <c r="AA510" s="44"/>
      <c r="AB510" s="44"/>
    </row>
    <row r="511">
      <c r="A511" s="51"/>
      <c r="B511" s="43"/>
      <c r="C511" s="74"/>
      <c r="D511" s="75"/>
      <c r="E511" s="76"/>
      <c r="F511" s="76"/>
      <c r="G511" s="76"/>
      <c r="H511" s="76"/>
      <c r="I511" s="76"/>
      <c r="J511" s="43"/>
      <c r="K511" s="44"/>
      <c r="L511" s="44"/>
      <c r="M511" s="44"/>
      <c r="N511" s="44"/>
      <c r="O511" s="44"/>
      <c r="P511" s="44"/>
      <c r="Q511" s="44"/>
      <c r="R511" s="44"/>
      <c r="S511" s="44"/>
      <c r="T511" s="44"/>
      <c r="U511" s="44"/>
      <c r="V511" s="44"/>
      <c r="W511" s="44"/>
      <c r="X511" s="44"/>
      <c r="Y511" s="44"/>
      <c r="Z511" s="44"/>
      <c r="AA511" s="44"/>
      <c r="AB511" s="44"/>
    </row>
    <row r="512">
      <c r="A512" s="51"/>
      <c r="B512" s="43"/>
      <c r="C512" s="74"/>
      <c r="D512" s="75"/>
      <c r="E512" s="76"/>
      <c r="F512" s="76"/>
      <c r="G512" s="76"/>
      <c r="H512" s="76"/>
      <c r="I512" s="76"/>
      <c r="J512" s="43"/>
      <c r="K512" s="44"/>
      <c r="L512" s="44"/>
      <c r="M512" s="44"/>
      <c r="N512" s="44"/>
      <c r="O512" s="44"/>
      <c r="P512" s="44"/>
      <c r="Q512" s="44"/>
      <c r="R512" s="44"/>
      <c r="S512" s="44"/>
      <c r="T512" s="44"/>
      <c r="U512" s="44"/>
      <c r="V512" s="44"/>
      <c r="W512" s="44"/>
      <c r="X512" s="44"/>
      <c r="Y512" s="44"/>
      <c r="Z512" s="44"/>
      <c r="AA512" s="44"/>
      <c r="AB512" s="44"/>
    </row>
    <row r="513">
      <c r="A513" s="51"/>
      <c r="B513" s="43"/>
      <c r="C513" s="74"/>
      <c r="D513" s="75"/>
      <c r="E513" s="76"/>
      <c r="F513" s="76"/>
      <c r="G513" s="76"/>
      <c r="H513" s="76"/>
      <c r="I513" s="76"/>
      <c r="J513" s="43"/>
      <c r="K513" s="44"/>
      <c r="L513" s="44"/>
      <c r="M513" s="44"/>
      <c r="N513" s="44"/>
      <c r="O513" s="44"/>
      <c r="P513" s="44"/>
      <c r="Q513" s="44"/>
      <c r="R513" s="44"/>
      <c r="S513" s="44"/>
      <c r="T513" s="44"/>
      <c r="U513" s="44"/>
      <c r="V513" s="44"/>
      <c r="W513" s="44"/>
      <c r="X513" s="44"/>
      <c r="Y513" s="44"/>
      <c r="Z513" s="44"/>
      <c r="AA513" s="44"/>
      <c r="AB513" s="44"/>
    </row>
    <row r="514">
      <c r="A514" s="51"/>
      <c r="B514" s="43"/>
      <c r="C514" s="74"/>
      <c r="D514" s="75"/>
      <c r="E514" s="76"/>
      <c r="F514" s="76"/>
      <c r="G514" s="76"/>
      <c r="H514" s="76"/>
      <c r="I514" s="76"/>
      <c r="J514" s="43"/>
      <c r="K514" s="44"/>
      <c r="L514" s="44"/>
      <c r="M514" s="44"/>
      <c r="N514" s="44"/>
      <c r="O514" s="44"/>
      <c r="P514" s="44"/>
      <c r="Q514" s="44"/>
      <c r="R514" s="44"/>
      <c r="S514" s="44"/>
      <c r="T514" s="44"/>
      <c r="U514" s="44"/>
      <c r="V514" s="44"/>
      <c r="W514" s="44"/>
      <c r="X514" s="44"/>
      <c r="Y514" s="44"/>
      <c r="Z514" s="44"/>
      <c r="AA514" s="44"/>
      <c r="AB514" s="44"/>
    </row>
    <row r="515">
      <c r="A515" s="51"/>
      <c r="B515" s="43"/>
      <c r="C515" s="74"/>
      <c r="D515" s="75"/>
      <c r="E515" s="76"/>
      <c r="F515" s="76"/>
      <c r="G515" s="76"/>
      <c r="H515" s="76"/>
      <c r="I515" s="76"/>
      <c r="J515" s="43"/>
      <c r="K515" s="44"/>
      <c r="L515" s="44"/>
      <c r="M515" s="44"/>
      <c r="N515" s="44"/>
      <c r="O515" s="44"/>
      <c r="P515" s="44"/>
      <c r="Q515" s="44"/>
      <c r="R515" s="44"/>
      <c r="S515" s="44"/>
      <c r="T515" s="44"/>
      <c r="U515" s="44"/>
      <c r="V515" s="44"/>
      <c r="W515" s="44"/>
      <c r="X515" s="44"/>
      <c r="Y515" s="44"/>
      <c r="Z515" s="44"/>
      <c r="AA515" s="44"/>
      <c r="AB515" s="44"/>
    </row>
    <row r="516">
      <c r="A516" s="51"/>
      <c r="B516" s="43"/>
      <c r="C516" s="74"/>
      <c r="D516" s="75"/>
      <c r="E516" s="76"/>
      <c r="F516" s="76"/>
      <c r="G516" s="76"/>
      <c r="H516" s="76"/>
      <c r="I516" s="76"/>
      <c r="J516" s="43"/>
      <c r="K516" s="44"/>
      <c r="L516" s="44"/>
      <c r="M516" s="44"/>
      <c r="N516" s="44"/>
      <c r="O516" s="44"/>
      <c r="P516" s="44"/>
      <c r="Q516" s="44"/>
      <c r="R516" s="44"/>
      <c r="S516" s="44"/>
      <c r="T516" s="44"/>
      <c r="U516" s="44"/>
      <c r="V516" s="44"/>
      <c r="W516" s="44"/>
      <c r="X516" s="44"/>
      <c r="Y516" s="44"/>
      <c r="Z516" s="44"/>
      <c r="AA516" s="44"/>
      <c r="AB516" s="44"/>
    </row>
    <row r="517">
      <c r="A517" s="51"/>
      <c r="B517" s="43"/>
      <c r="C517" s="74"/>
      <c r="D517" s="75"/>
      <c r="E517" s="76"/>
      <c r="F517" s="76"/>
      <c r="G517" s="76"/>
      <c r="H517" s="76"/>
      <c r="I517" s="76"/>
      <c r="J517" s="43"/>
      <c r="K517" s="44"/>
      <c r="L517" s="44"/>
      <c r="M517" s="44"/>
      <c r="N517" s="44"/>
      <c r="O517" s="44"/>
      <c r="P517" s="44"/>
      <c r="Q517" s="44"/>
      <c r="R517" s="44"/>
      <c r="S517" s="44"/>
      <c r="T517" s="44"/>
      <c r="U517" s="44"/>
      <c r="V517" s="44"/>
      <c r="W517" s="44"/>
      <c r="X517" s="44"/>
      <c r="Y517" s="44"/>
      <c r="Z517" s="44"/>
      <c r="AA517" s="44"/>
      <c r="AB517" s="44"/>
    </row>
    <row r="518">
      <c r="A518" s="51"/>
      <c r="B518" s="43"/>
      <c r="C518" s="74"/>
      <c r="D518" s="75"/>
      <c r="E518" s="76"/>
      <c r="F518" s="76"/>
      <c r="G518" s="76"/>
      <c r="H518" s="76"/>
      <c r="I518" s="76"/>
      <c r="J518" s="43"/>
      <c r="K518" s="44"/>
      <c r="L518" s="44"/>
      <c r="M518" s="44"/>
      <c r="N518" s="44"/>
      <c r="O518" s="44"/>
      <c r="P518" s="44"/>
      <c r="Q518" s="44"/>
      <c r="R518" s="44"/>
      <c r="S518" s="44"/>
      <c r="T518" s="44"/>
      <c r="U518" s="44"/>
      <c r="V518" s="44"/>
      <c r="W518" s="44"/>
      <c r="X518" s="44"/>
      <c r="Y518" s="44"/>
      <c r="Z518" s="44"/>
      <c r="AA518" s="44"/>
      <c r="AB518" s="44"/>
    </row>
    <row r="519">
      <c r="A519" s="51"/>
      <c r="B519" s="43"/>
      <c r="C519" s="74"/>
      <c r="D519" s="75"/>
      <c r="E519" s="76"/>
      <c r="F519" s="76"/>
      <c r="G519" s="76"/>
      <c r="H519" s="76"/>
      <c r="I519" s="76"/>
      <c r="J519" s="43"/>
      <c r="K519" s="44"/>
      <c r="L519" s="44"/>
      <c r="M519" s="44"/>
      <c r="N519" s="44"/>
      <c r="O519" s="44"/>
      <c r="P519" s="44"/>
      <c r="Q519" s="44"/>
      <c r="R519" s="44"/>
      <c r="S519" s="44"/>
      <c r="T519" s="44"/>
      <c r="U519" s="44"/>
      <c r="V519" s="44"/>
      <c r="W519" s="44"/>
      <c r="X519" s="44"/>
      <c r="Y519" s="44"/>
      <c r="Z519" s="44"/>
      <c r="AA519" s="44"/>
      <c r="AB519" s="44"/>
    </row>
    <row r="520">
      <c r="A520" s="51"/>
      <c r="B520" s="43"/>
      <c r="C520" s="74"/>
      <c r="D520" s="75"/>
      <c r="E520" s="76"/>
      <c r="F520" s="76"/>
      <c r="G520" s="76"/>
      <c r="H520" s="76"/>
      <c r="I520" s="76"/>
      <c r="J520" s="43"/>
      <c r="K520" s="44"/>
      <c r="L520" s="44"/>
      <c r="M520" s="44"/>
      <c r="N520" s="44"/>
      <c r="O520" s="44"/>
      <c r="P520" s="44"/>
      <c r="Q520" s="44"/>
      <c r="R520" s="44"/>
      <c r="S520" s="44"/>
      <c r="T520" s="44"/>
      <c r="U520" s="44"/>
      <c r="V520" s="44"/>
      <c r="W520" s="44"/>
      <c r="X520" s="44"/>
      <c r="Y520" s="44"/>
      <c r="Z520" s="44"/>
      <c r="AA520" s="44"/>
      <c r="AB520" s="44"/>
    </row>
    <row r="521">
      <c r="A521" s="51"/>
      <c r="B521" s="43"/>
      <c r="C521" s="74"/>
      <c r="D521" s="75"/>
      <c r="E521" s="76"/>
      <c r="F521" s="76"/>
      <c r="G521" s="76"/>
      <c r="H521" s="76"/>
      <c r="I521" s="76"/>
      <c r="J521" s="43"/>
      <c r="K521" s="44"/>
      <c r="L521" s="44"/>
      <c r="M521" s="44"/>
      <c r="N521" s="44"/>
      <c r="O521" s="44"/>
      <c r="P521" s="44"/>
      <c r="Q521" s="44"/>
      <c r="R521" s="44"/>
      <c r="S521" s="44"/>
      <c r="T521" s="44"/>
      <c r="U521" s="44"/>
      <c r="V521" s="44"/>
      <c r="W521" s="44"/>
      <c r="X521" s="44"/>
      <c r="Y521" s="44"/>
      <c r="Z521" s="44"/>
      <c r="AA521" s="44"/>
      <c r="AB521" s="44"/>
    </row>
    <row r="522">
      <c r="A522" s="51"/>
      <c r="B522" s="43"/>
      <c r="C522" s="74"/>
      <c r="D522" s="75"/>
      <c r="E522" s="76"/>
      <c r="F522" s="76"/>
      <c r="G522" s="76"/>
      <c r="H522" s="76"/>
      <c r="I522" s="76"/>
      <c r="J522" s="43"/>
      <c r="K522" s="44"/>
      <c r="L522" s="44"/>
      <c r="M522" s="44"/>
      <c r="N522" s="44"/>
      <c r="O522" s="44"/>
      <c r="P522" s="44"/>
      <c r="Q522" s="44"/>
      <c r="R522" s="44"/>
      <c r="S522" s="44"/>
      <c r="T522" s="44"/>
      <c r="U522" s="44"/>
      <c r="V522" s="44"/>
      <c r="W522" s="44"/>
      <c r="X522" s="44"/>
      <c r="Y522" s="44"/>
      <c r="Z522" s="44"/>
      <c r="AA522" s="44"/>
      <c r="AB522" s="44"/>
    </row>
    <row r="523">
      <c r="A523" s="51"/>
      <c r="B523" s="43"/>
      <c r="C523" s="74"/>
      <c r="D523" s="75"/>
      <c r="E523" s="76"/>
      <c r="F523" s="76"/>
      <c r="G523" s="76"/>
      <c r="H523" s="76"/>
      <c r="I523" s="76"/>
      <c r="J523" s="43"/>
      <c r="K523" s="44"/>
      <c r="L523" s="44"/>
      <c r="M523" s="44"/>
      <c r="N523" s="44"/>
      <c r="O523" s="44"/>
      <c r="P523" s="44"/>
      <c r="Q523" s="44"/>
      <c r="R523" s="44"/>
      <c r="S523" s="44"/>
      <c r="T523" s="44"/>
      <c r="U523" s="44"/>
      <c r="V523" s="44"/>
      <c r="W523" s="44"/>
      <c r="X523" s="44"/>
      <c r="Y523" s="44"/>
      <c r="Z523" s="44"/>
      <c r="AA523" s="44"/>
      <c r="AB523" s="44"/>
    </row>
    <row r="524">
      <c r="A524" s="51"/>
      <c r="B524" s="43"/>
      <c r="C524" s="74"/>
      <c r="D524" s="75"/>
      <c r="E524" s="76"/>
      <c r="F524" s="76"/>
      <c r="G524" s="76"/>
      <c r="H524" s="76"/>
      <c r="I524" s="76"/>
      <c r="J524" s="43"/>
      <c r="K524" s="44"/>
      <c r="L524" s="44"/>
      <c r="M524" s="44"/>
      <c r="N524" s="44"/>
      <c r="O524" s="44"/>
      <c r="P524" s="44"/>
      <c r="Q524" s="44"/>
      <c r="R524" s="44"/>
      <c r="S524" s="44"/>
      <c r="T524" s="44"/>
      <c r="U524" s="44"/>
      <c r="V524" s="44"/>
      <c r="W524" s="44"/>
      <c r="X524" s="44"/>
      <c r="Y524" s="44"/>
      <c r="Z524" s="44"/>
      <c r="AA524" s="44"/>
      <c r="AB524" s="44"/>
    </row>
    <row r="525">
      <c r="A525" s="51"/>
      <c r="B525" s="43"/>
      <c r="C525" s="74"/>
      <c r="D525" s="75"/>
      <c r="E525" s="76"/>
      <c r="F525" s="76"/>
      <c r="G525" s="76"/>
      <c r="H525" s="76"/>
      <c r="I525" s="76"/>
      <c r="J525" s="43"/>
      <c r="K525" s="44"/>
      <c r="L525" s="44"/>
      <c r="M525" s="44"/>
      <c r="N525" s="44"/>
      <c r="O525" s="44"/>
      <c r="P525" s="44"/>
      <c r="Q525" s="44"/>
      <c r="R525" s="44"/>
      <c r="S525" s="44"/>
      <c r="T525" s="44"/>
      <c r="U525" s="44"/>
      <c r="V525" s="44"/>
      <c r="W525" s="44"/>
      <c r="X525" s="44"/>
      <c r="Y525" s="44"/>
      <c r="Z525" s="44"/>
      <c r="AA525" s="44"/>
      <c r="AB525" s="44"/>
    </row>
    <row r="526">
      <c r="A526" s="51"/>
      <c r="B526" s="43"/>
      <c r="C526" s="74"/>
      <c r="D526" s="75"/>
      <c r="E526" s="76"/>
      <c r="F526" s="76"/>
      <c r="G526" s="76"/>
      <c r="H526" s="76"/>
      <c r="I526" s="76"/>
      <c r="J526" s="43"/>
      <c r="K526" s="44"/>
      <c r="L526" s="44"/>
      <c r="M526" s="44"/>
      <c r="N526" s="44"/>
      <c r="O526" s="44"/>
      <c r="P526" s="44"/>
      <c r="Q526" s="44"/>
      <c r="R526" s="44"/>
      <c r="S526" s="44"/>
      <c r="T526" s="44"/>
      <c r="U526" s="44"/>
      <c r="V526" s="44"/>
      <c r="W526" s="44"/>
      <c r="X526" s="44"/>
      <c r="Y526" s="44"/>
      <c r="Z526" s="44"/>
      <c r="AA526" s="44"/>
      <c r="AB526" s="44"/>
    </row>
    <row r="527">
      <c r="A527" s="51"/>
      <c r="B527" s="43"/>
      <c r="C527" s="74"/>
      <c r="D527" s="75"/>
      <c r="E527" s="76"/>
      <c r="F527" s="76"/>
      <c r="G527" s="76"/>
      <c r="H527" s="76"/>
      <c r="I527" s="76"/>
      <c r="J527" s="43"/>
      <c r="K527" s="44"/>
      <c r="L527" s="44"/>
      <c r="M527" s="44"/>
      <c r="N527" s="44"/>
      <c r="O527" s="44"/>
      <c r="P527" s="44"/>
      <c r="Q527" s="44"/>
      <c r="R527" s="44"/>
      <c r="S527" s="44"/>
      <c r="T527" s="44"/>
      <c r="U527" s="44"/>
      <c r="V527" s="44"/>
      <c r="W527" s="44"/>
      <c r="X527" s="44"/>
      <c r="Y527" s="44"/>
      <c r="Z527" s="44"/>
      <c r="AA527" s="44"/>
      <c r="AB527" s="44"/>
    </row>
    <row r="528">
      <c r="A528" s="51"/>
      <c r="B528" s="43"/>
      <c r="C528" s="74"/>
      <c r="D528" s="75"/>
      <c r="E528" s="76"/>
      <c r="F528" s="76"/>
      <c r="G528" s="76"/>
      <c r="H528" s="76"/>
      <c r="I528" s="76"/>
      <c r="J528" s="43"/>
      <c r="K528" s="44"/>
      <c r="L528" s="44"/>
      <c r="M528" s="44"/>
      <c r="N528" s="44"/>
      <c r="O528" s="44"/>
      <c r="P528" s="44"/>
      <c r="Q528" s="44"/>
      <c r="R528" s="44"/>
      <c r="S528" s="44"/>
      <c r="T528" s="44"/>
      <c r="U528" s="44"/>
      <c r="V528" s="44"/>
      <c r="W528" s="44"/>
      <c r="X528" s="44"/>
      <c r="Y528" s="44"/>
      <c r="Z528" s="44"/>
      <c r="AA528" s="44"/>
      <c r="AB528" s="44"/>
    </row>
    <row r="529">
      <c r="A529" s="51"/>
      <c r="B529" s="43"/>
      <c r="C529" s="74"/>
      <c r="D529" s="75"/>
      <c r="E529" s="76"/>
      <c r="F529" s="76"/>
      <c r="G529" s="76"/>
      <c r="H529" s="76"/>
      <c r="I529" s="76"/>
      <c r="J529" s="43"/>
      <c r="K529" s="44"/>
      <c r="L529" s="44"/>
      <c r="M529" s="44"/>
      <c r="N529" s="44"/>
      <c r="O529" s="44"/>
      <c r="P529" s="44"/>
      <c r="Q529" s="44"/>
      <c r="R529" s="44"/>
      <c r="S529" s="44"/>
      <c r="T529" s="44"/>
      <c r="U529" s="44"/>
      <c r="V529" s="44"/>
      <c r="W529" s="44"/>
      <c r="X529" s="44"/>
      <c r="Y529" s="44"/>
      <c r="Z529" s="44"/>
      <c r="AA529" s="44"/>
      <c r="AB529" s="44"/>
    </row>
    <row r="530">
      <c r="A530" s="51"/>
      <c r="B530" s="43"/>
      <c r="C530" s="74"/>
      <c r="D530" s="75"/>
      <c r="E530" s="76"/>
      <c r="F530" s="76"/>
      <c r="G530" s="76"/>
      <c r="H530" s="76"/>
      <c r="I530" s="76"/>
      <c r="J530" s="43"/>
      <c r="K530" s="44"/>
      <c r="L530" s="44"/>
      <c r="M530" s="44"/>
      <c r="N530" s="44"/>
      <c r="O530" s="44"/>
      <c r="P530" s="44"/>
      <c r="Q530" s="44"/>
      <c r="R530" s="44"/>
      <c r="S530" s="44"/>
      <c r="T530" s="44"/>
      <c r="U530" s="44"/>
      <c r="V530" s="44"/>
      <c r="W530" s="44"/>
      <c r="X530" s="44"/>
      <c r="Y530" s="44"/>
      <c r="Z530" s="44"/>
      <c r="AA530" s="44"/>
      <c r="AB530" s="44"/>
    </row>
    <row r="531">
      <c r="A531" s="51"/>
      <c r="B531" s="43"/>
      <c r="C531" s="74"/>
      <c r="D531" s="75"/>
      <c r="E531" s="76"/>
      <c r="F531" s="76"/>
      <c r="G531" s="76"/>
      <c r="H531" s="76"/>
      <c r="I531" s="76"/>
      <c r="J531" s="43"/>
      <c r="K531" s="44"/>
      <c r="L531" s="44"/>
      <c r="M531" s="44"/>
      <c r="N531" s="44"/>
      <c r="O531" s="44"/>
      <c r="P531" s="44"/>
      <c r="Q531" s="44"/>
      <c r="R531" s="44"/>
      <c r="S531" s="44"/>
      <c r="T531" s="44"/>
      <c r="U531" s="44"/>
      <c r="V531" s="44"/>
      <c r="W531" s="44"/>
      <c r="X531" s="44"/>
      <c r="Y531" s="44"/>
      <c r="Z531" s="44"/>
      <c r="AA531" s="44"/>
      <c r="AB531" s="44"/>
    </row>
    <row r="532">
      <c r="A532" s="51"/>
      <c r="B532" s="43"/>
      <c r="C532" s="74"/>
      <c r="D532" s="75"/>
      <c r="E532" s="76"/>
      <c r="F532" s="76"/>
      <c r="G532" s="76"/>
      <c r="H532" s="76"/>
      <c r="I532" s="76"/>
      <c r="J532" s="43"/>
      <c r="K532" s="44"/>
      <c r="L532" s="44"/>
      <c r="M532" s="44"/>
      <c r="N532" s="44"/>
      <c r="O532" s="44"/>
      <c r="P532" s="44"/>
      <c r="Q532" s="44"/>
      <c r="R532" s="44"/>
      <c r="S532" s="44"/>
      <c r="T532" s="44"/>
      <c r="U532" s="44"/>
      <c r="V532" s="44"/>
      <c r="W532" s="44"/>
      <c r="X532" s="44"/>
      <c r="Y532" s="44"/>
      <c r="Z532" s="44"/>
      <c r="AA532" s="44"/>
      <c r="AB532" s="44"/>
    </row>
    <row r="533">
      <c r="A533" s="51"/>
      <c r="B533" s="43"/>
      <c r="C533" s="74"/>
      <c r="D533" s="75"/>
      <c r="E533" s="76"/>
      <c r="F533" s="76"/>
      <c r="G533" s="76"/>
      <c r="H533" s="76"/>
      <c r="I533" s="76"/>
      <c r="J533" s="43"/>
      <c r="K533" s="44"/>
      <c r="L533" s="44"/>
      <c r="M533" s="44"/>
      <c r="N533" s="44"/>
      <c r="O533" s="44"/>
      <c r="P533" s="44"/>
      <c r="Q533" s="44"/>
      <c r="R533" s="44"/>
      <c r="S533" s="44"/>
      <c r="T533" s="44"/>
      <c r="U533" s="44"/>
      <c r="V533" s="44"/>
      <c r="W533" s="44"/>
      <c r="X533" s="44"/>
      <c r="Y533" s="44"/>
      <c r="Z533" s="44"/>
      <c r="AA533" s="44"/>
      <c r="AB533" s="44"/>
    </row>
    <row r="534">
      <c r="A534" s="51"/>
      <c r="B534" s="43"/>
      <c r="C534" s="74"/>
      <c r="D534" s="75"/>
      <c r="E534" s="76"/>
      <c r="F534" s="76"/>
      <c r="G534" s="76"/>
      <c r="H534" s="76"/>
      <c r="I534" s="76"/>
      <c r="J534" s="43"/>
      <c r="K534" s="44"/>
      <c r="L534" s="44"/>
      <c r="M534" s="44"/>
      <c r="N534" s="44"/>
      <c r="O534" s="44"/>
      <c r="P534" s="44"/>
      <c r="Q534" s="44"/>
      <c r="R534" s="44"/>
      <c r="S534" s="44"/>
      <c r="T534" s="44"/>
      <c r="U534" s="44"/>
      <c r="V534" s="44"/>
      <c r="W534" s="44"/>
      <c r="X534" s="44"/>
      <c r="Y534" s="44"/>
      <c r="Z534" s="44"/>
      <c r="AA534" s="44"/>
      <c r="AB534" s="44"/>
    </row>
    <row r="535">
      <c r="A535" s="51"/>
      <c r="B535" s="43"/>
      <c r="C535" s="74"/>
      <c r="D535" s="75"/>
      <c r="E535" s="76"/>
      <c r="F535" s="76"/>
      <c r="G535" s="76"/>
      <c r="H535" s="76"/>
      <c r="I535" s="76"/>
      <c r="J535" s="43"/>
      <c r="K535" s="44"/>
      <c r="L535" s="44"/>
      <c r="M535" s="44"/>
      <c r="N535" s="44"/>
      <c r="O535" s="44"/>
      <c r="P535" s="44"/>
      <c r="Q535" s="44"/>
      <c r="R535" s="44"/>
      <c r="S535" s="44"/>
      <c r="T535" s="44"/>
      <c r="U535" s="44"/>
      <c r="V535" s="44"/>
      <c r="W535" s="44"/>
      <c r="X535" s="44"/>
      <c r="Y535" s="44"/>
      <c r="Z535" s="44"/>
      <c r="AA535" s="44"/>
      <c r="AB535" s="44"/>
    </row>
    <row r="536">
      <c r="A536" s="51"/>
      <c r="B536" s="43"/>
      <c r="C536" s="74"/>
      <c r="D536" s="75"/>
      <c r="E536" s="76"/>
      <c r="F536" s="76"/>
      <c r="G536" s="76"/>
      <c r="H536" s="76"/>
      <c r="I536" s="76"/>
      <c r="J536" s="43"/>
      <c r="K536" s="44"/>
      <c r="L536" s="44"/>
      <c r="M536" s="44"/>
      <c r="N536" s="44"/>
      <c r="O536" s="44"/>
      <c r="P536" s="44"/>
      <c r="Q536" s="44"/>
      <c r="R536" s="44"/>
      <c r="S536" s="44"/>
      <c r="T536" s="44"/>
      <c r="U536" s="44"/>
      <c r="V536" s="44"/>
      <c r="W536" s="44"/>
      <c r="X536" s="44"/>
      <c r="Y536" s="44"/>
      <c r="Z536" s="44"/>
      <c r="AA536" s="44"/>
      <c r="AB536" s="44"/>
    </row>
    <row r="537">
      <c r="A537" s="51"/>
      <c r="B537" s="43"/>
      <c r="C537" s="74"/>
      <c r="D537" s="75"/>
      <c r="E537" s="76"/>
      <c r="F537" s="76"/>
      <c r="G537" s="76"/>
      <c r="H537" s="76"/>
      <c r="I537" s="76"/>
      <c r="J537" s="43"/>
      <c r="K537" s="44"/>
      <c r="L537" s="44"/>
      <c r="M537" s="44"/>
      <c r="N537" s="44"/>
      <c r="O537" s="44"/>
      <c r="P537" s="44"/>
      <c r="Q537" s="44"/>
      <c r="R537" s="44"/>
      <c r="S537" s="44"/>
      <c r="T537" s="44"/>
      <c r="U537" s="44"/>
      <c r="V537" s="44"/>
      <c r="W537" s="44"/>
      <c r="X537" s="44"/>
      <c r="Y537" s="44"/>
      <c r="Z537" s="44"/>
      <c r="AA537" s="44"/>
      <c r="AB537" s="44"/>
    </row>
    <row r="538">
      <c r="A538" s="51"/>
      <c r="B538" s="43"/>
      <c r="C538" s="74"/>
      <c r="D538" s="75"/>
      <c r="E538" s="76"/>
      <c r="F538" s="76"/>
      <c r="G538" s="76"/>
      <c r="H538" s="76"/>
      <c r="I538" s="76"/>
      <c r="J538" s="43"/>
      <c r="K538" s="44"/>
      <c r="L538" s="44"/>
      <c r="M538" s="44"/>
      <c r="N538" s="44"/>
      <c r="O538" s="44"/>
      <c r="P538" s="44"/>
      <c r="Q538" s="44"/>
      <c r="R538" s="44"/>
      <c r="S538" s="44"/>
      <c r="T538" s="44"/>
      <c r="U538" s="44"/>
      <c r="V538" s="44"/>
      <c r="W538" s="44"/>
      <c r="X538" s="44"/>
      <c r="Y538" s="44"/>
      <c r="Z538" s="44"/>
      <c r="AA538" s="44"/>
      <c r="AB538" s="44"/>
    </row>
    <row r="539">
      <c r="A539" s="51"/>
      <c r="B539" s="43"/>
      <c r="C539" s="74"/>
      <c r="D539" s="75"/>
      <c r="E539" s="76"/>
      <c r="F539" s="76"/>
      <c r="G539" s="76"/>
      <c r="H539" s="76"/>
      <c r="I539" s="76"/>
      <c r="J539" s="43"/>
      <c r="K539" s="44"/>
      <c r="L539" s="44"/>
      <c r="M539" s="44"/>
      <c r="N539" s="44"/>
      <c r="O539" s="44"/>
      <c r="P539" s="44"/>
      <c r="Q539" s="44"/>
      <c r="R539" s="44"/>
      <c r="S539" s="44"/>
      <c r="T539" s="44"/>
      <c r="U539" s="44"/>
      <c r="V539" s="44"/>
      <c r="W539" s="44"/>
      <c r="X539" s="44"/>
      <c r="Y539" s="44"/>
      <c r="Z539" s="44"/>
      <c r="AA539" s="44"/>
      <c r="AB539" s="44"/>
    </row>
    <row r="540">
      <c r="A540" s="51"/>
      <c r="B540" s="43"/>
      <c r="C540" s="74"/>
      <c r="D540" s="75"/>
      <c r="E540" s="76"/>
      <c r="F540" s="76"/>
      <c r="G540" s="76"/>
      <c r="H540" s="76"/>
      <c r="I540" s="76"/>
      <c r="J540" s="43"/>
      <c r="K540" s="44"/>
      <c r="L540" s="44"/>
      <c r="M540" s="44"/>
      <c r="N540" s="44"/>
      <c r="O540" s="44"/>
      <c r="P540" s="44"/>
      <c r="Q540" s="44"/>
      <c r="R540" s="44"/>
      <c r="S540" s="44"/>
      <c r="T540" s="44"/>
      <c r="U540" s="44"/>
      <c r="V540" s="44"/>
      <c r="W540" s="44"/>
      <c r="X540" s="44"/>
      <c r="Y540" s="44"/>
      <c r="Z540" s="44"/>
      <c r="AA540" s="44"/>
      <c r="AB540" s="44"/>
    </row>
    <row r="541">
      <c r="A541" s="51"/>
      <c r="B541" s="43"/>
      <c r="C541" s="74"/>
      <c r="D541" s="75"/>
      <c r="E541" s="76"/>
      <c r="F541" s="76"/>
      <c r="G541" s="76"/>
      <c r="H541" s="76"/>
      <c r="I541" s="76"/>
      <c r="J541" s="43"/>
      <c r="K541" s="44"/>
      <c r="L541" s="44"/>
      <c r="M541" s="44"/>
      <c r="N541" s="44"/>
      <c r="O541" s="44"/>
      <c r="P541" s="44"/>
      <c r="Q541" s="44"/>
      <c r="R541" s="44"/>
      <c r="S541" s="44"/>
      <c r="T541" s="44"/>
      <c r="U541" s="44"/>
      <c r="V541" s="44"/>
      <c r="W541" s="44"/>
      <c r="X541" s="44"/>
      <c r="Y541" s="44"/>
      <c r="Z541" s="44"/>
      <c r="AA541" s="44"/>
      <c r="AB541" s="44"/>
    </row>
    <row r="542">
      <c r="A542" s="51"/>
      <c r="B542" s="43"/>
      <c r="C542" s="74"/>
      <c r="D542" s="75"/>
      <c r="E542" s="76"/>
      <c r="F542" s="76"/>
      <c r="G542" s="76"/>
      <c r="H542" s="76"/>
      <c r="I542" s="76"/>
      <c r="J542" s="43"/>
      <c r="K542" s="44"/>
      <c r="L542" s="44"/>
      <c r="M542" s="44"/>
      <c r="N542" s="44"/>
      <c r="O542" s="44"/>
      <c r="P542" s="44"/>
      <c r="Q542" s="44"/>
      <c r="R542" s="44"/>
      <c r="S542" s="44"/>
      <c r="T542" s="44"/>
      <c r="U542" s="44"/>
      <c r="V542" s="44"/>
      <c r="W542" s="44"/>
      <c r="X542" s="44"/>
      <c r="Y542" s="44"/>
      <c r="Z542" s="44"/>
      <c r="AA542" s="44"/>
      <c r="AB542" s="44"/>
    </row>
    <row r="543">
      <c r="A543" s="51"/>
      <c r="B543" s="43"/>
      <c r="C543" s="74"/>
      <c r="D543" s="75"/>
      <c r="E543" s="76"/>
      <c r="F543" s="76"/>
      <c r="G543" s="76"/>
      <c r="H543" s="76"/>
      <c r="I543" s="76"/>
      <c r="J543" s="43"/>
      <c r="K543" s="44"/>
      <c r="L543" s="44"/>
      <c r="M543" s="44"/>
      <c r="N543" s="44"/>
      <c r="O543" s="44"/>
      <c r="P543" s="44"/>
      <c r="Q543" s="44"/>
      <c r="R543" s="44"/>
      <c r="S543" s="44"/>
      <c r="T543" s="44"/>
      <c r="U543" s="44"/>
      <c r="V543" s="44"/>
      <c r="W543" s="44"/>
      <c r="X543" s="44"/>
      <c r="Y543" s="44"/>
      <c r="Z543" s="44"/>
      <c r="AA543" s="44"/>
      <c r="AB543" s="44"/>
    </row>
    <row r="544">
      <c r="A544" s="51"/>
      <c r="B544" s="43"/>
      <c r="C544" s="74"/>
      <c r="D544" s="75"/>
      <c r="E544" s="76"/>
      <c r="F544" s="76"/>
      <c r="G544" s="76"/>
      <c r="H544" s="76"/>
      <c r="I544" s="76"/>
      <c r="J544" s="43"/>
      <c r="K544" s="44"/>
      <c r="L544" s="44"/>
      <c r="M544" s="44"/>
      <c r="N544" s="44"/>
      <c r="O544" s="44"/>
      <c r="P544" s="44"/>
      <c r="Q544" s="44"/>
      <c r="R544" s="44"/>
      <c r="S544" s="44"/>
      <c r="T544" s="44"/>
      <c r="U544" s="44"/>
      <c r="V544" s="44"/>
      <c r="W544" s="44"/>
      <c r="X544" s="44"/>
      <c r="Y544" s="44"/>
      <c r="Z544" s="44"/>
      <c r="AA544" s="44"/>
      <c r="AB544" s="44"/>
    </row>
    <row r="545">
      <c r="A545" s="51"/>
      <c r="B545" s="43"/>
      <c r="C545" s="74"/>
      <c r="D545" s="75"/>
      <c r="E545" s="76"/>
      <c r="F545" s="76"/>
      <c r="G545" s="76"/>
      <c r="H545" s="76"/>
      <c r="I545" s="76"/>
      <c r="J545" s="43"/>
      <c r="K545" s="44"/>
      <c r="L545" s="44"/>
      <c r="M545" s="44"/>
      <c r="N545" s="44"/>
      <c r="O545" s="44"/>
      <c r="P545" s="44"/>
      <c r="Q545" s="44"/>
      <c r="R545" s="44"/>
      <c r="S545" s="44"/>
      <c r="T545" s="44"/>
      <c r="U545" s="44"/>
      <c r="V545" s="44"/>
      <c r="W545" s="44"/>
      <c r="X545" s="44"/>
      <c r="Y545" s="44"/>
      <c r="Z545" s="44"/>
      <c r="AA545" s="44"/>
      <c r="AB545" s="44"/>
    </row>
    <row r="546">
      <c r="A546" s="51"/>
      <c r="B546" s="43"/>
      <c r="C546" s="74"/>
      <c r="D546" s="75"/>
      <c r="E546" s="76"/>
      <c r="F546" s="76"/>
      <c r="G546" s="76"/>
      <c r="H546" s="76"/>
      <c r="I546" s="76"/>
      <c r="J546" s="43"/>
      <c r="K546" s="44"/>
      <c r="L546" s="44"/>
      <c r="M546" s="44"/>
      <c r="N546" s="44"/>
      <c r="O546" s="44"/>
      <c r="P546" s="44"/>
      <c r="Q546" s="44"/>
      <c r="R546" s="44"/>
      <c r="S546" s="44"/>
      <c r="T546" s="44"/>
      <c r="U546" s="44"/>
      <c r="V546" s="44"/>
      <c r="W546" s="44"/>
      <c r="X546" s="44"/>
      <c r="Y546" s="44"/>
      <c r="Z546" s="44"/>
      <c r="AA546" s="44"/>
      <c r="AB546" s="44"/>
    </row>
    <row r="547">
      <c r="A547" s="51"/>
      <c r="B547" s="43"/>
      <c r="C547" s="74"/>
      <c r="D547" s="75"/>
      <c r="E547" s="76"/>
      <c r="F547" s="76"/>
      <c r="G547" s="76"/>
      <c r="H547" s="76"/>
      <c r="I547" s="76"/>
      <c r="J547" s="43"/>
      <c r="K547" s="44"/>
      <c r="L547" s="44"/>
      <c r="M547" s="44"/>
      <c r="N547" s="44"/>
      <c r="O547" s="44"/>
      <c r="P547" s="44"/>
      <c r="Q547" s="44"/>
      <c r="R547" s="44"/>
      <c r="S547" s="44"/>
      <c r="T547" s="44"/>
      <c r="U547" s="44"/>
      <c r="V547" s="44"/>
      <c r="W547" s="44"/>
      <c r="X547" s="44"/>
      <c r="Y547" s="44"/>
      <c r="Z547" s="44"/>
      <c r="AA547" s="44"/>
      <c r="AB547" s="44"/>
    </row>
    <row r="548">
      <c r="A548" s="51"/>
      <c r="B548" s="43"/>
      <c r="C548" s="74"/>
      <c r="D548" s="75"/>
      <c r="E548" s="76"/>
      <c r="F548" s="76"/>
      <c r="G548" s="76"/>
      <c r="H548" s="76"/>
      <c r="I548" s="76"/>
      <c r="J548" s="43"/>
      <c r="K548" s="44"/>
      <c r="L548" s="44"/>
      <c r="M548" s="44"/>
      <c r="N548" s="44"/>
      <c r="O548" s="44"/>
      <c r="P548" s="44"/>
      <c r="Q548" s="44"/>
      <c r="R548" s="44"/>
      <c r="S548" s="44"/>
      <c r="T548" s="44"/>
      <c r="U548" s="44"/>
      <c r="V548" s="44"/>
      <c r="W548" s="44"/>
      <c r="X548" s="44"/>
      <c r="Y548" s="44"/>
      <c r="Z548" s="44"/>
      <c r="AA548" s="44"/>
      <c r="AB548" s="44"/>
    </row>
    <row r="549">
      <c r="A549" s="51"/>
      <c r="B549" s="43"/>
      <c r="C549" s="74"/>
      <c r="D549" s="75"/>
      <c r="E549" s="76"/>
      <c r="F549" s="76"/>
      <c r="G549" s="76"/>
      <c r="H549" s="76"/>
      <c r="I549" s="76"/>
      <c r="J549" s="43"/>
      <c r="K549" s="44"/>
      <c r="L549" s="44"/>
      <c r="M549" s="44"/>
      <c r="N549" s="44"/>
      <c r="O549" s="44"/>
      <c r="P549" s="44"/>
      <c r="Q549" s="44"/>
      <c r="R549" s="44"/>
      <c r="S549" s="44"/>
      <c r="T549" s="44"/>
      <c r="U549" s="44"/>
      <c r="V549" s="44"/>
      <c r="W549" s="44"/>
      <c r="X549" s="44"/>
      <c r="Y549" s="44"/>
      <c r="Z549" s="44"/>
      <c r="AA549" s="44"/>
      <c r="AB549" s="44"/>
    </row>
    <row r="550">
      <c r="A550" s="51"/>
      <c r="B550" s="43"/>
      <c r="C550" s="74"/>
      <c r="D550" s="75"/>
      <c r="E550" s="76"/>
      <c r="F550" s="76"/>
      <c r="G550" s="76"/>
      <c r="H550" s="76"/>
      <c r="I550" s="76"/>
      <c r="J550" s="43"/>
      <c r="K550" s="44"/>
      <c r="L550" s="44"/>
      <c r="M550" s="44"/>
      <c r="N550" s="44"/>
      <c r="O550" s="44"/>
      <c r="P550" s="44"/>
      <c r="Q550" s="44"/>
      <c r="R550" s="44"/>
      <c r="S550" s="44"/>
      <c r="T550" s="44"/>
      <c r="U550" s="44"/>
      <c r="V550" s="44"/>
      <c r="W550" s="44"/>
      <c r="X550" s="44"/>
      <c r="Y550" s="44"/>
      <c r="Z550" s="44"/>
      <c r="AA550" s="44"/>
      <c r="AB550" s="44"/>
    </row>
    <row r="551">
      <c r="A551" s="51"/>
      <c r="B551" s="43"/>
      <c r="C551" s="74"/>
      <c r="D551" s="75"/>
      <c r="E551" s="76"/>
      <c r="F551" s="76"/>
      <c r="G551" s="76"/>
      <c r="H551" s="76"/>
      <c r="I551" s="76"/>
      <c r="J551" s="43"/>
      <c r="K551" s="44"/>
      <c r="L551" s="44"/>
      <c r="M551" s="44"/>
      <c r="N551" s="44"/>
      <c r="O551" s="44"/>
      <c r="P551" s="44"/>
      <c r="Q551" s="44"/>
      <c r="R551" s="44"/>
      <c r="S551" s="44"/>
      <c r="T551" s="44"/>
      <c r="U551" s="44"/>
      <c r="V551" s="44"/>
      <c r="W551" s="44"/>
      <c r="X551" s="44"/>
      <c r="Y551" s="44"/>
      <c r="Z551" s="44"/>
      <c r="AA551" s="44"/>
      <c r="AB551" s="44"/>
    </row>
    <row r="552">
      <c r="A552" s="51"/>
      <c r="B552" s="43"/>
      <c r="C552" s="74"/>
      <c r="D552" s="75"/>
      <c r="E552" s="76"/>
      <c r="F552" s="76"/>
      <c r="G552" s="76"/>
      <c r="H552" s="76"/>
      <c r="I552" s="76"/>
      <c r="J552" s="43"/>
      <c r="K552" s="44"/>
      <c r="L552" s="44"/>
      <c r="M552" s="44"/>
      <c r="N552" s="44"/>
      <c r="O552" s="44"/>
      <c r="P552" s="44"/>
      <c r="Q552" s="44"/>
      <c r="R552" s="44"/>
      <c r="S552" s="44"/>
      <c r="T552" s="44"/>
      <c r="U552" s="44"/>
      <c r="V552" s="44"/>
      <c r="W552" s="44"/>
      <c r="X552" s="44"/>
      <c r="Y552" s="44"/>
      <c r="Z552" s="44"/>
      <c r="AA552" s="44"/>
      <c r="AB552" s="44"/>
    </row>
    <row r="553">
      <c r="A553" s="51"/>
      <c r="B553" s="43"/>
      <c r="C553" s="74"/>
      <c r="D553" s="75"/>
      <c r="E553" s="76"/>
      <c r="F553" s="76"/>
      <c r="G553" s="76"/>
      <c r="H553" s="76"/>
      <c r="I553" s="76"/>
      <c r="J553" s="43"/>
      <c r="K553" s="44"/>
      <c r="L553" s="44"/>
      <c r="M553" s="44"/>
      <c r="N553" s="44"/>
      <c r="O553" s="44"/>
      <c r="P553" s="44"/>
      <c r="Q553" s="44"/>
      <c r="R553" s="44"/>
      <c r="S553" s="44"/>
      <c r="T553" s="44"/>
      <c r="U553" s="44"/>
      <c r="V553" s="44"/>
      <c r="W553" s="44"/>
      <c r="X553" s="44"/>
      <c r="Y553" s="44"/>
      <c r="Z553" s="44"/>
      <c r="AA553" s="44"/>
      <c r="AB553" s="44"/>
    </row>
    <row r="554">
      <c r="A554" s="51"/>
      <c r="B554" s="43"/>
      <c r="C554" s="74"/>
      <c r="D554" s="75"/>
      <c r="E554" s="76"/>
      <c r="F554" s="76"/>
      <c r="G554" s="76"/>
      <c r="H554" s="76"/>
      <c r="I554" s="76"/>
      <c r="J554" s="43"/>
      <c r="K554" s="44"/>
      <c r="L554" s="44"/>
      <c r="M554" s="44"/>
      <c r="N554" s="44"/>
      <c r="O554" s="44"/>
      <c r="P554" s="44"/>
      <c r="Q554" s="44"/>
      <c r="R554" s="44"/>
      <c r="S554" s="44"/>
      <c r="T554" s="44"/>
      <c r="U554" s="44"/>
      <c r="V554" s="44"/>
      <c r="W554" s="44"/>
      <c r="X554" s="44"/>
      <c r="Y554" s="44"/>
      <c r="Z554" s="44"/>
      <c r="AA554" s="44"/>
      <c r="AB554" s="44"/>
    </row>
    <row r="555">
      <c r="A555" s="51"/>
      <c r="B555" s="43"/>
      <c r="C555" s="74"/>
      <c r="D555" s="75"/>
      <c r="E555" s="76"/>
      <c r="F555" s="76"/>
      <c r="G555" s="76"/>
      <c r="H555" s="76"/>
      <c r="I555" s="76"/>
      <c r="J555" s="43"/>
      <c r="K555" s="44"/>
      <c r="L555" s="44"/>
      <c r="M555" s="44"/>
      <c r="N555" s="44"/>
      <c r="O555" s="44"/>
      <c r="P555" s="44"/>
      <c r="Q555" s="44"/>
      <c r="R555" s="44"/>
      <c r="S555" s="44"/>
      <c r="T555" s="44"/>
      <c r="U555" s="44"/>
      <c r="V555" s="44"/>
      <c r="W555" s="44"/>
      <c r="X555" s="44"/>
      <c r="Y555" s="44"/>
      <c r="Z555" s="44"/>
      <c r="AA555" s="44"/>
      <c r="AB555" s="44"/>
    </row>
    <row r="556">
      <c r="A556" s="51"/>
      <c r="B556" s="43"/>
      <c r="C556" s="74"/>
      <c r="D556" s="75"/>
      <c r="E556" s="76"/>
      <c r="F556" s="76"/>
      <c r="G556" s="76"/>
      <c r="H556" s="76"/>
      <c r="I556" s="76"/>
      <c r="J556" s="43"/>
      <c r="K556" s="44"/>
      <c r="L556" s="44"/>
      <c r="M556" s="44"/>
      <c r="N556" s="44"/>
      <c r="O556" s="44"/>
      <c r="P556" s="44"/>
      <c r="Q556" s="44"/>
      <c r="R556" s="44"/>
      <c r="S556" s="44"/>
      <c r="T556" s="44"/>
      <c r="U556" s="44"/>
      <c r="V556" s="44"/>
      <c r="W556" s="44"/>
      <c r="X556" s="44"/>
      <c r="Y556" s="44"/>
      <c r="Z556" s="44"/>
      <c r="AA556" s="44"/>
      <c r="AB556" s="44"/>
    </row>
    <row r="557">
      <c r="A557" s="51"/>
      <c r="B557" s="43"/>
      <c r="C557" s="74"/>
      <c r="D557" s="75"/>
      <c r="E557" s="76"/>
      <c r="F557" s="76"/>
      <c r="G557" s="76"/>
      <c r="H557" s="76"/>
      <c r="I557" s="76"/>
      <c r="J557" s="43"/>
      <c r="K557" s="44"/>
      <c r="L557" s="44"/>
      <c r="M557" s="44"/>
      <c r="N557" s="44"/>
      <c r="O557" s="44"/>
      <c r="P557" s="44"/>
      <c r="Q557" s="44"/>
      <c r="R557" s="44"/>
      <c r="S557" s="44"/>
      <c r="T557" s="44"/>
      <c r="U557" s="44"/>
      <c r="V557" s="44"/>
      <c r="W557" s="44"/>
      <c r="X557" s="44"/>
      <c r="Y557" s="44"/>
      <c r="Z557" s="44"/>
      <c r="AA557" s="44"/>
      <c r="AB557" s="44"/>
    </row>
    <row r="558">
      <c r="A558" s="51"/>
      <c r="B558" s="43"/>
      <c r="C558" s="74"/>
      <c r="D558" s="75"/>
      <c r="E558" s="76"/>
      <c r="F558" s="76"/>
      <c r="G558" s="76"/>
      <c r="H558" s="76"/>
      <c r="I558" s="76"/>
      <c r="J558" s="43"/>
      <c r="K558" s="44"/>
      <c r="L558" s="44"/>
      <c r="M558" s="44"/>
      <c r="N558" s="44"/>
      <c r="O558" s="44"/>
      <c r="P558" s="44"/>
      <c r="Q558" s="44"/>
      <c r="R558" s="44"/>
      <c r="S558" s="44"/>
      <c r="T558" s="44"/>
      <c r="U558" s="44"/>
      <c r="V558" s="44"/>
      <c r="W558" s="44"/>
      <c r="X558" s="44"/>
      <c r="Y558" s="44"/>
      <c r="Z558" s="44"/>
      <c r="AA558" s="44"/>
      <c r="AB558" s="44"/>
    </row>
    <row r="559">
      <c r="A559" s="51"/>
      <c r="B559" s="43"/>
      <c r="C559" s="74"/>
      <c r="D559" s="75"/>
      <c r="E559" s="76"/>
      <c r="F559" s="76"/>
      <c r="G559" s="76"/>
      <c r="H559" s="76"/>
      <c r="I559" s="76"/>
      <c r="J559" s="43"/>
      <c r="K559" s="44"/>
      <c r="L559" s="44"/>
      <c r="M559" s="44"/>
      <c r="N559" s="44"/>
      <c r="O559" s="44"/>
      <c r="P559" s="44"/>
      <c r="Q559" s="44"/>
      <c r="R559" s="44"/>
      <c r="S559" s="44"/>
      <c r="T559" s="44"/>
      <c r="U559" s="44"/>
      <c r="V559" s="44"/>
      <c r="W559" s="44"/>
      <c r="X559" s="44"/>
      <c r="Y559" s="44"/>
      <c r="Z559" s="44"/>
      <c r="AA559" s="44"/>
      <c r="AB559" s="44"/>
    </row>
    <row r="560">
      <c r="A560" s="51"/>
      <c r="B560" s="43"/>
      <c r="C560" s="74"/>
      <c r="D560" s="75"/>
      <c r="E560" s="76"/>
      <c r="F560" s="76"/>
      <c r="G560" s="76"/>
      <c r="H560" s="76"/>
      <c r="I560" s="76"/>
      <c r="J560" s="43"/>
      <c r="K560" s="44"/>
      <c r="L560" s="44"/>
      <c r="M560" s="44"/>
      <c r="N560" s="44"/>
      <c r="O560" s="44"/>
      <c r="P560" s="44"/>
      <c r="Q560" s="44"/>
      <c r="R560" s="44"/>
      <c r="S560" s="44"/>
      <c r="T560" s="44"/>
      <c r="U560" s="44"/>
      <c r="V560" s="44"/>
      <c r="W560" s="44"/>
      <c r="X560" s="44"/>
      <c r="Y560" s="44"/>
      <c r="Z560" s="44"/>
      <c r="AA560" s="44"/>
      <c r="AB560" s="44"/>
    </row>
    <row r="561">
      <c r="A561" s="51"/>
      <c r="B561" s="43"/>
      <c r="C561" s="74"/>
      <c r="D561" s="75"/>
      <c r="E561" s="76"/>
      <c r="F561" s="76"/>
      <c r="G561" s="76"/>
      <c r="H561" s="76"/>
      <c r="I561" s="76"/>
      <c r="J561" s="43"/>
      <c r="K561" s="44"/>
      <c r="L561" s="44"/>
      <c r="M561" s="44"/>
      <c r="N561" s="44"/>
      <c r="O561" s="44"/>
      <c r="P561" s="44"/>
      <c r="Q561" s="44"/>
      <c r="R561" s="44"/>
      <c r="S561" s="44"/>
      <c r="T561" s="44"/>
      <c r="U561" s="44"/>
      <c r="V561" s="44"/>
      <c r="W561" s="44"/>
      <c r="X561" s="44"/>
      <c r="Y561" s="44"/>
      <c r="Z561" s="44"/>
      <c r="AA561" s="44"/>
      <c r="AB561" s="44"/>
    </row>
    <row r="562">
      <c r="A562" s="51"/>
      <c r="B562" s="43"/>
      <c r="C562" s="74"/>
      <c r="D562" s="75"/>
      <c r="E562" s="76"/>
      <c r="F562" s="76"/>
      <c r="G562" s="76"/>
      <c r="H562" s="76"/>
      <c r="I562" s="76"/>
      <c r="J562" s="43"/>
      <c r="K562" s="44"/>
      <c r="L562" s="44"/>
      <c r="M562" s="44"/>
      <c r="N562" s="44"/>
      <c r="O562" s="44"/>
      <c r="P562" s="44"/>
      <c r="Q562" s="44"/>
      <c r="R562" s="44"/>
      <c r="S562" s="44"/>
      <c r="T562" s="44"/>
      <c r="U562" s="44"/>
      <c r="V562" s="44"/>
      <c r="W562" s="44"/>
      <c r="X562" s="44"/>
      <c r="Y562" s="44"/>
      <c r="Z562" s="44"/>
      <c r="AA562" s="44"/>
      <c r="AB562" s="44"/>
    </row>
    <row r="563">
      <c r="A563" s="51"/>
      <c r="B563" s="43"/>
      <c r="C563" s="74"/>
      <c r="D563" s="75"/>
      <c r="E563" s="76"/>
      <c r="F563" s="76"/>
      <c r="G563" s="76"/>
      <c r="H563" s="76"/>
      <c r="I563" s="76"/>
      <c r="J563" s="43"/>
      <c r="K563" s="44"/>
      <c r="L563" s="44"/>
      <c r="M563" s="44"/>
      <c r="N563" s="44"/>
      <c r="O563" s="44"/>
      <c r="P563" s="44"/>
      <c r="Q563" s="44"/>
      <c r="R563" s="44"/>
      <c r="S563" s="44"/>
      <c r="T563" s="44"/>
      <c r="U563" s="44"/>
      <c r="V563" s="44"/>
      <c r="W563" s="44"/>
      <c r="X563" s="44"/>
      <c r="Y563" s="44"/>
      <c r="Z563" s="44"/>
      <c r="AA563" s="44"/>
      <c r="AB563" s="44"/>
    </row>
    <row r="564">
      <c r="A564" s="51"/>
      <c r="B564" s="43"/>
      <c r="C564" s="74"/>
      <c r="D564" s="75"/>
      <c r="E564" s="76"/>
      <c r="F564" s="76"/>
      <c r="G564" s="76"/>
      <c r="H564" s="76"/>
      <c r="I564" s="76"/>
      <c r="J564" s="43"/>
      <c r="K564" s="44"/>
      <c r="L564" s="44"/>
      <c r="M564" s="44"/>
      <c r="N564" s="44"/>
      <c r="O564" s="44"/>
      <c r="P564" s="44"/>
      <c r="Q564" s="44"/>
      <c r="R564" s="44"/>
      <c r="S564" s="44"/>
      <c r="T564" s="44"/>
      <c r="U564" s="44"/>
      <c r="V564" s="44"/>
      <c r="W564" s="44"/>
      <c r="X564" s="44"/>
      <c r="Y564" s="44"/>
      <c r="Z564" s="44"/>
      <c r="AA564" s="44"/>
      <c r="AB564" s="44"/>
    </row>
    <row r="565">
      <c r="A565" s="51"/>
      <c r="B565" s="43"/>
      <c r="C565" s="74"/>
      <c r="D565" s="75"/>
      <c r="E565" s="76"/>
      <c r="F565" s="76"/>
      <c r="G565" s="76"/>
      <c r="H565" s="76"/>
      <c r="I565" s="76"/>
      <c r="J565" s="43"/>
      <c r="K565" s="44"/>
      <c r="L565" s="44"/>
      <c r="M565" s="44"/>
      <c r="N565" s="44"/>
      <c r="O565" s="44"/>
      <c r="P565" s="44"/>
      <c r="Q565" s="44"/>
      <c r="R565" s="44"/>
      <c r="S565" s="44"/>
      <c r="T565" s="44"/>
      <c r="U565" s="44"/>
      <c r="V565" s="44"/>
      <c r="W565" s="44"/>
      <c r="X565" s="44"/>
      <c r="Y565" s="44"/>
      <c r="Z565" s="44"/>
      <c r="AA565" s="44"/>
      <c r="AB565" s="44"/>
    </row>
    <row r="566">
      <c r="A566" s="51"/>
      <c r="B566" s="43"/>
      <c r="C566" s="74"/>
      <c r="D566" s="75"/>
      <c r="E566" s="76"/>
      <c r="F566" s="76"/>
      <c r="G566" s="76"/>
      <c r="H566" s="76"/>
      <c r="I566" s="76"/>
      <c r="J566" s="43"/>
      <c r="K566" s="44"/>
      <c r="L566" s="44"/>
      <c r="M566" s="44"/>
      <c r="N566" s="44"/>
      <c r="O566" s="44"/>
      <c r="P566" s="44"/>
      <c r="Q566" s="44"/>
      <c r="R566" s="44"/>
      <c r="S566" s="44"/>
      <c r="T566" s="44"/>
      <c r="U566" s="44"/>
      <c r="V566" s="44"/>
      <c r="W566" s="44"/>
      <c r="X566" s="44"/>
      <c r="Y566" s="44"/>
      <c r="Z566" s="44"/>
      <c r="AA566" s="44"/>
      <c r="AB566" s="44"/>
    </row>
    <row r="567">
      <c r="A567" s="51"/>
      <c r="B567" s="43"/>
      <c r="C567" s="74"/>
      <c r="D567" s="75"/>
      <c r="E567" s="76"/>
      <c r="F567" s="76"/>
      <c r="G567" s="76"/>
      <c r="H567" s="76"/>
      <c r="I567" s="76"/>
      <c r="J567" s="43"/>
      <c r="K567" s="44"/>
      <c r="L567" s="44"/>
      <c r="M567" s="44"/>
      <c r="N567" s="44"/>
      <c r="O567" s="44"/>
      <c r="P567" s="44"/>
      <c r="Q567" s="44"/>
      <c r="R567" s="44"/>
      <c r="S567" s="44"/>
      <c r="T567" s="44"/>
      <c r="U567" s="44"/>
      <c r="V567" s="44"/>
      <c r="W567" s="44"/>
      <c r="X567" s="44"/>
      <c r="Y567" s="44"/>
      <c r="Z567" s="44"/>
      <c r="AA567" s="44"/>
      <c r="AB567" s="44"/>
    </row>
    <row r="568">
      <c r="A568" s="51"/>
      <c r="B568" s="43"/>
      <c r="C568" s="74"/>
      <c r="D568" s="75"/>
      <c r="E568" s="76"/>
      <c r="F568" s="76"/>
      <c r="G568" s="76"/>
      <c r="H568" s="76"/>
      <c r="I568" s="76"/>
      <c r="J568" s="43"/>
      <c r="K568" s="44"/>
      <c r="L568" s="44"/>
      <c r="M568" s="44"/>
      <c r="N568" s="44"/>
      <c r="O568" s="44"/>
      <c r="P568" s="44"/>
      <c r="Q568" s="44"/>
      <c r="R568" s="44"/>
      <c r="S568" s="44"/>
      <c r="T568" s="44"/>
      <c r="U568" s="44"/>
      <c r="V568" s="44"/>
      <c r="W568" s="44"/>
      <c r="X568" s="44"/>
      <c r="Y568" s="44"/>
      <c r="Z568" s="44"/>
      <c r="AA568" s="44"/>
      <c r="AB568" s="44"/>
    </row>
    <row r="569">
      <c r="A569" s="51"/>
      <c r="B569" s="43"/>
      <c r="C569" s="74"/>
      <c r="D569" s="75"/>
      <c r="E569" s="76"/>
      <c r="F569" s="76"/>
      <c r="G569" s="76"/>
      <c r="H569" s="76"/>
      <c r="I569" s="76"/>
      <c r="J569" s="43"/>
      <c r="K569" s="44"/>
      <c r="L569" s="44"/>
      <c r="M569" s="44"/>
      <c r="N569" s="44"/>
      <c r="O569" s="44"/>
      <c r="P569" s="44"/>
      <c r="Q569" s="44"/>
      <c r="R569" s="44"/>
      <c r="S569" s="44"/>
      <c r="T569" s="44"/>
      <c r="U569" s="44"/>
      <c r="V569" s="44"/>
      <c r="W569" s="44"/>
      <c r="X569" s="44"/>
      <c r="Y569" s="44"/>
      <c r="Z569" s="44"/>
      <c r="AA569" s="44"/>
      <c r="AB569" s="44"/>
    </row>
    <row r="570">
      <c r="A570" s="51"/>
      <c r="B570" s="43"/>
      <c r="C570" s="74"/>
      <c r="D570" s="75"/>
      <c r="E570" s="76"/>
      <c r="F570" s="76"/>
      <c r="G570" s="76"/>
      <c r="H570" s="76"/>
      <c r="I570" s="76"/>
      <c r="J570" s="43"/>
      <c r="K570" s="44"/>
      <c r="L570" s="44"/>
      <c r="M570" s="44"/>
      <c r="N570" s="44"/>
      <c r="O570" s="44"/>
      <c r="P570" s="44"/>
      <c r="Q570" s="44"/>
      <c r="R570" s="44"/>
      <c r="S570" s="44"/>
      <c r="T570" s="44"/>
      <c r="U570" s="44"/>
      <c r="V570" s="44"/>
      <c r="W570" s="44"/>
      <c r="X570" s="44"/>
      <c r="Y570" s="44"/>
      <c r="Z570" s="44"/>
      <c r="AA570" s="44"/>
      <c r="AB570" s="44"/>
    </row>
    <row r="571">
      <c r="A571" s="51"/>
      <c r="B571" s="43"/>
      <c r="C571" s="74"/>
      <c r="D571" s="75"/>
      <c r="E571" s="76"/>
      <c r="F571" s="76"/>
      <c r="G571" s="76"/>
      <c r="H571" s="76"/>
      <c r="I571" s="76"/>
      <c r="J571" s="43"/>
      <c r="K571" s="44"/>
      <c r="L571" s="44"/>
      <c r="M571" s="44"/>
      <c r="N571" s="44"/>
      <c r="O571" s="44"/>
      <c r="P571" s="44"/>
      <c r="Q571" s="44"/>
      <c r="R571" s="44"/>
      <c r="S571" s="44"/>
      <c r="T571" s="44"/>
      <c r="U571" s="44"/>
      <c r="V571" s="44"/>
      <c r="W571" s="44"/>
      <c r="X571" s="44"/>
      <c r="Y571" s="44"/>
      <c r="Z571" s="44"/>
      <c r="AA571" s="44"/>
      <c r="AB571" s="44"/>
    </row>
    <row r="572">
      <c r="A572" s="51"/>
      <c r="B572" s="43"/>
      <c r="C572" s="74"/>
      <c r="D572" s="75"/>
      <c r="E572" s="76"/>
      <c r="F572" s="76"/>
      <c r="G572" s="76"/>
      <c r="H572" s="76"/>
      <c r="I572" s="76"/>
      <c r="J572" s="43"/>
      <c r="K572" s="44"/>
      <c r="L572" s="44"/>
      <c r="M572" s="44"/>
      <c r="N572" s="44"/>
      <c r="O572" s="44"/>
      <c r="P572" s="44"/>
      <c r="Q572" s="44"/>
      <c r="R572" s="44"/>
      <c r="S572" s="44"/>
      <c r="T572" s="44"/>
      <c r="U572" s="44"/>
      <c r="V572" s="44"/>
      <c r="W572" s="44"/>
      <c r="X572" s="44"/>
      <c r="Y572" s="44"/>
      <c r="Z572" s="44"/>
      <c r="AA572" s="44"/>
      <c r="AB572" s="44"/>
    </row>
    <row r="573">
      <c r="A573" s="51"/>
      <c r="B573" s="43"/>
      <c r="C573" s="74"/>
      <c r="D573" s="75"/>
      <c r="E573" s="76"/>
      <c r="F573" s="76"/>
      <c r="G573" s="76"/>
      <c r="H573" s="76"/>
      <c r="I573" s="76"/>
      <c r="J573" s="43"/>
      <c r="K573" s="44"/>
      <c r="L573" s="44"/>
      <c r="M573" s="44"/>
      <c r="N573" s="44"/>
      <c r="O573" s="44"/>
      <c r="P573" s="44"/>
      <c r="Q573" s="44"/>
      <c r="R573" s="44"/>
      <c r="S573" s="44"/>
      <c r="T573" s="44"/>
      <c r="U573" s="44"/>
      <c r="V573" s="44"/>
      <c r="W573" s="44"/>
      <c r="X573" s="44"/>
      <c r="Y573" s="44"/>
      <c r="Z573" s="44"/>
      <c r="AA573" s="44"/>
      <c r="AB573" s="44"/>
    </row>
    <row r="574">
      <c r="A574" s="51"/>
      <c r="B574" s="43"/>
      <c r="C574" s="74"/>
      <c r="D574" s="75"/>
      <c r="E574" s="76"/>
      <c r="F574" s="76"/>
      <c r="G574" s="76"/>
      <c r="H574" s="76"/>
      <c r="I574" s="76"/>
      <c r="J574" s="43"/>
      <c r="K574" s="44"/>
      <c r="L574" s="44"/>
      <c r="M574" s="44"/>
      <c r="N574" s="44"/>
      <c r="O574" s="44"/>
      <c r="P574" s="44"/>
      <c r="Q574" s="44"/>
      <c r="R574" s="44"/>
      <c r="S574" s="44"/>
      <c r="T574" s="44"/>
      <c r="U574" s="44"/>
      <c r="V574" s="44"/>
      <c r="W574" s="44"/>
      <c r="X574" s="44"/>
      <c r="Y574" s="44"/>
      <c r="Z574" s="44"/>
      <c r="AA574" s="44"/>
      <c r="AB574" s="44"/>
    </row>
    <row r="575">
      <c r="A575" s="51"/>
      <c r="B575" s="43"/>
      <c r="C575" s="74"/>
      <c r="D575" s="75"/>
      <c r="E575" s="76"/>
      <c r="F575" s="76"/>
      <c r="G575" s="76"/>
      <c r="H575" s="76"/>
      <c r="I575" s="76"/>
      <c r="J575" s="43"/>
      <c r="K575" s="44"/>
      <c r="L575" s="44"/>
      <c r="M575" s="44"/>
      <c r="N575" s="44"/>
      <c r="O575" s="44"/>
      <c r="P575" s="44"/>
      <c r="Q575" s="44"/>
      <c r="R575" s="44"/>
      <c r="S575" s="44"/>
      <c r="T575" s="44"/>
      <c r="U575" s="44"/>
      <c r="V575" s="44"/>
      <c r="W575" s="44"/>
      <c r="X575" s="44"/>
      <c r="Y575" s="44"/>
      <c r="Z575" s="44"/>
      <c r="AA575" s="44"/>
      <c r="AB575" s="44"/>
    </row>
    <row r="576">
      <c r="A576" s="51"/>
      <c r="B576" s="43"/>
      <c r="C576" s="74"/>
      <c r="D576" s="75"/>
      <c r="E576" s="76"/>
      <c r="F576" s="76"/>
      <c r="G576" s="76"/>
      <c r="H576" s="76"/>
      <c r="I576" s="76"/>
      <c r="J576" s="43"/>
      <c r="K576" s="44"/>
      <c r="L576" s="44"/>
      <c r="M576" s="44"/>
      <c r="N576" s="44"/>
      <c r="O576" s="44"/>
      <c r="P576" s="44"/>
      <c r="Q576" s="44"/>
      <c r="R576" s="44"/>
      <c r="S576" s="44"/>
      <c r="T576" s="44"/>
      <c r="U576" s="44"/>
      <c r="V576" s="44"/>
      <c r="W576" s="44"/>
      <c r="X576" s="44"/>
      <c r="Y576" s="44"/>
      <c r="Z576" s="44"/>
      <c r="AA576" s="44"/>
      <c r="AB576" s="44"/>
    </row>
    <row r="577">
      <c r="A577" s="51"/>
      <c r="B577" s="43"/>
      <c r="C577" s="74"/>
      <c r="D577" s="75"/>
      <c r="E577" s="76"/>
      <c r="F577" s="76"/>
      <c r="G577" s="76"/>
      <c r="H577" s="76"/>
      <c r="I577" s="76"/>
      <c r="J577" s="43"/>
      <c r="K577" s="44"/>
      <c r="L577" s="44"/>
      <c r="M577" s="44"/>
      <c r="N577" s="44"/>
      <c r="O577" s="44"/>
      <c r="P577" s="44"/>
      <c r="Q577" s="44"/>
      <c r="R577" s="44"/>
      <c r="S577" s="44"/>
      <c r="T577" s="44"/>
      <c r="U577" s="44"/>
      <c r="V577" s="44"/>
      <c r="W577" s="44"/>
      <c r="X577" s="44"/>
      <c r="Y577" s="44"/>
      <c r="Z577" s="44"/>
      <c r="AA577" s="44"/>
      <c r="AB577" s="44"/>
    </row>
    <row r="578">
      <c r="A578" s="51"/>
      <c r="B578" s="43"/>
      <c r="C578" s="74"/>
      <c r="D578" s="75"/>
      <c r="E578" s="76"/>
      <c r="F578" s="76"/>
      <c r="G578" s="76"/>
      <c r="H578" s="76"/>
      <c r="I578" s="76"/>
      <c r="J578" s="43"/>
      <c r="K578" s="44"/>
      <c r="L578" s="44"/>
      <c r="M578" s="44"/>
      <c r="N578" s="44"/>
      <c r="O578" s="44"/>
      <c r="P578" s="44"/>
      <c r="Q578" s="44"/>
      <c r="R578" s="44"/>
      <c r="S578" s="44"/>
      <c r="T578" s="44"/>
      <c r="U578" s="44"/>
      <c r="V578" s="44"/>
      <c r="W578" s="44"/>
      <c r="X578" s="44"/>
      <c r="Y578" s="44"/>
      <c r="Z578" s="44"/>
      <c r="AA578" s="44"/>
      <c r="AB578" s="44"/>
    </row>
    <row r="579">
      <c r="A579" s="51"/>
      <c r="B579" s="43"/>
      <c r="C579" s="74"/>
      <c r="D579" s="75"/>
      <c r="E579" s="76"/>
      <c r="F579" s="76"/>
      <c r="G579" s="76"/>
      <c r="H579" s="76"/>
      <c r="I579" s="76"/>
      <c r="J579" s="43"/>
      <c r="K579" s="44"/>
      <c r="L579" s="44"/>
      <c r="M579" s="44"/>
      <c r="N579" s="44"/>
      <c r="O579" s="44"/>
      <c r="P579" s="44"/>
      <c r="Q579" s="44"/>
      <c r="R579" s="44"/>
      <c r="S579" s="44"/>
      <c r="T579" s="44"/>
      <c r="U579" s="44"/>
      <c r="V579" s="44"/>
      <c r="W579" s="44"/>
      <c r="X579" s="44"/>
      <c r="Y579" s="44"/>
      <c r="Z579" s="44"/>
      <c r="AA579" s="44"/>
      <c r="AB579" s="44"/>
    </row>
    <row r="580">
      <c r="A580" s="51"/>
      <c r="B580" s="43"/>
      <c r="C580" s="74"/>
      <c r="D580" s="75"/>
      <c r="E580" s="76"/>
      <c r="F580" s="76"/>
      <c r="G580" s="76"/>
      <c r="H580" s="76"/>
      <c r="I580" s="76"/>
      <c r="J580" s="43"/>
      <c r="K580" s="44"/>
      <c r="L580" s="44"/>
      <c r="M580" s="44"/>
      <c r="N580" s="44"/>
      <c r="O580" s="44"/>
      <c r="P580" s="44"/>
      <c r="Q580" s="44"/>
      <c r="R580" s="44"/>
      <c r="S580" s="44"/>
      <c r="T580" s="44"/>
      <c r="U580" s="44"/>
      <c r="V580" s="44"/>
      <c r="W580" s="44"/>
      <c r="X580" s="44"/>
      <c r="Y580" s="44"/>
      <c r="Z580" s="44"/>
      <c r="AA580" s="44"/>
      <c r="AB580" s="44"/>
    </row>
    <row r="581">
      <c r="A581" s="51"/>
      <c r="B581" s="43"/>
      <c r="C581" s="74"/>
      <c r="D581" s="75"/>
      <c r="E581" s="76"/>
      <c r="F581" s="76"/>
      <c r="G581" s="76"/>
      <c r="H581" s="76"/>
      <c r="I581" s="76"/>
      <c r="J581" s="43"/>
      <c r="K581" s="44"/>
      <c r="L581" s="44"/>
      <c r="M581" s="44"/>
      <c r="N581" s="44"/>
      <c r="O581" s="44"/>
      <c r="P581" s="44"/>
      <c r="Q581" s="44"/>
      <c r="R581" s="44"/>
      <c r="S581" s="44"/>
      <c r="T581" s="44"/>
      <c r="U581" s="44"/>
      <c r="V581" s="44"/>
      <c r="W581" s="44"/>
      <c r="X581" s="44"/>
      <c r="Y581" s="44"/>
      <c r="Z581" s="44"/>
      <c r="AA581" s="44"/>
      <c r="AB581" s="44"/>
    </row>
    <row r="582">
      <c r="A582" s="51"/>
      <c r="B582" s="43"/>
      <c r="C582" s="74"/>
      <c r="D582" s="75"/>
      <c r="E582" s="76"/>
      <c r="F582" s="76"/>
      <c r="G582" s="76"/>
      <c r="H582" s="76"/>
      <c r="I582" s="76"/>
      <c r="J582" s="43"/>
      <c r="K582" s="44"/>
      <c r="L582" s="44"/>
      <c r="M582" s="44"/>
      <c r="N582" s="44"/>
      <c r="O582" s="44"/>
      <c r="P582" s="44"/>
      <c r="Q582" s="44"/>
      <c r="R582" s="44"/>
      <c r="S582" s="44"/>
      <c r="T582" s="44"/>
      <c r="U582" s="44"/>
      <c r="V582" s="44"/>
      <c r="W582" s="44"/>
      <c r="X582" s="44"/>
      <c r="Y582" s="44"/>
      <c r="Z582" s="44"/>
      <c r="AA582" s="44"/>
      <c r="AB582" s="44"/>
    </row>
    <row r="583">
      <c r="A583" s="51"/>
      <c r="B583" s="43"/>
      <c r="C583" s="74"/>
      <c r="D583" s="75"/>
      <c r="E583" s="76"/>
      <c r="F583" s="76"/>
      <c r="G583" s="76"/>
      <c r="H583" s="76"/>
      <c r="I583" s="76"/>
      <c r="J583" s="43"/>
      <c r="K583" s="44"/>
      <c r="L583" s="44"/>
      <c r="M583" s="44"/>
      <c r="N583" s="44"/>
      <c r="O583" s="44"/>
      <c r="P583" s="44"/>
      <c r="Q583" s="44"/>
      <c r="R583" s="44"/>
      <c r="S583" s="44"/>
      <c r="T583" s="44"/>
      <c r="U583" s="44"/>
      <c r="V583" s="44"/>
      <c r="W583" s="44"/>
      <c r="X583" s="44"/>
      <c r="Y583" s="44"/>
      <c r="Z583" s="44"/>
      <c r="AA583" s="44"/>
      <c r="AB583" s="44"/>
    </row>
    <row r="584">
      <c r="A584" s="51"/>
      <c r="B584" s="43"/>
      <c r="C584" s="74"/>
      <c r="D584" s="75"/>
      <c r="E584" s="76"/>
      <c r="F584" s="76"/>
      <c r="G584" s="76"/>
      <c r="H584" s="76"/>
      <c r="I584" s="76"/>
      <c r="J584" s="43"/>
      <c r="K584" s="44"/>
      <c r="L584" s="44"/>
      <c r="M584" s="44"/>
      <c r="N584" s="44"/>
      <c r="O584" s="44"/>
      <c r="P584" s="44"/>
      <c r="Q584" s="44"/>
      <c r="R584" s="44"/>
      <c r="S584" s="44"/>
      <c r="T584" s="44"/>
      <c r="U584" s="44"/>
      <c r="V584" s="44"/>
      <c r="W584" s="44"/>
      <c r="X584" s="44"/>
      <c r="Y584" s="44"/>
      <c r="Z584" s="44"/>
      <c r="AA584" s="44"/>
      <c r="AB584" s="44"/>
    </row>
    <row r="585">
      <c r="A585" s="51"/>
      <c r="B585" s="43"/>
      <c r="C585" s="74"/>
      <c r="D585" s="75"/>
      <c r="E585" s="76"/>
      <c r="F585" s="76"/>
      <c r="G585" s="76"/>
      <c r="H585" s="76"/>
      <c r="I585" s="76"/>
      <c r="J585" s="43"/>
      <c r="K585" s="44"/>
      <c r="L585" s="44"/>
      <c r="M585" s="44"/>
      <c r="N585" s="44"/>
      <c r="O585" s="44"/>
      <c r="P585" s="44"/>
      <c r="Q585" s="44"/>
      <c r="R585" s="44"/>
      <c r="S585" s="44"/>
      <c r="T585" s="44"/>
      <c r="U585" s="44"/>
      <c r="V585" s="44"/>
      <c r="W585" s="44"/>
      <c r="X585" s="44"/>
      <c r="Y585" s="44"/>
      <c r="Z585" s="44"/>
      <c r="AA585" s="44"/>
      <c r="AB585" s="44"/>
    </row>
    <row r="586">
      <c r="A586" s="51"/>
      <c r="B586" s="43"/>
      <c r="C586" s="74"/>
      <c r="D586" s="75"/>
      <c r="E586" s="76"/>
      <c r="F586" s="76"/>
      <c r="G586" s="76"/>
      <c r="H586" s="76"/>
      <c r="I586" s="76"/>
      <c r="J586" s="43"/>
      <c r="K586" s="44"/>
      <c r="L586" s="44"/>
      <c r="M586" s="44"/>
      <c r="N586" s="44"/>
      <c r="O586" s="44"/>
      <c r="P586" s="44"/>
      <c r="Q586" s="44"/>
      <c r="R586" s="44"/>
      <c r="S586" s="44"/>
      <c r="T586" s="44"/>
      <c r="U586" s="44"/>
      <c r="V586" s="44"/>
      <c r="W586" s="44"/>
      <c r="X586" s="44"/>
      <c r="Y586" s="44"/>
      <c r="Z586" s="44"/>
      <c r="AA586" s="44"/>
      <c r="AB586" s="44"/>
    </row>
    <row r="587">
      <c r="A587" s="51"/>
      <c r="B587" s="43"/>
      <c r="C587" s="74"/>
      <c r="D587" s="75"/>
      <c r="E587" s="76"/>
      <c r="F587" s="76"/>
      <c r="G587" s="76"/>
      <c r="H587" s="76"/>
      <c r="I587" s="76"/>
      <c r="J587" s="43"/>
      <c r="K587" s="44"/>
      <c r="L587" s="44"/>
      <c r="M587" s="44"/>
      <c r="N587" s="44"/>
      <c r="O587" s="44"/>
      <c r="P587" s="44"/>
      <c r="Q587" s="44"/>
      <c r="R587" s="44"/>
      <c r="S587" s="44"/>
      <c r="T587" s="44"/>
      <c r="U587" s="44"/>
      <c r="V587" s="44"/>
      <c r="W587" s="44"/>
      <c r="X587" s="44"/>
      <c r="Y587" s="44"/>
      <c r="Z587" s="44"/>
      <c r="AA587" s="44"/>
      <c r="AB587" s="44"/>
    </row>
    <row r="588">
      <c r="A588" s="51"/>
      <c r="B588" s="43"/>
      <c r="C588" s="74"/>
      <c r="D588" s="75"/>
      <c r="E588" s="76"/>
      <c r="F588" s="76"/>
      <c r="G588" s="76"/>
      <c r="H588" s="76"/>
      <c r="I588" s="76"/>
      <c r="J588" s="43"/>
      <c r="K588" s="44"/>
      <c r="L588" s="44"/>
      <c r="M588" s="44"/>
      <c r="N588" s="44"/>
      <c r="O588" s="44"/>
      <c r="P588" s="44"/>
      <c r="Q588" s="44"/>
      <c r="R588" s="44"/>
      <c r="S588" s="44"/>
      <c r="T588" s="44"/>
      <c r="U588" s="44"/>
      <c r="V588" s="44"/>
      <c r="W588" s="44"/>
      <c r="X588" s="44"/>
      <c r="Y588" s="44"/>
      <c r="Z588" s="44"/>
      <c r="AA588" s="44"/>
      <c r="AB588" s="44"/>
    </row>
    <row r="589">
      <c r="A589" s="51"/>
      <c r="B589" s="43"/>
      <c r="C589" s="74"/>
      <c r="D589" s="75"/>
      <c r="E589" s="76"/>
      <c r="F589" s="76"/>
      <c r="G589" s="76"/>
      <c r="H589" s="76"/>
      <c r="I589" s="76"/>
      <c r="J589" s="43"/>
      <c r="K589" s="44"/>
      <c r="L589" s="44"/>
      <c r="M589" s="44"/>
      <c r="N589" s="44"/>
      <c r="O589" s="44"/>
      <c r="P589" s="44"/>
      <c r="Q589" s="44"/>
      <c r="R589" s="44"/>
      <c r="S589" s="44"/>
      <c r="T589" s="44"/>
      <c r="U589" s="44"/>
      <c r="V589" s="44"/>
      <c r="W589" s="44"/>
      <c r="X589" s="44"/>
      <c r="Y589" s="44"/>
      <c r="Z589" s="44"/>
      <c r="AA589" s="44"/>
      <c r="AB589" s="44"/>
    </row>
    <row r="590">
      <c r="A590" s="51"/>
      <c r="B590" s="43"/>
      <c r="C590" s="74"/>
      <c r="D590" s="75"/>
      <c r="E590" s="76"/>
      <c r="F590" s="76"/>
      <c r="G590" s="76"/>
      <c r="H590" s="76"/>
      <c r="I590" s="76"/>
      <c r="J590" s="43"/>
      <c r="K590" s="44"/>
      <c r="L590" s="44"/>
      <c r="M590" s="44"/>
      <c r="N590" s="44"/>
      <c r="O590" s="44"/>
      <c r="P590" s="44"/>
      <c r="Q590" s="44"/>
      <c r="R590" s="44"/>
      <c r="S590" s="44"/>
      <c r="T590" s="44"/>
      <c r="U590" s="44"/>
      <c r="V590" s="44"/>
      <c r="W590" s="44"/>
      <c r="X590" s="44"/>
      <c r="Y590" s="44"/>
      <c r="Z590" s="44"/>
      <c r="AA590" s="44"/>
      <c r="AB590" s="44"/>
    </row>
    <row r="591">
      <c r="A591" s="51"/>
      <c r="B591" s="43"/>
      <c r="C591" s="74"/>
      <c r="D591" s="75"/>
      <c r="E591" s="76"/>
      <c r="F591" s="76"/>
      <c r="G591" s="76"/>
      <c r="H591" s="76"/>
      <c r="I591" s="76"/>
      <c r="J591" s="43"/>
      <c r="K591" s="44"/>
      <c r="L591" s="44"/>
      <c r="M591" s="44"/>
      <c r="N591" s="44"/>
      <c r="O591" s="44"/>
      <c r="P591" s="44"/>
      <c r="Q591" s="44"/>
      <c r="R591" s="44"/>
      <c r="S591" s="44"/>
      <c r="T591" s="44"/>
      <c r="U591" s="44"/>
      <c r="V591" s="44"/>
      <c r="W591" s="44"/>
      <c r="X591" s="44"/>
      <c r="Y591" s="44"/>
      <c r="Z591" s="44"/>
      <c r="AA591" s="44"/>
      <c r="AB591" s="44"/>
    </row>
    <row r="592">
      <c r="A592" s="51"/>
      <c r="B592" s="43"/>
      <c r="C592" s="74"/>
      <c r="D592" s="75"/>
      <c r="E592" s="76"/>
      <c r="F592" s="76"/>
      <c r="G592" s="76"/>
      <c r="H592" s="76"/>
      <c r="I592" s="76"/>
      <c r="J592" s="43"/>
      <c r="K592" s="44"/>
      <c r="L592" s="44"/>
      <c r="M592" s="44"/>
      <c r="N592" s="44"/>
      <c r="O592" s="44"/>
      <c r="P592" s="44"/>
      <c r="Q592" s="44"/>
      <c r="R592" s="44"/>
      <c r="S592" s="44"/>
      <c r="T592" s="44"/>
      <c r="U592" s="44"/>
      <c r="V592" s="44"/>
      <c r="W592" s="44"/>
      <c r="X592" s="44"/>
      <c r="Y592" s="44"/>
      <c r="Z592" s="44"/>
      <c r="AA592" s="44"/>
      <c r="AB592" s="44"/>
    </row>
    <row r="593">
      <c r="A593" s="51"/>
      <c r="B593" s="43"/>
      <c r="C593" s="74"/>
      <c r="D593" s="75"/>
      <c r="E593" s="76"/>
      <c r="F593" s="76"/>
      <c r="G593" s="76"/>
      <c r="H593" s="76"/>
      <c r="I593" s="76"/>
      <c r="J593" s="43"/>
      <c r="K593" s="44"/>
      <c r="L593" s="44"/>
      <c r="M593" s="44"/>
      <c r="N593" s="44"/>
      <c r="O593" s="44"/>
      <c r="P593" s="44"/>
      <c r="Q593" s="44"/>
      <c r="R593" s="44"/>
      <c r="S593" s="44"/>
      <c r="T593" s="44"/>
      <c r="U593" s="44"/>
      <c r="V593" s="44"/>
      <c r="W593" s="44"/>
      <c r="X593" s="44"/>
      <c r="Y593" s="44"/>
      <c r="Z593" s="44"/>
      <c r="AA593" s="44"/>
      <c r="AB593" s="44"/>
    </row>
    <row r="594">
      <c r="A594" s="51"/>
      <c r="B594" s="43"/>
      <c r="C594" s="74"/>
      <c r="D594" s="75"/>
      <c r="E594" s="76"/>
      <c r="F594" s="76"/>
      <c r="G594" s="76"/>
      <c r="H594" s="76"/>
      <c r="I594" s="76"/>
      <c r="J594" s="43"/>
      <c r="K594" s="44"/>
      <c r="L594" s="44"/>
      <c r="M594" s="44"/>
      <c r="N594" s="44"/>
      <c r="O594" s="44"/>
      <c r="P594" s="44"/>
      <c r="Q594" s="44"/>
      <c r="R594" s="44"/>
      <c r="S594" s="44"/>
      <c r="T594" s="44"/>
      <c r="U594" s="44"/>
      <c r="V594" s="44"/>
      <c r="W594" s="44"/>
      <c r="X594" s="44"/>
      <c r="Y594" s="44"/>
      <c r="Z594" s="44"/>
      <c r="AA594" s="44"/>
      <c r="AB594" s="44"/>
    </row>
    <row r="595">
      <c r="A595" s="51"/>
      <c r="B595" s="43"/>
      <c r="C595" s="74"/>
      <c r="D595" s="75"/>
      <c r="E595" s="76"/>
      <c r="F595" s="76"/>
      <c r="G595" s="76"/>
      <c r="H595" s="76"/>
      <c r="I595" s="76"/>
      <c r="J595" s="43"/>
      <c r="K595" s="44"/>
      <c r="L595" s="44"/>
      <c r="M595" s="44"/>
      <c r="N595" s="44"/>
      <c r="O595" s="44"/>
      <c r="P595" s="44"/>
      <c r="Q595" s="44"/>
      <c r="R595" s="44"/>
      <c r="S595" s="44"/>
      <c r="T595" s="44"/>
      <c r="U595" s="44"/>
      <c r="V595" s="44"/>
      <c r="W595" s="44"/>
      <c r="X595" s="44"/>
      <c r="Y595" s="44"/>
      <c r="Z595" s="44"/>
      <c r="AA595" s="44"/>
      <c r="AB595" s="44"/>
    </row>
    <row r="596">
      <c r="A596" s="51"/>
      <c r="B596" s="43"/>
      <c r="C596" s="74"/>
      <c r="D596" s="75"/>
      <c r="E596" s="76"/>
      <c r="F596" s="76"/>
      <c r="G596" s="76"/>
      <c r="H596" s="76"/>
      <c r="I596" s="76"/>
      <c r="J596" s="43"/>
      <c r="K596" s="44"/>
      <c r="L596" s="44"/>
      <c r="M596" s="44"/>
      <c r="N596" s="44"/>
      <c r="O596" s="44"/>
      <c r="P596" s="44"/>
      <c r="Q596" s="44"/>
      <c r="R596" s="44"/>
      <c r="S596" s="44"/>
      <c r="T596" s="44"/>
      <c r="U596" s="44"/>
      <c r="V596" s="44"/>
      <c r="W596" s="44"/>
      <c r="X596" s="44"/>
      <c r="Y596" s="44"/>
      <c r="Z596" s="44"/>
      <c r="AA596" s="44"/>
      <c r="AB596" s="44"/>
    </row>
    <row r="597">
      <c r="A597" s="51"/>
      <c r="B597" s="43"/>
      <c r="C597" s="74"/>
      <c r="D597" s="75"/>
      <c r="E597" s="76"/>
      <c r="F597" s="76"/>
      <c r="G597" s="76"/>
      <c r="H597" s="76"/>
      <c r="I597" s="76"/>
      <c r="J597" s="43"/>
      <c r="K597" s="44"/>
      <c r="L597" s="44"/>
      <c r="M597" s="44"/>
      <c r="N597" s="44"/>
      <c r="O597" s="44"/>
      <c r="P597" s="44"/>
      <c r="Q597" s="44"/>
      <c r="R597" s="44"/>
      <c r="S597" s="44"/>
      <c r="T597" s="44"/>
      <c r="U597" s="44"/>
      <c r="V597" s="44"/>
      <c r="W597" s="44"/>
      <c r="X597" s="44"/>
      <c r="Y597" s="44"/>
      <c r="Z597" s="44"/>
      <c r="AA597" s="44"/>
      <c r="AB597" s="44"/>
    </row>
    <row r="598">
      <c r="A598" s="51"/>
      <c r="B598" s="43"/>
      <c r="C598" s="74"/>
      <c r="D598" s="75"/>
      <c r="E598" s="76"/>
      <c r="F598" s="76"/>
      <c r="G598" s="76"/>
      <c r="H598" s="76"/>
      <c r="I598" s="76"/>
      <c r="J598" s="43"/>
      <c r="K598" s="44"/>
      <c r="L598" s="44"/>
      <c r="M598" s="44"/>
      <c r="N598" s="44"/>
      <c r="O598" s="44"/>
      <c r="P598" s="44"/>
      <c r="Q598" s="44"/>
      <c r="R598" s="44"/>
      <c r="S598" s="44"/>
      <c r="T598" s="44"/>
      <c r="U598" s="44"/>
      <c r="V598" s="44"/>
      <c r="W598" s="44"/>
      <c r="X598" s="44"/>
      <c r="Y598" s="44"/>
      <c r="Z598" s="44"/>
      <c r="AA598" s="44"/>
      <c r="AB598" s="44"/>
    </row>
    <row r="599">
      <c r="A599" s="51"/>
      <c r="B599" s="43"/>
      <c r="C599" s="74"/>
      <c r="D599" s="75"/>
      <c r="E599" s="76"/>
      <c r="F599" s="76"/>
      <c r="G599" s="76"/>
      <c r="H599" s="76"/>
      <c r="I599" s="76"/>
      <c r="J599" s="43"/>
      <c r="K599" s="44"/>
      <c r="L599" s="44"/>
      <c r="M599" s="44"/>
      <c r="N599" s="44"/>
      <c r="O599" s="44"/>
      <c r="P599" s="44"/>
      <c r="Q599" s="44"/>
      <c r="R599" s="44"/>
      <c r="S599" s="44"/>
      <c r="T599" s="44"/>
      <c r="U599" s="44"/>
      <c r="V599" s="44"/>
      <c r="W599" s="44"/>
      <c r="X599" s="44"/>
      <c r="Y599" s="44"/>
      <c r="Z599" s="44"/>
      <c r="AA599" s="44"/>
      <c r="AB599" s="44"/>
    </row>
    <row r="600">
      <c r="A600" s="51"/>
      <c r="B600" s="43"/>
      <c r="C600" s="74"/>
      <c r="D600" s="75"/>
      <c r="E600" s="76"/>
      <c r="F600" s="76"/>
      <c r="G600" s="76"/>
      <c r="H600" s="76"/>
      <c r="I600" s="76"/>
      <c r="J600" s="43"/>
      <c r="K600" s="44"/>
      <c r="L600" s="44"/>
      <c r="M600" s="44"/>
      <c r="N600" s="44"/>
      <c r="O600" s="44"/>
      <c r="P600" s="44"/>
      <c r="Q600" s="44"/>
      <c r="R600" s="44"/>
      <c r="S600" s="44"/>
      <c r="T600" s="44"/>
      <c r="U600" s="44"/>
      <c r="V600" s="44"/>
      <c r="W600" s="44"/>
      <c r="X600" s="44"/>
      <c r="Y600" s="44"/>
      <c r="Z600" s="44"/>
      <c r="AA600" s="44"/>
      <c r="AB600" s="44"/>
    </row>
    <row r="601">
      <c r="A601" s="51"/>
      <c r="B601" s="43"/>
      <c r="C601" s="74"/>
      <c r="D601" s="75"/>
      <c r="E601" s="76"/>
      <c r="F601" s="76"/>
      <c r="G601" s="76"/>
      <c r="H601" s="76"/>
      <c r="I601" s="76"/>
      <c r="J601" s="43"/>
      <c r="K601" s="44"/>
      <c r="L601" s="44"/>
      <c r="M601" s="44"/>
      <c r="N601" s="44"/>
      <c r="O601" s="44"/>
      <c r="P601" s="44"/>
      <c r="Q601" s="44"/>
      <c r="R601" s="44"/>
      <c r="S601" s="44"/>
      <c r="T601" s="44"/>
      <c r="U601" s="44"/>
      <c r="V601" s="44"/>
      <c r="W601" s="44"/>
      <c r="X601" s="44"/>
      <c r="Y601" s="44"/>
      <c r="Z601" s="44"/>
      <c r="AA601" s="44"/>
      <c r="AB601" s="44"/>
    </row>
    <row r="602">
      <c r="A602" s="51"/>
      <c r="B602" s="43"/>
      <c r="C602" s="74"/>
      <c r="D602" s="75"/>
      <c r="E602" s="76"/>
      <c r="F602" s="76"/>
      <c r="G602" s="76"/>
      <c r="H602" s="76"/>
      <c r="I602" s="76"/>
      <c r="J602" s="43"/>
      <c r="K602" s="44"/>
      <c r="L602" s="44"/>
      <c r="M602" s="44"/>
      <c r="N602" s="44"/>
      <c r="O602" s="44"/>
      <c r="P602" s="44"/>
      <c r="Q602" s="44"/>
      <c r="R602" s="44"/>
      <c r="S602" s="44"/>
      <c r="T602" s="44"/>
      <c r="U602" s="44"/>
      <c r="V602" s="44"/>
      <c r="W602" s="44"/>
      <c r="X602" s="44"/>
      <c r="Y602" s="44"/>
      <c r="Z602" s="44"/>
      <c r="AA602" s="44"/>
      <c r="AB602" s="44"/>
    </row>
    <row r="603">
      <c r="A603" s="51"/>
      <c r="B603" s="43"/>
      <c r="C603" s="74"/>
      <c r="D603" s="75"/>
      <c r="E603" s="76"/>
      <c r="F603" s="76"/>
      <c r="G603" s="76"/>
      <c r="H603" s="76"/>
      <c r="I603" s="76"/>
      <c r="J603" s="43"/>
      <c r="K603" s="44"/>
      <c r="L603" s="44"/>
      <c r="M603" s="44"/>
      <c r="N603" s="44"/>
      <c r="O603" s="44"/>
      <c r="P603" s="44"/>
      <c r="Q603" s="44"/>
      <c r="R603" s="44"/>
      <c r="S603" s="44"/>
      <c r="T603" s="44"/>
      <c r="U603" s="44"/>
      <c r="V603" s="44"/>
      <c r="W603" s="44"/>
      <c r="X603" s="44"/>
      <c r="Y603" s="44"/>
      <c r="Z603" s="44"/>
      <c r="AA603" s="44"/>
      <c r="AB603" s="44"/>
    </row>
    <row r="604">
      <c r="A604" s="51"/>
      <c r="B604" s="43"/>
      <c r="C604" s="74"/>
      <c r="D604" s="75"/>
      <c r="E604" s="76"/>
      <c r="F604" s="76"/>
      <c r="G604" s="76"/>
      <c r="H604" s="76"/>
      <c r="I604" s="76"/>
      <c r="J604" s="43"/>
      <c r="K604" s="44"/>
      <c r="L604" s="44"/>
      <c r="M604" s="44"/>
      <c r="N604" s="44"/>
      <c r="O604" s="44"/>
      <c r="P604" s="44"/>
      <c r="Q604" s="44"/>
      <c r="R604" s="44"/>
      <c r="S604" s="44"/>
      <c r="T604" s="44"/>
      <c r="U604" s="44"/>
      <c r="V604" s="44"/>
      <c r="W604" s="44"/>
      <c r="X604" s="44"/>
      <c r="Y604" s="44"/>
      <c r="Z604" s="44"/>
      <c r="AA604" s="44"/>
      <c r="AB604" s="44"/>
    </row>
    <row r="605">
      <c r="A605" s="51"/>
      <c r="B605" s="43"/>
      <c r="C605" s="74"/>
      <c r="D605" s="75"/>
      <c r="E605" s="76"/>
      <c r="F605" s="76"/>
      <c r="G605" s="76"/>
      <c r="H605" s="76"/>
      <c r="I605" s="76"/>
      <c r="J605" s="43"/>
      <c r="K605" s="44"/>
      <c r="L605" s="44"/>
      <c r="M605" s="44"/>
      <c r="N605" s="44"/>
      <c r="O605" s="44"/>
      <c r="P605" s="44"/>
      <c r="Q605" s="44"/>
      <c r="R605" s="44"/>
      <c r="S605" s="44"/>
      <c r="T605" s="44"/>
      <c r="U605" s="44"/>
      <c r="V605" s="44"/>
      <c r="W605" s="44"/>
      <c r="X605" s="44"/>
      <c r="Y605" s="44"/>
      <c r="Z605" s="44"/>
      <c r="AA605" s="44"/>
      <c r="AB605" s="44"/>
    </row>
    <row r="606">
      <c r="A606" s="51"/>
      <c r="B606" s="43"/>
      <c r="C606" s="74"/>
      <c r="D606" s="75"/>
      <c r="E606" s="76"/>
      <c r="F606" s="76"/>
      <c r="G606" s="76"/>
      <c r="H606" s="76"/>
      <c r="I606" s="76"/>
      <c r="J606" s="43"/>
      <c r="K606" s="44"/>
      <c r="L606" s="44"/>
      <c r="M606" s="44"/>
      <c r="N606" s="44"/>
      <c r="O606" s="44"/>
      <c r="P606" s="44"/>
      <c r="Q606" s="44"/>
      <c r="R606" s="44"/>
      <c r="S606" s="44"/>
      <c r="T606" s="44"/>
      <c r="U606" s="44"/>
      <c r="V606" s="44"/>
      <c r="W606" s="44"/>
      <c r="X606" s="44"/>
      <c r="Y606" s="44"/>
      <c r="Z606" s="44"/>
      <c r="AA606" s="44"/>
      <c r="AB606" s="44"/>
    </row>
    <row r="607">
      <c r="A607" s="51"/>
      <c r="B607" s="43"/>
      <c r="C607" s="74"/>
      <c r="D607" s="75"/>
      <c r="E607" s="76"/>
      <c r="F607" s="76"/>
      <c r="G607" s="76"/>
      <c r="H607" s="76"/>
      <c r="I607" s="76"/>
      <c r="J607" s="43"/>
      <c r="K607" s="44"/>
      <c r="L607" s="44"/>
      <c r="M607" s="44"/>
      <c r="N607" s="44"/>
      <c r="O607" s="44"/>
      <c r="P607" s="44"/>
      <c r="Q607" s="44"/>
      <c r="R607" s="44"/>
      <c r="S607" s="44"/>
      <c r="T607" s="44"/>
      <c r="U607" s="44"/>
      <c r="V607" s="44"/>
      <c r="W607" s="44"/>
      <c r="X607" s="44"/>
      <c r="Y607" s="44"/>
      <c r="Z607" s="44"/>
      <c r="AA607" s="44"/>
      <c r="AB607" s="44"/>
    </row>
    <row r="608">
      <c r="A608" s="51"/>
      <c r="B608" s="43"/>
      <c r="C608" s="74"/>
      <c r="D608" s="75"/>
      <c r="E608" s="76"/>
      <c r="F608" s="76"/>
      <c r="G608" s="76"/>
      <c r="H608" s="76"/>
      <c r="I608" s="76"/>
      <c r="J608" s="43"/>
      <c r="K608" s="44"/>
      <c r="L608" s="44"/>
      <c r="M608" s="44"/>
      <c r="N608" s="44"/>
      <c r="O608" s="44"/>
      <c r="P608" s="44"/>
      <c r="Q608" s="44"/>
      <c r="R608" s="44"/>
      <c r="S608" s="44"/>
      <c r="T608" s="44"/>
      <c r="U608" s="44"/>
      <c r="V608" s="44"/>
      <c r="W608" s="44"/>
      <c r="X608" s="44"/>
      <c r="Y608" s="44"/>
      <c r="Z608" s="44"/>
      <c r="AA608" s="44"/>
      <c r="AB608" s="44"/>
    </row>
    <row r="609">
      <c r="A609" s="51"/>
      <c r="B609" s="43"/>
      <c r="C609" s="74"/>
      <c r="D609" s="75"/>
      <c r="E609" s="76"/>
      <c r="F609" s="76"/>
      <c r="G609" s="76"/>
      <c r="H609" s="76"/>
      <c r="I609" s="76"/>
      <c r="J609" s="43"/>
      <c r="K609" s="44"/>
      <c r="L609" s="44"/>
      <c r="M609" s="44"/>
      <c r="N609" s="44"/>
      <c r="O609" s="44"/>
      <c r="P609" s="44"/>
      <c r="Q609" s="44"/>
      <c r="R609" s="44"/>
      <c r="S609" s="44"/>
      <c r="T609" s="44"/>
      <c r="U609" s="44"/>
      <c r="V609" s="44"/>
      <c r="W609" s="44"/>
      <c r="X609" s="44"/>
      <c r="Y609" s="44"/>
      <c r="Z609" s="44"/>
      <c r="AA609" s="44"/>
      <c r="AB609" s="44"/>
    </row>
    <row r="610">
      <c r="A610" s="51"/>
      <c r="B610" s="43"/>
      <c r="C610" s="74"/>
      <c r="D610" s="75"/>
      <c r="E610" s="76"/>
      <c r="F610" s="76"/>
      <c r="G610" s="76"/>
      <c r="H610" s="76"/>
      <c r="I610" s="76"/>
      <c r="J610" s="43"/>
      <c r="K610" s="44"/>
      <c r="L610" s="44"/>
      <c r="M610" s="44"/>
      <c r="N610" s="44"/>
      <c r="O610" s="44"/>
      <c r="P610" s="44"/>
      <c r="Q610" s="44"/>
      <c r="R610" s="44"/>
      <c r="S610" s="44"/>
      <c r="T610" s="44"/>
      <c r="U610" s="44"/>
      <c r="V610" s="44"/>
      <c r="W610" s="44"/>
      <c r="X610" s="44"/>
      <c r="Y610" s="44"/>
      <c r="Z610" s="44"/>
      <c r="AA610" s="44"/>
      <c r="AB610" s="44"/>
    </row>
    <row r="611">
      <c r="A611" s="51"/>
      <c r="B611" s="43"/>
      <c r="C611" s="74"/>
      <c r="D611" s="75"/>
      <c r="E611" s="76"/>
      <c r="F611" s="76"/>
      <c r="G611" s="76"/>
      <c r="H611" s="76"/>
      <c r="I611" s="76"/>
      <c r="J611" s="43"/>
      <c r="K611" s="44"/>
      <c r="L611" s="44"/>
      <c r="M611" s="44"/>
      <c r="N611" s="44"/>
      <c r="O611" s="44"/>
      <c r="P611" s="44"/>
      <c r="Q611" s="44"/>
      <c r="R611" s="44"/>
      <c r="S611" s="44"/>
      <c r="T611" s="44"/>
      <c r="U611" s="44"/>
      <c r="V611" s="44"/>
      <c r="W611" s="44"/>
      <c r="X611" s="44"/>
      <c r="Y611" s="44"/>
      <c r="Z611" s="44"/>
      <c r="AA611" s="44"/>
      <c r="AB611" s="44"/>
    </row>
    <row r="612">
      <c r="A612" s="51"/>
      <c r="B612" s="43"/>
      <c r="C612" s="74"/>
      <c r="D612" s="75"/>
      <c r="E612" s="76"/>
      <c r="F612" s="76"/>
      <c r="G612" s="76"/>
      <c r="H612" s="76"/>
      <c r="I612" s="76"/>
      <c r="J612" s="43"/>
      <c r="K612" s="44"/>
      <c r="L612" s="44"/>
      <c r="M612" s="44"/>
      <c r="N612" s="44"/>
      <c r="O612" s="44"/>
      <c r="P612" s="44"/>
      <c r="Q612" s="44"/>
      <c r="R612" s="44"/>
      <c r="S612" s="44"/>
      <c r="T612" s="44"/>
      <c r="U612" s="44"/>
      <c r="V612" s="44"/>
      <c r="W612" s="44"/>
      <c r="X612" s="44"/>
      <c r="Y612" s="44"/>
      <c r="Z612" s="44"/>
      <c r="AA612" s="44"/>
      <c r="AB612" s="44"/>
    </row>
    <row r="613">
      <c r="A613" s="51"/>
      <c r="B613" s="43"/>
      <c r="C613" s="74"/>
      <c r="D613" s="75"/>
      <c r="E613" s="76"/>
      <c r="F613" s="76"/>
      <c r="G613" s="76"/>
      <c r="H613" s="76"/>
      <c r="I613" s="76"/>
      <c r="J613" s="43"/>
      <c r="K613" s="44"/>
      <c r="L613" s="44"/>
      <c r="M613" s="44"/>
      <c r="N613" s="44"/>
      <c r="O613" s="44"/>
      <c r="P613" s="44"/>
      <c r="Q613" s="44"/>
      <c r="R613" s="44"/>
      <c r="S613" s="44"/>
      <c r="T613" s="44"/>
      <c r="U613" s="44"/>
      <c r="V613" s="44"/>
      <c r="W613" s="44"/>
      <c r="X613" s="44"/>
      <c r="Y613" s="44"/>
      <c r="Z613" s="44"/>
      <c r="AA613" s="44"/>
      <c r="AB613" s="44"/>
    </row>
    <row r="614">
      <c r="A614" s="51"/>
      <c r="B614" s="43"/>
      <c r="C614" s="74"/>
      <c r="D614" s="75"/>
      <c r="E614" s="76"/>
      <c r="F614" s="76"/>
      <c r="G614" s="76"/>
      <c r="H614" s="76"/>
      <c r="I614" s="76"/>
      <c r="J614" s="43"/>
      <c r="K614" s="44"/>
      <c r="L614" s="44"/>
      <c r="M614" s="44"/>
      <c r="N614" s="44"/>
      <c r="O614" s="44"/>
      <c r="P614" s="44"/>
      <c r="Q614" s="44"/>
      <c r="R614" s="44"/>
      <c r="S614" s="44"/>
      <c r="T614" s="44"/>
      <c r="U614" s="44"/>
      <c r="V614" s="44"/>
      <c r="W614" s="44"/>
      <c r="X614" s="44"/>
      <c r="Y614" s="44"/>
      <c r="Z614" s="44"/>
      <c r="AA614" s="44"/>
      <c r="AB614" s="44"/>
    </row>
    <row r="615">
      <c r="A615" s="51"/>
      <c r="B615" s="43"/>
      <c r="C615" s="74"/>
      <c r="D615" s="75"/>
      <c r="E615" s="76"/>
      <c r="F615" s="76"/>
      <c r="G615" s="76"/>
      <c r="H615" s="76"/>
      <c r="I615" s="76"/>
      <c r="J615" s="43"/>
      <c r="K615" s="44"/>
      <c r="L615" s="44"/>
      <c r="M615" s="44"/>
      <c r="N615" s="44"/>
      <c r="O615" s="44"/>
      <c r="P615" s="44"/>
      <c r="Q615" s="44"/>
      <c r="R615" s="44"/>
      <c r="S615" s="44"/>
      <c r="T615" s="44"/>
      <c r="U615" s="44"/>
      <c r="V615" s="44"/>
      <c r="W615" s="44"/>
      <c r="X615" s="44"/>
      <c r="Y615" s="44"/>
      <c r="Z615" s="44"/>
      <c r="AA615" s="44"/>
      <c r="AB615" s="44"/>
    </row>
    <row r="616">
      <c r="A616" s="51"/>
      <c r="B616" s="43"/>
      <c r="C616" s="74"/>
      <c r="D616" s="75"/>
      <c r="E616" s="76"/>
      <c r="F616" s="76"/>
      <c r="G616" s="76"/>
      <c r="H616" s="76"/>
      <c r="I616" s="76"/>
      <c r="J616" s="43"/>
      <c r="K616" s="44"/>
      <c r="L616" s="44"/>
      <c r="M616" s="44"/>
      <c r="N616" s="44"/>
      <c r="O616" s="44"/>
      <c r="P616" s="44"/>
      <c r="Q616" s="44"/>
      <c r="R616" s="44"/>
      <c r="S616" s="44"/>
      <c r="T616" s="44"/>
      <c r="U616" s="44"/>
      <c r="V616" s="44"/>
      <c r="W616" s="44"/>
      <c r="X616" s="44"/>
      <c r="Y616" s="44"/>
      <c r="Z616" s="44"/>
      <c r="AA616" s="44"/>
      <c r="AB616" s="44"/>
    </row>
    <row r="617">
      <c r="A617" s="51"/>
      <c r="B617" s="43"/>
      <c r="C617" s="74"/>
      <c r="D617" s="75"/>
      <c r="E617" s="76"/>
      <c r="F617" s="76"/>
      <c r="G617" s="76"/>
      <c r="H617" s="76"/>
      <c r="I617" s="76"/>
      <c r="J617" s="43"/>
      <c r="K617" s="44"/>
      <c r="L617" s="44"/>
      <c r="M617" s="44"/>
      <c r="N617" s="44"/>
      <c r="O617" s="44"/>
      <c r="P617" s="44"/>
      <c r="Q617" s="44"/>
      <c r="R617" s="44"/>
      <c r="S617" s="44"/>
      <c r="T617" s="44"/>
      <c r="U617" s="44"/>
      <c r="V617" s="44"/>
      <c r="W617" s="44"/>
      <c r="X617" s="44"/>
      <c r="Y617" s="44"/>
      <c r="Z617" s="44"/>
      <c r="AA617" s="44"/>
      <c r="AB617" s="44"/>
    </row>
    <row r="618">
      <c r="A618" s="51"/>
      <c r="B618" s="43"/>
      <c r="C618" s="74"/>
      <c r="D618" s="75"/>
      <c r="E618" s="76"/>
      <c r="F618" s="76"/>
      <c r="G618" s="76"/>
      <c r="H618" s="76"/>
      <c r="I618" s="76"/>
      <c r="J618" s="43"/>
      <c r="K618" s="44"/>
      <c r="L618" s="44"/>
      <c r="M618" s="44"/>
      <c r="N618" s="44"/>
      <c r="O618" s="44"/>
      <c r="P618" s="44"/>
      <c r="Q618" s="44"/>
      <c r="R618" s="44"/>
      <c r="S618" s="44"/>
      <c r="T618" s="44"/>
      <c r="U618" s="44"/>
      <c r="V618" s="44"/>
      <c r="W618" s="44"/>
      <c r="X618" s="44"/>
      <c r="Y618" s="44"/>
      <c r="Z618" s="44"/>
      <c r="AA618" s="44"/>
      <c r="AB618" s="44"/>
    </row>
    <row r="619">
      <c r="A619" s="51"/>
      <c r="B619" s="43"/>
      <c r="C619" s="74"/>
      <c r="D619" s="75"/>
      <c r="E619" s="76"/>
      <c r="F619" s="76"/>
      <c r="G619" s="76"/>
      <c r="H619" s="76"/>
      <c r="I619" s="76"/>
      <c r="J619" s="43"/>
      <c r="K619" s="44"/>
      <c r="L619" s="44"/>
      <c r="M619" s="44"/>
      <c r="N619" s="44"/>
      <c r="O619" s="44"/>
      <c r="P619" s="44"/>
      <c r="Q619" s="44"/>
      <c r="R619" s="44"/>
      <c r="S619" s="44"/>
      <c r="T619" s="44"/>
      <c r="U619" s="44"/>
      <c r="V619" s="44"/>
      <c r="W619" s="44"/>
      <c r="X619" s="44"/>
      <c r="Y619" s="44"/>
      <c r="Z619" s="44"/>
      <c r="AA619" s="44"/>
      <c r="AB619" s="44"/>
    </row>
    <row r="620">
      <c r="A620" s="51"/>
      <c r="B620" s="43"/>
      <c r="C620" s="74"/>
      <c r="D620" s="75"/>
      <c r="E620" s="76"/>
      <c r="F620" s="76"/>
      <c r="G620" s="76"/>
      <c r="H620" s="76"/>
      <c r="I620" s="76"/>
      <c r="J620" s="43"/>
      <c r="K620" s="44"/>
      <c r="L620" s="44"/>
      <c r="M620" s="44"/>
      <c r="N620" s="44"/>
      <c r="O620" s="44"/>
      <c r="P620" s="44"/>
      <c r="Q620" s="44"/>
      <c r="R620" s="44"/>
      <c r="S620" s="44"/>
      <c r="T620" s="44"/>
      <c r="U620" s="44"/>
      <c r="V620" s="44"/>
      <c r="W620" s="44"/>
      <c r="X620" s="44"/>
      <c r="Y620" s="44"/>
      <c r="Z620" s="44"/>
      <c r="AA620" s="44"/>
      <c r="AB620" s="44"/>
    </row>
    <row r="621">
      <c r="A621" s="51"/>
      <c r="B621" s="43"/>
      <c r="C621" s="74"/>
      <c r="D621" s="75"/>
      <c r="E621" s="76"/>
      <c r="F621" s="76"/>
      <c r="G621" s="76"/>
      <c r="H621" s="76"/>
      <c r="I621" s="76"/>
      <c r="J621" s="43"/>
      <c r="K621" s="44"/>
      <c r="L621" s="44"/>
      <c r="M621" s="44"/>
      <c r="N621" s="44"/>
      <c r="O621" s="44"/>
      <c r="P621" s="44"/>
      <c r="Q621" s="44"/>
      <c r="R621" s="44"/>
      <c r="S621" s="44"/>
      <c r="T621" s="44"/>
      <c r="U621" s="44"/>
      <c r="V621" s="44"/>
      <c r="W621" s="44"/>
      <c r="X621" s="44"/>
      <c r="Y621" s="44"/>
      <c r="Z621" s="44"/>
      <c r="AA621" s="44"/>
      <c r="AB621" s="44"/>
    </row>
    <row r="622">
      <c r="A622" s="51"/>
      <c r="B622" s="43"/>
      <c r="C622" s="74"/>
      <c r="D622" s="75"/>
      <c r="E622" s="76"/>
      <c r="F622" s="76"/>
      <c r="G622" s="76"/>
      <c r="H622" s="76"/>
      <c r="I622" s="76"/>
      <c r="J622" s="43"/>
      <c r="K622" s="44"/>
      <c r="L622" s="44"/>
      <c r="M622" s="44"/>
      <c r="N622" s="44"/>
      <c r="O622" s="44"/>
      <c r="P622" s="44"/>
      <c r="Q622" s="44"/>
      <c r="R622" s="44"/>
      <c r="S622" s="44"/>
      <c r="T622" s="44"/>
      <c r="U622" s="44"/>
      <c r="V622" s="44"/>
      <c r="W622" s="44"/>
      <c r="X622" s="44"/>
      <c r="Y622" s="44"/>
      <c r="Z622" s="44"/>
      <c r="AA622" s="44"/>
      <c r="AB622" s="44"/>
    </row>
    <row r="623">
      <c r="A623" s="51"/>
      <c r="B623" s="43"/>
      <c r="C623" s="74"/>
      <c r="D623" s="75"/>
      <c r="E623" s="76"/>
      <c r="F623" s="76"/>
      <c r="G623" s="76"/>
      <c r="H623" s="76"/>
      <c r="I623" s="76"/>
      <c r="J623" s="43"/>
      <c r="K623" s="44"/>
      <c r="L623" s="44"/>
      <c r="M623" s="44"/>
      <c r="N623" s="44"/>
      <c r="O623" s="44"/>
      <c r="P623" s="44"/>
      <c r="Q623" s="44"/>
      <c r="R623" s="44"/>
      <c r="S623" s="44"/>
      <c r="T623" s="44"/>
      <c r="U623" s="44"/>
      <c r="V623" s="44"/>
      <c r="W623" s="44"/>
      <c r="X623" s="44"/>
      <c r="Y623" s="44"/>
      <c r="Z623" s="44"/>
      <c r="AA623" s="44"/>
      <c r="AB623" s="44"/>
    </row>
    <row r="624">
      <c r="A624" s="51"/>
      <c r="B624" s="43"/>
      <c r="C624" s="74"/>
      <c r="D624" s="75"/>
      <c r="E624" s="76"/>
      <c r="F624" s="76"/>
      <c r="G624" s="76"/>
      <c r="H624" s="76"/>
      <c r="I624" s="76"/>
      <c r="J624" s="43"/>
      <c r="K624" s="44"/>
      <c r="L624" s="44"/>
      <c r="M624" s="44"/>
      <c r="N624" s="44"/>
      <c r="O624" s="44"/>
      <c r="P624" s="44"/>
      <c r="Q624" s="44"/>
      <c r="R624" s="44"/>
      <c r="S624" s="44"/>
      <c r="T624" s="44"/>
      <c r="U624" s="44"/>
      <c r="V624" s="44"/>
      <c r="W624" s="44"/>
      <c r="X624" s="44"/>
      <c r="Y624" s="44"/>
      <c r="Z624" s="44"/>
      <c r="AA624" s="44"/>
      <c r="AB624" s="44"/>
    </row>
    <row r="625">
      <c r="A625" s="51"/>
      <c r="B625" s="43"/>
      <c r="C625" s="74"/>
      <c r="D625" s="75"/>
      <c r="E625" s="76"/>
      <c r="F625" s="76"/>
      <c r="G625" s="76"/>
      <c r="H625" s="76"/>
      <c r="I625" s="76"/>
      <c r="J625" s="43"/>
      <c r="K625" s="44"/>
      <c r="L625" s="44"/>
      <c r="M625" s="44"/>
      <c r="N625" s="44"/>
      <c r="O625" s="44"/>
      <c r="P625" s="44"/>
      <c r="Q625" s="44"/>
      <c r="R625" s="44"/>
      <c r="S625" s="44"/>
      <c r="T625" s="44"/>
      <c r="U625" s="44"/>
      <c r="V625" s="44"/>
      <c r="W625" s="44"/>
      <c r="X625" s="44"/>
      <c r="Y625" s="44"/>
      <c r="Z625" s="44"/>
      <c r="AA625" s="44"/>
      <c r="AB625" s="44"/>
    </row>
    <row r="626">
      <c r="A626" s="51"/>
      <c r="B626" s="43"/>
      <c r="C626" s="74"/>
      <c r="D626" s="75"/>
      <c r="E626" s="76"/>
      <c r="F626" s="76"/>
      <c r="G626" s="76"/>
      <c r="H626" s="76"/>
      <c r="I626" s="76"/>
      <c r="J626" s="43"/>
      <c r="K626" s="44"/>
      <c r="L626" s="44"/>
      <c r="M626" s="44"/>
      <c r="N626" s="44"/>
      <c r="O626" s="44"/>
      <c r="P626" s="44"/>
      <c r="Q626" s="44"/>
      <c r="R626" s="44"/>
      <c r="S626" s="44"/>
      <c r="T626" s="44"/>
      <c r="U626" s="44"/>
      <c r="V626" s="44"/>
      <c r="W626" s="44"/>
      <c r="X626" s="44"/>
      <c r="Y626" s="44"/>
      <c r="Z626" s="44"/>
      <c r="AA626" s="44"/>
      <c r="AB626" s="44"/>
    </row>
    <row r="627">
      <c r="A627" s="51"/>
      <c r="B627" s="43"/>
      <c r="C627" s="74"/>
      <c r="D627" s="75"/>
      <c r="E627" s="76"/>
      <c r="F627" s="76"/>
      <c r="G627" s="76"/>
      <c r="H627" s="76"/>
      <c r="I627" s="76"/>
      <c r="J627" s="43"/>
      <c r="K627" s="44"/>
      <c r="L627" s="44"/>
      <c r="M627" s="44"/>
      <c r="N627" s="44"/>
      <c r="O627" s="44"/>
      <c r="P627" s="44"/>
      <c r="Q627" s="44"/>
      <c r="R627" s="44"/>
      <c r="S627" s="44"/>
      <c r="T627" s="44"/>
      <c r="U627" s="44"/>
      <c r="V627" s="44"/>
      <c r="W627" s="44"/>
      <c r="X627" s="44"/>
      <c r="Y627" s="44"/>
      <c r="Z627" s="44"/>
      <c r="AA627" s="44"/>
      <c r="AB627" s="44"/>
    </row>
    <row r="628">
      <c r="A628" s="51"/>
      <c r="B628" s="43"/>
      <c r="C628" s="74"/>
      <c r="D628" s="75"/>
      <c r="E628" s="76"/>
      <c r="F628" s="76"/>
      <c r="G628" s="76"/>
      <c r="H628" s="76"/>
      <c r="I628" s="76"/>
      <c r="J628" s="43"/>
      <c r="K628" s="44"/>
      <c r="L628" s="44"/>
      <c r="M628" s="44"/>
      <c r="N628" s="44"/>
      <c r="O628" s="44"/>
      <c r="P628" s="44"/>
      <c r="Q628" s="44"/>
      <c r="R628" s="44"/>
      <c r="S628" s="44"/>
      <c r="T628" s="44"/>
      <c r="U628" s="44"/>
      <c r="V628" s="44"/>
      <c r="W628" s="44"/>
      <c r="X628" s="44"/>
      <c r="Y628" s="44"/>
      <c r="Z628" s="44"/>
      <c r="AA628" s="44"/>
      <c r="AB628" s="44"/>
    </row>
    <row r="629">
      <c r="A629" s="51"/>
      <c r="B629" s="43"/>
      <c r="C629" s="74"/>
      <c r="D629" s="75"/>
      <c r="E629" s="76"/>
      <c r="F629" s="76"/>
      <c r="G629" s="76"/>
      <c r="H629" s="76"/>
      <c r="I629" s="76"/>
      <c r="J629" s="43"/>
      <c r="K629" s="44"/>
      <c r="L629" s="44"/>
      <c r="M629" s="44"/>
      <c r="N629" s="44"/>
      <c r="O629" s="44"/>
      <c r="P629" s="44"/>
      <c r="Q629" s="44"/>
      <c r="R629" s="44"/>
      <c r="S629" s="44"/>
      <c r="T629" s="44"/>
      <c r="U629" s="44"/>
      <c r="V629" s="44"/>
      <c r="W629" s="44"/>
      <c r="X629" s="44"/>
      <c r="Y629" s="44"/>
      <c r="Z629" s="44"/>
      <c r="AA629" s="44"/>
      <c r="AB629" s="44"/>
    </row>
    <row r="630">
      <c r="A630" s="51"/>
      <c r="B630" s="43"/>
      <c r="C630" s="74"/>
      <c r="D630" s="75"/>
      <c r="E630" s="76"/>
      <c r="F630" s="76"/>
      <c r="G630" s="76"/>
      <c r="H630" s="76"/>
      <c r="I630" s="76"/>
      <c r="J630" s="43"/>
      <c r="K630" s="44"/>
      <c r="L630" s="44"/>
      <c r="M630" s="44"/>
      <c r="N630" s="44"/>
      <c r="O630" s="44"/>
      <c r="P630" s="44"/>
      <c r="Q630" s="44"/>
      <c r="R630" s="44"/>
      <c r="S630" s="44"/>
      <c r="T630" s="44"/>
      <c r="U630" s="44"/>
      <c r="V630" s="44"/>
      <c r="W630" s="44"/>
      <c r="X630" s="44"/>
      <c r="Y630" s="44"/>
      <c r="Z630" s="44"/>
      <c r="AA630" s="44"/>
      <c r="AB630" s="44"/>
    </row>
    <row r="631">
      <c r="A631" s="51"/>
      <c r="B631" s="43"/>
      <c r="C631" s="74"/>
      <c r="D631" s="75"/>
      <c r="E631" s="76"/>
      <c r="F631" s="76"/>
      <c r="G631" s="76"/>
      <c r="H631" s="76"/>
      <c r="I631" s="76"/>
      <c r="J631" s="43"/>
      <c r="K631" s="44"/>
      <c r="L631" s="44"/>
      <c r="M631" s="44"/>
      <c r="N631" s="44"/>
      <c r="O631" s="44"/>
      <c r="P631" s="44"/>
      <c r="Q631" s="44"/>
      <c r="R631" s="44"/>
      <c r="S631" s="44"/>
      <c r="T631" s="44"/>
      <c r="U631" s="44"/>
      <c r="V631" s="44"/>
      <c r="W631" s="44"/>
      <c r="X631" s="44"/>
      <c r="Y631" s="44"/>
      <c r="Z631" s="44"/>
      <c r="AA631" s="44"/>
      <c r="AB631" s="44"/>
    </row>
    <row r="632">
      <c r="A632" s="51"/>
      <c r="B632" s="43"/>
      <c r="C632" s="74"/>
      <c r="D632" s="75"/>
      <c r="E632" s="76"/>
      <c r="F632" s="76"/>
      <c r="G632" s="76"/>
      <c r="H632" s="76"/>
      <c r="I632" s="76"/>
      <c r="J632" s="43"/>
      <c r="K632" s="44"/>
      <c r="L632" s="44"/>
      <c r="M632" s="44"/>
      <c r="N632" s="44"/>
      <c r="O632" s="44"/>
      <c r="P632" s="44"/>
      <c r="Q632" s="44"/>
      <c r="R632" s="44"/>
      <c r="S632" s="44"/>
      <c r="T632" s="44"/>
      <c r="U632" s="44"/>
      <c r="V632" s="44"/>
      <c r="W632" s="44"/>
      <c r="X632" s="44"/>
      <c r="Y632" s="44"/>
      <c r="Z632" s="44"/>
      <c r="AA632" s="44"/>
      <c r="AB632" s="44"/>
    </row>
    <row r="633">
      <c r="A633" s="51"/>
      <c r="B633" s="43"/>
      <c r="C633" s="74"/>
      <c r="D633" s="75"/>
      <c r="E633" s="76"/>
      <c r="F633" s="76"/>
      <c r="G633" s="76"/>
      <c r="H633" s="76"/>
      <c r="I633" s="76"/>
      <c r="J633" s="43"/>
      <c r="K633" s="44"/>
      <c r="L633" s="44"/>
      <c r="M633" s="44"/>
      <c r="N633" s="44"/>
      <c r="O633" s="44"/>
      <c r="P633" s="44"/>
      <c r="Q633" s="44"/>
      <c r="R633" s="44"/>
      <c r="S633" s="44"/>
      <c r="T633" s="44"/>
      <c r="U633" s="44"/>
      <c r="V633" s="44"/>
      <c r="W633" s="44"/>
      <c r="X633" s="44"/>
      <c r="Y633" s="44"/>
      <c r="Z633" s="44"/>
      <c r="AA633" s="44"/>
      <c r="AB633" s="44"/>
    </row>
    <row r="634">
      <c r="A634" s="51"/>
      <c r="B634" s="43"/>
      <c r="C634" s="74"/>
      <c r="D634" s="75"/>
      <c r="E634" s="76"/>
      <c r="F634" s="76"/>
      <c r="G634" s="76"/>
      <c r="H634" s="76"/>
      <c r="I634" s="76"/>
      <c r="J634" s="43"/>
      <c r="K634" s="44"/>
      <c r="L634" s="44"/>
      <c r="M634" s="44"/>
      <c r="N634" s="44"/>
      <c r="O634" s="44"/>
      <c r="P634" s="44"/>
      <c r="Q634" s="44"/>
      <c r="R634" s="44"/>
      <c r="S634" s="44"/>
      <c r="T634" s="44"/>
      <c r="U634" s="44"/>
      <c r="V634" s="44"/>
      <c r="W634" s="44"/>
      <c r="X634" s="44"/>
      <c r="Y634" s="44"/>
      <c r="Z634" s="44"/>
      <c r="AA634" s="44"/>
      <c r="AB634" s="44"/>
    </row>
    <row r="635">
      <c r="A635" s="51"/>
      <c r="B635" s="43"/>
      <c r="C635" s="74"/>
      <c r="D635" s="75"/>
      <c r="E635" s="76"/>
      <c r="F635" s="76"/>
      <c r="G635" s="76"/>
      <c r="H635" s="76"/>
      <c r="I635" s="76"/>
      <c r="J635" s="43"/>
      <c r="K635" s="44"/>
      <c r="L635" s="44"/>
      <c r="M635" s="44"/>
      <c r="N635" s="44"/>
      <c r="O635" s="44"/>
      <c r="P635" s="44"/>
      <c r="Q635" s="44"/>
      <c r="R635" s="44"/>
      <c r="S635" s="44"/>
      <c r="T635" s="44"/>
      <c r="U635" s="44"/>
      <c r="V635" s="44"/>
      <c r="W635" s="44"/>
      <c r="X635" s="44"/>
      <c r="Y635" s="44"/>
      <c r="Z635" s="44"/>
      <c r="AA635" s="44"/>
      <c r="AB635" s="44"/>
    </row>
    <row r="636">
      <c r="A636" s="51"/>
      <c r="B636" s="43"/>
      <c r="C636" s="74"/>
      <c r="D636" s="75"/>
      <c r="E636" s="76"/>
      <c r="F636" s="76"/>
      <c r="G636" s="76"/>
      <c r="H636" s="76"/>
      <c r="I636" s="76"/>
      <c r="J636" s="43"/>
      <c r="K636" s="44"/>
      <c r="L636" s="44"/>
      <c r="M636" s="44"/>
      <c r="N636" s="44"/>
      <c r="O636" s="44"/>
      <c r="P636" s="44"/>
      <c r="Q636" s="44"/>
      <c r="R636" s="44"/>
      <c r="S636" s="44"/>
      <c r="T636" s="44"/>
      <c r="U636" s="44"/>
      <c r="V636" s="44"/>
      <c r="W636" s="44"/>
      <c r="X636" s="44"/>
      <c r="Y636" s="44"/>
      <c r="Z636" s="44"/>
      <c r="AA636" s="44"/>
      <c r="AB636" s="44"/>
    </row>
    <row r="637">
      <c r="A637" s="51"/>
      <c r="B637" s="43"/>
      <c r="C637" s="74"/>
      <c r="D637" s="75"/>
      <c r="E637" s="76"/>
      <c r="F637" s="76"/>
      <c r="G637" s="76"/>
      <c r="H637" s="76"/>
      <c r="I637" s="76"/>
      <c r="J637" s="43"/>
      <c r="K637" s="44"/>
      <c r="L637" s="44"/>
      <c r="M637" s="44"/>
      <c r="N637" s="44"/>
      <c r="O637" s="44"/>
      <c r="P637" s="44"/>
      <c r="Q637" s="44"/>
      <c r="R637" s="44"/>
      <c r="S637" s="44"/>
      <c r="T637" s="44"/>
      <c r="U637" s="44"/>
      <c r="V637" s="44"/>
      <c r="W637" s="44"/>
      <c r="X637" s="44"/>
      <c r="Y637" s="44"/>
      <c r="Z637" s="44"/>
      <c r="AA637" s="44"/>
      <c r="AB637" s="44"/>
    </row>
    <row r="638">
      <c r="A638" s="51"/>
      <c r="B638" s="43"/>
      <c r="C638" s="74"/>
      <c r="D638" s="75"/>
      <c r="E638" s="76"/>
      <c r="F638" s="76"/>
      <c r="G638" s="76"/>
      <c r="H638" s="76"/>
      <c r="I638" s="76"/>
      <c r="J638" s="43"/>
      <c r="K638" s="44"/>
      <c r="L638" s="44"/>
      <c r="M638" s="44"/>
      <c r="N638" s="44"/>
      <c r="O638" s="44"/>
      <c r="P638" s="44"/>
      <c r="Q638" s="44"/>
      <c r="R638" s="44"/>
      <c r="S638" s="44"/>
      <c r="T638" s="44"/>
      <c r="U638" s="44"/>
      <c r="V638" s="44"/>
      <c r="W638" s="44"/>
      <c r="X638" s="44"/>
      <c r="Y638" s="44"/>
      <c r="Z638" s="44"/>
      <c r="AA638" s="44"/>
      <c r="AB638" s="44"/>
    </row>
    <row r="639">
      <c r="A639" s="51"/>
      <c r="B639" s="43"/>
      <c r="C639" s="74"/>
      <c r="D639" s="75"/>
      <c r="E639" s="76"/>
      <c r="F639" s="76"/>
      <c r="G639" s="76"/>
      <c r="H639" s="76"/>
      <c r="I639" s="76"/>
      <c r="J639" s="43"/>
      <c r="K639" s="44"/>
      <c r="L639" s="44"/>
      <c r="M639" s="44"/>
      <c r="N639" s="44"/>
      <c r="O639" s="44"/>
      <c r="P639" s="44"/>
      <c r="Q639" s="44"/>
      <c r="R639" s="44"/>
      <c r="S639" s="44"/>
      <c r="T639" s="44"/>
      <c r="U639" s="44"/>
      <c r="V639" s="44"/>
      <c r="W639" s="44"/>
      <c r="X639" s="44"/>
      <c r="Y639" s="44"/>
      <c r="Z639" s="44"/>
      <c r="AA639" s="44"/>
      <c r="AB639" s="44"/>
    </row>
    <row r="640">
      <c r="A640" s="51"/>
      <c r="B640" s="43"/>
      <c r="C640" s="74"/>
      <c r="D640" s="75"/>
      <c r="E640" s="76"/>
      <c r="F640" s="76"/>
      <c r="G640" s="76"/>
      <c r="H640" s="76"/>
      <c r="I640" s="76"/>
      <c r="J640" s="43"/>
      <c r="K640" s="44"/>
      <c r="L640" s="44"/>
      <c r="M640" s="44"/>
      <c r="N640" s="44"/>
      <c r="O640" s="44"/>
      <c r="P640" s="44"/>
      <c r="Q640" s="44"/>
      <c r="R640" s="44"/>
      <c r="S640" s="44"/>
      <c r="T640" s="44"/>
      <c r="U640" s="44"/>
      <c r="V640" s="44"/>
      <c r="W640" s="44"/>
      <c r="X640" s="44"/>
      <c r="Y640" s="44"/>
      <c r="Z640" s="44"/>
      <c r="AA640" s="44"/>
      <c r="AB640" s="44"/>
    </row>
    <row r="641">
      <c r="A641" s="51"/>
      <c r="B641" s="43"/>
      <c r="C641" s="74"/>
      <c r="D641" s="75"/>
      <c r="E641" s="76"/>
      <c r="F641" s="76"/>
      <c r="G641" s="76"/>
      <c r="H641" s="76"/>
      <c r="I641" s="76"/>
      <c r="J641" s="43"/>
      <c r="K641" s="44"/>
      <c r="L641" s="44"/>
      <c r="M641" s="44"/>
      <c r="N641" s="44"/>
      <c r="O641" s="44"/>
      <c r="P641" s="44"/>
      <c r="Q641" s="44"/>
      <c r="R641" s="44"/>
      <c r="S641" s="44"/>
      <c r="T641" s="44"/>
      <c r="U641" s="44"/>
      <c r="V641" s="44"/>
      <c r="W641" s="44"/>
      <c r="X641" s="44"/>
      <c r="Y641" s="44"/>
      <c r="Z641" s="44"/>
      <c r="AA641" s="44"/>
      <c r="AB641" s="44"/>
    </row>
    <row r="642">
      <c r="A642" s="51"/>
      <c r="B642" s="43"/>
      <c r="C642" s="74"/>
      <c r="D642" s="75"/>
      <c r="E642" s="76"/>
      <c r="F642" s="76"/>
      <c r="G642" s="76"/>
      <c r="H642" s="76"/>
      <c r="I642" s="76"/>
      <c r="J642" s="43"/>
      <c r="K642" s="44"/>
      <c r="L642" s="44"/>
      <c r="M642" s="44"/>
      <c r="N642" s="44"/>
      <c r="O642" s="44"/>
      <c r="P642" s="44"/>
      <c r="Q642" s="44"/>
      <c r="R642" s="44"/>
      <c r="S642" s="44"/>
      <c r="T642" s="44"/>
      <c r="U642" s="44"/>
      <c r="V642" s="44"/>
      <c r="W642" s="44"/>
      <c r="X642" s="44"/>
      <c r="Y642" s="44"/>
      <c r="Z642" s="44"/>
      <c r="AA642" s="44"/>
      <c r="AB642" s="44"/>
    </row>
    <row r="643">
      <c r="A643" s="51"/>
      <c r="B643" s="43"/>
      <c r="C643" s="74"/>
      <c r="D643" s="75"/>
      <c r="E643" s="76"/>
      <c r="F643" s="76"/>
      <c r="G643" s="76"/>
      <c r="H643" s="76"/>
      <c r="I643" s="76"/>
      <c r="J643" s="43"/>
      <c r="K643" s="44"/>
      <c r="L643" s="44"/>
      <c r="M643" s="44"/>
      <c r="N643" s="44"/>
      <c r="O643" s="44"/>
      <c r="P643" s="44"/>
      <c r="Q643" s="44"/>
      <c r="R643" s="44"/>
      <c r="S643" s="44"/>
      <c r="T643" s="44"/>
      <c r="U643" s="44"/>
      <c r="V643" s="44"/>
      <c r="W643" s="44"/>
      <c r="X643" s="44"/>
      <c r="Y643" s="44"/>
      <c r="Z643" s="44"/>
      <c r="AA643" s="44"/>
      <c r="AB643" s="44"/>
    </row>
    <row r="644">
      <c r="A644" s="51"/>
      <c r="B644" s="43"/>
      <c r="C644" s="74"/>
      <c r="D644" s="75"/>
      <c r="E644" s="76"/>
      <c r="F644" s="76"/>
      <c r="G644" s="76"/>
      <c r="H644" s="76"/>
      <c r="I644" s="76"/>
      <c r="J644" s="43"/>
      <c r="K644" s="44"/>
      <c r="L644" s="44"/>
      <c r="M644" s="44"/>
      <c r="N644" s="44"/>
      <c r="O644" s="44"/>
      <c r="P644" s="44"/>
      <c r="Q644" s="44"/>
      <c r="R644" s="44"/>
      <c r="S644" s="44"/>
      <c r="T644" s="44"/>
      <c r="U644" s="44"/>
      <c r="V644" s="44"/>
      <c r="W644" s="44"/>
      <c r="X644" s="44"/>
      <c r="Y644" s="44"/>
      <c r="Z644" s="44"/>
      <c r="AA644" s="44"/>
      <c r="AB644" s="44"/>
    </row>
    <row r="645">
      <c r="A645" s="51"/>
      <c r="B645" s="43"/>
      <c r="C645" s="74"/>
      <c r="D645" s="75"/>
      <c r="E645" s="76"/>
      <c r="F645" s="76"/>
      <c r="G645" s="76"/>
      <c r="H645" s="76"/>
      <c r="I645" s="76"/>
      <c r="J645" s="43"/>
      <c r="K645" s="44"/>
      <c r="L645" s="44"/>
      <c r="M645" s="44"/>
      <c r="N645" s="44"/>
      <c r="O645" s="44"/>
      <c r="P645" s="44"/>
      <c r="Q645" s="44"/>
      <c r="R645" s="44"/>
      <c r="S645" s="44"/>
      <c r="T645" s="44"/>
      <c r="U645" s="44"/>
      <c r="V645" s="44"/>
      <c r="W645" s="44"/>
      <c r="X645" s="44"/>
      <c r="Y645" s="44"/>
      <c r="Z645" s="44"/>
      <c r="AA645" s="44"/>
      <c r="AB645" s="44"/>
    </row>
    <row r="646">
      <c r="A646" s="51"/>
      <c r="B646" s="43"/>
      <c r="C646" s="74"/>
      <c r="D646" s="75"/>
      <c r="E646" s="76"/>
      <c r="F646" s="76"/>
      <c r="G646" s="76"/>
      <c r="H646" s="76"/>
      <c r="I646" s="76"/>
      <c r="J646" s="43"/>
      <c r="K646" s="44"/>
      <c r="L646" s="44"/>
      <c r="M646" s="44"/>
      <c r="N646" s="44"/>
      <c r="O646" s="44"/>
      <c r="P646" s="44"/>
      <c r="Q646" s="44"/>
      <c r="R646" s="44"/>
      <c r="S646" s="44"/>
      <c r="T646" s="44"/>
      <c r="U646" s="44"/>
      <c r="V646" s="44"/>
      <c r="W646" s="44"/>
      <c r="X646" s="44"/>
      <c r="Y646" s="44"/>
      <c r="Z646" s="44"/>
      <c r="AA646" s="44"/>
      <c r="AB646" s="44"/>
    </row>
    <row r="647">
      <c r="A647" s="51"/>
      <c r="B647" s="43"/>
      <c r="C647" s="74"/>
      <c r="D647" s="75"/>
      <c r="E647" s="76"/>
      <c r="F647" s="76"/>
      <c r="G647" s="76"/>
      <c r="H647" s="76"/>
      <c r="I647" s="76"/>
      <c r="J647" s="43"/>
      <c r="K647" s="44"/>
      <c r="L647" s="44"/>
      <c r="M647" s="44"/>
      <c r="N647" s="44"/>
      <c r="O647" s="44"/>
      <c r="P647" s="44"/>
      <c r="Q647" s="44"/>
      <c r="R647" s="44"/>
      <c r="S647" s="44"/>
      <c r="T647" s="44"/>
      <c r="U647" s="44"/>
      <c r="V647" s="44"/>
      <c r="W647" s="44"/>
      <c r="X647" s="44"/>
      <c r="Y647" s="44"/>
      <c r="Z647" s="44"/>
      <c r="AA647" s="44"/>
      <c r="AB647" s="44"/>
    </row>
    <row r="648">
      <c r="A648" s="51"/>
      <c r="B648" s="43"/>
      <c r="C648" s="74"/>
      <c r="D648" s="75"/>
      <c r="E648" s="76"/>
      <c r="F648" s="76"/>
      <c r="G648" s="76"/>
      <c r="H648" s="76"/>
      <c r="I648" s="76"/>
      <c r="J648" s="43"/>
      <c r="K648" s="44"/>
      <c r="L648" s="44"/>
      <c r="M648" s="44"/>
      <c r="N648" s="44"/>
      <c r="O648" s="44"/>
      <c r="P648" s="44"/>
      <c r="Q648" s="44"/>
      <c r="R648" s="44"/>
      <c r="S648" s="44"/>
      <c r="T648" s="44"/>
      <c r="U648" s="44"/>
      <c r="V648" s="44"/>
      <c r="W648" s="44"/>
      <c r="X648" s="44"/>
      <c r="Y648" s="44"/>
      <c r="Z648" s="44"/>
      <c r="AA648" s="44"/>
      <c r="AB648" s="44"/>
    </row>
    <row r="649">
      <c r="A649" s="51"/>
      <c r="B649" s="43"/>
      <c r="C649" s="74"/>
      <c r="D649" s="75"/>
      <c r="E649" s="76"/>
      <c r="F649" s="76"/>
      <c r="G649" s="76"/>
      <c r="H649" s="76"/>
      <c r="I649" s="76"/>
      <c r="J649" s="43"/>
      <c r="K649" s="44"/>
      <c r="L649" s="44"/>
      <c r="M649" s="44"/>
      <c r="N649" s="44"/>
      <c r="O649" s="44"/>
      <c r="P649" s="44"/>
      <c r="Q649" s="44"/>
      <c r="R649" s="44"/>
      <c r="S649" s="44"/>
      <c r="T649" s="44"/>
      <c r="U649" s="44"/>
      <c r="V649" s="44"/>
      <c r="W649" s="44"/>
      <c r="X649" s="44"/>
      <c r="Y649" s="44"/>
      <c r="Z649" s="44"/>
      <c r="AA649" s="44"/>
      <c r="AB649" s="44"/>
    </row>
    <row r="650">
      <c r="A650" s="51"/>
      <c r="B650" s="43"/>
      <c r="C650" s="74"/>
      <c r="D650" s="75"/>
      <c r="E650" s="76"/>
      <c r="F650" s="76"/>
      <c r="G650" s="76"/>
      <c r="H650" s="76"/>
      <c r="I650" s="76"/>
      <c r="J650" s="43"/>
      <c r="K650" s="44"/>
      <c r="L650" s="44"/>
      <c r="M650" s="44"/>
      <c r="N650" s="44"/>
      <c r="O650" s="44"/>
      <c r="P650" s="44"/>
      <c r="Q650" s="44"/>
      <c r="R650" s="44"/>
      <c r="S650" s="44"/>
      <c r="T650" s="44"/>
      <c r="U650" s="44"/>
      <c r="V650" s="44"/>
      <c r="W650" s="44"/>
      <c r="X650" s="44"/>
      <c r="Y650" s="44"/>
      <c r="Z650" s="44"/>
      <c r="AA650" s="44"/>
      <c r="AB650" s="44"/>
    </row>
    <row r="651">
      <c r="A651" s="51"/>
      <c r="B651" s="43"/>
      <c r="C651" s="74"/>
      <c r="D651" s="75"/>
      <c r="E651" s="76"/>
      <c r="F651" s="76"/>
      <c r="G651" s="76"/>
      <c r="H651" s="76"/>
      <c r="I651" s="76"/>
      <c r="J651" s="43"/>
      <c r="K651" s="44"/>
      <c r="L651" s="44"/>
      <c r="M651" s="44"/>
      <c r="N651" s="44"/>
      <c r="O651" s="44"/>
      <c r="P651" s="44"/>
      <c r="Q651" s="44"/>
      <c r="R651" s="44"/>
      <c r="S651" s="44"/>
      <c r="T651" s="44"/>
      <c r="U651" s="44"/>
      <c r="V651" s="44"/>
      <c r="W651" s="44"/>
      <c r="X651" s="44"/>
      <c r="Y651" s="44"/>
      <c r="Z651" s="44"/>
      <c r="AA651" s="44"/>
      <c r="AB651" s="44"/>
    </row>
    <row r="652">
      <c r="A652" s="51"/>
      <c r="B652" s="43"/>
      <c r="C652" s="74"/>
      <c r="D652" s="75"/>
      <c r="E652" s="76"/>
      <c r="F652" s="76"/>
      <c r="G652" s="76"/>
      <c r="H652" s="76"/>
      <c r="I652" s="76"/>
      <c r="J652" s="43"/>
      <c r="K652" s="44"/>
      <c r="L652" s="44"/>
      <c r="M652" s="44"/>
      <c r="N652" s="44"/>
      <c r="O652" s="44"/>
      <c r="P652" s="44"/>
      <c r="Q652" s="44"/>
      <c r="R652" s="44"/>
      <c r="S652" s="44"/>
      <c r="T652" s="44"/>
      <c r="U652" s="44"/>
      <c r="V652" s="44"/>
      <c r="W652" s="44"/>
      <c r="X652" s="44"/>
      <c r="Y652" s="44"/>
      <c r="Z652" s="44"/>
      <c r="AA652" s="44"/>
      <c r="AB652" s="44"/>
    </row>
    <row r="653">
      <c r="A653" s="51"/>
      <c r="B653" s="43"/>
      <c r="C653" s="74"/>
      <c r="D653" s="75"/>
      <c r="E653" s="76"/>
      <c r="F653" s="76"/>
      <c r="G653" s="76"/>
      <c r="H653" s="76"/>
      <c r="I653" s="76"/>
      <c r="J653" s="43"/>
      <c r="K653" s="44"/>
      <c r="L653" s="44"/>
      <c r="M653" s="44"/>
      <c r="N653" s="44"/>
      <c r="O653" s="44"/>
      <c r="P653" s="44"/>
      <c r="Q653" s="44"/>
      <c r="R653" s="44"/>
      <c r="S653" s="44"/>
      <c r="T653" s="44"/>
      <c r="U653" s="44"/>
      <c r="V653" s="44"/>
      <c r="W653" s="44"/>
      <c r="X653" s="44"/>
      <c r="Y653" s="44"/>
      <c r="Z653" s="44"/>
      <c r="AA653" s="44"/>
      <c r="AB653" s="44"/>
    </row>
    <row r="654">
      <c r="A654" s="51"/>
      <c r="B654" s="43"/>
      <c r="C654" s="74"/>
      <c r="D654" s="75"/>
      <c r="E654" s="76"/>
      <c r="F654" s="76"/>
      <c r="G654" s="76"/>
      <c r="H654" s="76"/>
      <c r="I654" s="76"/>
      <c r="J654" s="43"/>
      <c r="K654" s="44"/>
      <c r="L654" s="44"/>
      <c r="M654" s="44"/>
      <c r="N654" s="44"/>
      <c r="O654" s="44"/>
      <c r="P654" s="44"/>
      <c r="Q654" s="44"/>
      <c r="R654" s="44"/>
      <c r="S654" s="44"/>
      <c r="T654" s="44"/>
      <c r="U654" s="44"/>
      <c r="V654" s="44"/>
      <c r="W654" s="44"/>
      <c r="X654" s="44"/>
      <c r="Y654" s="44"/>
      <c r="Z654" s="44"/>
      <c r="AA654" s="44"/>
      <c r="AB654" s="44"/>
    </row>
    <row r="655">
      <c r="A655" s="51"/>
      <c r="B655" s="43"/>
      <c r="C655" s="74"/>
      <c r="D655" s="75"/>
      <c r="E655" s="76"/>
      <c r="F655" s="76"/>
      <c r="G655" s="76"/>
      <c r="H655" s="76"/>
      <c r="I655" s="76"/>
      <c r="J655" s="43"/>
      <c r="K655" s="44"/>
      <c r="L655" s="44"/>
      <c r="M655" s="44"/>
      <c r="N655" s="44"/>
      <c r="O655" s="44"/>
      <c r="P655" s="44"/>
      <c r="Q655" s="44"/>
      <c r="R655" s="44"/>
      <c r="S655" s="44"/>
      <c r="T655" s="44"/>
      <c r="U655" s="44"/>
      <c r="V655" s="44"/>
      <c r="W655" s="44"/>
      <c r="X655" s="44"/>
      <c r="Y655" s="44"/>
      <c r="Z655" s="44"/>
      <c r="AA655" s="44"/>
      <c r="AB655" s="44"/>
    </row>
    <row r="656">
      <c r="A656" s="51"/>
      <c r="B656" s="43"/>
      <c r="C656" s="74"/>
      <c r="D656" s="75"/>
      <c r="E656" s="76"/>
      <c r="F656" s="76"/>
      <c r="G656" s="76"/>
      <c r="H656" s="76"/>
      <c r="I656" s="76"/>
      <c r="J656" s="43"/>
      <c r="K656" s="44"/>
      <c r="L656" s="44"/>
      <c r="M656" s="44"/>
      <c r="N656" s="44"/>
      <c r="O656" s="44"/>
      <c r="P656" s="44"/>
      <c r="Q656" s="44"/>
      <c r="R656" s="44"/>
      <c r="S656" s="44"/>
      <c r="T656" s="44"/>
      <c r="U656" s="44"/>
      <c r="V656" s="44"/>
      <c r="W656" s="44"/>
      <c r="X656" s="44"/>
      <c r="Y656" s="44"/>
      <c r="Z656" s="44"/>
      <c r="AA656" s="44"/>
      <c r="AB656" s="44"/>
    </row>
    <row r="657">
      <c r="A657" s="51"/>
      <c r="B657" s="43"/>
      <c r="C657" s="74"/>
      <c r="D657" s="75"/>
      <c r="E657" s="76"/>
      <c r="F657" s="76"/>
      <c r="G657" s="76"/>
      <c r="H657" s="76"/>
      <c r="I657" s="76"/>
      <c r="J657" s="43"/>
      <c r="K657" s="44"/>
      <c r="L657" s="44"/>
      <c r="M657" s="44"/>
      <c r="N657" s="44"/>
      <c r="O657" s="44"/>
      <c r="P657" s="44"/>
      <c r="Q657" s="44"/>
      <c r="R657" s="44"/>
      <c r="S657" s="44"/>
      <c r="T657" s="44"/>
      <c r="U657" s="44"/>
      <c r="V657" s="44"/>
      <c r="W657" s="44"/>
      <c r="X657" s="44"/>
      <c r="Y657" s="44"/>
      <c r="Z657" s="44"/>
      <c r="AA657" s="44"/>
      <c r="AB657" s="44"/>
    </row>
    <row r="658">
      <c r="A658" s="51"/>
      <c r="B658" s="43"/>
      <c r="C658" s="74"/>
      <c r="D658" s="75"/>
      <c r="E658" s="76"/>
      <c r="F658" s="76"/>
      <c r="G658" s="76"/>
      <c r="H658" s="76"/>
      <c r="I658" s="76"/>
      <c r="J658" s="43"/>
      <c r="K658" s="44"/>
      <c r="L658" s="44"/>
      <c r="M658" s="44"/>
      <c r="N658" s="44"/>
      <c r="O658" s="44"/>
      <c r="P658" s="44"/>
      <c r="Q658" s="44"/>
      <c r="R658" s="44"/>
      <c r="S658" s="44"/>
      <c r="T658" s="44"/>
      <c r="U658" s="44"/>
      <c r="V658" s="44"/>
      <c r="W658" s="44"/>
      <c r="X658" s="44"/>
      <c r="Y658" s="44"/>
      <c r="Z658" s="44"/>
      <c r="AA658" s="44"/>
      <c r="AB658" s="44"/>
    </row>
    <row r="659">
      <c r="A659" s="51"/>
      <c r="B659" s="43"/>
      <c r="C659" s="74"/>
      <c r="D659" s="75"/>
      <c r="E659" s="76"/>
      <c r="F659" s="76"/>
      <c r="G659" s="76"/>
      <c r="H659" s="76"/>
      <c r="I659" s="76"/>
      <c r="J659" s="43"/>
      <c r="K659" s="44"/>
      <c r="L659" s="44"/>
      <c r="M659" s="44"/>
      <c r="N659" s="44"/>
      <c r="O659" s="44"/>
      <c r="P659" s="44"/>
      <c r="Q659" s="44"/>
      <c r="R659" s="44"/>
      <c r="S659" s="44"/>
      <c r="T659" s="44"/>
      <c r="U659" s="44"/>
      <c r="V659" s="44"/>
      <c r="W659" s="44"/>
      <c r="X659" s="44"/>
      <c r="Y659" s="44"/>
      <c r="Z659" s="44"/>
      <c r="AA659" s="44"/>
      <c r="AB659" s="44"/>
    </row>
    <row r="660">
      <c r="A660" s="51"/>
      <c r="B660" s="43"/>
      <c r="C660" s="74"/>
      <c r="D660" s="75"/>
      <c r="E660" s="76"/>
      <c r="F660" s="76"/>
      <c r="G660" s="76"/>
      <c r="H660" s="76"/>
      <c r="I660" s="76"/>
      <c r="J660" s="43"/>
      <c r="K660" s="44"/>
      <c r="L660" s="44"/>
      <c r="M660" s="44"/>
      <c r="N660" s="44"/>
      <c r="O660" s="44"/>
      <c r="P660" s="44"/>
      <c r="Q660" s="44"/>
      <c r="R660" s="44"/>
      <c r="S660" s="44"/>
      <c r="T660" s="44"/>
      <c r="U660" s="44"/>
      <c r="V660" s="44"/>
      <c r="W660" s="44"/>
      <c r="X660" s="44"/>
      <c r="Y660" s="44"/>
      <c r="Z660" s="44"/>
      <c r="AA660" s="44"/>
      <c r="AB660" s="44"/>
    </row>
    <row r="661">
      <c r="A661" s="51"/>
      <c r="B661" s="43"/>
      <c r="C661" s="74"/>
      <c r="D661" s="75"/>
      <c r="E661" s="76"/>
      <c r="F661" s="76"/>
      <c r="G661" s="76"/>
      <c r="H661" s="76"/>
      <c r="I661" s="76"/>
      <c r="J661" s="43"/>
      <c r="K661" s="44"/>
      <c r="L661" s="44"/>
      <c r="M661" s="44"/>
      <c r="N661" s="44"/>
      <c r="O661" s="44"/>
      <c r="P661" s="44"/>
      <c r="Q661" s="44"/>
      <c r="R661" s="44"/>
      <c r="S661" s="44"/>
      <c r="T661" s="44"/>
      <c r="U661" s="44"/>
      <c r="V661" s="44"/>
      <c r="W661" s="44"/>
      <c r="X661" s="44"/>
      <c r="Y661" s="44"/>
      <c r="Z661" s="44"/>
      <c r="AA661" s="44"/>
      <c r="AB661" s="44"/>
    </row>
    <row r="662">
      <c r="A662" s="51"/>
      <c r="B662" s="43"/>
      <c r="C662" s="74"/>
      <c r="D662" s="75"/>
      <c r="E662" s="76"/>
      <c r="F662" s="76"/>
      <c r="G662" s="76"/>
      <c r="H662" s="76"/>
      <c r="I662" s="76"/>
      <c r="J662" s="43"/>
      <c r="K662" s="44"/>
      <c r="L662" s="44"/>
      <c r="M662" s="44"/>
      <c r="N662" s="44"/>
      <c r="O662" s="44"/>
      <c r="P662" s="44"/>
      <c r="Q662" s="44"/>
      <c r="R662" s="44"/>
      <c r="S662" s="44"/>
      <c r="T662" s="44"/>
      <c r="U662" s="44"/>
      <c r="V662" s="44"/>
      <c r="W662" s="44"/>
      <c r="X662" s="44"/>
      <c r="Y662" s="44"/>
      <c r="Z662" s="44"/>
      <c r="AA662" s="44"/>
      <c r="AB662" s="44"/>
    </row>
    <row r="663">
      <c r="A663" s="51"/>
      <c r="B663" s="43"/>
      <c r="C663" s="74"/>
      <c r="D663" s="75"/>
      <c r="E663" s="76"/>
      <c r="F663" s="76"/>
      <c r="G663" s="76"/>
      <c r="H663" s="76"/>
      <c r="I663" s="76"/>
      <c r="J663" s="43"/>
      <c r="K663" s="44"/>
      <c r="L663" s="44"/>
      <c r="M663" s="44"/>
      <c r="N663" s="44"/>
      <c r="O663" s="44"/>
      <c r="P663" s="44"/>
      <c r="Q663" s="44"/>
      <c r="R663" s="44"/>
      <c r="S663" s="44"/>
      <c r="T663" s="44"/>
      <c r="U663" s="44"/>
      <c r="V663" s="44"/>
      <c r="W663" s="44"/>
      <c r="X663" s="44"/>
      <c r="Y663" s="44"/>
      <c r="Z663" s="44"/>
      <c r="AA663" s="44"/>
      <c r="AB663" s="44"/>
    </row>
    <row r="664">
      <c r="A664" s="51"/>
      <c r="B664" s="43"/>
      <c r="C664" s="74"/>
      <c r="D664" s="75"/>
      <c r="E664" s="76"/>
      <c r="F664" s="76"/>
      <c r="G664" s="76"/>
      <c r="H664" s="76"/>
      <c r="I664" s="76"/>
      <c r="J664" s="43"/>
      <c r="K664" s="44"/>
      <c r="L664" s="44"/>
      <c r="M664" s="44"/>
      <c r="N664" s="44"/>
      <c r="O664" s="44"/>
      <c r="P664" s="44"/>
      <c r="Q664" s="44"/>
      <c r="R664" s="44"/>
      <c r="S664" s="44"/>
      <c r="T664" s="44"/>
      <c r="U664" s="44"/>
      <c r="V664" s="44"/>
      <c r="W664" s="44"/>
      <c r="X664" s="44"/>
      <c r="Y664" s="44"/>
      <c r="Z664" s="44"/>
      <c r="AA664" s="44"/>
      <c r="AB664" s="44"/>
    </row>
    <row r="665">
      <c r="A665" s="51"/>
      <c r="B665" s="43"/>
      <c r="C665" s="74"/>
      <c r="D665" s="75"/>
      <c r="E665" s="76"/>
      <c r="F665" s="76"/>
      <c r="G665" s="76"/>
      <c r="H665" s="76"/>
      <c r="I665" s="76"/>
      <c r="J665" s="43"/>
      <c r="K665" s="44"/>
      <c r="L665" s="44"/>
      <c r="M665" s="44"/>
      <c r="N665" s="44"/>
      <c r="O665" s="44"/>
      <c r="P665" s="44"/>
      <c r="Q665" s="44"/>
      <c r="R665" s="44"/>
      <c r="S665" s="44"/>
      <c r="T665" s="44"/>
      <c r="U665" s="44"/>
      <c r="V665" s="44"/>
      <c r="W665" s="44"/>
      <c r="X665" s="44"/>
      <c r="Y665" s="44"/>
      <c r="Z665" s="44"/>
      <c r="AA665" s="44"/>
      <c r="AB665" s="44"/>
    </row>
    <row r="666">
      <c r="A666" s="51"/>
      <c r="B666" s="43"/>
      <c r="C666" s="74"/>
      <c r="D666" s="75"/>
      <c r="E666" s="76"/>
      <c r="F666" s="76"/>
      <c r="G666" s="76"/>
      <c r="H666" s="76"/>
      <c r="I666" s="76"/>
      <c r="J666" s="43"/>
      <c r="K666" s="44"/>
      <c r="L666" s="44"/>
      <c r="M666" s="44"/>
      <c r="N666" s="44"/>
      <c r="O666" s="44"/>
      <c r="P666" s="44"/>
      <c r="Q666" s="44"/>
      <c r="R666" s="44"/>
      <c r="S666" s="44"/>
      <c r="T666" s="44"/>
      <c r="U666" s="44"/>
      <c r="V666" s="44"/>
      <c r="W666" s="44"/>
      <c r="X666" s="44"/>
      <c r="Y666" s="44"/>
      <c r="Z666" s="44"/>
      <c r="AA666" s="44"/>
      <c r="AB666" s="44"/>
    </row>
    <row r="667">
      <c r="A667" s="51"/>
      <c r="B667" s="43"/>
      <c r="C667" s="74"/>
      <c r="D667" s="75"/>
      <c r="E667" s="76"/>
      <c r="F667" s="76"/>
      <c r="G667" s="76"/>
      <c r="H667" s="76"/>
      <c r="I667" s="76"/>
      <c r="J667" s="43"/>
      <c r="K667" s="44"/>
      <c r="L667" s="44"/>
      <c r="M667" s="44"/>
      <c r="N667" s="44"/>
      <c r="O667" s="44"/>
      <c r="P667" s="44"/>
      <c r="Q667" s="44"/>
      <c r="R667" s="44"/>
      <c r="S667" s="44"/>
      <c r="T667" s="44"/>
      <c r="U667" s="44"/>
      <c r="V667" s="44"/>
      <c r="W667" s="44"/>
      <c r="X667" s="44"/>
      <c r="Y667" s="44"/>
      <c r="Z667" s="44"/>
      <c r="AA667" s="44"/>
      <c r="AB667" s="44"/>
    </row>
    <row r="668">
      <c r="A668" s="51"/>
      <c r="B668" s="43"/>
      <c r="C668" s="74"/>
      <c r="D668" s="75"/>
      <c r="E668" s="76"/>
      <c r="F668" s="76"/>
      <c r="G668" s="76"/>
      <c r="H668" s="76"/>
      <c r="I668" s="76"/>
      <c r="J668" s="43"/>
      <c r="K668" s="44"/>
      <c r="L668" s="44"/>
      <c r="M668" s="44"/>
      <c r="N668" s="44"/>
      <c r="O668" s="44"/>
      <c r="P668" s="44"/>
      <c r="Q668" s="44"/>
      <c r="R668" s="44"/>
      <c r="S668" s="44"/>
      <c r="T668" s="44"/>
      <c r="U668" s="44"/>
      <c r="V668" s="44"/>
      <c r="W668" s="44"/>
      <c r="X668" s="44"/>
      <c r="Y668" s="44"/>
      <c r="Z668" s="44"/>
      <c r="AA668" s="44"/>
      <c r="AB668" s="44"/>
    </row>
    <row r="669">
      <c r="A669" s="51"/>
      <c r="B669" s="43"/>
      <c r="C669" s="74"/>
      <c r="D669" s="75"/>
      <c r="E669" s="76"/>
      <c r="F669" s="76"/>
      <c r="G669" s="76"/>
      <c r="H669" s="76"/>
      <c r="I669" s="76"/>
      <c r="J669" s="43"/>
      <c r="K669" s="44"/>
      <c r="L669" s="44"/>
      <c r="M669" s="44"/>
      <c r="N669" s="44"/>
      <c r="O669" s="44"/>
      <c r="P669" s="44"/>
      <c r="Q669" s="44"/>
      <c r="R669" s="44"/>
      <c r="S669" s="44"/>
      <c r="T669" s="44"/>
      <c r="U669" s="44"/>
      <c r="V669" s="44"/>
      <c r="W669" s="44"/>
      <c r="X669" s="44"/>
      <c r="Y669" s="44"/>
      <c r="Z669" s="44"/>
      <c r="AA669" s="44"/>
      <c r="AB669" s="44"/>
    </row>
    <row r="670">
      <c r="A670" s="51"/>
      <c r="B670" s="43"/>
      <c r="C670" s="74"/>
      <c r="D670" s="75"/>
      <c r="E670" s="76"/>
      <c r="F670" s="76"/>
      <c r="G670" s="76"/>
      <c r="H670" s="76"/>
      <c r="I670" s="76"/>
      <c r="J670" s="43"/>
      <c r="K670" s="44"/>
      <c r="L670" s="44"/>
      <c r="M670" s="44"/>
      <c r="N670" s="44"/>
      <c r="O670" s="44"/>
      <c r="P670" s="44"/>
      <c r="Q670" s="44"/>
      <c r="R670" s="44"/>
      <c r="S670" s="44"/>
      <c r="T670" s="44"/>
      <c r="U670" s="44"/>
      <c r="V670" s="44"/>
      <c r="W670" s="44"/>
      <c r="X670" s="44"/>
      <c r="Y670" s="44"/>
      <c r="Z670" s="44"/>
      <c r="AA670" s="44"/>
      <c r="AB670" s="44"/>
    </row>
    <row r="671">
      <c r="A671" s="51"/>
      <c r="B671" s="43"/>
      <c r="C671" s="74"/>
      <c r="D671" s="75"/>
      <c r="E671" s="76"/>
      <c r="F671" s="76"/>
      <c r="G671" s="76"/>
      <c r="H671" s="76"/>
      <c r="I671" s="76"/>
      <c r="J671" s="43"/>
      <c r="K671" s="44"/>
      <c r="L671" s="44"/>
      <c r="M671" s="44"/>
      <c r="N671" s="44"/>
      <c r="O671" s="44"/>
      <c r="P671" s="44"/>
      <c r="Q671" s="44"/>
      <c r="R671" s="44"/>
      <c r="S671" s="44"/>
      <c r="T671" s="44"/>
      <c r="U671" s="44"/>
      <c r="V671" s="44"/>
      <c r="W671" s="44"/>
      <c r="X671" s="44"/>
      <c r="Y671" s="44"/>
      <c r="Z671" s="44"/>
      <c r="AA671" s="44"/>
      <c r="AB671" s="44"/>
    </row>
    <row r="672">
      <c r="A672" s="51"/>
      <c r="B672" s="43"/>
      <c r="C672" s="74"/>
      <c r="D672" s="75"/>
      <c r="E672" s="76"/>
      <c r="F672" s="76"/>
      <c r="G672" s="76"/>
      <c r="H672" s="76"/>
      <c r="I672" s="76"/>
      <c r="J672" s="43"/>
      <c r="K672" s="44"/>
      <c r="L672" s="44"/>
      <c r="M672" s="44"/>
      <c r="N672" s="44"/>
      <c r="O672" s="44"/>
      <c r="P672" s="44"/>
      <c r="Q672" s="44"/>
      <c r="R672" s="44"/>
      <c r="S672" s="44"/>
      <c r="T672" s="44"/>
      <c r="U672" s="44"/>
      <c r="V672" s="44"/>
      <c r="W672" s="44"/>
      <c r="X672" s="44"/>
      <c r="Y672" s="44"/>
      <c r="Z672" s="44"/>
      <c r="AA672" s="44"/>
      <c r="AB672" s="44"/>
    </row>
    <row r="673">
      <c r="A673" s="51"/>
      <c r="B673" s="43"/>
      <c r="C673" s="74"/>
      <c r="D673" s="75"/>
      <c r="E673" s="76"/>
      <c r="F673" s="76"/>
      <c r="G673" s="76"/>
      <c r="H673" s="76"/>
      <c r="I673" s="76"/>
      <c r="J673" s="43"/>
      <c r="K673" s="44"/>
      <c r="L673" s="44"/>
      <c r="M673" s="44"/>
      <c r="N673" s="44"/>
      <c r="O673" s="44"/>
      <c r="P673" s="44"/>
      <c r="Q673" s="44"/>
      <c r="R673" s="44"/>
      <c r="S673" s="44"/>
      <c r="T673" s="44"/>
      <c r="U673" s="44"/>
      <c r="V673" s="44"/>
      <c r="W673" s="44"/>
      <c r="X673" s="44"/>
      <c r="Y673" s="44"/>
      <c r="Z673" s="44"/>
      <c r="AA673" s="44"/>
      <c r="AB673" s="44"/>
    </row>
    <row r="674">
      <c r="A674" s="51"/>
      <c r="B674" s="43"/>
      <c r="C674" s="74"/>
      <c r="D674" s="75"/>
      <c r="E674" s="76"/>
      <c r="F674" s="76"/>
      <c r="G674" s="76"/>
      <c r="H674" s="76"/>
      <c r="I674" s="76"/>
      <c r="J674" s="43"/>
      <c r="K674" s="44"/>
      <c r="L674" s="44"/>
      <c r="M674" s="44"/>
      <c r="N674" s="44"/>
      <c r="O674" s="44"/>
      <c r="P674" s="44"/>
      <c r="Q674" s="44"/>
      <c r="R674" s="44"/>
      <c r="S674" s="44"/>
      <c r="T674" s="44"/>
      <c r="U674" s="44"/>
      <c r="V674" s="44"/>
      <c r="W674" s="44"/>
      <c r="X674" s="44"/>
      <c r="Y674" s="44"/>
      <c r="Z674" s="44"/>
      <c r="AA674" s="44"/>
      <c r="AB674" s="44"/>
    </row>
    <row r="675">
      <c r="A675" s="51"/>
      <c r="B675" s="43"/>
      <c r="C675" s="74"/>
      <c r="D675" s="75"/>
      <c r="E675" s="76"/>
      <c r="F675" s="76"/>
      <c r="G675" s="76"/>
      <c r="H675" s="76"/>
      <c r="I675" s="76"/>
      <c r="J675" s="43"/>
      <c r="K675" s="44"/>
      <c r="L675" s="44"/>
      <c r="M675" s="44"/>
      <c r="N675" s="44"/>
      <c r="O675" s="44"/>
      <c r="P675" s="44"/>
      <c r="Q675" s="44"/>
      <c r="R675" s="44"/>
      <c r="S675" s="44"/>
      <c r="T675" s="44"/>
      <c r="U675" s="44"/>
      <c r="V675" s="44"/>
      <c r="W675" s="44"/>
      <c r="X675" s="44"/>
      <c r="Y675" s="44"/>
      <c r="Z675" s="44"/>
      <c r="AA675" s="44"/>
      <c r="AB675" s="44"/>
    </row>
    <row r="676">
      <c r="A676" s="51"/>
      <c r="B676" s="43"/>
      <c r="C676" s="74"/>
      <c r="D676" s="75"/>
      <c r="E676" s="76"/>
      <c r="F676" s="76"/>
      <c r="G676" s="76"/>
      <c r="H676" s="76"/>
      <c r="I676" s="76"/>
      <c r="J676" s="43"/>
      <c r="K676" s="44"/>
      <c r="L676" s="44"/>
      <c r="M676" s="44"/>
      <c r="N676" s="44"/>
      <c r="O676" s="44"/>
      <c r="P676" s="44"/>
      <c r="Q676" s="44"/>
      <c r="R676" s="44"/>
      <c r="S676" s="44"/>
      <c r="T676" s="44"/>
      <c r="U676" s="44"/>
      <c r="V676" s="44"/>
      <c r="W676" s="44"/>
      <c r="X676" s="44"/>
      <c r="Y676" s="44"/>
      <c r="Z676" s="44"/>
      <c r="AA676" s="44"/>
      <c r="AB676" s="44"/>
    </row>
    <row r="677">
      <c r="A677" s="51"/>
      <c r="B677" s="43"/>
      <c r="C677" s="74"/>
      <c r="D677" s="75"/>
      <c r="E677" s="76"/>
      <c r="F677" s="76"/>
      <c r="G677" s="76"/>
      <c r="H677" s="76"/>
      <c r="I677" s="76"/>
      <c r="J677" s="43"/>
      <c r="K677" s="44"/>
      <c r="L677" s="44"/>
      <c r="M677" s="44"/>
      <c r="N677" s="44"/>
      <c r="O677" s="44"/>
      <c r="P677" s="44"/>
      <c r="Q677" s="44"/>
      <c r="R677" s="44"/>
      <c r="S677" s="44"/>
      <c r="T677" s="44"/>
      <c r="U677" s="44"/>
      <c r="V677" s="44"/>
      <c r="W677" s="44"/>
      <c r="X677" s="44"/>
      <c r="Y677" s="44"/>
      <c r="Z677" s="44"/>
      <c r="AA677" s="44"/>
      <c r="AB677" s="44"/>
    </row>
    <row r="678">
      <c r="A678" s="51"/>
      <c r="B678" s="43"/>
      <c r="C678" s="74"/>
      <c r="D678" s="75"/>
      <c r="E678" s="76"/>
      <c r="F678" s="76"/>
      <c r="G678" s="76"/>
      <c r="H678" s="76"/>
      <c r="I678" s="76"/>
      <c r="J678" s="43"/>
      <c r="K678" s="44"/>
      <c r="L678" s="44"/>
      <c r="M678" s="44"/>
      <c r="N678" s="44"/>
      <c r="O678" s="44"/>
      <c r="P678" s="44"/>
      <c r="Q678" s="44"/>
      <c r="R678" s="44"/>
      <c r="S678" s="44"/>
      <c r="T678" s="44"/>
      <c r="U678" s="44"/>
      <c r="V678" s="44"/>
      <c r="W678" s="44"/>
      <c r="X678" s="44"/>
      <c r="Y678" s="44"/>
      <c r="Z678" s="44"/>
      <c r="AA678" s="44"/>
      <c r="AB678" s="44"/>
    </row>
    <row r="679">
      <c r="A679" s="51"/>
      <c r="B679" s="43"/>
      <c r="C679" s="74"/>
      <c r="D679" s="75"/>
      <c r="E679" s="76"/>
      <c r="F679" s="76"/>
      <c r="G679" s="76"/>
      <c r="H679" s="76"/>
      <c r="I679" s="76"/>
      <c r="J679" s="43"/>
      <c r="K679" s="44"/>
      <c r="L679" s="44"/>
      <c r="M679" s="44"/>
      <c r="N679" s="44"/>
      <c r="O679" s="44"/>
      <c r="P679" s="44"/>
      <c r="Q679" s="44"/>
      <c r="R679" s="44"/>
      <c r="S679" s="44"/>
      <c r="T679" s="44"/>
      <c r="U679" s="44"/>
      <c r="V679" s="44"/>
      <c r="W679" s="44"/>
      <c r="X679" s="44"/>
      <c r="Y679" s="44"/>
      <c r="Z679" s="44"/>
      <c r="AA679" s="44"/>
      <c r="AB679" s="44"/>
    </row>
    <row r="680">
      <c r="A680" s="51"/>
      <c r="B680" s="43"/>
      <c r="C680" s="74"/>
      <c r="D680" s="75"/>
      <c r="E680" s="76"/>
      <c r="F680" s="76"/>
      <c r="G680" s="76"/>
      <c r="H680" s="76"/>
      <c r="I680" s="76"/>
      <c r="J680" s="43"/>
      <c r="K680" s="44"/>
      <c r="L680" s="44"/>
      <c r="M680" s="44"/>
      <c r="N680" s="44"/>
      <c r="O680" s="44"/>
      <c r="P680" s="44"/>
      <c r="Q680" s="44"/>
      <c r="R680" s="44"/>
      <c r="S680" s="44"/>
      <c r="T680" s="44"/>
      <c r="U680" s="44"/>
      <c r="V680" s="44"/>
      <c r="W680" s="44"/>
      <c r="X680" s="44"/>
      <c r="Y680" s="44"/>
      <c r="Z680" s="44"/>
      <c r="AA680" s="44"/>
      <c r="AB680" s="44"/>
    </row>
    <row r="681">
      <c r="A681" s="51"/>
      <c r="B681" s="43"/>
      <c r="C681" s="74"/>
      <c r="D681" s="75"/>
      <c r="E681" s="76"/>
      <c r="F681" s="76"/>
      <c r="G681" s="76"/>
      <c r="H681" s="76"/>
      <c r="I681" s="76"/>
      <c r="J681" s="43"/>
      <c r="K681" s="44"/>
      <c r="L681" s="44"/>
      <c r="M681" s="44"/>
      <c r="N681" s="44"/>
      <c r="O681" s="44"/>
      <c r="P681" s="44"/>
      <c r="Q681" s="44"/>
      <c r="R681" s="44"/>
      <c r="S681" s="44"/>
      <c r="T681" s="44"/>
      <c r="U681" s="44"/>
      <c r="V681" s="44"/>
      <c r="W681" s="44"/>
      <c r="X681" s="44"/>
      <c r="Y681" s="44"/>
      <c r="Z681" s="44"/>
      <c r="AA681" s="44"/>
      <c r="AB681" s="44"/>
    </row>
    <row r="682">
      <c r="A682" s="51"/>
      <c r="B682" s="43"/>
      <c r="C682" s="74"/>
      <c r="D682" s="75"/>
      <c r="E682" s="76"/>
      <c r="F682" s="76"/>
      <c r="G682" s="76"/>
      <c r="H682" s="76"/>
      <c r="I682" s="76"/>
      <c r="J682" s="43"/>
      <c r="K682" s="44"/>
      <c r="L682" s="44"/>
      <c r="M682" s="44"/>
      <c r="N682" s="44"/>
      <c r="O682" s="44"/>
      <c r="P682" s="44"/>
      <c r="Q682" s="44"/>
      <c r="R682" s="44"/>
      <c r="S682" s="44"/>
      <c r="T682" s="44"/>
      <c r="U682" s="44"/>
      <c r="V682" s="44"/>
      <c r="W682" s="44"/>
      <c r="X682" s="44"/>
      <c r="Y682" s="44"/>
      <c r="Z682" s="44"/>
      <c r="AA682" s="44"/>
      <c r="AB682" s="44"/>
    </row>
    <row r="683">
      <c r="A683" s="51"/>
      <c r="B683" s="43"/>
      <c r="C683" s="74"/>
      <c r="D683" s="75"/>
      <c r="E683" s="76"/>
      <c r="F683" s="76"/>
      <c r="G683" s="76"/>
      <c r="H683" s="76"/>
      <c r="I683" s="76"/>
      <c r="J683" s="43"/>
      <c r="K683" s="44"/>
      <c r="L683" s="44"/>
      <c r="M683" s="44"/>
      <c r="N683" s="44"/>
      <c r="O683" s="44"/>
      <c r="P683" s="44"/>
      <c r="Q683" s="44"/>
      <c r="R683" s="44"/>
      <c r="S683" s="44"/>
      <c r="T683" s="44"/>
      <c r="U683" s="44"/>
      <c r="V683" s="44"/>
      <c r="W683" s="44"/>
      <c r="X683" s="44"/>
      <c r="Y683" s="44"/>
      <c r="Z683" s="44"/>
      <c r="AA683" s="44"/>
      <c r="AB683" s="44"/>
    </row>
    <row r="684">
      <c r="A684" s="51"/>
      <c r="B684" s="43"/>
      <c r="C684" s="74"/>
      <c r="D684" s="75"/>
      <c r="E684" s="76"/>
      <c r="F684" s="76"/>
      <c r="G684" s="76"/>
      <c r="H684" s="76"/>
      <c r="I684" s="76"/>
      <c r="J684" s="43"/>
      <c r="K684" s="44"/>
      <c r="L684" s="44"/>
      <c r="M684" s="44"/>
      <c r="N684" s="44"/>
      <c r="O684" s="44"/>
      <c r="P684" s="44"/>
      <c r="Q684" s="44"/>
      <c r="R684" s="44"/>
      <c r="S684" s="44"/>
      <c r="T684" s="44"/>
      <c r="U684" s="44"/>
      <c r="V684" s="44"/>
      <c r="W684" s="44"/>
      <c r="X684" s="44"/>
      <c r="Y684" s="44"/>
      <c r="Z684" s="44"/>
      <c r="AA684" s="44"/>
      <c r="AB684" s="44"/>
    </row>
    <row r="685">
      <c r="A685" s="51"/>
      <c r="B685" s="43"/>
      <c r="C685" s="74"/>
      <c r="D685" s="75"/>
      <c r="E685" s="76"/>
      <c r="F685" s="76"/>
      <c r="G685" s="76"/>
      <c r="H685" s="76"/>
      <c r="I685" s="76"/>
      <c r="J685" s="43"/>
      <c r="K685" s="44"/>
      <c r="L685" s="44"/>
      <c r="M685" s="44"/>
      <c r="N685" s="44"/>
      <c r="O685" s="44"/>
      <c r="P685" s="44"/>
      <c r="Q685" s="44"/>
      <c r="R685" s="44"/>
      <c r="S685" s="44"/>
      <c r="T685" s="44"/>
      <c r="U685" s="44"/>
      <c r="V685" s="44"/>
      <c r="W685" s="44"/>
      <c r="X685" s="44"/>
      <c r="Y685" s="44"/>
      <c r="Z685" s="44"/>
      <c r="AA685" s="44"/>
      <c r="AB685" s="44"/>
    </row>
    <row r="686">
      <c r="A686" s="51"/>
      <c r="B686" s="43"/>
      <c r="C686" s="74"/>
      <c r="D686" s="75"/>
      <c r="E686" s="76"/>
      <c r="F686" s="76"/>
      <c r="G686" s="76"/>
      <c r="H686" s="76"/>
      <c r="I686" s="76"/>
      <c r="J686" s="43"/>
      <c r="K686" s="44"/>
      <c r="L686" s="44"/>
      <c r="M686" s="44"/>
      <c r="N686" s="44"/>
      <c r="O686" s="44"/>
      <c r="P686" s="44"/>
      <c r="Q686" s="44"/>
      <c r="R686" s="44"/>
      <c r="S686" s="44"/>
      <c r="T686" s="44"/>
      <c r="U686" s="44"/>
      <c r="V686" s="44"/>
      <c r="W686" s="44"/>
      <c r="X686" s="44"/>
      <c r="Y686" s="44"/>
      <c r="Z686" s="44"/>
      <c r="AA686" s="44"/>
      <c r="AB686" s="44"/>
    </row>
    <row r="687">
      <c r="A687" s="51"/>
      <c r="B687" s="43"/>
      <c r="C687" s="74"/>
      <c r="D687" s="75"/>
      <c r="E687" s="76"/>
      <c r="F687" s="76"/>
      <c r="G687" s="76"/>
      <c r="H687" s="76"/>
      <c r="I687" s="76"/>
      <c r="J687" s="43"/>
      <c r="K687" s="44"/>
      <c r="L687" s="44"/>
      <c r="M687" s="44"/>
      <c r="N687" s="44"/>
      <c r="O687" s="44"/>
      <c r="P687" s="44"/>
      <c r="Q687" s="44"/>
      <c r="R687" s="44"/>
      <c r="S687" s="44"/>
      <c r="T687" s="44"/>
      <c r="U687" s="44"/>
      <c r="V687" s="44"/>
      <c r="W687" s="44"/>
      <c r="X687" s="44"/>
      <c r="Y687" s="44"/>
      <c r="Z687" s="44"/>
      <c r="AA687" s="44"/>
      <c r="AB687" s="44"/>
    </row>
    <row r="688">
      <c r="A688" s="51"/>
      <c r="B688" s="43"/>
      <c r="C688" s="74"/>
      <c r="D688" s="75"/>
      <c r="E688" s="76"/>
      <c r="F688" s="76"/>
      <c r="G688" s="76"/>
      <c r="H688" s="76"/>
      <c r="I688" s="76"/>
      <c r="J688" s="43"/>
      <c r="K688" s="44"/>
      <c r="L688" s="44"/>
      <c r="M688" s="44"/>
      <c r="N688" s="44"/>
      <c r="O688" s="44"/>
      <c r="P688" s="44"/>
      <c r="Q688" s="44"/>
      <c r="R688" s="44"/>
      <c r="S688" s="44"/>
      <c r="T688" s="44"/>
      <c r="U688" s="44"/>
      <c r="V688" s="44"/>
      <c r="W688" s="44"/>
      <c r="X688" s="44"/>
      <c r="Y688" s="44"/>
      <c r="Z688" s="44"/>
      <c r="AA688" s="44"/>
      <c r="AB688" s="44"/>
    </row>
    <row r="689">
      <c r="A689" s="51"/>
      <c r="B689" s="43"/>
      <c r="C689" s="74"/>
      <c r="D689" s="75"/>
      <c r="E689" s="76"/>
      <c r="F689" s="76"/>
      <c r="G689" s="76"/>
      <c r="H689" s="76"/>
      <c r="I689" s="76"/>
      <c r="J689" s="43"/>
      <c r="K689" s="44"/>
      <c r="L689" s="44"/>
      <c r="M689" s="44"/>
      <c r="N689" s="44"/>
      <c r="O689" s="44"/>
      <c r="P689" s="44"/>
      <c r="Q689" s="44"/>
      <c r="R689" s="44"/>
      <c r="S689" s="44"/>
      <c r="T689" s="44"/>
      <c r="U689" s="44"/>
      <c r="V689" s="44"/>
      <c r="W689" s="44"/>
      <c r="X689" s="44"/>
      <c r="Y689" s="44"/>
      <c r="Z689" s="44"/>
      <c r="AA689" s="44"/>
      <c r="AB689" s="44"/>
    </row>
    <row r="690">
      <c r="A690" s="51"/>
      <c r="B690" s="43"/>
      <c r="C690" s="74"/>
      <c r="D690" s="75"/>
      <c r="E690" s="76"/>
      <c r="F690" s="76"/>
      <c r="G690" s="76"/>
      <c r="H690" s="76"/>
      <c r="I690" s="76"/>
      <c r="J690" s="43"/>
      <c r="K690" s="44"/>
      <c r="L690" s="44"/>
      <c r="M690" s="44"/>
      <c r="N690" s="44"/>
      <c r="O690" s="44"/>
      <c r="P690" s="44"/>
      <c r="Q690" s="44"/>
      <c r="R690" s="44"/>
      <c r="S690" s="44"/>
      <c r="T690" s="44"/>
      <c r="U690" s="44"/>
      <c r="V690" s="44"/>
      <c r="W690" s="44"/>
      <c r="X690" s="44"/>
      <c r="Y690" s="44"/>
      <c r="Z690" s="44"/>
      <c r="AA690" s="44"/>
      <c r="AB690" s="44"/>
    </row>
    <row r="691">
      <c r="A691" s="51"/>
      <c r="B691" s="43"/>
      <c r="C691" s="74"/>
      <c r="D691" s="75"/>
      <c r="E691" s="76"/>
      <c r="F691" s="76"/>
      <c r="G691" s="76"/>
      <c r="H691" s="76"/>
      <c r="I691" s="76"/>
      <c r="J691" s="43"/>
      <c r="K691" s="44"/>
      <c r="L691" s="44"/>
      <c r="M691" s="44"/>
      <c r="N691" s="44"/>
      <c r="O691" s="44"/>
      <c r="P691" s="44"/>
      <c r="Q691" s="44"/>
      <c r="R691" s="44"/>
      <c r="S691" s="44"/>
      <c r="T691" s="44"/>
      <c r="U691" s="44"/>
      <c r="V691" s="44"/>
      <c r="W691" s="44"/>
      <c r="X691" s="44"/>
      <c r="Y691" s="44"/>
      <c r="Z691" s="44"/>
      <c r="AA691" s="44"/>
      <c r="AB691" s="44"/>
    </row>
    <row r="692">
      <c r="A692" s="51"/>
      <c r="B692" s="43"/>
      <c r="C692" s="74"/>
      <c r="D692" s="75"/>
      <c r="E692" s="76"/>
      <c r="F692" s="76"/>
      <c r="G692" s="76"/>
      <c r="H692" s="76"/>
      <c r="I692" s="76"/>
      <c r="J692" s="43"/>
      <c r="K692" s="44"/>
      <c r="L692" s="44"/>
      <c r="M692" s="44"/>
      <c r="N692" s="44"/>
      <c r="O692" s="44"/>
      <c r="P692" s="44"/>
      <c r="Q692" s="44"/>
      <c r="R692" s="44"/>
      <c r="S692" s="44"/>
      <c r="T692" s="44"/>
      <c r="U692" s="44"/>
      <c r="V692" s="44"/>
      <c r="W692" s="44"/>
      <c r="X692" s="44"/>
      <c r="Y692" s="44"/>
      <c r="Z692" s="44"/>
      <c r="AA692" s="44"/>
      <c r="AB692" s="44"/>
    </row>
    <row r="693">
      <c r="A693" s="51"/>
      <c r="B693" s="43"/>
      <c r="C693" s="74"/>
      <c r="D693" s="75"/>
      <c r="E693" s="76"/>
      <c r="F693" s="76"/>
      <c r="G693" s="76"/>
      <c r="H693" s="76"/>
      <c r="I693" s="76"/>
      <c r="J693" s="43"/>
      <c r="K693" s="44"/>
      <c r="L693" s="44"/>
      <c r="M693" s="44"/>
      <c r="N693" s="44"/>
      <c r="O693" s="44"/>
      <c r="P693" s="44"/>
      <c r="Q693" s="44"/>
      <c r="R693" s="44"/>
      <c r="S693" s="44"/>
      <c r="T693" s="44"/>
      <c r="U693" s="44"/>
      <c r="V693" s="44"/>
      <c r="W693" s="44"/>
      <c r="X693" s="44"/>
      <c r="Y693" s="44"/>
      <c r="Z693" s="44"/>
      <c r="AA693" s="44"/>
      <c r="AB693" s="44"/>
    </row>
    <row r="694">
      <c r="A694" s="51"/>
      <c r="B694" s="43"/>
      <c r="C694" s="74"/>
      <c r="D694" s="75"/>
      <c r="E694" s="76"/>
      <c r="F694" s="76"/>
      <c r="G694" s="76"/>
      <c r="H694" s="76"/>
      <c r="I694" s="76"/>
      <c r="J694" s="43"/>
      <c r="K694" s="44"/>
      <c r="L694" s="44"/>
      <c r="M694" s="44"/>
      <c r="N694" s="44"/>
      <c r="O694" s="44"/>
      <c r="P694" s="44"/>
      <c r="Q694" s="44"/>
      <c r="R694" s="44"/>
      <c r="S694" s="44"/>
      <c r="T694" s="44"/>
      <c r="U694" s="44"/>
      <c r="V694" s="44"/>
      <c r="W694" s="44"/>
      <c r="X694" s="44"/>
      <c r="Y694" s="44"/>
      <c r="Z694" s="44"/>
      <c r="AA694" s="44"/>
      <c r="AB694" s="44"/>
    </row>
    <row r="695">
      <c r="A695" s="51"/>
      <c r="B695" s="43"/>
      <c r="C695" s="74"/>
      <c r="D695" s="75"/>
      <c r="E695" s="76"/>
      <c r="F695" s="76"/>
      <c r="G695" s="76"/>
      <c r="H695" s="76"/>
      <c r="I695" s="76"/>
      <c r="J695" s="43"/>
      <c r="K695" s="44"/>
      <c r="L695" s="44"/>
      <c r="M695" s="44"/>
      <c r="N695" s="44"/>
      <c r="O695" s="44"/>
      <c r="P695" s="44"/>
      <c r="Q695" s="44"/>
      <c r="R695" s="44"/>
      <c r="S695" s="44"/>
      <c r="T695" s="44"/>
      <c r="U695" s="44"/>
      <c r="V695" s="44"/>
      <c r="W695" s="44"/>
      <c r="X695" s="44"/>
      <c r="Y695" s="44"/>
      <c r="Z695" s="44"/>
      <c r="AA695" s="44"/>
      <c r="AB695" s="44"/>
    </row>
    <row r="696">
      <c r="A696" s="51"/>
      <c r="B696" s="43"/>
      <c r="C696" s="74"/>
      <c r="D696" s="75"/>
      <c r="E696" s="76"/>
      <c r="F696" s="76"/>
      <c r="G696" s="76"/>
      <c r="H696" s="76"/>
      <c r="I696" s="76"/>
      <c r="J696" s="43"/>
      <c r="K696" s="44"/>
      <c r="L696" s="44"/>
      <c r="M696" s="44"/>
      <c r="N696" s="44"/>
      <c r="O696" s="44"/>
      <c r="P696" s="44"/>
      <c r="Q696" s="44"/>
      <c r="R696" s="44"/>
      <c r="S696" s="44"/>
      <c r="T696" s="44"/>
      <c r="U696" s="44"/>
      <c r="V696" s="44"/>
      <c r="W696" s="44"/>
      <c r="X696" s="44"/>
      <c r="Y696" s="44"/>
      <c r="Z696" s="44"/>
      <c r="AA696" s="44"/>
      <c r="AB696" s="44"/>
    </row>
    <row r="697">
      <c r="A697" s="51"/>
      <c r="B697" s="43"/>
      <c r="C697" s="74"/>
      <c r="D697" s="75"/>
      <c r="E697" s="76"/>
      <c r="F697" s="76"/>
      <c r="G697" s="76"/>
      <c r="H697" s="76"/>
      <c r="I697" s="76"/>
      <c r="J697" s="43"/>
      <c r="K697" s="44"/>
      <c r="L697" s="44"/>
      <c r="M697" s="44"/>
      <c r="N697" s="44"/>
      <c r="O697" s="44"/>
      <c r="P697" s="44"/>
      <c r="Q697" s="44"/>
      <c r="R697" s="44"/>
      <c r="S697" s="44"/>
      <c r="T697" s="44"/>
      <c r="U697" s="44"/>
      <c r="V697" s="44"/>
      <c r="W697" s="44"/>
      <c r="X697" s="44"/>
      <c r="Y697" s="44"/>
      <c r="Z697" s="44"/>
      <c r="AA697" s="44"/>
      <c r="AB697" s="44"/>
    </row>
    <row r="698">
      <c r="A698" s="51"/>
      <c r="B698" s="43"/>
      <c r="C698" s="74"/>
      <c r="D698" s="75"/>
      <c r="E698" s="76"/>
      <c r="F698" s="76"/>
      <c r="G698" s="76"/>
      <c r="H698" s="76"/>
      <c r="I698" s="76"/>
      <c r="J698" s="43"/>
      <c r="K698" s="44"/>
      <c r="L698" s="44"/>
      <c r="M698" s="44"/>
      <c r="N698" s="44"/>
      <c r="O698" s="44"/>
      <c r="P698" s="44"/>
      <c r="Q698" s="44"/>
      <c r="R698" s="44"/>
      <c r="S698" s="44"/>
      <c r="T698" s="44"/>
      <c r="U698" s="44"/>
      <c r="V698" s="44"/>
      <c r="W698" s="44"/>
      <c r="X698" s="44"/>
      <c r="Y698" s="44"/>
      <c r="Z698" s="44"/>
      <c r="AA698" s="44"/>
      <c r="AB698" s="44"/>
    </row>
    <row r="699">
      <c r="A699" s="51"/>
      <c r="B699" s="43"/>
      <c r="C699" s="74"/>
      <c r="D699" s="75"/>
      <c r="E699" s="76"/>
      <c r="F699" s="76"/>
      <c r="G699" s="76"/>
      <c r="H699" s="76"/>
      <c r="I699" s="76"/>
      <c r="J699" s="43"/>
      <c r="K699" s="44"/>
      <c r="L699" s="44"/>
      <c r="M699" s="44"/>
      <c r="N699" s="44"/>
      <c r="O699" s="44"/>
      <c r="P699" s="44"/>
      <c r="Q699" s="44"/>
      <c r="R699" s="44"/>
      <c r="S699" s="44"/>
      <c r="T699" s="44"/>
      <c r="U699" s="44"/>
      <c r="V699" s="44"/>
      <c r="W699" s="44"/>
      <c r="X699" s="44"/>
      <c r="Y699" s="44"/>
      <c r="Z699" s="44"/>
      <c r="AA699" s="44"/>
      <c r="AB699" s="44"/>
    </row>
    <row r="700">
      <c r="A700" s="51"/>
      <c r="B700" s="43"/>
      <c r="C700" s="74"/>
      <c r="D700" s="75"/>
      <c r="E700" s="76"/>
      <c r="F700" s="76"/>
      <c r="G700" s="76"/>
      <c r="H700" s="76"/>
      <c r="I700" s="76"/>
      <c r="J700" s="43"/>
      <c r="K700" s="44"/>
      <c r="L700" s="44"/>
      <c r="M700" s="44"/>
      <c r="N700" s="44"/>
      <c r="O700" s="44"/>
      <c r="P700" s="44"/>
      <c r="Q700" s="44"/>
      <c r="R700" s="44"/>
      <c r="S700" s="44"/>
      <c r="T700" s="44"/>
      <c r="U700" s="44"/>
      <c r="V700" s="44"/>
      <c r="W700" s="44"/>
      <c r="X700" s="44"/>
      <c r="Y700" s="44"/>
      <c r="Z700" s="44"/>
      <c r="AA700" s="44"/>
      <c r="AB700" s="44"/>
    </row>
    <row r="701">
      <c r="A701" s="51"/>
      <c r="B701" s="43"/>
      <c r="C701" s="74"/>
      <c r="D701" s="75"/>
      <c r="E701" s="76"/>
      <c r="F701" s="76"/>
      <c r="G701" s="76"/>
      <c r="H701" s="76"/>
      <c r="I701" s="76"/>
      <c r="J701" s="43"/>
      <c r="K701" s="44"/>
      <c r="L701" s="44"/>
      <c r="M701" s="44"/>
      <c r="N701" s="44"/>
      <c r="O701" s="44"/>
      <c r="P701" s="44"/>
      <c r="Q701" s="44"/>
      <c r="R701" s="44"/>
      <c r="S701" s="44"/>
      <c r="T701" s="44"/>
      <c r="U701" s="44"/>
      <c r="V701" s="44"/>
      <c r="W701" s="44"/>
      <c r="X701" s="44"/>
      <c r="Y701" s="44"/>
      <c r="Z701" s="44"/>
      <c r="AA701" s="44"/>
      <c r="AB701" s="44"/>
    </row>
    <row r="702">
      <c r="A702" s="51"/>
      <c r="B702" s="43"/>
      <c r="C702" s="74"/>
      <c r="D702" s="75"/>
      <c r="E702" s="76"/>
      <c r="F702" s="76"/>
      <c r="G702" s="76"/>
      <c r="H702" s="76"/>
      <c r="I702" s="76"/>
      <c r="J702" s="43"/>
      <c r="K702" s="44"/>
      <c r="L702" s="44"/>
      <c r="M702" s="44"/>
      <c r="N702" s="44"/>
      <c r="O702" s="44"/>
      <c r="P702" s="44"/>
      <c r="Q702" s="44"/>
      <c r="R702" s="44"/>
      <c r="S702" s="44"/>
      <c r="T702" s="44"/>
      <c r="U702" s="44"/>
      <c r="V702" s="44"/>
      <c r="W702" s="44"/>
      <c r="X702" s="44"/>
      <c r="Y702" s="44"/>
      <c r="Z702" s="44"/>
      <c r="AA702" s="44"/>
      <c r="AB702" s="44"/>
    </row>
    <row r="703">
      <c r="A703" s="51"/>
      <c r="B703" s="43"/>
      <c r="C703" s="74"/>
      <c r="D703" s="75"/>
      <c r="E703" s="76"/>
      <c r="F703" s="76"/>
      <c r="G703" s="76"/>
      <c r="H703" s="76"/>
      <c r="I703" s="76"/>
      <c r="J703" s="43"/>
      <c r="K703" s="44"/>
      <c r="L703" s="44"/>
      <c r="M703" s="44"/>
      <c r="N703" s="44"/>
      <c r="O703" s="44"/>
      <c r="P703" s="44"/>
      <c r="Q703" s="44"/>
      <c r="R703" s="44"/>
      <c r="S703" s="44"/>
      <c r="T703" s="44"/>
      <c r="U703" s="44"/>
      <c r="V703" s="44"/>
      <c r="W703" s="44"/>
      <c r="X703" s="44"/>
      <c r="Y703" s="44"/>
      <c r="Z703" s="44"/>
      <c r="AA703" s="44"/>
      <c r="AB703" s="44"/>
    </row>
    <row r="704">
      <c r="A704" s="51"/>
      <c r="B704" s="43"/>
      <c r="C704" s="74"/>
      <c r="D704" s="75"/>
      <c r="E704" s="76"/>
      <c r="F704" s="76"/>
      <c r="G704" s="76"/>
      <c r="H704" s="76"/>
      <c r="I704" s="76"/>
      <c r="J704" s="43"/>
      <c r="K704" s="44"/>
      <c r="L704" s="44"/>
      <c r="M704" s="44"/>
      <c r="N704" s="44"/>
      <c r="O704" s="44"/>
      <c r="P704" s="44"/>
      <c r="Q704" s="44"/>
      <c r="R704" s="44"/>
      <c r="S704" s="44"/>
      <c r="T704" s="44"/>
      <c r="U704" s="44"/>
      <c r="V704" s="44"/>
      <c r="W704" s="44"/>
      <c r="X704" s="44"/>
      <c r="Y704" s="44"/>
      <c r="Z704" s="44"/>
      <c r="AA704" s="44"/>
      <c r="AB704" s="44"/>
    </row>
    <row r="705">
      <c r="A705" s="51"/>
      <c r="B705" s="43"/>
      <c r="C705" s="74"/>
      <c r="D705" s="75"/>
      <c r="E705" s="76"/>
      <c r="F705" s="76"/>
      <c r="G705" s="76"/>
      <c r="H705" s="76"/>
      <c r="I705" s="76"/>
      <c r="J705" s="43"/>
      <c r="K705" s="44"/>
      <c r="L705" s="44"/>
      <c r="M705" s="44"/>
      <c r="N705" s="44"/>
      <c r="O705" s="44"/>
      <c r="P705" s="44"/>
      <c r="Q705" s="44"/>
      <c r="R705" s="44"/>
      <c r="S705" s="44"/>
      <c r="T705" s="44"/>
      <c r="U705" s="44"/>
      <c r="V705" s="44"/>
      <c r="W705" s="44"/>
      <c r="X705" s="44"/>
      <c r="Y705" s="44"/>
      <c r="Z705" s="44"/>
      <c r="AA705" s="44"/>
      <c r="AB705" s="44"/>
    </row>
    <row r="706">
      <c r="A706" s="51"/>
      <c r="B706" s="43"/>
      <c r="C706" s="74"/>
      <c r="D706" s="75"/>
      <c r="E706" s="76"/>
      <c r="F706" s="76"/>
      <c r="G706" s="76"/>
      <c r="H706" s="76"/>
      <c r="I706" s="76"/>
      <c r="J706" s="43"/>
      <c r="K706" s="44"/>
      <c r="L706" s="44"/>
      <c r="M706" s="44"/>
      <c r="N706" s="44"/>
      <c r="O706" s="44"/>
      <c r="P706" s="44"/>
      <c r="Q706" s="44"/>
      <c r="R706" s="44"/>
      <c r="S706" s="44"/>
      <c r="T706" s="44"/>
      <c r="U706" s="44"/>
      <c r="V706" s="44"/>
      <c r="W706" s="44"/>
      <c r="X706" s="44"/>
      <c r="Y706" s="44"/>
      <c r="Z706" s="44"/>
      <c r="AA706" s="44"/>
      <c r="AB706" s="44"/>
    </row>
    <row r="707">
      <c r="A707" s="51"/>
      <c r="B707" s="43"/>
      <c r="C707" s="74"/>
      <c r="D707" s="75"/>
      <c r="E707" s="76"/>
      <c r="F707" s="76"/>
      <c r="G707" s="76"/>
      <c r="H707" s="76"/>
      <c r="I707" s="76"/>
      <c r="J707" s="43"/>
      <c r="K707" s="44"/>
      <c r="L707" s="44"/>
      <c r="M707" s="44"/>
      <c r="N707" s="44"/>
      <c r="O707" s="44"/>
      <c r="P707" s="44"/>
      <c r="Q707" s="44"/>
      <c r="R707" s="44"/>
      <c r="S707" s="44"/>
      <c r="T707" s="44"/>
      <c r="U707" s="44"/>
      <c r="V707" s="44"/>
      <c r="W707" s="44"/>
      <c r="X707" s="44"/>
      <c r="Y707" s="44"/>
      <c r="Z707" s="44"/>
      <c r="AA707" s="44"/>
      <c r="AB707" s="44"/>
    </row>
    <row r="708">
      <c r="A708" s="51"/>
      <c r="B708" s="43"/>
      <c r="C708" s="74"/>
      <c r="D708" s="75"/>
      <c r="E708" s="76"/>
      <c r="F708" s="76"/>
      <c r="G708" s="76"/>
      <c r="H708" s="76"/>
      <c r="I708" s="76"/>
      <c r="J708" s="43"/>
      <c r="K708" s="44"/>
      <c r="L708" s="44"/>
      <c r="M708" s="44"/>
      <c r="N708" s="44"/>
      <c r="O708" s="44"/>
      <c r="P708" s="44"/>
      <c r="Q708" s="44"/>
      <c r="R708" s="44"/>
      <c r="S708" s="44"/>
      <c r="T708" s="44"/>
      <c r="U708" s="44"/>
      <c r="V708" s="44"/>
      <c r="W708" s="44"/>
      <c r="X708" s="44"/>
      <c r="Y708" s="44"/>
      <c r="Z708" s="44"/>
      <c r="AA708" s="44"/>
      <c r="AB708" s="44"/>
    </row>
    <row r="709">
      <c r="A709" s="51"/>
      <c r="B709" s="43"/>
      <c r="C709" s="74"/>
      <c r="D709" s="75"/>
      <c r="E709" s="76"/>
      <c r="F709" s="76"/>
      <c r="G709" s="76"/>
      <c r="H709" s="76"/>
      <c r="I709" s="76"/>
      <c r="J709" s="43"/>
      <c r="K709" s="44"/>
      <c r="L709" s="44"/>
      <c r="M709" s="44"/>
      <c r="N709" s="44"/>
      <c r="O709" s="44"/>
      <c r="P709" s="44"/>
      <c r="Q709" s="44"/>
      <c r="R709" s="44"/>
      <c r="S709" s="44"/>
      <c r="T709" s="44"/>
      <c r="U709" s="44"/>
      <c r="V709" s="44"/>
      <c r="W709" s="44"/>
      <c r="X709" s="44"/>
      <c r="Y709" s="44"/>
      <c r="Z709" s="44"/>
      <c r="AA709" s="44"/>
      <c r="AB709" s="44"/>
    </row>
    <row r="710">
      <c r="A710" s="51"/>
      <c r="B710" s="43"/>
      <c r="C710" s="74"/>
      <c r="D710" s="75"/>
      <c r="E710" s="76"/>
      <c r="F710" s="76"/>
      <c r="G710" s="76"/>
      <c r="H710" s="76"/>
      <c r="I710" s="76"/>
      <c r="J710" s="43"/>
      <c r="K710" s="44"/>
      <c r="L710" s="44"/>
      <c r="M710" s="44"/>
      <c r="N710" s="44"/>
      <c r="O710" s="44"/>
      <c r="P710" s="44"/>
      <c r="Q710" s="44"/>
      <c r="R710" s="44"/>
      <c r="S710" s="44"/>
      <c r="T710" s="44"/>
      <c r="U710" s="44"/>
      <c r="V710" s="44"/>
      <c r="W710" s="44"/>
      <c r="X710" s="44"/>
      <c r="Y710" s="44"/>
      <c r="Z710" s="44"/>
      <c r="AA710" s="44"/>
      <c r="AB710" s="44"/>
    </row>
    <row r="711">
      <c r="A711" s="51"/>
      <c r="B711" s="43"/>
      <c r="C711" s="74"/>
      <c r="D711" s="75"/>
      <c r="E711" s="76"/>
      <c r="F711" s="76"/>
      <c r="G711" s="76"/>
      <c r="H711" s="76"/>
      <c r="I711" s="76"/>
      <c r="J711" s="43"/>
      <c r="K711" s="44"/>
      <c r="L711" s="44"/>
      <c r="M711" s="44"/>
      <c r="N711" s="44"/>
      <c r="O711" s="44"/>
      <c r="P711" s="44"/>
      <c r="Q711" s="44"/>
      <c r="R711" s="44"/>
      <c r="S711" s="44"/>
      <c r="T711" s="44"/>
      <c r="U711" s="44"/>
      <c r="V711" s="44"/>
      <c r="W711" s="44"/>
      <c r="X711" s="44"/>
      <c r="Y711" s="44"/>
      <c r="Z711" s="44"/>
      <c r="AA711" s="44"/>
      <c r="AB711" s="44"/>
    </row>
    <row r="712">
      <c r="A712" s="51"/>
      <c r="B712" s="43"/>
      <c r="C712" s="74"/>
      <c r="D712" s="75"/>
      <c r="E712" s="76"/>
      <c r="F712" s="76"/>
      <c r="G712" s="76"/>
      <c r="H712" s="76"/>
      <c r="I712" s="76"/>
      <c r="J712" s="43"/>
      <c r="K712" s="44"/>
      <c r="L712" s="44"/>
      <c r="M712" s="44"/>
      <c r="N712" s="44"/>
      <c r="O712" s="44"/>
      <c r="P712" s="44"/>
      <c r="Q712" s="44"/>
      <c r="R712" s="44"/>
      <c r="S712" s="44"/>
      <c r="T712" s="44"/>
      <c r="U712" s="44"/>
      <c r="V712" s="44"/>
      <c r="W712" s="44"/>
      <c r="X712" s="44"/>
      <c r="Y712" s="44"/>
      <c r="Z712" s="44"/>
      <c r="AA712" s="44"/>
      <c r="AB712" s="44"/>
    </row>
    <row r="713">
      <c r="A713" s="51"/>
      <c r="B713" s="43"/>
      <c r="C713" s="74"/>
      <c r="D713" s="75"/>
      <c r="E713" s="76"/>
      <c r="F713" s="76"/>
      <c r="G713" s="76"/>
      <c r="H713" s="76"/>
      <c r="I713" s="76"/>
      <c r="J713" s="43"/>
      <c r="K713" s="44"/>
      <c r="L713" s="44"/>
      <c r="M713" s="44"/>
      <c r="N713" s="44"/>
      <c r="O713" s="44"/>
      <c r="P713" s="44"/>
      <c r="Q713" s="44"/>
      <c r="R713" s="44"/>
      <c r="S713" s="44"/>
      <c r="T713" s="44"/>
      <c r="U713" s="44"/>
      <c r="V713" s="44"/>
      <c r="W713" s="44"/>
      <c r="X713" s="44"/>
      <c r="Y713" s="44"/>
      <c r="Z713" s="44"/>
      <c r="AA713" s="44"/>
      <c r="AB713" s="44"/>
    </row>
    <row r="714">
      <c r="A714" s="51"/>
      <c r="B714" s="43"/>
      <c r="C714" s="74"/>
      <c r="D714" s="75"/>
      <c r="E714" s="76"/>
      <c r="F714" s="76"/>
      <c r="G714" s="76"/>
      <c r="H714" s="76"/>
      <c r="I714" s="76"/>
      <c r="J714" s="43"/>
      <c r="K714" s="44"/>
      <c r="L714" s="44"/>
      <c r="M714" s="44"/>
      <c r="N714" s="44"/>
      <c r="O714" s="44"/>
      <c r="P714" s="44"/>
      <c r="Q714" s="44"/>
      <c r="R714" s="44"/>
      <c r="S714" s="44"/>
      <c r="T714" s="44"/>
      <c r="U714" s="44"/>
      <c r="V714" s="44"/>
      <c r="W714" s="44"/>
      <c r="X714" s="44"/>
      <c r="Y714" s="44"/>
      <c r="Z714" s="44"/>
      <c r="AA714" s="44"/>
      <c r="AB714" s="44"/>
    </row>
    <row r="715">
      <c r="A715" s="51"/>
      <c r="B715" s="43"/>
      <c r="C715" s="74"/>
      <c r="D715" s="75"/>
      <c r="E715" s="76"/>
      <c r="F715" s="76"/>
      <c r="G715" s="76"/>
      <c r="H715" s="76"/>
      <c r="I715" s="76"/>
      <c r="J715" s="43"/>
      <c r="K715" s="44"/>
      <c r="L715" s="44"/>
      <c r="M715" s="44"/>
      <c r="N715" s="44"/>
      <c r="O715" s="44"/>
      <c r="P715" s="44"/>
      <c r="Q715" s="44"/>
      <c r="R715" s="44"/>
      <c r="S715" s="44"/>
      <c r="T715" s="44"/>
      <c r="U715" s="44"/>
      <c r="V715" s="44"/>
      <c r="W715" s="44"/>
      <c r="X715" s="44"/>
      <c r="Y715" s="44"/>
      <c r="Z715" s="44"/>
      <c r="AA715" s="44"/>
      <c r="AB715" s="44"/>
    </row>
    <row r="716">
      <c r="A716" s="51"/>
      <c r="B716" s="43"/>
      <c r="C716" s="74"/>
      <c r="D716" s="75"/>
      <c r="E716" s="76"/>
      <c r="F716" s="76"/>
      <c r="G716" s="76"/>
      <c r="H716" s="76"/>
      <c r="I716" s="76"/>
      <c r="J716" s="43"/>
      <c r="K716" s="44"/>
      <c r="L716" s="44"/>
      <c r="M716" s="44"/>
      <c r="N716" s="44"/>
      <c r="O716" s="44"/>
      <c r="P716" s="44"/>
      <c r="Q716" s="44"/>
      <c r="R716" s="44"/>
      <c r="S716" s="44"/>
      <c r="T716" s="44"/>
      <c r="U716" s="44"/>
      <c r="V716" s="44"/>
      <c r="W716" s="44"/>
      <c r="X716" s="44"/>
      <c r="Y716" s="44"/>
      <c r="Z716" s="44"/>
      <c r="AA716" s="44"/>
      <c r="AB716" s="44"/>
    </row>
    <row r="717">
      <c r="A717" s="51"/>
      <c r="B717" s="43"/>
      <c r="C717" s="74"/>
      <c r="D717" s="75"/>
      <c r="E717" s="76"/>
      <c r="F717" s="76"/>
      <c r="G717" s="76"/>
      <c r="H717" s="76"/>
      <c r="I717" s="76"/>
      <c r="J717" s="43"/>
      <c r="K717" s="44"/>
      <c r="L717" s="44"/>
      <c r="M717" s="44"/>
      <c r="N717" s="44"/>
      <c r="O717" s="44"/>
      <c r="P717" s="44"/>
      <c r="Q717" s="44"/>
      <c r="R717" s="44"/>
      <c r="S717" s="44"/>
      <c r="T717" s="44"/>
      <c r="U717" s="44"/>
      <c r="V717" s="44"/>
      <c r="W717" s="44"/>
      <c r="X717" s="44"/>
      <c r="Y717" s="44"/>
      <c r="Z717" s="44"/>
      <c r="AA717" s="44"/>
      <c r="AB717" s="44"/>
    </row>
    <row r="718">
      <c r="A718" s="51"/>
      <c r="B718" s="43"/>
      <c r="C718" s="74"/>
      <c r="D718" s="75"/>
      <c r="E718" s="76"/>
      <c r="F718" s="76"/>
      <c r="G718" s="76"/>
      <c r="H718" s="76"/>
      <c r="I718" s="76"/>
      <c r="J718" s="43"/>
      <c r="K718" s="44"/>
      <c r="L718" s="44"/>
      <c r="M718" s="44"/>
      <c r="N718" s="44"/>
      <c r="O718" s="44"/>
      <c r="P718" s="44"/>
      <c r="Q718" s="44"/>
      <c r="R718" s="44"/>
      <c r="S718" s="44"/>
      <c r="T718" s="44"/>
      <c r="U718" s="44"/>
      <c r="V718" s="44"/>
      <c r="W718" s="44"/>
      <c r="X718" s="44"/>
      <c r="Y718" s="44"/>
      <c r="Z718" s="44"/>
      <c r="AA718" s="44"/>
      <c r="AB718" s="44"/>
    </row>
    <row r="719">
      <c r="A719" s="51"/>
      <c r="B719" s="43"/>
      <c r="C719" s="74"/>
      <c r="D719" s="75"/>
      <c r="E719" s="76"/>
      <c r="F719" s="76"/>
      <c r="G719" s="76"/>
      <c r="H719" s="76"/>
      <c r="I719" s="76"/>
      <c r="J719" s="43"/>
      <c r="K719" s="44"/>
      <c r="L719" s="44"/>
      <c r="M719" s="44"/>
      <c r="N719" s="44"/>
      <c r="O719" s="44"/>
      <c r="P719" s="44"/>
      <c r="Q719" s="44"/>
      <c r="R719" s="44"/>
      <c r="S719" s="44"/>
      <c r="T719" s="44"/>
      <c r="U719" s="44"/>
      <c r="V719" s="44"/>
      <c r="W719" s="44"/>
      <c r="X719" s="44"/>
      <c r="Y719" s="44"/>
      <c r="Z719" s="44"/>
      <c r="AA719" s="44"/>
      <c r="AB719" s="44"/>
    </row>
    <row r="720">
      <c r="A720" s="51"/>
      <c r="B720" s="43"/>
      <c r="C720" s="74"/>
      <c r="D720" s="75"/>
      <c r="E720" s="76"/>
      <c r="F720" s="76"/>
      <c r="G720" s="76"/>
      <c r="H720" s="76"/>
      <c r="I720" s="76"/>
      <c r="J720" s="43"/>
      <c r="K720" s="44"/>
      <c r="L720" s="44"/>
      <c r="M720" s="44"/>
      <c r="N720" s="44"/>
      <c r="O720" s="44"/>
      <c r="P720" s="44"/>
      <c r="Q720" s="44"/>
      <c r="R720" s="44"/>
      <c r="S720" s="44"/>
      <c r="T720" s="44"/>
      <c r="U720" s="44"/>
      <c r="V720" s="44"/>
      <c r="W720" s="44"/>
      <c r="X720" s="44"/>
      <c r="Y720" s="44"/>
      <c r="Z720" s="44"/>
      <c r="AA720" s="44"/>
      <c r="AB720" s="44"/>
    </row>
    <row r="721">
      <c r="A721" s="51"/>
      <c r="B721" s="43"/>
      <c r="C721" s="74"/>
      <c r="D721" s="75"/>
      <c r="E721" s="76"/>
      <c r="F721" s="76"/>
      <c r="G721" s="76"/>
      <c r="H721" s="76"/>
      <c r="I721" s="76"/>
      <c r="J721" s="43"/>
      <c r="K721" s="44"/>
      <c r="L721" s="44"/>
      <c r="M721" s="44"/>
      <c r="N721" s="44"/>
      <c r="O721" s="44"/>
      <c r="P721" s="44"/>
      <c r="Q721" s="44"/>
      <c r="R721" s="44"/>
      <c r="S721" s="44"/>
      <c r="T721" s="44"/>
      <c r="U721" s="44"/>
      <c r="V721" s="44"/>
      <c r="W721" s="44"/>
      <c r="X721" s="44"/>
      <c r="Y721" s="44"/>
      <c r="Z721" s="44"/>
      <c r="AA721" s="44"/>
      <c r="AB721" s="44"/>
    </row>
    <row r="722">
      <c r="A722" s="51"/>
      <c r="B722" s="43"/>
      <c r="C722" s="74"/>
      <c r="D722" s="75"/>
      <c r="E722" s="76"/>
      <c r="F722" s="76"/>
      <c r="G722" s="76"/>
      <c r="H722" s="76"/>
      <c r="I722" s="76"/>
      <c r="J722" s="43"/>
      <c r="K722" s="44"/>
      <c r="L722" s="44"/>
      <c r="M722" s="44"/>
      <c r="N722" s="44"/>
      <c r="O722" s="44"/>
      <c r="P722" s="44"/>
      <c r="Q722" s="44"/>
      <c r="R722" s="44"/>
      <c r="S722" s="44"/>
      <c r="T722" s="44"/>
      <c r="U722" s="44"/>
      <c r="V722" s="44"/>
      <c r="W722" s="44"/>
      <c r="X722" s="44"/>
      <c r="Y722" s="44"/>
      <c r="Z722" s="44"/>
      <c r="AA722" s="44"/>
      <c r="AB722" s="44"/>
    </row>
    <row r="723">
      <c r="A723" s="51"/>
      <c r="B723" s="43"/>
      <c r="C723" s="74"/>
      <c r="D723" s="75"/>
      <c r="E723" s="76"/>
      <c r="F723" s="76"/>
      <c r="G723" s="76"/>
      <c r="H723" s="76"/>
      <c r="I723" s="76"/>
      <c r="J723" s="43"/>
      <c r="K723" s="44"/>
      <c r="L723" s="44"/>
      <c r="M723" s="44"/>
      <c r="N723" s="44"/>
      <c r="O723" s="44"/>
      <c r="P723" s="44"/>
      <c r="Q723" s="44"/>
      <c r="R723" s="44"/>
      <c r="S723" s="44"/>
      <c r="T723" s="44"/>
      <c r="U723" s="44"/>
      <c r="V723" s="44"/>
      <c r="W723" s="44"/>
      <c r="X723" s="44"/>
      <c r="Y723" s="44"/>
      <c r="Z723" s="44"/>
      <c r="AA723" s="44"/>
      <c r="AB723" s="44"/>
    </row>
    <row r="724">
      <c r="A724" s="51"/>
      <c r="B724" s="43"/>
      <c r="C724" s="74"/>
      <c r="D724" s="75"/>
      <c r="E724" s="76"/>
      <c r="F724" s="76"/>
      <c r="G724" s="76"/>
      <c r="H724" s="76"/>
      <c r="I724" s="76"/>
      <c r="J724" s="43"/>
      <c r="K724" s="44"/>
      <c r="L724" s="44"/>
      <c r="M724" s="44"/>
      <c r="N724" s="44"/>
      <c r="O724" s="44"/>
      <c r="P724" s="44"/>
      <c r="Q724" s="44"/>
      <c r="R724" s="44"/>
      <c r="S724" s="44"/>
      <c r="T724" s="44"/>
      <c r="U724" s="44"/>
      <c r="V724" s="44"/>
      <c r="W724" s="44"/>
      <c r="X724" s="44"/>
      <c r="Y724" s="44"/>
      <c r="Z724" s="44"/>
      <c r="AA724" s="44"/>
      <c r="AB724" s="44"/>
    </row>
    <row r="725">
      <c r="A725" s="51"/>
      <c r="B725" s="43"/>
      <c r="C725" s="74"/>
      <c r="D725" s="75"/>
      <c r="E725" s="76"/>
      <c r="F725" s="76"/>
      <c r="G725" s="76"/>
      <c r="H725" s="76"/>
      <c r="I725" s="76"/>
      <c r="J725" s="43"/>
      <c r="K725" s="44"/>
      <c r="L725" s="44"/>
      <c r="M725" s="44"/>
      <c r="N725" s="44"/>
      <c r="O725" s="44"/>
      <c r="P725" s="44"/>
      <c r="Q725" s="44"/>
      <c r="R725" s="44"/>
      <c r="S725" s="44"/>
      <c r="T725" s="44"/>
      <c r="U725" s="44"/>
      <c r="V725" s="44"/>
      <c r="W725" s="44"/>
      <c r="X725" s="44"/>
      <c r="Y725" s="44"/>
      <c r="Z725" s="44"/>
      <c r="AA725" s="44"/>
      <c r="AB725" s="44"/>
    </row>
    <row r="726">
      <c r="A726" s="51"/>
      <c r="B726" s="43"/>
      <c r="C726" s="74"/>
      <c r="D726" s="75"/>
      <c r="E726" s="76"/>
      <c r="F726" s="76"/>
      <c r="G726" s="76"/>
      <c r="H726" s="76"/>
      <c r="I726" s="76"/>
      <c r="J726" s="43"/>
      <c r="K726" s="44"/>
      <c r="L726" s="44"/>
      <c r="M726" s="44"/>
      <c r="N726" s="44"/>
      <c r="O726" s="44"/>
      <c r="P726" s="44"/>
      <c r="Q726" s="44"/>
      <c r="R726" s="44"/>
      <c r="S726" s="44"/>
      <c r="T726" s="44"/>
      <c r="U726" s="44"/>
      <c r="V726" s="44"/>
      <c r="W726" s="44"/>
      <c r="X726" s="44"/>
      <c r="Y726" s="44"/>
      <c r="Z726" s="44"/>
      <c r="AA726" s="44"/>
      <c r="AB726" s="44"/>
    </row>
    <row r="727">
      <c r="A727" s="51"/>
      <c r="B727" s="43"/>
      <c r="C727" s="74"/>
      <c r="D727" s="75"/>
      <c r="E727" s="76"/>
      <c r="F727" s="76"/>
      <c r="G727" s="76"/>
      <c r="H727" s="76"/>
      <c r="I727" s="76"/>
      <c r="J727" s="43"/>
      <c r="K727" s="44"/>
      <c r="L727" s="44"/>
      <c r="M727" s="44"/>
      <c r="N727" s="44"/>
      <c r="O727" s="44"/>
      <c r="P727" s="44"/>
      <c r="Q727" s="44"/>
      <c r="R727" s="44"/>
      <c r="S727" s="44"/>
      <c r="T727" s="44"/>
      <c r="U727" s="44"/>
      <c r="V727" s="44"/>
      <c r="W727" s="44"/>
      <c r="X727" s="44"/>
      <c r="Y727" s="44"/>
      <c r="Z727" s="44"/>
      <c r="AA727" s="44"/>
      <c r="AB727" s="44"/>
    </row>
    <row r="728">
      <c r="A728" s="51"/>
      <c r="B728" s="43"/>
      <c r="C728" s="74"/>
      <c r="D728" s="75"/>
      <c r="E728" s="76"/>
      <c r="F728" s="76"/>
      <c r="G728" s="76"/>
      <c r="H728" s="76"/>
      <c r="I728" s="76"/>
      <c r="J728" s="43"/>
      <c r="K728" s="44"/>
      <c r="L728" s="44"/>
      <c r="M728" s="44"/>
      <c r="N728" s="44"/>
      <c r="O728" s="44"/>
      <c r="P728" s="44"/>
      <c r="Q728" s="44"/>
      <c r="R728" s="44"/>
      <c r="S728" s="44"/>
      <c r="T728" s="44"/>
      <c r="U728" s="44"/>
      <c r="V728" s="44"/>
      <c r="W728" s="44"/>
      <c r="X728" s="44"/>
      <c r="Y728" s="44"/>
      <c r="Z728" s="44"/>
      <c r="AA728" s="44"/>
      <c r="AB728" s="44"/>
    </row>
    <row r="729">
      <c r="A729" s="51"/>
      <c r="B729" s="43"/>
      <c r="C729" s="74"/>
      <c r="D729" s="75"/>
      <c r="E729" s="76"/>
      <c r="F729" s="76"/>
      <c r="G729" s="76"/>
      <c r="H729" s="76"/>
      <c r="I729" s="76"/>
      <c r="J729" s="43"/>
      <c r="K729" s="44"/>
      <c r="L729" s="44"/>
      <c r="M729" s="44"/>
      <c r="N729" s="44"/>
      <c r="O729" s="44"/>
      <c r="P729" s="44"/>
      <c r="Q729" s="44"/>
      <c r="R729" s="44"/>
      <c r="S729" s="44"/>
      <c r="T729" s="44"/>
      <c r="U729" s="44"/>
      <c r="V729" s="44"/>
      <c r="W729" s="44"/>
      <c r="X729" s="44"/>
      <c r="Y729" s="44"/>
      <c r="Z729" s="44"/>
      <c r="AA729" s="44"/>
      <c r="AB729" s="44"/>
    </row>
    <row r="730">
      <c r="A730" s="51"/>
      <c r="B730" s="43"/>
      <c r="C730" s="74"/>
      <c r="D730" s="75"/>
      <c r="E730" s="76"/>
      <c r="F730" s="76"/>
      <c r="G730" s="76"/>
      <c r="H730" s="76"/>
      <c r="I730" s="76"/>
      <c r="J730" s="43"/>
      <c r="K730" s="44"/>
      <c r="L730" s="44"/>
      <c r="M730" s="44"/>
      <c r="N730" s="44"/>
      <c r="O730" s="44"/>
      <c r="P730" s="44"/>
      <c r="Q730" s="44"/>
      <c r="R730" s="44"/>
      <c r="S730" s="44"/>
      <c r="T730" s="44"/>
      <c r="U730" s="44"/>
      <c r="V730" s="44"/>
      <c r="W730" s="44"/>
      <c r="X730" s="44"/>
      <c r="Y730" s="44"/>
      <c r="Z730" s="44"/>
      <c r="AA730" s="44"/>
      <c r="AB730" s="44"/>
    </row>
    <row r="731">
      <c r="A731" s="51"/>
      <c r="B731" s="43"/>
      <c r="C731" s="74"/>
      <c r="D731" s="75"/>
      <c r="E731" s="76"/>
      <c r="F731" s="76"/>
      <c r="G731" s="76"/>
      <c r="H731" s="76"/>
      <c r="I731" s="76"/>
      <c r="J731" s="43"/>
      <c r="K731" s="44"/>
      <c r="L731" s="44"/>
      <c r="M731" s="44"/>
      <c r="N731" s="44"/>
      <c r="O731" s="44"/>
      <c r="P731" s="44"/>
      <c r="Q731" s="44"/>
      <c r="R731" s="44"/>
      <c r="S731" s="44"/>
      <c r="T731" s="44"/>
      <c r="U731" s="44"/>
      <c r="V731" s="44"/>
      <c r="W731" s="44"/>
      <c r="X731" s="44"/>
      <c r="Y731" s="44"/>
      <c r="Z731" s="44"/>
      <c r="AA731" s="44"/>
      <c r="AB731" s="44"/>
    </row>
    <row r="732">
      <c r="A732" s="51"/>
      <c r="B732" s="43"/>
      <c r="C732" s="74"/>
      <c r="D732" s="75"/>
      <c r="E732" s="76"/>
      <c r="F732" s="76"/>
      <c r="G732" s="76"/>
      <c r="H732" s="76"/>
      <c r="I732" s="76"/>
      <c r="J732" s="43"/>
      <c r="K732" s="44"/>
      <c r="L732" s="44"/>
      <c r="M732" s="44"/>
      <c r="N732" s="44"/>
      <c r="O732" s="44"/>
      <c r="P732" s="44"/>
      <c r="Q732" s="44"/>
      <c r="R732" s="44"/>
      <c r="S732" s="44"/>
      <c r="T732" s="44"/>
      <c r="U732" s="44"/>
      <c r="V732" s="44"/>
      <c r="W732" s="44"/>
      <c r="X732" s="44"/>
      <c r="Y732" s="44"/>
      <c r="Z732" s="44"/>
      <c r="AA732" s="44"/>
      <c r="AB732" s="44"/>
    </row>
    <row r="733">
      <c r="A733" s="51"/>
      <c r="B733" s="43"/>
      <c r="C733" s="74"/>
      <c r="D733" s="75"/>
      <c r="E733" s="76"/>
      <c r="F733" s="76"/>
      <c r="G733" s="76"/>
      <c r="H733" s="76"/>
      <c r="I733" s="76"/>
      <c r="J733" s="43"/>
      <c r="K733" s="44"/>
      <c r="L733" s="44"/>
      <c r="M733" s="44"/>
      <c r="N733" s="44"/>
      <c r="O733" s="44"/>
      <c r="P733" s="44"/>
      <c r="Q733" s="44"/>
      <c r="R733" s="44"/>
      <c r="S733" s="44"/>
      <c r="T733" s="44"/>
      <c r="U733" s="44"/>
      <c r="V733" s="44"/>
      <c r="W733" s="44"/>
      <c r="X733" s="44"/>
      <c r="Y733" s="44"/>
      <c r="Z733" s="44"/>
      <c r="AA733" s="44"/>
      <c r="AB733" s="44"/>
    </row>
    <row r="734">
      <c r="A734" s="51"/>
      <c r="B734" s="43"/>
      <c r="C734" s="74"/>
      <c r="D734" s="75"/>
      <c r="E734" s="76"/>
      <c r="F734" s="76"/>
      <c r="G734" s="76"/>
      <c r="H734" s="76"/>
      <c r="I734" s="76"/>
      <c r="J734" s="43"/>
      <c r="K734" s="44"/>
      <c r="L734" s="44"/>
      <c r="M734" s="44"/>
      <c r="N734" s="44"/>
      <c r="O734" s="44"/>
      <c r="P734" s="44"/>
      <c r="Q734" s="44"/>
      <c r="R734" s="44"/>
      <c r="S734" s="44"/>
      <c r="T734" s="44"/>
      <c r="U734" s="44"/>
      <c r="V734" s="44"/>
      <c r="W734" s="44"/>
      <c r="X734" s="44"/>
      <c r="Y734" s="44"/>
      <c r="Z734" s="44"/>
      <c r="AA734" s="44"/>
      <c r="AB734" s="44"/>
    </row>
    <row r="735">
      <c r="A735" s="51"/>
      <c r="B735" s="43"/>
      <c r="C735" s="74"/>
      <c r="D735" s="75"/>
      <c r="E735" s="76"/>
      <c r="F735" s="76"/>
      <c r="G735" s="76"/>
      <c r="H735" s="76"/>
      <c r="I735" s="76"/>
      <c r="J735" s="43"/>
      <c r="K735" s="44"/>
      <c r="L735" s="44"/>
      <c r="M735" s="44"/>
      <c r="N735" s="44"/>
      <c r="O735" s="44"/>
      <c r="P735" s="44"/>
      <c r="Q735" s="44"/>
      <c r="R735" s="44"/>
      <c r="S735" s="44"/>
      <c r="T735" s="44"/>
      <c r="U735" s="44"/>
      <c r="V735" s="44"/>
      <c r="W735" s="44"/>
      <c r="X735" s="44"/>
      <c r="Y735" s="44"/>
      <c r="Z735" s="44"/>
      <c r="AA735" s="44"/>
      <c r="AB735" s="44"/>
    </row>
    <row r="736">
      <c r="A736" s="51"/>
      <c r="B736" s="43"/>
      <c r="C736" s="74"/>
      <c r="D736" s="75"/>
      <c r="E736" s="76"/>
      <c r="F736" s="76"/>
      <c r="G736" s="76"/>
      <c r="H736" s="76"/>
      <c r="I736" s="76"/>
      <c r="J736" s="43"/>
      <c r="K736" s="44"/>
      <c r="L736" s="44"/>
      <c r="M736" s="44"/>
      <c r="N736" s="44"/>
      <c r="O736" s="44"/>
      <c r="P736" s="44"/>
      <c r="Q736" s="44"/>
      <c r="R736" s="44"/>
      <c r="S736" s="44"/>
      <c r="T736" s="44"/>
      <c r="U736" s="44"/>
      <c r="V736" s="44"/>
      <c r="W736" s="44"/>
      <c r="X736" s="44"/>
      <c r="Y736" s="44"/>
      <c r="Z736" s="44"/>
      <c r="AA736" s="44"/>
      <c r="AB736" s="44"/>
    </row>
    <row r="737">
      <c r="A737" s="51"/>
      <c r="B737" s="43"/>
      <c r="C737" s="74"/>
      <c r="D737" s="75"/>
      <c r="E737" s="76"/>
      <c r="F737" s="76"/>
      <c r="G737" s="76"/>
      <c r="H737" s="76"/>
      <c r="I737" s="76"/>
      <c r="J737" s="43"/>
      <c r="K737" s="44"/>
      <c r="L737" s="44"/>
      <c r="M737" s="44"/>
      <c r="N737" s="44"/>
      <c r="O737" s="44"/>
      <c r="P737" s="44"/>
      <c r="Q737" s="44"/>
      <c r="R737" s="44"/>
      <c r="S737" s="44"/>
      <c r="T737" s="44"/>
      <c r="U737" s="44"/>
      <c r="V737" s="44"/>
      <c r="W737" s="44"/>
      <c r="X737" s="44"/>
      <c r="Y737" s="44"/>
      <c r="Z737" s="44"/>
      <c r="AA737" s="44"/>
      <c r="AB737" s="44"/>
    </row>
    <row r="738">
      <c r="A738" s="51"/>
      <c r="B738" s="43"/>
      <c r="C738" s="74"/>
      <c r="D738" s="75"/>
      <c r="E738" s="76"/>
      <c r="F738" s="76"/>
      <c r="G738" s="76"/>
      <c r="H738" s="76"/>
      <c r="I738" s="76"/>
      <c r="J738" s="43"/>
      <c r="K738" s="44"/>
      <c r="L738" s="44"/>
      <c r="M738" s="44"/>
      <c r="N738" s="44"/>
      <c r="O738" s="44"/>
      <c r="P738" s="44"/>
      <c r="Q738" s="44"/>
      <c r="R738" s="44"/>
      <c r="S738" s="44"/>
      <c r="T738" s="44"/>
      <c r="U738" s="44"/>
      <c r="V738" s="44"/>
      <c r="W738" s="44"/>
      <c r="X738" s="44"/>
      <c r="Y738" s="44"/>
      <c r="Z738" s="44"/>
      <c r="AA738" s="44"/>
      <c r="AB738" s="44"/>
    </row>
    <row r="739">
      <c r="A739" s="51"/>
      <c r="B739" s="43"/>
      <c r="C739" s="74"/>
      <c r="D739" s="75"/>
      <c r="E739" s="76"/>
      <c r="F739" s="76"/>
      <c r="G739" s="76"/>
      <c r="H739" s="76"/>
      <c r="I739" s="76"/>
      <c r="J739" s="43"/>
      <c r="K739" s="44"/>
      <c r="L739" s="44"/>
      <c r="M739" s="44"/>
      <c r="N739" s="44"/>
      <c r="O739" s="44"/>
      <c r="P739" s="44"/>
      <c r="Q739" s="44"/>
      <c r="R739" s="44"/>
      <c r="S739" s="44"/>
      <c r="T739" s="44"/>
      <c r="U739" s="44"/>
      <c r="V739" s="44"/>
      <c r="W739" s="44"/>
      <c r="X739" s="44"/>
      <c r="Y739" s="44"/>
      <c r="Z739" s="44"/>
      <c r="AA739" s="44"/>
      <c r="AB739" s="44"/>
    </row>
    <row r="740">
      <c r="A740" s="51"/>
      <c r="B740" s="43"/>
      <c r="C740" s="74"/>
      <c r="D740" s="75"/>
      <c r="E740" s="76"/>
      <c r="F740" s="76"/>
      <c r="G740" s="76"/>
      <c r="H740" s="76"/>
      <c r="I740" s="76"/>
      <c r="J740" s="43"/>
      <c r="K740" s="44"/>
      <c r="L740" s="44"/>
      <c r="M740" s="44"/>
      <c r="N740" s="44"/>
      <c r="O740" s="44"/>
      <c r="P740" s="44"/>
      <c r="Q740" s="44"/>
      <c r="R740" s="44"/>
      <c r="S740" s="44"/>
      <c r="T740" s="44"/>
      <c r="U740" s="44"/>
      <c r="V740" s="44"/>
      <c r="W740" s="44"/>
      <c r="X740" s="44"/>
      <c r="Y740" s="44"/>
      <c r="Z740" s="44"/>
      <c r="AA740" s="44"/>
      <c r="AB740" s="44"/>
    </row>
    <row r="741">
      <c r="A741" s="51"/>
      <c r="B741" s="43"/>
      <c r="C741" s="74"/>
      <c r="D741" s="75"/>
      <c r="E741" s="76"/>
      <c r="F741" s="76"/>
      <c r="G741" s="76"/>
      <c r="H741" s="76"/>
      <c r="I741" s="76"/>
      <c r="J741" s="43"/>
      <c r="K741" s="44"/>
      <c r="L741" s="44"/>
      <c r="M741" s="44"/>
      <c r="N741" s="44"/>
      <c r="O741" s="44"/>
      <c r="P741" s="44"/>
      <c r="Q741" s="44"/>
      <c r="R741" s="44"/>
      <c r="S741" s="44"/>
      <c r="T741" s="44"/>
      <c r="U741" s="44"/>
      <c r="V741" s="44"/>
      <c r="W741" s="44"/>
      <c r="X741" s="44"/>
      <c r="Y741" s="44"/>
      <c r="Z741" s="44"/>
      <c r="AA741" s="44"/>
      <c r="AB741" s="44"/>
    </row>
    <row r="742">
      <c r="A742" s="51"/>
      <c r="B742" s="43"/>
      <c r="C742" s="74"/>
      <c r="D742" s="75"/>
      <c r="E742" s="76"/>
      <c r="F742" s="76"/>
      <c r="G742" s="76"/>
      <c r="H742" s="76"/>
      <c r="I742" s="76"/>
      <c r="J742" s="43"/>
      <c r="K742" s="44"/>
      <c r="L742" s="44"/>
      <c r="M742" s="44"/>
      <c r="N742" s="44"/>
      <c r="O742" s="44"/>
      <c r="P742" s="44"/>
      <c r="Q742" s="44"/>
      <c r="R742" s="44"/>
      <c r="S742" s="44"/>
      <c r="T742" s="44"/>
      <c r="U742" s="44"/>
      <c r="V742" s="44"/>
      <c r="W742" s="44"/>
      <c r="X742" s="44"/>
      <c r="Y742" s="44"/>
      <c r="Z742" s="44"/>
      <c r="AA742" s="44"/>
      <c r="AB742" s="44"/>
    </row>
    <row r="743">
      <c r="A743" s="51"/>
      <c r="B743" s="43"/>
      <c r="C743" s="74"/>
      <c r="D743" s="75"/>
      <c r="E743" s="76"/>
      <c r="F743" s="76"/>
      <c r="G743" s="76"/>
      <c r="H743" s="76"/>
      <c r="I743" s="76"/>
      <c r="J743" s="43"/>
      <c r="K743" s="44"/>
      <c r="L743" s="44"/>
      <c r="M743" s="44"/>
      <c r="N743" s="44"/>
      <c r="O743" s="44"/>
      <c r="P743" s="44"/>
      <c r="Q743" s="44"/>
      <c r="R743" s="44"/>
      <c r="S743" s="44"/>
      <c r="T743" s="44"/>
      <c r="U743" s="44"/>
      <c r="V743" s="44"/>
      <c r="W743" s="44"/>
      <c r="X743" s="44"/>
      <c r="Y743" s="44"/>
      <c r="Z743" s="44"/>
      <c r="AA743" s="44"/>
      <c r="AB743" s="44"/>
    </row>
    <row r="744">
      <c r="A744" s="51"/>
      <c r="B744" s="43"/>
      <c r="C744" s="74"/>
      <c r="D744" s="75"/>
      <c r="E744" s="76"/>
      <c r="F744" s="76"/>
      <c r="G744" s="76"/>
      <c r="H744" s="76"/>
      <c r="I744" s="76"/>
      <c r="J744" s="43"/>
      <c r="K744" s="44"/>
      <c r="L744" s="44"/>
      <c r="M744" s="44"/>
      <c r="N744" s="44"/>
      <c r="O744" s="44"/>
      <c r="P744" s="44"/>
      <c r="Q744" s="44"/>
      <c r="R744" s="44"/>
      <c r="S744" s="44"/>
      <c r="T744" s="44"/>
      <c r="U744" s="44"/>
      <c r="V744" s="44"/>
      <c r="W744" s="44"/>
      <c r="X744" s="44"/>
      <c r="Y744" s="44"/>
      <c r="Z744" s="44"/>
      <c r="AA744" s="44"/>
      <c r="AB744" s="44"/>
    </row>
    <row r="745">
      <c r="A745" s="51"/>
      <c r="B745" s="43"/>
      <c r="C745" s="74"/>
      <c r="D745" s="75"/>
      <c r="E745" s="76"/>
      <c r="F745" s="76"/>
      <c r="G745" s="76"/>
      <c r="H745" s="76"/>
      <c r="I745" s="76"/>
      <c r="J745" s="43"/>
      <c r="K745" s="44"/>
      <c r="L745" s="44"/>
      <c r="M745" s="44"/>
      <c r="N745" s="44"/>
      <c r="O745" s="44"/>
      <c r="P745" s="44"/>
      <c r="Q745" s="44"/>
      <c r="R745" s="44"/>
      <c r="S745" s="44"/>
      <c r="T745" s="44"/>
      <c r="U745" s="44"/>
      <c r="V745" s="44"/>
      <c r="W745" s="44"/>
      <c r="X745" s="44"/>
      <c r="Y745" s="44"/>
      <c r="Z745" s="44"/>
      <c r="AA745" s="44"/>
      <c r="AB745" s="44"/>
    </row>
    <row r="746">
      <c r="A746" s="51"/>
      <c r="B746" s="43"/>
      <c r="C746" s="74"/>
      <c r="D746" s="75"/>
      <c r="E746" s="76"/>
      <c r="F746" s="76"/>
      <c r="G746" s="76"/>
      <c r="H746" s="76"/>
      <c r="I746" s="76"/>
      <c r="J746" s="43"/>
      <c r="K746" s="44"/>
      <c r="L746" s="44"/>
      <c r="M746" s="44"/>
      <c r="N746" s="44"/>
      <c r="O746" s="44"/>
      <c r="P746" s="44"/>
      <c r="Q746" s="44"/>
      <c r="R746" s="44"/>
      <c r="S746" s="44"/>
      <c r="T746" s="44"/>
      <c r="U746" s="44"/>
      <c r="V746" s="44"/>
      <c r="W746" s="44"/>
      <c r="X746" s="44"/>
      <c r="Y746" s="44"/>
      <c r="Z746" s="44"/>
      <c r="AA746" s="44"/>
      <c r="AB746" s="44"/>
    </row>
    <row r="747">
      <c r="A747" s="51"/>
      <c r="B747" s="43"/>
      <c r="C747" s="74"/>
      <c r="D747" s="75"/>
      <c r="E747" s="76"/>
      <c r="F747" s="76"/>
      <c r="G747" s="76"/>
      <c r="H747" s="76"/>
      <c r="I747" s="76"/>
      <c r="J747" s="43"/>
      <c r="K747" s="44"/>
      <c r="L747" s="44"/>
      <c r="M747" s="44"/>
      <c r="N747" s="44"/>
      <c r="O747" s="44"/>
      <c r="P747" s="44"/>
      <c r="Q747" s="44"/>
      <c r="R747" s="44"/>
      <c r="S747" s="44"/>
      <c r="T747" s="44"/>
      <c r="U747" s="44"/>
      <c r="V747" s="44"/>
      <c r="W747" s="44"/>
      <c r="X747" s="44"/>
      <c r="Y747" s="44"/>
      <c r="Z747" s="44"/>
      <c r="AA747" s="44"/>
      <c r="AB747" s="44"/>
    </row>
    <row r="748">
      <c r="A748" s="51"/>
      <c r="B748" s="43"/>
      <c r="C748" s="74"/>
      <c r="D748" s="75"/>
      <c r="E748" s="76"/>
      <c r="F748" s="76"/>
      <c r="G748" s="76"/>
      <c r="H748" s="76"/>
      <c r="I748" s="76"/>
      <c r="J748" s="43"/>
      <c r="K748" s="44"/>
      <c r="L748" s="44"/>
      <c r="M748" s="44"/>
      <c r="N748" s="44"/>
      <c r="O748" s="44"/>
      <c r="P748" s="44"/>
      <c r="Q748" s="44"/>
      <c r="R748" s="44"/>
      <c r="S748" s="44"/>
      <c r="T748" s="44"/>
      <c r="U748" s="44"/>
      <c r="V748" s="44"/>
      <c r="W748" s="44"/>
      <c r="X748" s="44"/>
      <c r="Y748" s="44"/>
      <c r="Z748" s="44"/>
      <c r="AA748" s="44"/>
      <c r="AB748" s="44"/>
    </row>
    <row r="749">
      <c r="A749" s="51"/>
      <c r="B749" s="43"/>
      <c r="C749" s="74"/>
      <c r="D749" s="75"/>
      <c r="E749" s="76"/>
      <c r="F749" s="76"/>
      <c r="G749" s="76"/>
      <c r="H749" s="76"/>
      <c r="I749" s="76"/>
      <c r="J749" s="43"/>
      <c r="K749" s="44"/>
      <c r="L749" s="44"/>
      <c r="M749" s="44"/>
      <c r="N749" s="44"/>
      <c r="O749" s="44"/>
      <c r="P749" s="44"/>
      <c r="Q749" s="44"/>
      <c r="R749" s="44"/>
      <c r="S749" s="44"/>
      <c r="T749" s="44"/>
      <c r="U749" s="44"/>
      <c r="V749" s="44"/>
      <c r="W749" s="44"/>
      <c r="X749" s="44"/>
      <c r="Y749" s="44"/>
      <c r="Z749" s="44"/>
      <c r="AA749" s="44"/>
      <c r="AB749" s="44"/>
    </row>
    <row r="750">
      <c r="A750" s="51"/>
      <c r="B750" s="43"/>
      <c r="C750" s="74"/>
      <c r="D750" s="75"/>
      <c r="E750" s="76"/>
      <c r="F750" s="76"/>
      <c r="G750" s="76"/>
      <c r="H750" s="76"/>
      <c r="I750" s="76"/>
      <c r="J750" s="43"/>
      <c r="K750" s="44"/>
      <c r="L750" s="44"/>
      <c r="M750" s="44"/>
      <c r="N750" s="44"/>
      <c r="O750" s="44"/>
      <c r="P750" s="44"/>
      <c r="Q750" s="44"/>
      <c r="R750" s="44"/>
      <c r="S750" s="44"/>
      <c r="T750" s="44"/>
      <c r="U750" s="44"/>
      <c r="V750" s="44"/>
      <c r="W750" s="44"/>
      <c r="X750" s="44"/>
      <c r="Y750" s="44"/>
      <c r="Z750" s="44"/>
      <c r="AA750" s="44"/>
      <c r="AB750" s="44"/>
    </row>
    <row r="751">
      <c r="A751" s="51"/>
      <c r="B751" s="43"/>
      <c r="C751" s="74"/>
      <c r="D751" s="75"/>
      <c r="E751" s="76"/>
      <c r="F751" s="76"/>
      <c r="G751" s="76"/>
      <c r="H751" s="76"/>
      <c r="I751" s="76"/>
      <c r="J751" s="43"/>
      <c r="K751" s="44"/>
      <c r="L751" s="44"/>
      <c r="M751" s="44"/>
      <c r="N751" s="44"/>
      <c r="O751" s="44"/>
      <c r="P751" s="44"/>
      <c r="Q751" s="44"/>
      <c r="R751" s="44"/>
      <c r="S751" s="44"/>
      <c r="T751" s="44"/>
      <c r="U751" s="44"/>
      <c r="V751" s="44"/>
      <c r="W751" s="44"/>
      <c r="X751" s="44"/>
      <c r="Y751" s="44"/>
      <c r="Z751" s="44"/>
      <c r="AA751" s="44"/>
      <c r="AB751" s="44"/>
    </row>
    <row r="752">
      <c r="A752" s="51"/>
      <c r="B752" s="43"/>
      <c r="C752" s="74"/>
      <c r="D752" s="75"/>
      <c r="E752" s="76"/>
      <c r="F752" s="76"/>
      <c r="G752" s="76"/>
      <c r="H752" s="76"/>
      <c r="I752" s="76"/>
      <c r="J752" s="43"/>
      <c r="K752" s="44"/>
      <c r="L752" s="44"/>
      <c r="M752" s="44"/>
      <c r="N752" s="44"/>
      <c r="O752" s="44"/>
      <c r="P752" s="44"/>
      <c r="Q752" s="44"/>
      <c r="R752" s="44"/>
      <c r="S752" s="44"/>
      <c r="T752" s="44"/>
      <c r="U752" s="44"/>
      <c r="V752" s="44"/>
      <c r="W752" s="44"/>
      <c r="X752" s="44"/>
      <c r="Y752" s="44"/>
      <c r="Z752" s="44"/>
      <c r="AA752" s="44"/>
      <c r="AB752" s="44"/>
    </row>
    <row r="753">
      <c r="A753" s="51"/>
      <c r="B753" s="43"/>
      <c r="C753" s="74"/>
      <c r="D753" s="75"/>
      <c r="E753" s="76"/>
      <c r="F753" s="76"/>
      <c r="G753" s="76"/>
      <c r="H753" s="76"/>
      <c r="I753" s="76"/>
      <c r="J753" s="43"/>
      <c r="K753" s="44"/>
      <c r="L753" s="44"/>
      <c r="M753" s="44"/>
      <c r="N753" s="44"/>
      <c r="O753" s="44"/>
      <c r="P753" s="44"/>
      <c r="Q753" s="44"/>
      <c r="R753" s="44"/>
      <c r="S753" s="44"/>
      <c r="T753" s="44"/>
      <c r="U753" s="44"/>
      <c r="V753" s="44"/>
      <c r="W753" s="44"/>
      <c r="X753" s="44"/>
      <c r="Y753" s="44"/>
      <c r="Z753" s="44"/>
      <c r="AA753" s="44"/>
      <c r="AB753" s="44"/>
    </row>
    <row r="754">
      <c r="A754" s="51"/>
      <c r="B754" s="43"/>
      <c r="C754" s="74"/>
      <c r="D754" s="75"/>
      <c r="E754" s="76"/>
      <c r="F754" s="76"/>
      <c r="G754" s="76"/>
      <c r="H754" s="76"/>
      <c r="I754" s="76"/>
      <c r="J754" s="43"/>
      <c r="K754" s="44"/>
      <c r="L754" s="44"/>
      <c r="M754" s="44"/>
      <c r="N754" s="44"/>
      <c r="O754" s="44"/>
      <c r="P754" s="44"/>
      <c r="Q754" s="44"/>
      <c r="R754" s="44"/>
      <c r="S754" s="44"/>
      <c r="T754" s="44"/>
      <c r="U754" s="44"/>
      <c r="V754" s="44"/>
      <c r="W754" s="44"/>
      <c r="X754" s="44"/>
      <c r="Y754" s="44"/>
      <c r="Z754" s="44"/>
      <c r="AA754" s="44"/>
      <c r="AB754" s="44"/>
    </row>
    <row r="755">
      <c r="A755" s="51"/>
      <c r="B755" s="43"/>
      <c r="C755" s="74"/>
      <c r="D755" s="75"/>
      <c r="E755" s="76"/>
      <c r="F755" s="76"/>
      <c r="G755" s="76"/>
      <c r="H755" s="76"/>
      <c r="I755" s="76"/>
      <c r="J755" s="43"/>
      <c r="K755" s="44"/>
      <c r="L755" s="44"/>
      <c r="M755" s="44"/>
      <c r="N755" s="44"/>
      <c r="O755" s="44"/>
      <c r="P755" s="44"/>
      <c r="Q755" s="44"/>
      <c r="R755" s="44"/>
      <c r="S755" s="44"/>
      <c r="T755" s="44"/>
      <c r="U755" s="44"/>
      <c r="V755" s="44"/>
      <c r="W755" s="44"/>
      <c r="X755" s="44"/>
      <c r="Y755" s="44"/>
      <c r="Z755" s="44"/>
      <c r="AA755" s="44"/>
      <c r="AB755" s="44"/>
    </row>
    <row r="756">
      <c r="A756" s="51"/>
      <c r="B756" s="43"/>
      <c r="C756" s="74"/>
      <c r="D756" s="75"/>
      <c r="E756" s="76"/>
      <c r="F756" s="76"/>
      <c r="G756" s="76"/>
      <c r="H756" s="76"/>
      <c r="I756" s="76"/>
      <c r="J756" s="43"/>
      <c r="K756" s="44"/>
      <c r="L756" s="44"/>
      <c r="M756" s="44"/>
      <c r="N756" s="44"/>
      <c r="O756" s="44"/>
      <c r="P756" s="44"/>
      <c r="Q756" s="44"/>
      <c r="R756" s="44"/>
      <c r="S756" s="44"/>
      <c r="T756" s="44"/>
      <c r="U756" s="44"/>
      <c r="V756" s="44"/>
      <c r="W756" s="44"/>
      <c r="X756" s="44"/>
      <c r="Y756" s="44"/>
      <c r="Z756" s="44"/>
      <c r="AA756" s="44"/>
      <c r="AB756" s="44"/>
    </row>
    <row r="757">
      <c r="A757" s="51"/>
      <c r="B757" s="43"/>
      <c r="C757" s="74"/>
      <c r="D757" s="75"/>
      <c r="E757" s="76"/>
      <c r="F757" s="76"/>
      <c r="G757" s="76"/>
      <c r="H757" s="76"/>
      <c r="I757" s="76"/>
      <c r="J757" s="43"/>
      <c r="K757" s="44"/>
      <c r="L757" s="44"/>
      <c r="M757" s="44"/>
      <c r="N757" s="44"/>
      <c r="O757" s="44"/>
      <c r="P757" s="44"/>
      <c r="Q757" s="44"/>
      <c r="R757" s="44"/>
      <c r="S757" s="44"/>
      <c r="T757" s="44"/>
      <c r="U757" s="44"/>
      <c r="V757" s="44"/>
      <c r="W757" s="44"/>
      <c r="X757" s="44"/>
      <c r="Y757" s="44"/>
      <c r="Z757" s="44"/>
      <c r="AA757" s="44"/>
      <c r="AB757" s="44"/>
    </row>
    <row r="758">
      <c r="A758" s="51"/>
      <c r="B758" s="43"/>
      <c r="C758" s="74"/>
      <c r="D758" s="75"/>
      <c r="E758" s="76"/>
      <c r="F758" s="76"/>
      <c r="G758" s="76"/>
      <c r="H758" s="76"/>
      <c r="I758" s="76"/>
      <c r="J758" s="43"/>
      <c r="K758" s="44"/>
      <c r="L758" s="44"/>
      <c r="M758" s="44"/>
      <c r="N758" s="44"/>
      <c r="O758" s="44"/>
      <c r="P758" s="44"/>
      <c r="Q758" s="44"/>
      <c r="R758" s="44"/>
      <c r="S758" s="44"/>
      <c r="T758" s="44"/>
      <c r="U758" s="44"/>
      <c r="V758" s="44"/>
      <c r="W758" s="44"/>
      <c r="X758" s="44"/>
      <c r="Y758" s="44"/>
      <c r="Z758" s="44"/>
      <c r="AA758" s="44"/>
      <c r="AB758" s="44"/>
    </row>
    <row r="759">
      <c r="A759" s="51"/>
      <c r="B759" s="43"/>
      <c r="C759" s="74"/>
      <c r="D759" s="75"/>
      <c r="E759" s="76"/>
      <c r="F759" s="76"/>
      <c r="G759" s="76"/>
      <c r="H759" s="76"/>
      <c r="I759" s="76"/>
      <c r="J759" s="43"/>
      <c r="K759" s="44"/>
      <c r="L759" s="44"/>
      <c r="M759" s="44"/>
      <c r="N759" s="44"/>
      <c r="O759" s="44"/>
      <c r="P759" s="44"/>
      <c r="Q759" s="44"/>
      <c r="R759" s="44"/>
      <c r="S759" s="44"/>
      <c r="T759" s="44"/>
      <c r="U759" s="44"/>
      <c r="V759" s="44"/>
      <c r="W759" s="44"/>
      <c r="X759" s="44"/>
      <c r="Y759" s="44"/>
      <c r="Z759" s="44"/>
      <c r="AA759" s="44"/>
      <c r="AB759" s="44"/>
    </row>
    <row r="760">
      <c r="A760" s="51"/>
      <c r="B760" s="43"/>
      <c r="C760" s="74"/>
      <c r="D760" s="75"/>
      <c r="E760" s="76"/>
      <c r="F760" s="76"/>
      <c r="G760" s="76"/>
      <c r="H760" s="76"/>
      <c r="I760" s="76"/>
      <c r="J760" s="43"/>
      <c r="K760" s="44"/>
      <c r="L760" s="44"/>
      <c r="M760" s="44"/>
      <c r="N760" s="44"/>
      <c r="O760" s="44"/>
      <c r="P760" s="44"/>
      <c r="Q760" s="44"/>
      <c r="R760" s="44"/>
      <c r="S760" s="44"/>
      <c r="T760" s="44"/>
      <c r="U760" s="44"/>
      <c r="V760" s="44"/>
      <c r="W760" s="44"/>
      <c r="X760" s="44"/>
      <c r="Y760" s="44"/>
      <c r="Z760" s="44"/>
      <c r="AA760" s="44"/>
      <c r="AB760" s="44"/>
    </row>
    <row r="761">
      <c r="A761" s="51"/>
      <c r="B761" s="43"/>
      <c r="C761" s="74"/>
      <c r="D761" s="75"/>
      <c r="E761" s="76"/>
      <c r="F761" s="76"/>
      <c r="G761" s="76"/>
      <c r="H761" s="76"/>
      <c r="I761" s="76"/>
      <c r="J761" s="43"/>
      <c r="K761" s="44"/>
      <c r="L761" s="44"/>
      <c r="M761" s="44"/>
      <c r="N761" s="44"/>
      <c r="O761" s="44"/>
      <c r="P761" s="44"/>
      <c r="Q761" s="44"/>
      <c r="R761" s="44"/>
      <c r="S761" s="44"/>
      <c r="T761" s="44"/>
      <c r="U761" s="44"/>
      <c r="V761" s="44"/>
      <c r="W761" s="44"/>
      <c r="X761" s="44"/>
      <c r="Y761" s="44"/>
      <c r="Z761" s="44"/>
      <c r="AA761" s="44"/>
      <c r="AB761" s="44"/>
    </row>
    <row r="762">
      <c r="A762" s="51"/>
      <c r="B762" s="43"/>
      <c r="C762" s="74"/>
      <c r="D762" s="75"/>
      <c r="E762" s="76"/>
      <c r="F762" s="76"/>
      <c r="G762" s="76"/>
      <c r="H762" s="76"/>
      <c r="I762" s="76"/>
      <c r="J762" s="43"/>
      <c r="K762" s="44"/>
      <c r="L762" s="44"/>
      <c r="M762" s="44"/>
      <c r="N762" s="44"/>
      <c r="O762" s="44"/>
      <c r="P762" s="44"/>
      <c r="Q762" s="44"/>
      <c r="R762" s="44"/>
      <c r="S762" s="44"/>
      <c r="T762" s="44"/>
      <c r="U762" s="44"/>
      <c r="V762" s="44"/>
      <c r="W762" s="44"/>
      <c r="X762" s="44"/>
      <c r="Y762" s="44"/>
      <c r="Z762" s="44"/>
      <c r="AA762" s="44"/>
      <c r="AB762" s="44"/>
    </row>
    <row r="763">
      <c r="A763" s="51"/>
      <c r="B763" s="43"/>
      <c r="C763" s="74"/>
      <c r="D763" s="75"/>
      <c r="E763" s="76"/>
      <c r="F763" s="76"/>
      <c r="G763" s="76"/>
      <c r="H763" s="76"/>
      <c r="I763" s="76"/>
      <c r="J763" s="43"/>
      <c r="K763" s="44"/>
      <c r="L763" s="44"/>
      <c r="M763" s="44"/>
      <c r="N763" s="44"/>
      <c r="O763" s="44"/>
      <c r="P763" s="44"/>
      <c r="Q763" s="44"/>
      <c r="R763" s="44"/>
      <c r="S763" s="44"/>
      <c r="T763" s="44"/>
      <c r="U763" s="44"/>
      <c r="V763" s="44"/>
      <c r="W763" s="44"/>
      <c r="X763" s="44"/>
      <c r="Y763" s="44"/>
      <c r="Z763" s="44"/>
      <c r="AA763" s="44"/>
      <c r="AB763" s="44"/>
    </row>
    <row r="764">
      <c r="A764" s="51"/>
      <c r="B764" s="43"/>
      <c r="C764" s="74"/>
      <c r="D764" s="75"/>
      <c r="E764" s="76"/>
      <c r="F764" s="76"/>
      <c r="G764" s="76"/>
      <c r="H764" s="76"/>
      <c r="I764" s="76"/>
      <c r="J764" s="43"/>
      <c r="K764" s="44"/>
      <c r="L764" s="44"/>
      <c r="M764" s="44"/>
      <c r="N764" s="44"/>
      <c r="O764" s="44"/>
      <c r="P764" s="44"/>
      <c r="Q764" s="44"/>
      <c r="R764" s="44"/>
      <c r="S764" s="44"/>
      <c r="T764" s="44"/>
      <c r="U764" s="44"/>
      <c r="V764" s="44"/>
      <c r="W764" s="44"/>
      <c r="X764" s="44"/>
      <c r="Y764" s="44"/>
      <c r="Z764" s="44"/>
      <c r="AA764" s="44"/>
      <c r="AB764" s="44"/>
    </row>
    <row r="765">
      <c r="A765" s="51"/>
      <c r="B765" s="43"/>
      <c r="C765" s="74"/>
      <c r="D765" s="75"/>
      <c r="E765" s="76"/>
      <c r="F765" s="76"/>
      <c r="G765" s="76"/>
      <c r="H765" s="76"/>
      <c r="I765" s="76"/>
      <c r="J765" s="43"/>
      <c r="K765" s="44"/>
      <c r="L765" s="44"/>
      <c r="M765" s="44"/>
      <c r="N765" s="44"/>
      <c r="O765" s="44"/>
      <c r="P765" s="44"/>
      <c r="Q765" s="44"/>
      <c r="R765" s="44"/>
      <c r="S765" s="44"/>
      <c r="T765" s="44"/>
      <c r="U765" s="44"/>
      <c r="V765" s="44"/>
      <c r="W765" s="44"/>
      <c r="X765" s="44"/>
      <c r="Y765" s="44"/>
      <c r="Z765" s="44"/>
      <c r="AA765" s="44"/>
      <c r="AB765" s="44"/>
    </row>
    <row r="766">
      <c r="A766" s="51"/>
      <c r="B766" s="43"/>
      <c r="C766" s="74"/>
      <c r="D766" s="75"/>
      <c r="E766" s="76"/>
      <c r="F766" s="76"/>
      <c r="G766" s="76"/>
      <c r="H766" s="76"/>
      <c r="I766" s="76"/>
      <c r="J766" s="43"/>
      <c r="K766" s="44"/>
      <c r="L766" s="44"/>
      <c r="M766" s="44"/>
      <c r="N766" s="44"/>
      <c r="O766" s="44"/>
      <c r="P766" s="44"/>
      <c r="Q766" s="44"/>
      <c r="R766" s="44"/>
      <c r="S766" s="44"/>
      <c r="T766" s="44"/>
      <c r="U766" s="44"/>
      <c r="V766" s="44"/>
      <c r="W766" s="44"/>
      <c r="X766" s="44"/>
      <c r="Y766" s="44"/>
      <c r="Z766" s="44"/>
      <c r="AA766" s="44"/>
      <c r="AB766" s="44"/>
    </row>
    <row r="767">
      <c r="A767" s="51"/>
      <c r="B767" s="43"/>
      <c r="C767" s="74"/>
      <c r="D767" s="75"/>
      <c r="E767" s="76"/>
      <c r="F767" s="76"/>
      <c r="G767" s="76"/>
      <c r="H767" s="76"/>
      <c r="I767" s="76"/>
      <c r="J767" s="43"/>
      <c r="K767" s="44"/>
      <c r="L767" s="44"/>
      <c r="M767" s="44"/>
      <c r="N767" s="44"/>
      <c r="O767" s="44"/>
      <c r="P767" s="44"/>
      <c r="Q767" s="44"/>
      <c r="R767" s="44"/>
      <c r="S767" s="44"/>
      <c r="T767" s="44"/>
      <c r="U767" s="44"/>
      <c r="V767" s="44"/>
      <c r="W767" s="44"/>
      <c r="X767" s="44"/>
      <c r="Y767" s="44"/>
      <c r="Z767" s="44"/>
      <c r="AA767" s="44"/>
      <c r="AB767" s="44"/>
    </row>
    <row r="768">
      <c r="A768" s="51"/>
      <c r="B768" s="43"/>
      <c r="C768" s="74"/>
      <c r="D768" s="75"/>
      <c r="E768" s="76"/>
      <c r="F768" s="76"/>
      <c r="G768" s="76"/>
      <c r="H768" s="76"/>
      <c r="I768" s="76"/>
      <c r="J768" s="43"/>
      <c r="K768" s="44"/>
      <c r="L768" s="44"/>
      <c r="M768" s="44"/>
      <c r="N768" s="44"/>
      <c r="O768" s="44"/>
      <c r="P768" s="44"/>
      <c r="Q768" s="44"/>
      <c r="R768" s="44"/>
      <c r="S768" s="44"/>
      <c r="T768" s="44"/>
      <c r="U768" s="44"/>
      <c r="V768" s="44"/>
      <c r="W768" s="44"/>
      <c r="X768" s="44"/>
      <c r="Y768" s="44"/>
      <c r="Z768" s="44"/>
      <c r="AA768" s="44"/>
      <c r="AB768" s="44"/>
    </row>
    <row r="769">
      <c r="A769" s="51"/>
      <c r="B769" s="43"/>
      <c r="C769" s="74"/>
      <c r="D769" s="75"/>
      <c r="E769" s="76"/>
      <c r="F769" s="76"/>
      <c r="G769" s="76"/>
      <c r="H769" s="76"/>
      <c r="I769" s="76"/>
      <c r="J769" s="43"/>
      <c r="K769" s="44"/>
      <c r="L769" s="44"/>
      <c r="M769" s="44"/>
      <c r="N769" s="44"/>
      <c r="O769" s="44"/>
      <c r="P769" s="44"/>
      <c r="Q769" s="44"/>
      <c r="R769" s="44"/>
      <c r="S769" s="44"/>
      <c r="T769" s="44"/>
      <c r="U769" s="44"/>
      <c r="V769" s="44"/>
      <c r="W769" s="44"/>
      <c r="X769" s="44"/>
      <c r="Y769" s="44"/>
      <c r="Z769" s="44"/>
      <c r="AA769" s="44"/>
      <c r="AB769" s="44"/>
    </row>
    <row r="770">
      <c r="A770" s="51"/>
      <c r="B770" s="43"/>
      <c r="C770" s="74"/>
      <c r="D770" s="75"/>
      <c r="E770" s="76"/>
      <c r="F770" s="76"/>
      <c r="G770" s="76"/>
      <c r="H770" s="76"/>
      <c r="I770" s="76"/>
      <c r="J770" s="43"/>
      <c r="K770" s="44"/>
      <c r="L770" s="44"/>
      <c r="M770" s="44"/>
      <c r="N770" s="44"/>
      <c r="O770" s="44"/>
      <c r="P770" s="44"/>
      <c r="Q770" s="44"/>
      <c r="R770" s="44"/>
      <c r="S770" s="44"/>
      <c r="T770" s="44"/>
      <c r="U770" s="44"/>
      <c r="V770" s="44"/>
      <c r="W770" s="44"/>
      <c r="X770" s="44"/>
      <c r="Y770" s="44"/>
      <c r="Z770" s="44"/>
      <c r="AA770" s="44"/>
      <c r="AB770" s="44"/>
    </row>
    <row r="771">
      <c r="A771" s="51"/>
      <c r="B771" s="43"/>
      <c r="C771" s="74"/>
      <c r="D771" s="75"/>
      <c r="E771" s="76"/>
      <c r="F771" s="76"/>
      <c r="G771" s="76"/>
      <c r="H771" s="76"/>
      <c r="I771" s="76"/>
      <c r="J771" s="43"/>
      <c r="K771" s="44"/>
      <c r="L771" s="44"/>
      <c r="M771" s="44"/>
      <c r="N771" s="44"/>
      <c r="O771" s="44"/>
      <c r="P771" s="44"/>
      <c r="Q771" s="44"/>
      <c r="R771" s="44"/>
      <c r="S771" s="44"/>
      <c r="T771" s="44"/>
      <c r="U771" s="44"/>
      <c r="V771" s="44"/>
      <c r="W771" s="44"/>
      <c r="X771" s="44"/>
      <c r="Y771" s="44"/>
      <c r="Z771" s="44"/>
      <c r="AA771" s="44"/>
      <c r="AB771" s="44"/>
    </row>
    <row r="772">
      <c r="A772" s="51"/>
      <c r="B772" s="43"/>
      <c r="C772" s="74"/>
      <c r="D772" s="75"/>
      <c r="E772" s="76"/>
      <c r="F772" s="76"/>
      <c r="G772" s="76"/>
      <c r="H772" s="76"/>
      <c r="I772" s="76"/>
      <c r="J772" s="43"/>
      <c r="K772" s="44"/>
      <c r="L772" s="44"/>
      <c r="M772" s="44"/>
      <c r="N772" s="44"/>
      <c r="O772" s="44"/>
      <c r="P772" s="44"/>
      <c r="Q772" s="44"/>
      <c r="R772" s="44"/>
      <c r="S772" s="44"/>
      <c r="T772" s="44"/>
      <c r="U772" s="44"/>
      <c r="V772" s="44"/>
      <c r="W772" s="44"/>
      <c r="X772" s="44"/>
      <c r="Y772" s="44"/>
      <c r="Z772" s="44"/>
      <c r="AA772" s="44"/>
      <c r="AB772" s="44"/>
    </row>
    <row r="773">
      <c r="A773" s="51"/>
      <c r="B773" s="43"/>
      <c r="C773" s="74"/>
      <c r="D773" s="75"/>
      <c r="E773" s="76"/>
      <c r="F773" s="76"/>
      <c r="G773" s="76"/>
      <c r="H773" s="76"/>
      <c r="I773" s="76"/>
      <c r="J773" s="43"/>
      <c r="K773" s="44"/>
      <c r="L773" s="44"/>
      <c r="M773" s="44"/>
      <c r="N773" s="44"/>
      <c r="O773" s="44"/>
      <c r="P773" s="44"/>
      <c r="Q773" s="44"/>
      <c r="R773" s="44"/>
      <c r="S773" s="44"/>
      <c r="T773" s="44"/>
      <c r="U773" s="44"/>
      <c r="V773" s="44"/>
      <c r="W773" s="44"/>
      <c r="X773" s="44"/>
      <c r="Y773" s="44"/>
      <c r="Z773" s="44"/>
      <c r="AA773" s="44"/>
      <c r="AB773" s="44"/>
    </row>
    <row r="774">
      <c r="A774" s="51"/>
      <c r="B774" s="43"/>
      <c r="C774" s="74"/>
      <c r="D774" s="75"/>
      <c r="E774" s="76"/>
      <c r="F774" s="76"/>
      <c r="G774" s="76"/>
      <c r="H774" s="76"/>
      <c r="I774" s="76"/>
      <c r="J774" s="43"/>
      <c r="K774" s="44"/>
      <c r="L774" s="44"/>
      <c r="M774" s="44"/>
      <c r="N774" s="44"/>
      <c r="O774" s="44"/>
      <c r="P774" s="44"/>
      <c r="Q774" s="44"/>
      <c r="R774" s="44"/>
      <c r="S774" s="44"/>
      <c r="T774" s="44"/>
      <c r="U774" s="44"/>
      <c r="V774" s="44"/>
      <c r="W774" s="44"/>
      <c r="X774" s="44"/>
      <c r="Y774" s="44"/>
      <c r="Z774" s="44"/>
      <c r="AA774" s="44"/>
      <c r="AB774" s="44"/>
    </row>
    <row r="775">
      <c r="A775" s="51"/>
      <c r="B775" s="43"/>
      <c r="C775" s="74"/>
      <c r="D775" s="75"/>
      <c r="E775" s="76"/>
      <c r="F775" s="76"/>
      <c r="G775" s="76"/>
      <c r="H775" s="76"/>
      <c r="I775" s="76"/>
      <c r="J775" s="43"/>
      <c r="K775" s="44"/>
      <c r="L775" s="44"/>
      <c r="M775" s="44"/>
      <c r="N775" s="44"/>
      <c r="O775" s="44"/>
      <c r="P775" s="44"/>
      <c r="Q775" s="44"/>
      <c r="R775" s="44"/>
      <c r="S775" s="44"/>
      <c r="T775" s="44"/>
      <c r="U775" s="44"/>
      <c r="V775" s="44"/>
      <c r="W775" s="44"/>
      <c r="X775" s="44"/>
      <c r="Y775" s="44"/>
      <c r="Z775" s="44"/>
      <c r="AA775" s="44"/>
      <c r="AB775" s="44"/>
    </row>
    <row r="776">
      <c r="A776" s="51"/>
      <c r="B776" s="43"/>
      <c r="C776" s="74"/>
      <c r="D776" s="75"/>
      <c r="E776" s="76"/>
      <c r="F776" s="76"/>
      <c r="G776" s="76"/>
      <c r="H776" s="76"/>
      <c r="I776" s="76"/>
      <c r="J776" s="43"/>
      <c r="K776" s="44"/>
      <c r="L776" s="44"/>
      <c r="M776" s="44"/>
      <c r="N776" s="44"/>
      <c r="O776" s="44"/>
      <c r="P776" s="44"/>
      <c r="Q776" s="44"/>
      <c r="R776" s="44"/>
      <c r="S776" s="44"/>
      <c r="T776" s="44"/>
      <c r="U776" s="44"/>
      <c r="V776" s="44"/>
      <c r="W776" s="44"/>
      <c r="X776" s="44"/>
      <c r="Y776" s="44"/>
      <c r="Z776" s="44"/>
      <c r="AA776" s="44"/>
      <c r="AB776" s="44"/>
    </row>
    <row r="777">
      <c r="A777" s="51"/>
      <c r="B777" s="43"/>
      <c r="C777" s="74"/>
      <c r="D777" s="75"/>
      <c r="E777" s="76"/>
      <c r="F777" s="76"/>
      <c r="G777" s="76"/>
      <c r="H777" s="76"/>
      <c r="I777" s="76"/>
      <c r="J777" s="43"/>
      <c r="K777" s="44"/>
      <c r="L777" s="44"/>
      <c r="M777" s="44"/>
      <c r="N777" s="44"/>
      <c r="O777" s="44"/>
      <c r="P777" s="44"/>
      <c r="Q777" s="44"/>
      <c r="R777" s="44"/>
      <c r="S777" s="44"/>
      <c r="T777" s="44"/>
      <c r="U777" s="44"/>
      <c r="V777" s="44"/>
      <c r="W777" s="44"/>
      <c r="X777" s="44"/>
      <c r="Y777" s="44"/>
      <c r="Z777" s="44"/>
      <c r="AA777" s="44"/>
      <c r="AB777" s="44"/>
    </row>
    <row r="778">
      <c r="A778" s="51"/>
      <c r="B778" s="43"/>
      <c r="C778" s="74"/>
      <c r="D778" s="75"/>
      <c r="E778" s="76"/>
      <c r="F778" s="76"/>
      <c r="G778" s="76"/>
      <c r="H778" s="76"/>
      <c r="I778" s="76"/>
      <c r="J778" s="43"/>
      <c r="K778" s="44"/>
      <c r="L778" s="44"/>
      <c r="M778" s="44"/>
      <c r="N778" s="44"/>
      <c r="O778" s="44"/>
      <c r="P778" s="44"/>
      <c r="Q778" s="44"/>
      <c r="R778" s="44"/>
      <c r="S778" s="44"/>
      <c r="T778" s="44"/>
      <c r="U778" s="44"/>
      <c r="V778" s="44"/>
      <c r="W778" s="44"/>
      <c r="X778" s="44"/>
      <c r="Y778" s="44"/>
      <c r="Z778" s="44"/>
      <c r="AA778" s="44"/>
      <c r="AB778" s="44"/>
    </row>
    <row r="779">
      <c r="A779" s="51"/>
      <c r="B779" s="43"/>
      <c r="C779" s="74"/>
      <c r="D779" s="75"/>
      <c r="E779" s="76"/>
      <c r="F779" s="76"/>
      <c r="G779" s="76"/>
      <c r="H779" s="76"/>
      <c r="I779" s="76"/>
      <c r="J779" s="43"/>
      <c r="K779" s="44"/>
      <c r="L779" s="44"/>
      <c r="M779" s="44"/>
      <c r="N779" s="44"/>
      <c r="O779" s="44"/>
      <c r="P779" s="44"/>
      <c r="Q779" s="44"/>
      <c r="R779" s="44"/>
      <c r="S779" s="44"/>
      <c r="T779" s="44"/>
      <c r="U779" s="44"/>
      <c r="V779" s="44"/>
      <c r="W779" s="44"/>
      <c r="X779" s="44"/>
      <c r="Y779" s="44"/>
      <c r="Z779" s="44"/>
      <c r="AA779" s="44"/>
      <c r="AB779" s="44"/>
    </row>
    <row r="780">
      <c r="A780" s="51"/>
      <c r="B780" s="43"/>
      <c r="C780" s="74"/>
      <c r="D780" s="75"/>
      <c r="E780" s="76"/>
      <c r="F780" s="76"/>
      <c r="G780" s="76"/>
      <c r="H780" s="76"/>
      <c r="I780" s="76"/>
      <c r="J780" s="43"/>
      <c r="K780" s="44"/>
      <c r="L780" s="44"/>
      <c r="M780" s="44"/>
      <c r="N780" s="44"/>
      <c r="O780" s="44"/>
      <c r="P780" s="44"/>
      <c r="Q780" s="44"/>
      <c r="R780" s="44"/>
      <c r="S780" s="44"/>
      <c r="T780" s="44"/>
      <c r="U780" s="44"/>
      <c r="V780" s="44"/>
      <c r="W780" s="44"/>
      <c r="X780" s="44"/>
      <c r="Y780" s="44"/>
      <c r="Z780" s="44"/>
      <c r="AA780" s="44"/>
      <c r="AB780" s="44"/>
    </row>
    <row r="781">
      <c r="A781" s="51"/>
      <c r="B781" s="43"/>
      <c r="C781" s="74"/>
      <c r="D781" s="75"/>
      <c r="E781" s="76"/>
      <c r="F781" s="76"/>
      <c r="G781" s="76"/>
      <c r="H781" s="76"/>
      <c r="I781" s="76"/>
      <c r="J781" s="43"/>
      <c r="K781" s="44"/>
      <c r="L781" s="44"/>
      <c r="M781" s="44"/>
      <c r="N781" s="44"/>
      <c r="O781" s="44"/>
      <c r="P781" s="44"/>
      <c r="Q781" s="44"/>
      <c r="R781" s="44"/>
      <c r="S781" s="44"/>
      <c r="T781" s="44"/>
      <c r="U781" s="44"/>
      <c r="V781" s="44"/>
      <c r="W781" s="44"/>
      <c r="X781" s="44"/>
      <c r="Y781" s="44"/>
      <c r="Z781" s="44"/>
      <c r="AA781" s="44"/>
      <c r="AB781" s="44"/>
    </row>
    <row r="782">
      <c r="A782" s="51"/>
      <c r="B782" s="43"/>
      <c r="C782" s="74"/>
      <c r="D782" s="75"/>
      <c r="E782" s="76"/>
      <c r="F782" s="76"/>
      <c r="G782" s="76"/>
      <c r="H782" s="76"/>
      <c r="I782" s="76"/>
      <c r="J782" s="43"/>
      <c r="K782" s="44"/>
      <c r="L782" s="44"/>
      <c r="M782" s="44"/>
      <c r="N782" s="44"/>
      <c r="O782" s="44"/>
      <c r="P782" s="44"/>
      <c r="Q782" s="44"/>
      <c r="R782" s="44"/>
      <c r="S782" s="44"/>
      <c r="T782" s="44"/>
      <c r="U782" s="44"/>
      <c r="V782" s="44"/>
      <c r="W782" s="44"/>
      <c r="X782" s="44"/>
      <c r="Y782" s="44"/>
      <c r="Z782" s="44"/>
      <c r="AA782" s="44"/>
      <c r="AB782" s="44"/>
    </row>
    <row r="783">
      <c r="A783" s="51"/>
      <c r="B783" s="43"/>
      <c r="C783" s="74"/>
      <c r="D783" s="75"/>
      <c r="E783" s="76"/>
      <c r="F783" s="76"/>
      <c r="G783" s="76"/>
      <c r="H783" s="76"/>
      <c r="I783" s="76"/>
      <c r="J783" s="43"/>
      <c r="K783" s="44"/>
      <c r="L783" s="44"/>
      <c r="M783" s="44"/>
      <c r="N783" s="44"/>
      <c r="O783" s="44"/>
      <c r="P783" s="44"/>
      <c r="Q783" s="44"/>
      <c r="R783" s="44"/>
      <c r="S783" s="44"/>
      <c r="T783" s="44"/>
      <c r="U783" s="44"/>
      <c r="V783" s="44"/>
      <c r="W783" s="44"/>
      <c r="X783" s="44"/>
      <c r="Y783" s="44"/>
      <c r="Z783" s="44"/>
      <c r="AA783" s="44"/>
      <c r="AB783" s="44"/>
    </row>
    <row r="784">
      <c r="A784" s="51"/>
      <c r="B784" s="43"/>
      <c r="C784" s="74"/>
      <c r="D784" s="75"/>
      <c r="E784" s="76"/>
      <c r="F784" s="76"/>
      <c r="G784" s="76"/>
      <c r="H784" s="76"/>
      <c r="I784" s="76"/>
      <c r="J784" s="43"/>
      <c r="K784" s="44"/>
      <c r="L784" s="44"/>
      <c r="M784" s="44"/>
      <c r="N784" s="44"/>
      <c r="O784" s="44"/>
      <c r="P784" s="44"/>
      <c r="Q784" s="44"/>
      <c r="R784" s="44"/>
      <c r="S784" s="44"/>
      <c r="T784" s="44"/>
      <c r="U784" s="44"/>
      <c r="V784" s="44"/>
      <c r="W784" s="44"/>
      <c r="X784" s="44"/>
      <c r="Y784" s="44"/>
      <c r="Z784" s="44"/>
      <c r="AA784" s="44"/>
      <c r="AB784" s="44"/>
    </row>
    <row r="785">
      <c r="A785" s="51"/>
      <c r="B785" s="43"/>
      <c r="C785" s="74"/>
      <c r="D785" s="75"/>
      <c r="E785" s="76"/>
      <c r="F785" s="76"/>
      <c r="G785" s="76"/>
      <c r="H785" s="76"/>
      <c r="I785" s="76"/>
      <c r="J785" s="43"/>
      <c r="K785" s="44"/>
      <c r="L785" s="44"/>
      <c r="M785" s="44"/>
      <c r="N785" s="44"/>
      <c r="O785" s="44"/>
      <c r="P785" s="44"/>
      <c r="Q785" s="44"/>
      <c r="R785" s="44"/>
      <c r="S785" s="44"/>
      <c r="T785" s="44"/>
      <c r="U785" s="44"/>
      <c r="V785" s="44"/>
      <c r="W785" s="44"/>
      <c r="X785" s="44"/>
      <c r="Y785" s="44"/>
      <c r="Z785" s="44"/>
      <c r="AA785" s="44"/>
      <c r="AB785" s="44"/>
    </row>
    <row r="786">
      <c r="A786" s="51"/>
      <c r="B786" s="43"/>
      <c r="C786" s="74"/>
      <c r="D786" s="75"/>
      <c r="E786" s="76"/>
      <c r="F786" s="76"/>
      <c r="G786" s="76"/>
      <c r="H786" s="76"/>
      <c r="I786" s="76"/>
      <c r="J786" s="43"/>
      <c r="K786" s="44"/>
      <c r="L786" s="44"/>
      <c r="M786" s="44"/>
      <c r="N786" s="44"/>
      <c r="O786" s="44"/>
      <c r="P786" s="44"/>
      <c r="Q786" s="44"/>
      <c r="R786" s="44"/>
      <c r="S786" s="44"/>
      <c r="T786" s="44"/>
      <c r="U786" s="44"/>
      <c r="V786" s="44"/>
      <c r="W786" s="44"/>
      <c r="X786" s="44"/>
      <c r="Y786" s="44"/>
      <c r="Z786" s="44"/>
      <c r="AA786" s="44"/>
      <c r="AB786" s="44"/>
    </row>
    <row r="787">
      <c r="A787" s="51"/>
      <c r="B787" s="43"/>
      <c r="C787" s="74"/>
      <c r="D787" s="75"/>
      <c r="E787" s="76"/>
      <c r="F787" s="76"/>
      <c r="G787" s="76"/>
      <c r="H787" s="76"/>
      <c r="I787" s="76"/>
      <c r="J787" s="43"/>
      <c r="K787" s="44"/>
      <c r="L787" s="44"/>
      <c r="M787" s="44"/>
      <c r="N787" s="44"/>
      <c r="O787" s="44"/>
      <c r="P787" s="44"/>
      <c r="Q787" s="44"/>
      <c r="R787" s="44"/>
      <c r="S787" s="44"/>
      <c r="T787" s="44"/>
      <c r="U787" s="44"/>
      <c r="V787" s="44"/>
      <c r="W787" s="44"/>
      <c r="X787" s="44"/>
      <c r="Y787" s="44"/>
      <c r="Z787" s="44"/>
      <c r="AA787" s="44"/>
      <c r="AB787" s="44"/>
    </row>
    <row r="788">
      <c r="A788" s="51"/>
      <c r="B788" s="43"/>
      <c r="C788" s="74"/>
      <c r="D788" s="75"/>
      <c r="E788" s="76"/>
      <c r="F788" s="76"/>
      <c r="G788" s="76"/>
      <c r="H788" s="76"/>
      <c r="I788" s="76"/>
      <c r="J788" s="43"/>
      <c r="K788" s="44"/>
      <c r="L788" s="44"/>
      <c r="M788" s="44"/>
      <c r="N788" s="44"/>
      <c r="O788" s="44"/>
      <c r="P788" s="44"/>
      <c r="Q788" s="44"/>
      <c r="R788" s="44"/>
      <c r="S788" s="44"/>
      <c r="T788" s="44"/>
      <c r="U788" s="44"/>
      <c r="V788" s="44"/>
      <c r="W788" s="44"/>
      <c r="X788" s="44"/>
      <c r="Y788" s="44"/>
      <c r="Z788" s="44"/>
      <c r="AA788" s="44"/>
      <c r="AB788" s="44"/>
    </row>
    <row r="789">
      <c r="A789" s="51"/>
      <c r="B789" s="43"/>
      <c r="C789" s="74"/>
      <c r="D789" s="75"/>
      <c r="E789" s="76"/>
      <c r="F789" s="76"/>
      <c r="G789" s="76"/>
      <c r="H789" s="76"/>
      <c r="I789" s="76"/>
      <c r="J789" s="43"/>
      <c r="K789" s="44"/>
      <c r="L789" s="44"/>
      <c r="M789" s="44"/>
      <c r="N789" s="44"/>
      <c r="O789" s="44"/>
      <c r="P789" s="44"/>
      <c r="Q789" s="44"/>
      <c r="R789" s="44"/>
      <c r="S789" s="44"/>
      <c r="T789" s="44"/>
      <c r="U789" s="44"/>
      <c r="V789" s="44"/>
      <c r="W789" s="44"/>
      <c r="X789" s="44"/>
      <c r="Y789" s="44"/>
      <c r="Z789" s="44"/>
      <c r="AA789" s="44"/>
      <c r="AB789" s="44"/>
    </row>
    <row r="790">
      <c r="A790" s="51"/>
      <c r="B790" s="43"/>
      <c r="C790" s="74"/>
      <c r="D790" s="75"/>
      <c r="E790" s="76"/>
      <c r="F790" s="76"/>
      <c r="G790" s="76"/>
      <c r="H790" s="76"/>
      <c r="I790" s="76"/>
      <c r="J790" s="43"/>
      <c r="K790" s="44"/>
      <c r="L790" s="44"/>
      <c r="M790" s="44"/>
      <c r="N790" s="44"/>
      <c r="O790" s="44"/>
      <c r="P790" s="44"/>
      <c r="Q790" s="44"/>
      <c r="R790" s="44"/>
      <c r="S790" s="44"/>
      <c r="T790" s="44"/>
      <c r="U790" s="44"/>
      <c r="V790" s="44"/>
      <c r="W790" s="44"/>
      <c r="X790" s="44"/>
      <c r="Y790" s="44"/>
      <c r="Z790" s="44"/>
      <c r="AA790" s="44"/>
      <c r="AB790" s="44"/>
    </row>
    <row r="791">
      <c r="A791" s="51"/>
      <c r="B791" s="43"/>
      <c r="C791" s="74"/>
      <c r="D791" s="75"/>
      <c r="E791" s="76"/>
      <c r="F791" s="76"/>
      <c r="G791" s="76"/>
      <c r="H791" s="76"/>
      <c r="I791" s="76"/>
      <c r="J791" s="43"/>
      <c r="K791" s="44"/>
      <c r="L791" s="44"/>
      <c r="M791" s="44"/>
      <c r="N791" s="44"/>
      <c r="O791" s="44"/>
      <c r="P791" s="44"/>
      <c r="Q791" s="44"/>
      <c r="R791" s="44"/>
      <c r="S791" s="44"/>
      <c r="T791" s="44"/>
      <c r="U791" s="44"/>
      <c r="V791" s="44"/>
      <c r="W791" s="44"/>
      <c r="X791" s="44"/>
      <c r="Y791" s="44"/>
      <c r="Z791" s="44"/>
      <c r="AA791" s="44"/>
      <c r="AB791" s="44"/>
    </row>
    <row r="792">
      <c r="A792" s="51"/>
      <c r="B792" s="43"/>
      <c r="C792" s="74"/>
      <c r="D792" s="75"/>
      <c r="E792" s="76"/>
      <c r="F792" s="76"/>
      <c r="G792" s="76"/>
      <c r="H792" s="76"/>
      <c r="I792" s="76"/>
      <c r="J792" s="43"/>
      <c r="K792" s="44"/>
      <c r="L792" s="44"/>
      <c r="M792" s="44"/>
      <c r="N792" s="44"/>
      <c r="O792" s="44"/>
      <c r="P792" s="44"/>
      <c r="Q792" s="44"/>
      <c r="R792" s="44"/>
      <c r="S792" s="44"/>
      <c r="T792" s="44"/>
      <c r="U792" s="44"/>
      <c r="V792" s="44"/>
      <c r="W792" s="44"/>
      <c r="X792" s="44"/>
      <c r="Y792" s="44"/>
      <c r="Z792" s="44"/>
      <c r="AA792" s="44"/>
      <c r="AB792" s="44"/>
    </row>
    <row r="793">
      <c r="A793" s="51"/>
      <c r="B793" s="43"/>
      <c r="C793" s="74"/>
      <c r="D793" s="75"/>
      <c r="E793" s="76"/>
      <c r="F793" s="76"/>
      <c r="G793" s="76"/>
      <c r="H793" s="76"/>
      <c r="I793" s="76"/>
      <c r="J793" s="43"/>
      <c r="K793" s="44"/>
      <c r="L793" s="44"/>
      <c r="M793" s="44"/>
      <c r="N793" s="44"/>
      <c r="O793" s="44"/>
      <c r="P793" s="44"/>
      <c r="Q793" s="44"/>
      <c r="R793" s="44"/>
      <c r="S793" s="44"/>
      <c r="T793" s="44"/>
      <c r="U793" s="44"/>
      <c r="V793" s="44"/>
      <c r="W793" s="44"/>
      <c r="X793" s="44"/>
      <c r="Y793" s="44"/>
      <c r="Z793" s="44"/>
      <c r="AA793" s="44"/>
      <c r="AB793" s="44"/>
    </row>
    <row r="794">
      <c r="A794" s="51"/>
      <c r="B794" s="43"/>
      <c r="C794" s="74"/>
      <c r="D794" s="75"/>
      <c r="E794" s="76"/>
      <c r="F794" s="76"/>
      <c r="G794" s="76"/>
      <c r="H794" s="76"/>
      <c r="I794" s="76"/>
      <c r="J794" s="43"/>
      <c r="K794" s="44"/>
      <c r="L794" s="44"/>
      <c r="M794" s="44"/>
      <c r="N794" s="44"/>
      <c r="O794" s="44"/>
      <c r="P794" s="44"/>
      <c r="Q794" s="44"/>
      <c r="R794" s="44"/>
      <c r="S794" s="44"/>
      <c r="T794" s="44"/>
      <c r="U794" s="44"/>
      <c r="V794" s="44"/>
      <c r="W794" s="44"/>
      <c r="X794" s="44"/>
      <c r="Y794" s="44"/>
      <c r="Z794" s="44"/>
      <c r="AA794" s="44"/>
      <c r="AB794" s="44"/>
    </row>
    <row r="795">
      <c r="A795" s="51"/>
      <c r="B795" s="43"/>
      <c r="C795" s="74"/>
      <c r="D795" s="75"/>
      <c r="E795" s="76"/>
      <c r="F795" s="76"/>
      <c r="G795" s="76"/>
      <c r="H795" s="76"/>
      <c r="I795" s="76"/>
      <c r="J795" s="43"/>
      <c r="K795" s="44"/>
      <c r="L795" s="44"/>
      <c r="M795" s="44"/>
      <c r="N795" s="44"/>
      <c r="O795" s="44"/>
      <c r="P795" s="44"/>
      <c r="Q795" s="44"/>
      <c r="R795" s="44"/>
      <c r="S795" s="44"/>
      <c r="T795" s="44"/>
      <c r="U795" s="44"/>
      <c r="V795" s="44"/>
      <c r="W795" s="44"/>
      <c r="X795" s="44"/>
      <c r="Y795" s="44"/>
      <c r="Z795" s="44"/>
      <c r="AA795" s="44"/>
      <c r="AB795" s="44"/>
    </row>
    <row r="796">
      <c r="A796" s="51"/>
      <c r="B796" s="43"/>
      <c r="C796" s="74"/>
      <c r="D796" s="75"/>
      <c r="E796" s="76"/>
      <c r="F796" s="76"/>
      <c r="G796" s="76"/>
      <c r="H796" s="76"/>
      <c r="I796" s="76"/>
      <c r="J796" s="43"/>
      <c r="K796" s="44"/>
      <c r="L796" s="44"/>
      <c r="M796" s="44"/>
      <c r="N796" s="44"/>
      <c r="O796" s="44"/>
      <c r="P796" s="44"/>
      <c r="Q796" s="44"/>
      <c r="R796" s="44"/>
      <c r="S796" s="44"/>
      <c r="T796" s="44"/>
      <c r="U796" s="44"/>
      <c r="V796" s="44"/>
      <c r="W796" s="44"/>
      <c r="X796" s="44"/>
      <c r="Y796" s="44"/>
      <c r="Z796" s="44"/>
      <c r="AA796" s="44"/>
      <c r="AB796" s="44"/>
    </row>
    <row r="797">
      <c r="A797" s="51"/>
      <c r="B797" s="43"/>
      <c r="C797" s="74"/>
      <c r="D797" s="75"/>
      <c r="E797" s="76"/>
      <c r="F797" s="76"/>
      <c r="G797" s="76"/>
      <c r="H797" s="76"/>
      <c r="I797" s="76"/>
      <c r="J797" s="43"/>
      <c r="K797" s="44"/>
      <c r="L797" s="44"/>
      <c r="M797" s="44"/>
      <c r="N797" s="44"/>
      <c r="O797" s="44"/>
      <c r="P797" s="44"/>
      <c r="Q797" s="44"/>
      <c r="R797" s="44"/>
      <c r="S797" s="44"/>
      <c r="T797" s="44"/>
      <c r="U797" s="44"/>
      <c r="V797" s="44"/>
      <c r="W797" s="44"/>
      <c r="X797" s="44"/>
      <c r="Y797" s="44"/>
      <c r="Z797" s="44"/>
      <c r="AA797" s="44"/>
      <c r="AB797" s="44"/>
    </row>
    <row r="798">
      <c r="A798" s="51"/>
      <c r="B798" s="43"/>
      <c r="C798" s="74"/>
      <c r="D798" s="75"/>
      <c r="E798" s="76"/>
      <c r="F798" s="76"/>
      <c r="G798" s="76"/>
      <c r="H798" s="76"/>
      <c r="I798" s="76"/>
      <c r="J798" s="43"/>
      <c r="K798" s="44"/>
      <c r="L798" s="44"/>
      <c r="M798" s="44"/>
      <c r="N798" s="44"/>
      <c r="O798" s="44"/>
      <c r="P798" s="44"/>
      <c r="Q798" s="44"/>
      <c r="R798" s="44"/>
      <c r="S798" s="44"/>
      <c r="T798" s="44"/>
      <c r="U798" s="44"/>
      <c r="V798" s="44"/>
      <c r="W798" s="44"/>
      <c r="X798" s="44"/>
      <c r="Y798" s="44"/>
      <c r="Z798" s="44"/>
      <c r="AA798" s="44"/>
      <c r="AB798" s="44"/>
    </row>
    <row r="799">
      <c r="A799" s="51"/>
      <c r="B799" s="43"/>
      <c r="C799" s="74"/>
      <c r="D799" s="75"/>
      <c r="E799" s="76"/>
      <c r="F799" s="76"/>
      <c r="G799" s="76"/>
      <c r="H799" s="76"/>
      <c r="I799" s="76"/>
      <c r="J799" s="43"/>
      <c r="K799" s="44"/>
      <c r="L799" s="44"/>
      <c r="M799" s="44"/>
      <c r="N799" s="44"/>
      <c r="O799" s="44"/>
      <c r="P799" s="44"/>
      <c r="Q799" s="44"/>
      <c r="R799" s="44"/>
      <c r="S799" s="44"/>
      <c r="T799" s="44"/>
      <c r="U799" s="44"/>
      <c r="V799" s="44"/>
      <c r="W799" s="44"/>
      <c r="X799" s="44"/>
      <c r="Y799" s="44"/>
      <c r="Z799" s="44"/>
      <c r="AA799" s="44"/>
      <c r="AB799" s="44"/>
    </row>
    <row r="800">
      <c r="A800" s="51"/>
      <c r="B800" s="43"/>
      <c r="C800" s="74"/>
      <c r="D800" s="75"/>
      <c r="E800" s="76"/>
      <c r="F800" s="76"/>
      <c r="G800" s="76"/>
      <c r="H800" s="76"/>
      <c r="I800" s="76"/>
      <c r="J800" s="43"/>
      <c r="K800" s="44"/>
      <c r="L800" s="44"/>
      <c r="M800" s="44"/>
      <c r="N800" s="44"/>
      <c r="O800" s="44"/>
      <c r="P800" s="44"/>
      <c r="Q800" s="44"/>
      <c r="R800" s="44"/>
      <c r="S800" s="44"/>
      <c r="T800" s="44"/>
      <c r="U800" s="44"/>
      <c r="V800" s="44"/>
      <c r="W800" s="44"/>
      <c r="X800" s="44"/>
      <c r="Y800" s="44"/>
      <c r="Z800" s="44"/>
      <c r="AA800" s="44"/>
      <c r="AB800" s="44"/>
    </row>
    <row r="801">
      <c r="A801" s="51"/>
      <c r="B801" s="43"/>
      <c r="C801" s="74"/>
      <c r="D801" s="75"/>
      <c r="E801" s="76"/>
      <c r="F801" s="76"/>
      <c r="G801" s="76"/>
      <c r="H801" s="76"/>
      <c r="I801" s="76"/>
      <c r="J801" s="43"/>
      <c r="K801" s="44"/>
      <c r="L801" s="44"/>
      <c r="M801" s="44"/>
      <c r="N801" s="44"/>
      <c r="O801" s="44"/>
      <c r="P801" s="44"/>
      <c r="Q801" s="44"/>
      <c r="R801" s="44"/>
      <c r="S801" s="44"/>
      <c r="T801" s="44"/>
      <c r="U801" s="44"/>
      <c r="V801" s="44"/>
      <c r="W801" s="44"/>
      <c r="X801" s="44"/>
      <c r="Y801" s="44"/>
      <c r="Z801" s="44"/>
      <c r="AA801" s="44"/>
      <c r="AB801" s="44"/>
    </row>
    <row r="802">
      <c r="A802" s="51"/>
      <c r="B802" s="43"/>
      <c r="C802" s="74"/>
      <c r="D802" s="75"/>
      <c r="E802" s="76"/>
      <c r="F802" s="76"/>
      <c r="G802" s="76"/>
      <c r="H802" s="76"/>
      <c r="I802" s="76"/>
      <c r="J802" s="43"/>
      <c r="K802" s="44"/>
      <c r="L802" s="44"/>
      <c r="M802" s="44"/>
      <c r="N802" s="44"/>
      <c r="O802" s="44"/>
      <c r="P802" s="44"/>
      <c r="Q802" s="44"/>
      <c r="R802" s="44"/>
      <c r="S802" s="44"/>
      <c r="T802" s="44"/>
      <c r="U802" s="44"/>
      <c r="V802" s="44"/>
      <c r="W802" s="44"/>
      <c r="X802" s="44"/>
      <c r="Y802" s="44"/>
      <c r="Z802" s="44"/>
      <c r="AA802" s="44"/>
      <c r="AB802" s="44"/>
    </row>
    <row r="803">
      <c r="A803" s="51"/>
      <c r="B803" s="43"/>
      <c r="C803" s="74"/>
      <c r="D803" s="75"/>
      <c r="E803" s="76"/>
      <c r="F803" s="76"/>
      <c r="G803" s="76"/>
      <c r="H803" s="76"/>
      <c r="I803" s="76"/>
      <c r="J803" s="43"/>
      <c r="K803" s="44"/>
      <c r="L803" s="44"/>
      <c r="M803" s="44"/>
      <c r="N803" s="44"/>
      <c r="O803" s="44"/>
      <c r="P803" s="44"/>
      <c r="Q803" s="44"/>
      <c r="R803" s="44"/>
      <c r="S803" s="44"/>
      <c r="T803" s="44"/>
      <c r="U803" s="44"/>
      <c r="V803" s="44"/>
      <c r="W803" s="44"/>
      <c r="X803" s="44"/>
      <c r="Y803" s="44"/>
      <c r="Z803" s="44"/>
      <c r="AA803" s="44"/>
      <c r="AB803" s="44"/>
    </row>
    <row r="804">
      <c r="A804" s="51"/>
      <c r="B804" s="43"/>
      <c r="C804" s="74"/>
      <c r="D804" s="75"/>
      <c r="E804" s="76"/>
      <c r="F804" s="76"/>
      <c r="G804" s="76"/>
      <c r="H804" s="76"/>
      <c r="I804" s="76"/>
      <c r="J804" s="43"/>
      <c r="K804" s="44"/>
      <c r="L804" s="44"/>
      <c r="M804" s="44"/>
      <c r="N804" s="44"/>
      <c r="O804" s="44"/>
      <c r="P804" s="44"/>
      <c r="Q804" s="44"/>
      <c r="R804" s="44"/>
      <c r="S804" s="44"/>
      <c r="T804" s="44"/>
      <c r="U804" s="44"/>
      <c r="V804" s="44"/>
      <c r="W804" s="44"/>
      <c r="X804" s="44"/>
      <c r="Y804" s="44"/>
      <c r="Z804" s="44"/>
      <c r="AA804" s="44"/>
      <c r="AB804" s="44"/>
    </row>
    <row r="805">
      <c r="A805" s="51"/>
      <c r="B805" s="43"/>
      <c r="C805" s="74"/>
      <c r="D805" s="75"/>
      <c r="E805" s="76"/>
      <c r="F805" s="76"/>
      <c r="G805" s="76"/>
      <c r="H805" s="76"/>
      <c r="I805" s="76"/>
      <c r="J805" s="43"/>
      <c r="K805" s="44"/>
      <c r="L805" s="44"/>
      <c r="M805" s="44"/>
      <c r="N805" s="44"/>
      <c r="O805" s="44"/>
      <c r="P805" s="44"/>
      <c r="Q805" s="44"/>
      <c r="R805" s="44"/>
      <c r="S805" s="44"/>
      <c r="T805" s="44"/>
      <c r="U805" s="44"/>
      <c r="V805" s="44"/>
      <c r="W805" s="44"/>
      <c r="X805" s="44"/>
      <c r="Y805" s="44"/>
      <c r="Z805" s="44"/>
      <c r="AA805" s="44"/>
      <c r="AB805" s="44"/>
    </row>
    <row r="806">
      <c r="A806" s="51"/>
      <c r="B806" s="43"/>
      <c r="C806" s="74"/>
      <c r="D806" s="75"/>
      <c r="E806" s="76"/>
      <c r="F806" s="76"/>
      <c r="G806" s="76"/>
      <c r="H806" s="76"/>
      <c r="I806" s="76"/>
      <c r="J806" s="43"/>
      <c r="K806" s="44"/>
      <c r="L806" s="44"/>
      <c r="M806" s="44"/>
      <c r="N806" s="44"/>
      <c r="O806" s="44"/>
      <c r="P806" s="44"/>
      <c r="Q806" s="44"/>
      <c r="R806" s="44"/>
      <c r="S806" s="44"/>
      <c r="T806" s="44"/>
      <c r="U806" s="44"/>
      <c r="V806" s="44"/>
      <c r="W806" s="44"/>
      <c r="X806" s="44"/>
      <c r="Y806" s="44"/>
      <c r="Z806" s="44"/>
      <c r="AA806" s="44"/>
      <c r="AB806" s="44"/>
    </row>
    <row r="807">
      <c r="A807" s="51"/>
      <c r="B807" s="43"/>
      <c r="C807" s="74"/>
      <c r="D807" s="75"/>
      <c r="E807" s="76"/>
      <c r="F807" s="76"/>
      <c r="G807" s="76"/>
      <c r="H807" s="76"/>
      <c r="I807" s="76"/>
      <c r="J807" s="43"/>
      <c r="K807" s="44"/>
      <c r="L807" s="44"/>
      <c r="M807" s="44"/>
      <c r="N807" s="44"/>
      <c r="O807" s="44"/>
      <c r="P807" s="44"/>
      <c r="Q807" s="44"/>
      <c r="R807" s="44"/>
      <c r="S807" s="44"/>
      <c r="T807" s="44"/>
      <c r="U807" s="44"/>
      <c r="V807" s="44"/>
      <c r="W807" s="44"/>
      <c r="X807" s="44"/>
      <c r="Y807" s="44"/>
      <c r="Z807" s="44"/>
      <c r="AA807" s="44"/>
      <c r="AB807" s="44"/>
    </row>
    <row r="808">
      <c r="A808" s="51"/>
      <c r="B808" s="43"/>
      <c r="C808" s="74"/>
      <c r="D808" s="75"/>
      <c r="E808" s="76"/>
      <c r="F808" s="76"/>
      <c r="G808" s="76"/>
      <c r="H808" s="76"/>
      <c r="I808" s="76"/>
      <c r="J808" s="43"/>
      <c r="K808" s="44"/>
      <c r="L808" s="44"/>
      <c r="M808" s="44"/>
      <c r="N808" s="44"/>
      <c r="O808" s="44"/>
      <c r="P808" s="44"/>
      <c r="Q808" s="44"/>
      <c r="R808" s="44"/>
      <c r="S808" s="44"/>
      <c r="T808" s="44"/>
      <c r="U808" s="44"/>
      <c r="V808" s="44"/>
      <c r="W808" s="44"/>
      <c r="X808" s="44"/>
      <c r="Y808" s="44"/>
      <c r="Z808" s="44"/>
      <c r="AA808" s="44"/>
      <c r="AB808" s="44"/>
    </row>
    <row r="809">
      <c r="A809" s="51"/>
      <c r="B809" s="43"/>
      <c r="C809" s="74"/>
      <c r="D809" s="75"/>
      <c r="E809" s="76"/>
      <c r="F809" s="76"/>
      <c r="G809" s="76"/>
      <c r="H809" s="76"/>
      <c r="I809" s="76"/>
      <c r="J809" s="43"/>
      <c r="K809" s="44"/>
      <c r="L809" s="44"/>
      <c r="M809" s="44"/>
      <c r="N809" s="44"/>
      <c r="O809" s="44"/>
      <c r="P809" s="44"/>
      <c r="Q809" s="44"/>
      <c r="R809" s="44"/>
      <c r="S809" s="44"/>
      <c r="T809" s="44"/>
      <c r="U809" s="44"/>
      <c r="V809" s="44"/>
      <c r="W809" s="44"/>
      <c r="X809" s="44"/>
      <c r="Y809" s="44"/>
      <c r="Z809" s="44"/>
      <c r="AA809" s="44"/>
      <c r="AB809" s="44"/>
    </row>
    <row r="810">
      <c r="A810" s="51"/>
      <c r="B810" s="43"/>
      <c r="C810" s="74"/>
      <c r="D810" s="75"/>
      <c r="E810" s="76"/>
      <c r="F810" s="76"/>
      <c r="G810" s="76"/>
      <c r="H810" s="76"/>
      <c r="I810" s="76"/>
      <c r="J810" s="43"/>
      <c r="K810" s="44"/>
      <c r="L810" s="44"/>
      <c r="M810" s="44"/>
      <c r="N810" s="44"/>
      <c r="O810" s="44"/>
      <c r="P810" s="44"/>
      <c r="Q810" s="44"/>
      <c r="R810" s="44"/>
      <c r="S810" s="44"/>
      <c r="T810" s="44"/>
      <c r="U810" s="44"/>
      <c r="V810" s="44"/>
      <c r="W810" s="44"/>
      <c r="X810" s="44"/>
      <c r="Y810" s="44"/>
      <c r="Z810" s="44"/>
      <c r="AA810" s="44"/>
      <c r="AB810" s="44"/>
    </row>
    <row r="811">
      <c r="A811" s="51"/>
      <c r="B811" s="43"/>
      <c r="C811" s="74"/>
      <c r="D811" s="75"/>
      <c r="E811" s="76"/>
      <c r="F811" s="76"/>
      <c r="G811" s="76"/>
      <c r="H811" s="76"/>
      <c r="I811" s="76"/>
      <c r="J811" s="43"/>
      <c r="K811" s="44"/>
      <c r="L811" s="44"/>
      <c r="M811" s="44"/>
      <c r="N811" s="44"/>
      <c r="O811" s="44"/>
      <c r="P811" s="44"/>
      <c r="Q811" s="44"/>
      <c r="R811" s="44"/>
      <c r="S811" s="44"/>
      <c r="T811" s="44"/>
      <c r="U811" s="44"/>
      <c r="V811" s="44"/>
      <c r="W811" s="44"/>
      <c r="X811" s="44"/>
      <c r="Y811" s="44"/>
      <c r="Z811" s="44"/>
      <c r="AA811" s="44"/>
      <c r="AB811" s="44"/>
    </row>
    <row r="812">
      <c r="A812" s="51"/>
      <c r="B812" s="43"/>
      <c r="C812" s="74"/>
      <c r="D812" s="75"/>
      <c r="E812" s="76"/>
      <c r="F812" s="76"/>
      <c r="G812" s="76"/>
      <c r="H812" s="76"/>
      <c r="I812" s="76"/>
      <c r="J812" s="43"/>
      <c r="K812" s="44"/>
      <c r="L812" s="44"/>
      <c r="M812" s="44"/>
      <c r="N812" s="44"/>
      <c r="O812" s="44"/>
      <c r="P812" s="44"/>
      <c r="Q812" s="44"/>
      <c r="R812" s="44"/>
      <c r="S812" s="44"/>
      <c r="T812" s="44"/>
      <c r="U812" s="44"/>
      <c r="V812" s="44"/>
      <c r="W812" s="44"/>
      <c r="X812" s="44"/>
      <c r="Y812" s="44"/>
      <c r="Z812" s="44"/>
      <c r="AA812" s="44"/>
      <c r="AB812" s="44"/>
    </row>
    <row r="813">
      <c r="A813" s="51"/>
      <c r="B813" s="43"/>
      <c r="C813" s="74"/>
      <c r="D813" s="75"/>
      <c r="E813" s="76"/>
      <c r="F813" s="76"/>
      <c r="G813" s="76"/>
      <c r="H813" s="76"/>
      <c r="I813" s="76"/>
      <c r="J813" s="43"/>
      <c r="K813" s="44"/>
      <c r="L813" s="44"/>
      <c r="M813" s="44"/>
      <c r="N813" s="44"/>
      <c r="O813" s="44"/>
      <c r="P813" s="44"/>
      <c r="Q813" s="44"/>
      <c r="R813" s="44"/>
      <c r="S813" s="44"/>
      <c r="T813" s="44"/>
      <c r="U813" s="44"/>
      <c r="V813" s="44"/>
      <c r="W813" s="44"/>
      <c r="X813" s="44"/>
      <c r="Y813" s="44"/>
      <c r="Z813" s="44"/>
      <c r="AA813" s="44"/>
      <c r="AB813" s="44"/>
    </row>
    <row r="814">
      <c r="A814" s="51"/>
      <c r="B814" s="43"/>
      <c r="C814" s="74"/>
      <c r="D814" s="75"/>
      <c r="E814" s="76"/>
      <c r="F814" s="76"/>
      <c r="G814" s="76"/>
      <c r="H814" s="76"/>
      <c r="I814" s="76"/>
      <c r="J814" s="43"/>
      <c r="K814" s="44"/>
      <c r="L814" s="44"/>
      <c r="M814" s="44"/>
      <c r="N814" s="44"/>
      <c r="O814" s="44"/>
      <c r="P814" s="44"/>
      <c r="Q814" s="44"/>
      <c r="R814" s="44"/>
      <c r="S814" s="44"/>
      <c r="T814" s="44"/>
      <c r="U814" s="44"/>
      <c r="V814" s="44"/>
      <c r="W814" s="44"/>
      <c r="X814" s="44"/>
      <c r="Y814" s="44"/>
      <c r="Z814" s="44"/>
      <c r="AA814" s="44"/>
      <c r="AB814" s="44"/>
    </row>
    <row r="815">
      <c r="A815" s="51"/>
      <c r="B815" s="43"/>
      <c r="C815" s="74"/>
      <c r="D815" s="75"/>
      <c r="E815" s="76"/>
      <c r="F815" s="76"/>
      <c r="G815" s="76"/>
      <c r="H815" s="76"/>
      <c r="I815" s="76"/>
      <c r="J815" s="43"/>
      <c r="K815" s="44"/>
      <c r="L815" s="44"/>
      <c r="M815" s="44"/>
      <c r="N815" s="44"/>
      <c r="O815" s="44"/>
      <c r="P815" s="44"/>
      <c r="Q815" s="44"/>
      <c r="R815" s="44"/>
      <c r="S815" s="44"/>
      <c r="T815" s="44"/>
      <c r="U815" s="44"/>
      <c r="V815" s="44"/>
      <c r="W815" s="44"/>
      <c r="X815" s="44"/>
      <c r="Y815" s="44"/>
      <c r="Z815" s="44"/>
      <c r="AA815" s="44"/>
      <c r="AB815" s="44"/>
    </row>
    <row r="816">
      <c r="A816" s="51"/>
      <c r="B816" s="43"/>
      <c r="C816" s="74"/>
      <c r="D816" s="75"/>
      <c r="E816" s="76"/>
      <c r="F816" s="76"/>
      <c r="G816" s="76"/>
      <c r="H816" s="76"/>
      <c r="I816" s="76"/>
      <c r="J816" s="43"/>
      <c r="K816" s="44"/>
      <c r="L816" s="44"/>
      <c r="M816" s="44"/>
      <c r="N816" s="44"/>
      <c r="O816" s="44"/>
      <c r="P816" s="44"/>
      <c r="Q816" s="44"/>
      <c r="R816" s="44"/>
      <c r="S816" s="44"/>
      <c r="T816" s="44"/>
      <c r="U816" s="44"/>
      <c r="V816" s="44"/>
      <c r="W816" s="44"/>
      <c r="X816" s="44"/>
      <c r="Y816" s="44"/>
      <c r="Z816" s="44"/>
      <c r="AA816" s="44"/>
      <c r="AB816" s="44"/>
    </row>
    <row r="817">
      <c r="A817" s="51"/>
      <c r="B817" s="43"/>
      <c r="C817" s="74"/>
      <c r="D817" s="75"/>
      <c r="E817" s="76"/>
      <c r="F817" s="76"/>
      <c r="G817" s="76"/>
      <c r="H817" s="76"/>
      <c r="I817" s="76"/>
      <c r="J817" s="43"/>
      <c r="K817" s="44"/>
      <c r="L817" s="44"/>
      <c r="M817" s="44"/>
      <c r="N817" s="44"/>
      <c r="O817" s="44"/>
      <c r="P817" s="44"/>
      <c r="Q817" s="44"/>
      <c r="R817" s="44"/>
      <c r="S817" s="44"/>
      <c r="T817" s="44"/>
      <c r="U817" s="44"/>
      <c r="V817" s="44"/>
      <c r="W817" s="44"/>
      <c r="X817" s="44"/>
      <c r="Y817" s="44"/>
      <c r="Z817" s="44"/>
      <c r="AA817" s="44"/>
      <c r="AB817" s="44"/>
    </row>
    <row r="818">
      <c r="A818" s="51"/>
      <c r="B818" s="43"/>
      <c r="C818" s="74"/>
      <c r="D818" s="75"/>
      <c r="E818" s="76"/>
      <c r="F818" s="76"/>
      <c r="G818" s="76"/>
      <c r="H818" s="76"/>
      <c r="I818" s="76"/>
      <c r="J818" s="43"/>
      <c r="K818" s="44"/>
      <c r="L818" s="44"/>
      <c r="M818" s="44"/>
      <c r="N818" s="44"/>
      <c r="O818" s="44"/>
      <c r="P818" s="44"/>
      <c r="Q818" s="44"/>
      <c r="R818" s="44"/>
      <c r="S818" s="44"/>
      <c r="T818" s="44"/>
      <c r="U818" s="44"/>
      <c r="V818" s="44"/>
      <c r="W818" s="44"/>
      <c r="X818" s="44"/>
      <c r="Y818" s="44"/>
      <c r="Z818" s="44"/>
      <c r="AA818" s="44"/>
      <c r="AB818" s="44"/>
    </row>
    <row r="819">
      <c r="A819" s="51"/>
      <c r="B819" s="43"/>
      <c r="C819" s="74"/>
      <c r="D819" s="75"/>
      <c r="E819" s="76"/>
      <c r="F819" s="76"/>
      <c r="G819" s="76"/>
      <c r="H819" s="76"/>
      <c r="I819" s="76"/>
      <c r="J819" s="43"/>
      <c r="K819" s="44"/>
      <c r="L819" s="44"/>
      <c r="M819" s="44"/>
      <c r="N819" s="44"/>
      <c r="O819" s="44"/>
      <c r="P819" s="44"/>
      <c r="Q819" s="44"/>
      <c r="R819" s="44"/>
      <c r="S819" s="44"/>
      <c r="T819" s="44"/>
      <c r="U819" s="44"/>
      <c r="V819" s="44"/>
      <c r="W819" s="44"/>
      <c r="X819" s="44"/>
      <c r="Y819" s="44"/>
      <c r="Z819" s="44"/>
      <c r="AA819" s="44"/>
      <c r="AB819" s="44"/>
    </row>
    <row r="820">
      <c r="A820" s="51"/>
      <c r="B820" s="43"/>
      <c r="C820" s="74"/>
      <c r="D820" s="75"/>
      <c r="E820" s="76"/>
      <c r="F820" s="76"/>
      <c r="G820" s="76"/>
      <c r="H820" s="76"/>
      <c r="I820" s="76"/>
      <c r="J820" s="43"/>
      <c r="K820" s="44"/>
      <c r="L820" s="44"/>
      <c r="M820" s="44"/>
      <c r="N820" s="44"/>
      <c r="O820" s="44"/>
      <c r="P820" s="44"/>
      <c r="Q820" s="44"/>
      <c r="R820" s="44"/>
      <c r="S820" s="44"/>
      <c r="T820" s="44"/>
      <c r="U820" s="44"/>
      <c r="V820" s="44"/>
      <c r="W820" s="44"/>
      <c r="X820" s="44"/>
      <c r="Y820" s="44"/>
      <c r="Z820" s="44"/>
      <c r="AA820" s="44"/>
      <c r="AB820" s="44"/>
    </row>
    <row r="821">
      <c r="A821" s="51"/>
      <c r="B821" s="43"/>
      <c r="C821" s="74"/>
      <c r="D821" s="75"/>
      <c r="E821" s="76"/>
      <c r="F821" s="76"/>
      <c r="G821" s="76"/>
      <c r="H821" s="76"/>
      <c r="I821" s="76"/>
      <c r="J821" s="43"/>
      <c r="K821" s="44"/>
      <c r="L821" s="44"/>
      <c r="M821" s="44"/>
      <c r="N821" s="44"/>
      <c r="O821" s="44"/>
      <c r="P821" s="44"/>
      <c r="Q821" s="44"/>
      <c r="R821" s="44"/>
      <c r="S821" s="44"/>
      <c r="T821" s="44"/>
      <c r="U821" s="44"/>
      <c r="V821" s="44"/>
      <c r="W821" s="44"/>
      <c r="X821" s="44"/>
      <c r="Y821" s="44"/>
      <c r="Z821" s="44"/>
      <c r="AA821" s="44"/>
      <c r="AB821" s="44"/>
    </row>
    <row r="822">
      <c r="A822" s="51"/>
      <c r="B822" s="43"/>
      <c r="C822" s="74"/>
      <c r="D822" s="75"/>
      <c r="E822" s="76"/>
      <c r="F822" s="76"/>
      <c r="G822" s="76"/>
      <c r="H822" s="76"/>
      <c r="I822" s="76"/>
      <c r="J822" s="43"/>
      <c r="K822" s="44"/>
      <c r="L822" s="44"/>
      <c r="M822" s="44"/>
      <c r="N822" s="44"/>
      <c r="O822" s="44"/>
      <c r="P822" s="44"/>
      <c r="Q822" s="44"/>
      <c r="R822" s="44"/>
      <c r="S822" s="44"/>
      <c r="T822" s="44"/>
      <c r="U822" s="44"/>
      <c r="V822" s="44"/>
      <c r="W822" s="44"/>
      <c r="X822" s="44"/>
      <c r="Y822" s="44"/>
      <c r="Z822" s="44"/>
      <c r="AA822" s="44"/>
      <c r="AB822" s="44"/>
    </row>
    <row r="823">
      <c r="A823" s="51"/>
      <c r="B823" s="43"/>
      <c r="C823" s="74"/>
      <c r="D823" s="75"/>
      <c r="E823" s="76"/>
      <c r="F823" s="76"/>
      <c r="G823" s="76"/>
      <c r="H823" s="76"/>
      <c r="I823" s="76"/>
      <c r="J823" s="43"/>
      <c r="K823" s="44"/>
      <c r="L823" s="44"/>
      <c r="M823" s="44"/>
      <c r="N823" s="44"/>
      <c r="O823" s="44"/>
      <c r="P823" s="44"/>
      <c r="Q823" s="44"/>
      <c r="R823" s="44"/>
      <c r="S823" s="44"/>
      <c r="T823" s="44"/>
      <c r="U823" s="44"/>
      <c r="V823" s="44"/>
      <c r="W823" s="44"/>
      <c r="X823" s="44"/>
      <c r="Y823" s="44"/>
      <c r="Z823" s="44"/>
      <c r="AA823" s="44"/>
      <c r="AB823" s="44"/>
    </row>
    <row r="824">
      <c r="A824" s="51"/>
      <c r="B824" s="43"/>
      <c r="C824" s="74"/>
      <c r="D824" s="75"/>
      <c r="E824" s="76"/>
      <c r="F824" s="76"/>
      <c r="G824" s="76"/>
      <c r="H824" s="76"/>
      <c r="I824" s="76"/>
      <c r="J824" s="43"/>
      <c r="K824" s="44"/>
      <c r="L824" s="44"/>
      <c r="M824" s="44"/>
      <c r="N824" s="44"/>
      <c r="O824" s="44"/>
      <c r="P824" s="44"/>
      <c r="Q824" s="44"/>
      <c r="R824" s="44"/>
      <c r="S824" s="44"/>
      <c r="T824" s="44"/>
      <c r="U824" s="44"/>
      <c r="V824" s="44"/>
      <c r="W824" s="44"/>
      <c r="X824" s="44"/>
      <c r="Y824" s="44"/>
      <c r="Z824" s="44"/>
      <c r="AA824" s="44"/>
      <c r="AB824" s="44"/>
    </row>
    <row r="825">
      <c r="A825" s="51"/>
      <c r="B825" s="43"/>
      <c r="C825" s="74"/>
      <c r="D825" s="75"/>
      <c r="E825" s="76"/>
      <c r="F825" s="76"/>
      <c r="G825" s="76"/>
      <c r="H825" s="76"/>
      <c r="I825" s="76"/>
      <c r="J825" s="43"/>
      <c r="K825" s="44"/>
      <c r="L825" s="44"/>
      <c r="M825" s="44"/>
      <c r="N825" s="44"/>
      <c r="O825" s="44"/>
      <c r="P825" s="44"/>
      <c r="Q825" s="44"/>
      <c r="R825" s="44"/>
      <c r="S825" s="44"/>
      <c r="T825" s="44"/>
      <c r="U825" s="44"/>
      <c r="V825" s="44"/>
      <c r="W825" s="44"/>
      <c r="X825" s="44"/>
      <c r="Y825" s="44"/>
      <c r="Z825" s="44"/>
      <c r="AA825" s="44"/>
      <c r="AB825" s="44"/>
    </row>
    <row r="826">
      <c r="A826" s="51"/>
      <c r="B826" s="43"/>
      <c r="C826" s="74"/>
      <c r="D826" s="75"/>
      <c r="E826" s="76"/>
      <c r="F826" s="76"/>
      <c r="G826" s="76"/>
      <c r="H826" s="76"/>
      <c r="I826" s="76"/>
      <c r="J826" s="43"/>
      <c r="K826" s="44"/>
      <c r="L826" s="44"/>
      <c r="M826" s="44"/>
      <c r="N826" s="44"/>
      <c r="O826" s="44"/>
      <c r="P826" s="44"/>
      <c r="Q826" s="44"/>
      <c r="R826" s="44"/>
      <c r="S826" s="44"/>
      <c r="T826" s="44"/>
      <c r="U826" s="44"/>
      <c r="V826" s="44"/>
      <c r="W826" s="44"/>
      <c r="X826" s="44"/>
      <c r="Y826" s="44"/>
      <c r="Z826" s="44"/>
      <c r="AA826" s="44"/>
      <c r="AB826" s="44"/>
    </row>
    <row r="827">
      <c r="A827" s="51"/>
      <c r="B827" s="43"/>
      <c r="C827" s="74"/>
      <c r="D827" s="75"/>
      <c r="E827" s="76"/>
      <c r="F827" s="76"/>
      <c r="G827" s="76"/>
      <c r="H827" s="76"/>
      <c r="I827" s="76"/>
      <c r="J827" s="43"/>
      <c r="K827" s="44"/>
      <c r="L827" s="44"/>
      <c r="M827" s="44"/>
      <c r="N827" s="44"/>
      <c r="O827" s="44"/>
      <c r="P827" s="44"/>
      <c r="Q827" s="44"/>
      <c r="R827" s="44"/>
      <c r="S827" s="44"/>
      <c r="T827" s="44"/>
      <c r="U827" s="44"/>
      <c r="V827" s="44"/>
      <c r="W827" s="44"/>
      <c r="X827" s="44"/>
      <c r="Y827" s="44"/>
      <c r="Z827" s="44"/>
      <c r="AA827" s="44"/>
      <c r="AB827" s="44"/>
    </row>
    <row r="828">
      <c r="A828" s="51"/>
      <c r="B828" s="43"/>
      <c r="C828" s="74"/>
      <c r="D828" s="75"/>
      <c r="E828" s="76"/>
      <c r="F828" s="76"/>
      <c r="G828" s="76"/>
      <c r="H828" s="76"/>
      <c r="I828" s="76"/>
      <c r="J828" s="43"/>
      <c r="K828" s="44"/>
      <c r="L828" s="44"/>
      <c r="M828" s="44"/>
      <c r="N828" s="44"/>
      <c r="O828" s="44"/>
      <c r="P828" s="44"/>
      <c r="Q828" s="44"/>
      <c r="R828" s="44"/>
      <c r="S828" s="44"/>
      <c r="T828" s="44"/>
      <c r="U828" s="44"/>
      <c r="V828" s="44"/>
      <c r="W828" s="44"/>
      <c r="X828" s="44"/>
      <c r="Y828" s="44"/>
      <c r="Z828" s="44"/>
      <c r="AA828" s="44"/>
      <c r="AB828" s="44"/>
    </row>
    <row r="829">
      <c r="A829" s="51"/>
      <c r="B829" s="43"/>
      <c r="C829" s="74"/>
      <c r="D829" s="75"/>
      <c r="E829" s="76"/>
      <c r="F829" s="76"/>
      <c r="G829" s="76"/>
      <c r="H829" s="76"/>
      <c r="I829" s="76"/>
      <c r="J829" s="43"/>
      <c r="K829" s="44"/>
      <c r="L829" s="44"/>
      <c r="M829" s="44"/>
      <c r="N829" s="44"/>
      <c r="O829" s="44"/>
      <c r="P829" s="44"/>
      <c r="Q829" s="44"/>
      <c r="R829" s="44"/>
      <c r="S829" s="44"/>
      <c r="T829" s="44"/>
      <c r="U829" s="44"/>
      <c r="V829" s="44"/>
      <c r="W829" s="44"/>
      <c r="X829" s="44"/>
      <c r="Y829" s="44"/>
      <c r="Z829" s="44"/>
      <c r="AA829" s="44"/>
      <c r="AB829" s="44"/>
    </row>
    <row r="830">
      <c r="A830" s="51"/>
      <c r="B830" s="43"/>
      <c r="C830" s="74"/>
      <c r="D830" s="75"/>
      <c r="E830" s="76"/>
      <c r="F830" s="76"/>
      <c r="G830" s="76"/>
      <c r="H830" s="76"/>
      <c r="I830" s="76"/>
      <c r="J830" s="43"/>
      <c r="K830" s="44"/>
      <c r="L830" s="44"/>
      <c r="M830" s="44"/>
      <c r="N830" s="44"/>
      <c r="O830" s="44"/>
      <c r="P830" s="44"/>
      <c r="Q830" s="44"/>
      <c r="R830" s="44"/>
      <c r="S830" s="44"/>
      <c r="T830" s="44"/>
      <c r="U830" s="44"/>
      <c r="V830" s="44"/>
      <c r="W830" s="44"/>
      <c r="X830" s="44"/>
      <c r="Y830" s="44"/>
      <c r="Z830" s="44"/>
      <c r="AA830" s="44"/>
      <c r="AB830" s="44"/>
    </row>
    <row r="831">
      <c r="A831" s="51"/>
      <c r="B831" s="43"/>
      <c r="C831" s="74"/>
      <c r="D831" s="75"/>
      <c r="E831" s="76"/>
      <c r="F831" s="76"/>
      <c r="G831" s="76"/>
      <c r="H831" s="76"/>
      <c r="I831" s="76"/>
      <c r="J831" s="43"/>
      <c r="K831" s="44"/>
      <c r="L831" s="44"/>
      <c r="M831" s="44"/>
      <c r="N831" s="44"/>
      <c r="O831" s="44"/>
      <c r="P831" s="44"/>
      <c r="Q831" s="44"/>
      <c r="R831" s="44"/>
      <c r="S831" s="44"/>
      <c r="T831" s="44"/>
      <c r="U831" s="44"/>
      <c r="V831" s="44"/>
      <c r="W831" s="44"/>
      <c r="X831" s="44"/>
      <c r="Y831" s="44"/>
      <c r="Z831" s="44"/>
      <c r="AA831" s="44"/>
      <c r="AB831" s="44"/>
    </row>
    <row r="832">
      <c r="A832" s="51"/>
      <c r="B832" s="43"/>
      <c r="C832" s="74"/>
      <c r="D832" s="75"/>
      <c r="E832" s="76"/>
      <c r="F832" s="76"/>
      <c r="G832" s="76"/>
      <c r="H832" s="76"/>
      <c r="I832" s="76"/>
      <c r="J832" s="43"/>
      <c r="K832" s="44"/>
      <c r="L832" s="44"/>
      <c r="M832" s="44"/>
      <c r="N832" s="44"/>
      <c r="O832" s="44"/>
      <c r="P832" s="44"/>
      <c r="Q832" s="44"/>
      <c r="R832" s="44"/>
      <c r="S832" s="44"/>
      <c r="T832" s="44"/>
      <c r="U832" s="44"/>
      <c r="V832" s="44"/>
      <c r="W832" s="44"/>
      <c r="X832" s="44"/>
      <c r="Y832" s="44"/>
      <c r="Z832" s="44"/>
      <c r="AA832" s="44"/>
      <c r="AB832" s="44"/>
    </row>
    <row r="833">
      <c r="A833" s="51"/>
      <c r="B833" s="43"/>
      <c r="C833" s="74"/>
      <c r="D833" s="75"/>
      <c r="E833" s="76"/>
      <c r="F833" s="76"/>
      <c r="G833" s="76"/>
      <c r="H833" s="76"/>
      <c r="I833" s="76"/>
      <c r="J833" s="43"/>
      <c r="K833" s="44"/>
      <c r="L833" s="44"/>
      <c r="M833" s="44"/>
      <c r="N833" s="44"/>
      <c r="O833" s="44"/>
      <c r="P833" s="44"/>
      <c r="Q833" s="44"/>
      <c r="R833" s="44"/>
      <c r="S833" s="44"/>
      <c r="T833" s="44"/>
      <c r="U833" s="44"/>
      <c r="V833" s="44"/>
      <c r="W833" s="44"/>
      <c r="X833" s="44"/>
      <c r="Y833" s="44"/>
      <c r="Z833" s="44"/>
      <c r="AA833" s="44"/>
      <c r="AB833" s="44"/>
    </row>
    <row r="834">
      <c r="A834" s="51"/>
      <c r="B834" s="43"/>
      <c r="C834" s="74"/>
      <c r="D834" s="75"/>
      <c r="E834" s="76"/>
      <c r="F834" s="76"/>
      <c r="G834" s="76"/>
      <c r="H834" s="76"/>
      <c r="I834" s="76"/>
      <c r="J834" s="43"/>
      <c r="K834" s="44"/>
      <c r="L834" s="44"/>
      <c r="M834" s="44"/>
      <c r="N834" s="44"/>
      <c r="O834" s="44"/>
      <c r="P834" s="44"/>
      <c r="Q834" s="44"/>
      <c r="R834" s="44"/>
      <c r="S834" s="44"/>
      <c r="T834" s="44"/>
      <c r="U834" s="44"/>
      <c r="V834" s="44"/>
      <c r="W834" s="44"/>
      <c r="X834" s="44"/>
      <c r="Y834" s="44"/>
      <c r="Z834" s="44"/>
      <c r="AA834" s="44"/>
      <c r="AB834" s="44"/>
    </row>
    <row r="835">
      <c r="A835" s="51"/>
      <c r="B835" s="43"/>
      <c r="C835" s="74"/>
      <c r="D835" s="75"/>
      <c r="E835" s="76"/>
      <c r="F835" s="76"/>
      <c r="G835" s="76"/>
      <c r="H835" s="76"/>
      <c r="I835" s="76"/>
      <c r="J835" s="43"/>
      <c r="K835" s="44"/>
      <c r="L835" s="44"/>
      <c r="M835" s="44"/>
      <c r="N835" s="44"/>
      <c r="O835" s="44"/>
      <c r="P835" s="44"/>
      <c r="Q835" s="44"/>
      <c r="R835" s="44"/>
      <c r="S835" s="44"/>
      <c r="T835" s="44"/>
      <c r="U835" s="44"/>
      <c r="V835" s="44"/>
      <c r="W835" s="44"/>
      <c r="X835" s="44"/>
      <c r="Y835" s="44"/>
      <c r="Z835" s="44"/>
      <c r="AA835" s="44"/>
      <c r="AB835" s="44"/>
    </row>
    <row r="836">
      <c r="A836" s="51"/>
      <c r="B836" s="43"/>
      <c r="C836" s="74"/>
      <c r="D836" s="75"/>
      <c r="E836" s="76"/>
      <c r="F836" s="76"/>
      <c r="G836" s="76"/>
      <c r="H836" s="76"/>
      <c r="I836" s="76"/>
      <c r="J836" s="43"/>
      <c r="K836" s="44"/>
      <c r="L836" s="44"/>
      <c r="M836" s="44"/>
      <c r="N836" s="44"/>
      <c r="O836" s="44"/>
      <c r="P836" s="44"/>
      <c r="Q836" s="44"/>
      <c r="R836" s="44"/>
      <c r="S836" s="44"/>
      <c r="T836" s="44"/>
      <c r="U836" s="44"/>
      <c r="V836" s="44"/>
      <c r="W836" s="44"/>
      <c r="X836" s="44"/>
      <c r="Y836" s="44"/>
      <c r="Z836" s="44"/>
      <c r="AA836" s="44"/>
      <c r="AB836" s="44"/>
    </row>
    <row r="837">
      <c r="A837" s="51"/>
      <c r="B837" s="43"/>
      <c r="C837" s="74"/>
      <c r="D837" s="75"/>
      <c r="E837" s="76"/>
      <c r="F837" s="76"/>
      <c r="G837" s="76"/>
      <c r="H837" s="76"/>
      <c r="I837" s="76"/>
      <c r="J837" s="43"/>
      <c r="K837" s="44"/>
      <c r="L837" s="44"/>
      <c r="M837" s="44"/>
      <c r="N837" s="44"/>
      <c r="O837" s="44"/>
      <c r="P837" s="44"/>
      <c r="Q837" s="44"/>
      <c r="R837" s="44"/>
      <c r="S837" s="44"/>
      <c r="T837" s="44"/>
      <c r="U837" s="44"/>
      <c r="V837" s="44"/>
      <c r="W837" s="44"/>
      <c r="X837" s="44"/>
      <c r="Y837" s="44"/>
      <c r="Z837" s="44"/>
      <c r="AA837" s="44"/>
      <c r="AB837" s="44"/>
    </row>
    <row r="838">
      <c r="A838" s="51"/>
      <c r="B838" s="43"/>
      <c r="C838" s="74"/>
      <c r="D838" s="75"/>
      <c r="E838" s="76"/>
      <c r="F838" s="76"/>
      <c r="G838" s="76"/>
      <c r="H838" s="76"/>
      <c r="I838" s="76"/>
      <c r="J838" s="43"/>
      <c r="K838" s="44"/>
      <c r="L838" s="44"/>
      <c r="M838" s="44"/>
      <c r="N838" s="44"/>
      <c r="O838" s="44"/>
      <c r="P838" s="44"/>
      <c r="Q838" s="44"/>
      <c r="R838" s="44"/>
      <c r="S838" s="44"/>
      <c r="T838" s="44"/>
      <c r="U838" s="44"/>
      <c r="V838" s="44"/>
      <c r="W838" s="44"/>
      <c r="X838" s="44"/>
      <c r="Y838" s="44"/>
      <c r="Z838" s="44"/>
      <c r="AA838" s="44"/>
      <c r="AB838" s="44"/>
    </row>
    <row r="839">
      <c r="A839" s="51"/>
      <c r="B839" s="43"/>
      <c r="C839" s="74"/>
      <c r="D839" s="75"/>
      <c r="E839" s="76"/>
      <c r="F839" s="76"/>
      <c r="G839" s="76"/>
      <c r="H839" s="76"/>
      <c r="I839" s="76"/>
      <c r="J839" s="43"/>
      <c r="K839" s="44"/>
      <c r="L839" s="44"/>
      <c r="M839" s="44"/>
      <c r="N839" s="44"/>
      <c r="O839" s="44"/>
      <c r="P839" s="44"/>
      <c r="Q839" s="44"/>
      <c r="R839" s="44"/>
      <c r="S839" s="44"/>
      <c r="T839" s="44"/>
      <c r="U839" s="44"/>
      <c r="V839" s="44"/>
      <c r="W839" s="44"/>
      <c r="X839" s="44"/>
      <c r="Y839" s="44"/>
      <c r="Z839" s="44"/>
      <c r="AA839" s="44"/>
      <c r="AB839" s="44"/>
    </row>
    <row r="840">
      <c r="A840" s="51"/>
      <c r="B840" s="43"/>
      <c r="C840" s="74"/>
      <c r="D840" s="75"/>
      <c r="E840" s="76"/>
      <c r="F840" s="76"/>
      <c r="G840" s="76"/>
      <c r="H840" s="76"/>
      <c r="I840" s="76"/>
      <c r="J840" s="43"/>
      <c r="K840" s="44"/>
      <c r="L840" s="44"/>
      <c r="M840" s="44"/>
      <c r="N840" s="44"/>
      <c r="O840" s="44"/>
      <c r="P840" s="44"/>
      <c r="Q840" s="44"/>
      <c r="R840" s="44"/>
      <c r="S840" s="44"/>
      <c r="T840" s="44"/>
      <c r="U840" s="44"/>
      <c r="V840" s="44"/>
      <c r="W840" s="44"/>
      <c r="X840" s="44"/>
      <c r="Y840" s="44"/>
      <c r="Z840" s="44"/>
      <c r="AA840" s="44"/>
      <c r="AB840" s="44"/>
    </row>
    <row r="841">
      <c r="A841" s="51"/>
      <c r="B841" s="43"/>
      <c r="C841" s="74"/>
      <c r="D841" s="75"/>
      <c r="E841" s="76"/>
      <c r="F841" s="76"/>
      <c r="G841" s="76"/>
      <c r="H841" s="76"/>
      <c r="I841" s="76"/>
      <c r="J841" s="43"/>
      <c r="K841" s="44"/>
      <c r="L841" s="44"/>
      <c r="M841" s="44"/>
      <c r="N841" s="44"/>
      <c r="O841" s="44"/>
      <c r="P841" s="44"/>
      <c r="Q841" s="44"/>
      <c r="R841" s="44"/>
      <c r="S841" s="44"/>
      <c r="T841" s="44"/>
      <c r="U841" s="44"/>
      <c r="V841" s="44"/>
      <c r="W841" s="44"/>
      <c r="X841" s="44"/>
      <c r="Y841" s="44"/>
      <c r="Z841" s="44"/>
      <c r="AA841" s="44"/>
      <c r="AB841" s="44"/>
    </row>
    <row r="842">
      <c r="A842" s="51"/>
      <c r="B842" s="43"/>
      <c r="C842" s="74"/>
      <c r="D842" s="75"/>
      <c r="E842" s="76"/>
      <c r="F842" s="76"/>
      <c r="G842" s="76"/>
      <c r="H842" s="76"/>
      <c r="I842" s="76"/>
      <c r="J842" s="43"/>
      <c r="K842" s="44"/>
      <c r="L842" s="44"/>
      <c r="M842" s="44"/>
      <c r="N842" s="44"/>
      <c r="O842" s="44"/>
      <c r="P842" s="44"/>
      <c r="Q842" s="44"/>
      <c r="R842" s="44"/>
      <c r="S842" s="44"/>
      <c r="T842" s="44"/>
      <c r="U842" s="44"/>
      <c r="V842" s="44"/>
      <c r="W842" s="44"/>
      <c r="X842" s="44"/>
      <c r="Y842" s="44"/>
      <c r="Z842" s="44"/>
      <c r="AA842" s="44"/>
      <c r="AB842" s="44"/>
    </row>
    <row r="843">
      <c r="A843" s="51"/>
      <c r="B843" s="43"/>
      <c r="C843" s="74"/>
      <c r="D843" s="75"/>
      <c r="E843" s="76"/>
      <c r="F843" s="76"/>
      <c r="G843" s="76"/>
      <c r="H843" s="76"/>
      <c r="I843" s="76"/>
      <c r="J843" s="43"/>
      <c r="K843" s="44"/>
      <c r="L843" s="44"/>
      <c r="M843" s="44"/>
      <c r="N843" s="44"/>
      <c r="O843" s="44"/>
      <c r="P843" s="44"/>
      <c r="Q843" s="44"/>
      <c r="R843" s="44"/>
      <c r="S843" s="44"/>
      <c r="T843" s="44"/>
      <c r="U843" s="44"/>
      <c r="V843" s="44"/>
      <c r="W843" s="44"/>
      <c r="X843" s="44"/>
      <c r="Y843" s="44"/>
      <c r="Z843" s="44"/>
      <c r="AA843" s="44"/>
      <c r="AB843" s="44"/>
    </row>
    <row r="844">
      <c r="A844" s="51"/>
      <c r="B844" s="43"/>
      <c r="C844" s="74"/>
      <c r="D844" s="75"/>
      <c r="E844" s="76"/>
      <c r="F844" s="76"/>
      <c r="G844" s="76"/>
      <c r="H844" s="76"/>
      <c r="I844" s="76"/>
      <c r="J844" s="43"/>
      <c r="K844" s="44"/>
      <c r="L844" s="44"/>
      <c r="M844" s="44"/>
      <c r="N844" s="44"/>
      <c r="O844" s="44"/>
      <c r="P844" s="44"/>
      <c r="Q844" s="44"/>
      <c r="R844" s="44"/>
      <c r="S844" s="44"/>
      <c r="T844" s="44"/>
      <c r="U844" s="44"/>
      <c r="V844" s="44"/>
      <c r="W844" s="44"/>
      <c r="X844" s="44"/>
      <c r="Y844" s="44"/>
      <c r="Z844" s="44"/>
      <c r="AA844" s="44"/>
      <c r="AB844" s="44"/>
    </row>
    <row r="845">
      <c r="A845" s="51"/>
      <c r="B845" s="43"/>
      <c r="C845" s="74"/>
      <c r="D845" s="75"/>
      <c r="E845" s="76"/>
      <c r="F845" s="76"/>
      <c r="G845" s="76"/>
      <c r="H845" s="76"/>
      <c r="I845" s="76"/>
      <c r="J845" s="43"/>
      <c r="K845" s="44"/>
      <c r="L845" s="44"/>
      <c r="M845" s="44"/>
      <c r="N845" s="44"/>
      <c r="O845" s="44"/>
      <c r="P845" s="44"/>
      <c r="Q845" s="44"/>
      <c r="R845" s="44"/>
      <c r="S845" s="44"/>
      <c r="T845" s="44"/>
      <c r="U845" s="44"/>
      <c r="V845" s="44"/>
      <c r="W845" s="44"/>
      <c r="X845" s="44"/>
      <c r="Y845" s="44"/>
      <c r="Z845" s="44"/>
      <c r="AA845" s="44"/>
      <c r="AB845" s="44"/>
    </row>
    <row r="846">
      <c r="A846" s="51"/>
      <c r="B846" s="43"/>
      <c r="C846" s="74"/>
      <c r="D846" s="75"/>
      <c r="E846" s="76"/>
      <c r="F846" s="76"/>
      <c r="G846" s="76"/>
      <c r="H846" s="76"/>
      <c r="I846" s="76"/>
      <c r="J846" s="43"/>
      <c r="K846" s="44"/>
      <c r="L846" s="44"/>
      <c r="M846" s="44"/>
      <c r="N846" s="44"/>
      <c r="O846" s="44"/>
      <c r="P846" s="44"/>
      <c r="Q846" s="44"/>
      <c r="R846" s="44"/>
      <c r="S846" s="44"/>
      <c r="T846" s="44"/>
      <c r="U846" s="44"/>
      <c r="V846" s="44"/>
      <c r="W846" s="44"/>
      <c r="X846" s="44"/>
      <c r="Y846" s="44"/>
      <c r="Z846" s="44"/>
      <c r="AA846" s="44"/>
      <c r="AB846" s="44"/>
    </row>
    <row r="847">
      <c r="A847" s="51"/>
      <c r="B847" s="43"/>
      <c r="C847" s="74"/>
      <c r="D847" s="75"/>
      <c r="E847" s="76"/>
      <c r="F847" s="76"/>
      <c r="G847" s="76"/>
      <c r="H847" s="76"/>
      <c r="I847" s="76"/>
      <c r="J847" s="43"/>
      <c r="K847" s="44"/>
      <c r="L847" s="44"/>
      <c r="M847" s="44"/>
      <c r="N847" s="44"/>
      <c r="O847" s="44"/>
      <c r="P847" s="44"/>
      <c r="Q847" s="44"/>
      <c r="R847" s="44"/>
      <c r="S847" s="44"/>
      <c r="T847" s="44"/>
      <c r="U847" s="44"/>
      <c r="V847" s="44"/>
      <c r="W847" s="44"/>
      <c r="X847" s="44"/>
      <c r="Y847" s="44"/>
      <c r="Z847" s="44"/>
      <c r="AA847" s="44"/>
      <c r="AB847" s="44"/>
    </row>
    <row r="848">
      <c r="A848" s="51"/>
      <c r="B848" s="43"/>
      <c r="C848" s="74"/>
      <c r="D848" s="75"/>
      <c r="E848" s="76"/>
      <c r="F848" s="76"/>
      <c r="G848" s="76"/>
      <c r="H848" s="76"/>
      <c r="I848" s="76"/>
      <c r="J848" s="43"/>
      <c r="K848" s="44"/>
      <c r="L848" s="44"/>
      <c r="M848" s="44"/>
      <c r="N848" s="44"/>
      <c r="O848" s="44"/>
      <c r="P848" s="44"/>
      <c r="Q848" s="44"/>
      <c r="R848" s="44"/>
      <c r="S848" s="44"/>
      <c r="T848" s="44"/>
      <c r="U848" s="44"/>
      <c r="V848" s="44"/>
      <c r="W848" s="44"/>
      <c r="X848" s="44"/>
      <c r="Y848" s="44"/>
      <c r="Z848" s="44"/>
      <c r="AA848" s="44"/>
      <c r="AB848" s="44"/>
    </row>
    <row r="849">
      <c r="A849" s="51"/>
      <c r="B849" s="43"/>
      <c r="C849" s="74"/>
      <c r="D849" s="75"/>
      <c r="E849" s="76"/>
      <c r="F849" s="76"/>
      <c r="G849" s="76"/>
      <c r="H849" s="76"/>
      <c r="I849" s="76"/>
      <c r="J849" s="43"/>
      <c r="K849" s="44"/>
      <c r="L849" s="44"/>
      <c r="M849" s="44"/>
      <c r="N849" s="44"/>
      <c r="O849" s="44"/>
      <c r="P849" s="44"/>
      <c r="Q849" s="44"/>
      <c r="R849" s="44"/>
      <c r="S849" s="44"/>
      <c r="T849" s="44"/>
      <c r="U849" s="44"/>
      <c r="V849" s="44"/>
      <c r="W849" s="44"/>
      <c r="X849" s="44"/>
      <c r="Y849" s="44"/>
      <c r="Z849" s="44"/>
      <c r="AA849" s="44"/>
      <c r="AB849" s="44"/>
    </row>
    <row r="850">
      <c r="A850" s="51"/>
      <c r="B850" s="43"/>
      <c r="C850" s="74"/>
      <c r="D850" s="75"/>
      <c r="E850" s="76"/>
      <c r="F850" s="76"/>
      <c r="G850" s="76"/>
      <c r="H850" s="76"/>
      <c r="I850" s="76"/>
      <c r="J850" s="43"/>
      <c r="K850" s="44"/>
      <c r="L850" s="44"/>
      <c r="M850" s="44"/>
      <c r="N850" s="44"/>
      <c r="O850" s="44"/>
      <c r="P850" s="44"/>
      <c r="Q850" s="44"/>
      <c r="R850" s="44"/>
      <c r="S850" s="44"/>
      <c r="T850" s="44"/>
      <c r="U850" s="44"/>
      <c r="V850" s="44"/>
      <c r="W850" s="44"/>
      <c r="X850" s="44"/>
      <c r="Y850" s="44"/>
      <c r="Z850" s="44"/>
      <c r="AA850" s="44"/>
      <c r="AB850" s="44"/>
    </row>
    <row r="851">
      <c r="A851" s="51"/>
      <c r="B851" s="43"/>
      <c r="C851" s="74"/>
      <c r="D851" s="75"/>
      <c r="E851" s="76"/>
      <c r="F851" s="76"/>
      <c r="G851" s="76"/>
      <c r="H851" s="76"/>
      <c r="I851" s="76"/>
      <c r="J851" s="43"/>
      <c r="K851" s="44"/>
      <c r="L851" s="44"/>
      <c r="M851" s="44"/>
      <c r="N851" s="44"/>
      <c r="O851" s="44"/>
      <c r="P851" s="44"/>
      <c r="Q851" s="44"/>
      <c r="R851" s="44"/>
      <c r="S851" s="44"/>
      <c r="T851" s="44"/>
      <c r="U851" s="44"/>
      <c r="V851" s="44"/>
      <c r="W851" s="44"/>
      <c r="X851" s="44"/>
      <c r="Y851" s="44"/>
      <c r="Z851" s="44"/>
      <c r="AA851" s="44"/>
      <c r="AB851" s="44"/>
    </row>
    <row r="852">
      <c r="A852" s="51"/>
      <c r="B852" s="43"/>
      <c r="C852" s="74"/>
      <c r="D852" s="75"/>
      <c r="E852" s="76"/>
      <c r="F852" s="76"/>
      <c r="G852" s="76"/>
      <c r="H852" s="76"/>
      <c r="I852" s="76"/>
      <c r="J852" s="43"/>
      <c r="K852" s="44"/>
      <c r="L852" s="44"/>
      <c r="M852" s="44"/>
      <c r="N852" s="44"/>
      <c r="O852" s="44"/>
      <c r="P852" s="44"/>
      <c r="Q852" s="44"/>
      <c r="R852" s="44"/>
      <c r="S852" s="44"/>
      <c r="T852" s="44"/>
      <c r="U852" s="44"/>
      <c r="V852" s="44"/>
      <c r="W852" s="44"/>
      <c r="X852" s="44"/>
      <c r="Y852" s="44"/>
      <c r="Z852" s="44"/>
      <c r="AA852" s="44"/>
      <c r="AB852" s="44"/>
    </row>
    <row r="853">
      <c r="A853" s="51"/>
      <c r="B853" s="43"/>
      <c r="C853" s="74"/>
      <c r="D853" s="75"/>
      <c r="E853" s="76"/>
      <c r="F853" s="76"/>
      <c r="G853" s="76"/>
      <c r="H853" s="76"/>
      <c r="I853" s="76"/>
      <c r="J853" s="43"/>
      <c r="K853" s="44"/>
      <c r="L853" s="44"/>
      <c r="M853" s="44"/>
      <c r="N853" s="44"/>
      <c r="O853" s="44"/>
      <c r="P853" s="44"/>
      <c r="Q853" s="44"/>
      <c r="R853" s="44"/>
      <c r="S853" s="44"/>
      <c r="T853" s="44"/>
      <c r="U853" s="44"/>
      <c r="V853" s="44"/>
      <c r="W853" s="44"/>
      <c r="X853" s="44"/>
      <c r="Y853" s="44"/>
      <c r="Z853" s="44"/>
      <c r="AA853" s="44"/>
      <c r="AB853" s="44"/>
    </row>
    <row r="854">
      <c r="A854" s="51"/>
      <c r="B854" s="43"/>
      <c r="C854" s="74"/>
      <c r="D854" s="75"/>
      <c r="E854" s="76"/>
      <c r="F854" s="76"/>
      <c r="G854" s="76"/>
      <c r="H854" s="76"/>
      <c r="I854" s="76"/>
      <c r="J854" s="43"/>
      <c r="K854" s="44"/>
      <c r="L854" s="44"/>
      <c r="M854" s="44"/>
      <c r="N854" s="44"/>
      <c r="O854" s="44"/>
      <c r="P854" s="44"/>
      <c r="Q854" s="44"/>
      <c r="R854" s="44"/>
      <c r="S854" s="44"/>
      <c r="T854" s="44"/>
      <c r="U854" s="44"/>
      <c r="V854" s="44"/>
      <c r="W854" s="44"/>
      <c r="X854" s="44"/>
      <c r="Y854" s="44"/>
      <c r="Z854" s="44"/>
      <c r="AA854" s="44"/>
      <c r="AB854" s="44"/>
    </row>
    <row r="855">
      <c r="A855" s="51"/>
      <c r="B855" s="43"/>
      <c r="C855" s="74"/>
      <c r="D855" s="75"/>
      <c r="E855" s="76"/>
      <c r="F855" s="76"/>
      <c r="G855" s="76"/>
      <c r="H855" s="76"/>
      <c r="I855" s="76"/>
      <c r="J855" s="43"/>
      <c r="K855" s="44"/>
      <c r="L855" s="44"/>
      <c r="M855" s="44"/>
      <c r="N855" s="44"/>
      <c r="O855" s="44"/>
      <c r="P855" s="44"/>
      <c r="Q855" s="44"/>
      <c r="R855" s="44"/>
      <c r="S855" s="44"/>
      <c r="T855" s="44"/>
      <c r="U855" s="44"/>
      <c r="V855" s="44"/>
      <c r="W855" s="44"/>
      <c r="X855" s="44"/>
      <c r="Y855" s="44"/>
      <c r="Z855" s="44"/>
      <c r="AA855" s="44"/>
      <c r="AB855" s="44"/>
    </row>
    <row r="856">
      <c r="A856" s="51"/>
      <c r="B856" s="43"/>
      <c r="C856" s="74"/>
      <c r="D856" s="75"/>
      <c r="E856" s="76"/>
      <c r="F856" s="76"/>
      <c r="G856" s="76"/>
      <c r="H856" s="76"/>
      <c r="I856" s="76"/>
      <c r="J856" s="43"/>
      <c r="K856" s="44"/>
      <c r="L856" s="44"/>
      <c r="M856" s="44"/>
      <c r="N856" s="44"/>
      <c r="O856" s="44"/>
      <c r="P856" s="44"/>
      <c r="Q856" s="44"/>
      <c r="R856" s="44"/>
      <c r="S856" s="44"/>
      <c r="T856" s="44"/>
      <c r="U856" s="44"/>
      <c r="V856" s="44"/>
      <c r="W856" s="44"/>
      <c r="X856" s="44"/>
      <c r="Y856" s="44"/>
      <c r="Z856" s="44"/>
      <c r="AA856" s="44"/>
      <c r="AB856" s="44"/>
    </row>
    <row r="857">
      <c r="A857" s="51"/>
      <c r="B857" s="43"/>
      <c r="C857" s="74"/>
      <c r="D857" s="75"/>
      <c r="E857" s="76"/>
      <c r="F857" s="76"/>
      <c r="G857" s="76"/>
      <c r="H857" s="76"/>
      <c r="I857" s="76"/>
      <c r="J857" s="43"/>
      <c r="K857" s="44"/>
      <c r="L857" s="44"/>
      <c r="M857" s="44"/>
      <c r="N857" s="44"/>
      <c r="O857" s="44"/>
      <c r="P857" s="44"/>
      <c r="Q857" s="44"/>
      <c r="R857" s="44"/>
      <c r="S857" s="44"/>
      <c r="T857" s="44"/>
      <c r="U857" s="44"/>
      <c r="V857" s="44"/>
      <c r="W857" s="44"/>
      <c r="X857" s="44"/>
      <c r="Y857" s="44"/>
      <c r="Z857" s="44"/>
      <c r="AA857" s="44"/>
      <c r="AB857" s="44"/>
    </row>
    <row r="858">
      <c r="A858" s="51"/>
      <c r="B858" s="43"/>
      <c r="C858" s="74"/>
      <c r="D858" s="75"/>
      <c r="E858" s="76"/>
      <c r="F858" s="76"/>
      <c r="G858" s="76"/>
      <c r="H858" s="76"/>
      <c r="I858" s="76"/>
      <c r="J858" s="43"/>
      <c r="K858" s="44"/>
      <c r="L858" s="44"/>
      <c r="M858" s="44"/>
      <c r="N858" s="44"/>
      <c r="O858" s="44"/>
      <c r="P858" s="44"/>
      <c r="Q858" s="44"/>
      <c r="R858" s="44"/>
      <c r="S858" s="44"/>
      <c r="T858" s="44"/>
      <c r="U858" s="44"/>
      <c r="V858" s="44"/>
      <c r="W858" s="44"/>
      <c r="X858" s="44"/>
      <c r="Y858" s="44"/>
      <c r="Z858" s="44"/>
      <c r="AA858" s="44"/>
      <c r="AB858" s="44"/>
    </row>
    <row r="859">
      <c r="A859" s="51"/>
      <c r="B859" s="43"/>
      <c r="C859" s="74"/>
      <c r="D859" s="75"/>
      <c r="E859" s="76"/>
      <c r="F859" s="76"/>
      <c r="G859" s="76"/>
      <c r="H859" s="76"/>
      <c r="I859" s="76"/>
      <c r="J859" s="43"/>
      <c r="K859" s="44"/>
      <c r="L859" s="44"/>
      <c r="M859" s="44"/>
      <c r="N859" s="44"/>
      <c r="O859" s="44"/>
      <c r="P859" s="44"/>
      <c r="Q859" s="44"/>
      <c r="R859" s="44"/>
      <c r="S859" s="44"/>
      <c r="T859" s="44"/>
      <c r="U859" s="44"/>
      <c r="V859" s="44"/>
      <c r="W859" s="44"/>
      <c r="X859" s="44"/>
      <c r="Y859" s="44"/>
      <c r="Z859" s="44"/>
      <c r="AA859" s="44"/>
      <c r="AB859" s="44"/>
    </row>
    <row r="860">
      <c r="A860" s="51"/>
      <c r="B860" s="43"/>
      <c r="C860" s="74"/>
      <c r="D860" s="75"/>
      <c r="E860" s="76"/>
      <c r="F860" s="76"/>
      <c r="G860" s="76"/>
      <c r="H860" s="76"/>
      <c r="I860" s="76"/>
      <c r="J860" s="43"/>
      <c r="K860" s="44"/>
      <c r="L860" s="44"/>
      <c r="M860" s="44"/>
      <c r="N860" s="44"/>
      <c r="O860" s="44"/>
      <c r="P860" s="44"/>
      <c r="Q860" s="44"/>
      <c r="R860" s="44"/>
      <c r="S860" s="44"/>
      <c r="T860" s="44"/>
      <c r="U860" s="44"/>
      <c r="V860" s="44"/>
      <c r="W860" s="44"/>
      <c r="X860" s="44"/>
      <c r="Y860" s="44"/>
      <c r="Z860" s="44"/>
      <c r="AA860" s="44"/>
      <c r="AB860" s="44"/>
    </row>
    <row r="861">
      <c r="A861" s="51"/>
      <c r="B861" s="43"/>
      <c r="C861" s="74"/>
      <c r="D861" s="75"/>
      <c r="E861" s="76"/>
      <c r="F861" s="76"/>
      <c r="G861" s="76"/>
      <c r="H861" s="76"/>
      <c r="I861" s="76"/>
      <c r="J861" s="43"/>
      <c r="K861" s="44"/>
      <c r="L861" s="44"/>
      <c r="M861" s="44"/>
      <c r="N861" s="44"/>
      <c r="O861" s="44"/>
      <c r="P861" s="44"/>
      <c r="Q861" s="44"/>
      <c r="R861" s="44"/>
      <c r="S861" s="44"/>
      <c r="T861" s="44"/>
      <c r="U861" s="44"/>
      <c r="V861" s="44"/>
      <c r="W861" s="44"/>
      <c r="X861" s="44"/>
      <c r="Y861" s="44"/>
      <c r="Z861" s="44"/>
      <c r="AA861" s="44"/>
      <c r="AB861" s="44"/>
    </row>
    <row r="862">
      <c r="A862" s="51"/>
      <c r="B862" s="43"/>
      <c r="C862" s="74"/>
      <c r="D862" s="75"/>
      <c r="E862" s="76"/>
      <c r="F862" s="76"/>
      <c r="G862" s="76"/>
      <c r="H862" s="76"/>
      <c r="I862" s="76"/>
      <c r="J862" s="43"/>
      <c r="K862" s="44"/>
      <c r="L862" s="44"/>
      <c r="M862" s="44"/>
      <c r="N862" s="44"/>
      <c r="O862" s="44"/>
      <c r="P862" s="44"/>
      <c r="Q862" s="44"/>
      <c r="R862" s="44"/>
      <c r="S862" s="44"/>
      <c r="T862" s="44"/>
      <c r="U862" s="44"/>
      <c r="V862" s="44"/>
      <c r="W862" s="44"/>
      <c r="X862" s="44"/>
      <c r="Y862" s="44"/>
      <c r="Z862" s="44"/>
      <c r="AA862" s="44"/>
      <c r="AB862" s="44"/>
    </row>
    <row r="863">
      <c r="A863" s="51"/>
      <c r="B863" s="43"/>
      <c r="C863" s="74"/>
      <c r="D863" s="75"/>
      <c r="E863" s="76"/>
      <c r="F863" s="76"/>
      <c r="G863" s="76"/>
      <c r="H863" s="76"/>
      <c r="I863" s="76"/>
      <c r="J863" s="43"/>
      <c r="K863" s="44"/>
      <c r="L863" s="44"/>
      <c r="M863" s="44"/>
      <c r="N863" s="44"/>
      <c r="O863" s="44"/>
      <c r="P863" s="44"/>
      <c r="Q863" s="44"/>
      <c r="R863" s="44"/>
      <c r="S863" s="44"/>
      <c r="T863" s="44"/>
      <c r="U863" s="44"/>
      <c r="V863" s="44"/>
      <c r="W863" s="44"/>
      <c r="X863" s="44"/>
      <c r="Y863" s="44"/>
      <c r="Z863" s="44"/>
      <c r="AA863" s="44"/>
      <c r="AB863" s="44"/>
    </row>
    <row r="864">
      <c r="A864" s="51"/>
      <c r="B864" s="43"/>
      <c r="C864" s="74"/>
      <c r="D864" s="75"/>
      <c r="E864" s="76"/>
      <c r="F864" s="76"/>
      <c r="G864" s="76"/>
      <c r="H864" s="76"/>
      <c r="I864" s="76"/>
      <c r="J864" s="43"/>
      <c r="K864" s="44"/>
      <c r="L864" s="44"/>
      <c r="M864" s="44"/>
      <c r="N864" s="44"/>
      <c r="O864" s="44"/>
      <c r="P864" s="44"/>
      <c r="Q864" s="44"/>
      <c r="R864" s="44"/>
      <c r="S864" s="44"/>
      <c r="T864" s="44"/>
      <c r="U864" s="44"/>
      <c r="V864" s="44"/>
      <c r="W864" s="44"/>
      <c r="X864" s="44"/>
      <c r="Y864" s="44"/>
      <c r="Z864" s="44"/>
      <c r="AA864" s="44"/>
      <c r="AB864" s="44"/>
    </row>
    <row r="865">
      <c r="A865" s="51"/>
      <c r="B865" s="43"/>
      <c r="C865" s="74"/>
      <c r="D865" s="75"/>
      <c r="E865" s="76"/>
      <c r="F865" s="76"/>
      <c r="G865" s="76"/>
      <c r="H865" s="76"/>
      <c r="I865" s="76"/>
      <c r="J865" s="43"/>
      <c r="K865" s="44"/>
      <c r="L865" s="44"/>
      <c r="M865" s="44"/>
      <c r="N865" s="44"/>
      <c r="O865" s="44"/>
      <c r="P865" s="44"/>
      <c r="Q865" s="44"/>
      <c r="R865" s="44"/>
      <c r="S865" s="44"/>
      <c r="T865" s="44"/>
      <c r="U865" s="44"/>
      <c r="V865" s="44"/>
      <c r="W865" s="44"/>
      <c r="X865" s="44"/>
      <c r="Y865" s="44"/>
      <c r="Z865" s="44"/>
      <c r="AA865" s="44"/>
      <c r="AB865" s="44"/>
    </row>
    <row r="866">
      <c r="A866" s="51"/>
      <c r="B866" s="43"/>
      <c r="C866" s="74"/>
      <c r="D866" s="75"/>
      <c r="E866" s="76"/>
      <c r="F866" s="76"/>
      <c r="G866" s="76"/>
      <c r="H866" s="76"/>
      <c r="I866" s="76"/>
      <c r="J866" s="43"/>
      <c r="K866" s="44"/>
      <c r="L866" s="44"/>
      <c r="M866" s="44"/>
      <c r="N866" s="44"/>
      <c r="O866" s="44"/>
      <c r="P866" s="44"/>
      <c r="Q866" s="44"/>
      <c r="R866" s="44"/>
      <c r="S866" s="44"/>
      <c r="T866" s="44"/>
      <c r="U866" s="44"/>
      <c r="V866" s="44"/>
      <c r="W866" s="44"/>
      <c r="X866" s="44"/>
      <c r="Y866" s="44"/>
      <c r="Z866" s="44"/>
      <c r="AA866" s="44"/>
      <c r="AB866" s="44"/>
    </row>
    <row r="867">
      <c r="A867" s="51"/>
      <c r="B867" s="43"/>
      <c r="C867" s="74"/>
      <c r="D867" s="75"/>
      <c r="E867" s="76"/>
      <c r="F867" s="76"/>
      <c r="G867" s="76"/>
      <c r="H867" s="76"/>
      <c r="I867" s="76"/>
      <c r="J867" s="43"/>
      <c r="K867" s="44"/>
      <c r="L867" s="44"/>
      <c r="M867" s="44"/>
      <c r="N867" s="44"/>
      <c r="O867" s="44"/>
      <c r="P867" s="44"/>
      <c r="Q867" s="44"/>
      <c r="R867" s="44"/>
      <c r="S867" s="44"/>
      <c r="T867" s="44"/>
      <c r="U867" s="44"/>
      <c r="V867" s="44"/>
      <c r="W867" s="44"/>
      <c r="X867" s="44"/>
      <c r="Y867" s="44"/>
      <c r="Z867" s="44"/>
      <c r="AA867" s="44"/>
      <c r="AB867" s="44"/>
    </row>
    <row r="868">
      <c r="A868" s="51"/>
      <c r="B868" s="43"/>
      <c r="C868" s="74"/>
      <c r="D868" s="75"/>
      <c r="E868" s="76"/>
      <c r="F868" s="76"/>
      <c r="G868" s="76"/>
      <c r="H868" s="76"/>
      <c r="I868" s="76"/>
      <c r="J868" s="43"/>
      <c r="K868" s="44"/>
      <c r="L868" s="44"/>
      <c r="M868" s="44"/>
      <c r="N868" s="44"/>
      <c r="O868" s="44"/>
      <c r="P868" s="44"/>
      <c r="Q868" s="44"/>
      <c r="R868" s="44"/>
      <c r="S868" s="44"/>
      <c r="T868" s="44"/>
      <c r="U868" s="44"/>
      <c r="V868" s="44"/>
      <c r="W868" s="44"/>
      <c r="X868" s="44"/>
      <c r="Y868" s="44"/>
      <c r="Z868" s="44"/>
      <c r="AA868" s="44"/>
      <c r="AB868" s="44"/>
    </row>
    <row r="869">
      <c r="A869" s="51"/>
      <c r="B869" s="43"/>
      <c r="C869" s="74"/>
      <c r="D869" s="75"/>
      <c r="E869" s="76"/>
      <c r="F869" s="76"/>
      <c r="G869" s="76"/>
      <c r="H869" s="76"/>
      <c r="I869" s="76"/>
      <c r="J869" s="43"/>
      <c r="K869" s="44"/>
      <c r="L869" s="44"/>
      <c r="M869" s="44"/>
      <c r="N869" s="44"/>
      <c r="O869" s="44"/>
      <c r="P869" s="44"/>
      <c r="Q869" s="44"/>
      <c r="R869" s="44"/>
      <c r="S869" s="44"/>
      <c r="T869" s="44"/>
      <c r="U869" s="44"/>
      <c r="V869" s="44"/>
      <c r="W869" s="44"/>
      <c r="X869" s="44"/>
      <c r="Y869" s="44"/>
      <c r="Z869" s="44"/>
      <c r="AA869" s="44"/>
      <c r="AB869" s="44"/>
    </row>
    <row r="870">
      <c r="A870" s="51"/>
      <c r="B870" s="43"/>
      <c r="C870" s="74"/>
      <c r="D870" s="75"/>
      <c r="E870" s="76"/>
      <c r="F870" s="76"/>
      <c r="G870" s="76"/>
      <c r="H870" s="76"/>
      <c r="I870" s="76"/>
      <c r="J870" s="43"/>
      <c r="K870" s="44"/>
      <c r="L870" s="44"/>
      <c r="M870" s="44"/>
      <c r="N870" s="44"/>
      <c r="O870" s="44"/>
      <c r="P870" s="44"/>
      <c r="Q870" s="44"/>
      <c r="R870" s="44"/>
      <c r="S870" s="44"/>
      <c r="T870" s="44"/>
      <c r="U870" s="44"/>
      <c r="V870" s="44"/>
      <c r="W870" s="44"/>
      <c r="X870" s="44"/>
      <c r="Y870" s="44"/>
      <c r="Z870" s="44"/>
      <c r="AA870" s="44"/>
      <c r="AB870" s="44"/>
    </row>
    <row r="871">
      <c r="A871" s="51"/>
      <c r="B871" s="43"/>
      <c r="C871" s="74"/>
      <c r="D871" s="75"/>
      <c r="E871" s="76"/>
      <c r="F871" s="76"/>
      <c r="G871" s="76"/>
      <c r="H871" s="76"/>
      <c r="I871" s="76"/>
      <c r="J871" s="43"/>
      <c r="K871" s="44"/>
      <c r="L871" s="44"/>
      <c r="M871" s="44"/>
      <c r="N871" s="44"/>
      <c r="O871" s="44"/>
      <c r="P871" s="44"/>
      <c r="Q871" s="44"/>
      <c r="R871" s="44"/>
      <c r="S871" s="44"/>
      <c r="T871" s="44"/>
      <c r="U871" s="44"/>
      <c r="V871" s="44"/>
      <c r="W871" s="44"/>
      <c r="X871" s="44"/>
      <c r="Y871" s="44"/>
      <c r="Z871" s="44"/>
      <c r="AA871" s="44"/>
      <c r="AB871" s="44"/>
    </row>
    <row r="872">
      <c r="A872" s="51"/>
      <c r="B872" s="43"/>
      <c r="C872" s="74"/>
      <c r="D872" s="75"/>
      <c r="E872" s="76"/>
      <c r="F872" s="76"/>
      <c r="G872" s="76"/>
      <c r="H872" s="76"/>
      <c r="I872" s="76"/>
      <c r="J872" s="43"/>
      <c r="K872" s="44"/>
      <c r="L872" s="44"/>
      <c r="M872" s="44"/>
      <c r="N872" s="44"/>
      <c r="O872" s="44"/>
      <c r="P872" s="44"/>
      <c r="Q872" s="44"/>
      <c r="R872" s="44"/>
      <c r="S872" s="44"/>
      <c r="T872" s="44"/>
      <c r="U872" s="44"/>
      <c r="V872" s="44"/>
      <c r="W872" s="44"/>
      <c r="X872" s="44"/>
      <c r="Y872" s="44"/>
      <c r="Z872" s="44"/>
      <c r="AA872" s="44"/>
      <c r="AB872" s="44"/>
    </row>
    <row r="873">
      <c r="A873" s="51"/>
      <c r="B873" s="43"/>
      <c r="C873" s="74"/>
      <c r="D873" s="75"/>
      <c r="E873" s="76"/>
      <c r="F873" s="76"/>
      <c r="G873" s="76"/>
      <c r="H873" s="76"/>
      <c r="I873" s="76"/>
      <c r="J873" s="43"/>
      <c r="K873" s="44"/>
      <c r="L873" s="44"/>
      <c r="M873" s="44"/>
      <c r="N873" s="44"/>
      <c r="O873" s="44"/>
      <c r="P873" s="44"/>
      <c r="Q873" s="44"/>
      <c r="R873" s="44"/>
      <c r="S873" s="44"/>
      <c r="T873" s="44"/>
      <c r="U873" s="44"/>
      <c r="V873" s="44"/>
      <c r="W873" s="44"/>
      <c r="X873" s="44"/>
      <c r="Y873" s="44"/>
      <c r="Z873" s="44"/>
      <c r="AA873" s="44"/>
      <c r="AB873" s="44"/>
    </row>
    <row r="874">
      <c r="A874" s="51"/>
      <c r="B874" s="43"/>
      <c r="C874" s="74"/>
      <c r="D874" s="75"/>
      <c r="E874" s="76"/>
      <c r="F874" s="76"/>
      <c r="G874" s="76"/>
      <c r="H874" s="76"/>
      <c r="I874" s="76"/>
      <c r="J874" s="43"/>
      <c r="K874" s="44"/>
      <c r="L874" s="44"/>
      <c r="M874" s="44"/>
      <c r="N874" s="44"/>
      <c r="O874" s="44"/>
      <c r="P874" s="44"/>
      <c r="Q874" s="44"/>
      <c r="R874" s="44"/>
      <c r="S874" s="44"/>
      <c r="T874" s="44"/>
      <c r="U874" s="44"/>
      <c r="V874" s="44"/>
      <c r="W874" s="44"/>
      <c r="X874" s="44"/>
      <c r="Y874" s="44"/>
      <c r="Z874" s="44"/>
      <c r="AA874" s="44"/>
      <c r="AB874" s="44"/>
    </row>
    <row r="875">
      <c r="A875" s="51"/>
      <c r="B875" s="43"/>
      <c r="C875" s="74"/>
      <c r="D875" s="75"/>
      <c r="E875" s="76"/>
      <c r="F875" s="76"/>
      <c r="G875" s="76"/>
      <c r="H875" s="76"/>
      <c r="I875" s="76"/>
      <c r="J875" s="43"/>
      <c r="K875" s="44"/>
      <c r="L875" s="44"/>
      <c r="M875" s="44"/>
      <c r="N875" s="44"/>
      <c r="O875" s="44"/>
      <c r="P875" s="44"/>
      <c r="Q875" s="44"/>
      <c r="R875" s="44"/>
      <c r="S875" s="44"/>
      <c r="T875" s="44"/>
      <c r="U875" s="44"/>
      <c r="V875" s="44"/>
      <c r="W875" s="44"/>
      <c r="X875" s="44"/>
      <c r="Y875" s="44"/>
      <c r="Z875" s="44"/>
      <c r="AA875" s="44"/>
      <c r="AB875" s="44"/>
    </row>
    <row r="876">
      <c r="A876" s="51"/>
      <c r="B876" s="43"/>
      <c r="C876" s="74"/>
      <c r="D876" s="75"/>
      <c r="E876" s="76"/>
      <c r="F876" s="76"/>
      <c r="G876" s="76"/>
      <c r="H876" s="76"/>
      <c r="I876" s="76"/>
      <c r="J876" s="43"/>
      <c r="K876" s="44"/>
      <c r="L876" s="44"/>
      <c r="M876" s="44"/>
      <c r="N876" s="44"/>
      <c r="O876" s="44"/>
      <c r="P876" s="44"/>
      <c r="Q876" s="44"/>
      <c r="R876" s="44"/>
      <c r="S876" s="44"/>
      <c r="T876" s="44"/>
      <c r="U876" s="44"/>
      <c r="V876" s="44"/>
      <c r="W876" s="44"/>
      <c r="X876" s="44"/>
      <c r="Y876" s="44"/>
      <c r="Z876" s="44"/>
      <c r="AA876" s="44"/>
      <c r="AB876" s="44"/>
    </row>
    <row r="877">
      <c r="A877" s="51"/>
      <c r="B877" s="43"/>
      <c r="C877" s="74"/>
      <c r="D877" s="75"/>
      <c r="E877" s="76"/>
      <c r="F877" s="76"/>
      <c r="G877" s="76"/>
      <c r="H877" s="76"/>
      <c r="I877" s="76"/>
      <c r="J877" s="43"/>
      <c r="K877" s="44"/>
      <c r="L877" s="44"/>
      <c r="M877" s="44"/>
      <c r="N877" s="44"/>
      <c r="O877" s="44"/>
      <c r="P877" s="44"/>
      <c r="Q877" s="44"/>
      <c r="R877" s="44"/>
      <c r="S877" s="44"/>
      <c r="T877" s="44"/>
      <c r="U877" s="44"/>
      <c r="V877" s="44"/>
      <c r="W877" s="44"/>
      <c r="X877" s="44"/>
      <c r="Y877" s="44"/>
      <c r="Z877" s="44"/>
      <c r="AA877" s="44"/>
      <c r="AB877" s="44"/>
    </row>
    <row r="878">
      <c r="A878" s="51"/>
      <c r="B878" s="43"/>
      <c r="C878" s="74"/>
      <c r="D878" s="75"/>
      <c r="E878" s="76"/>
      <c r="F878" s="76"/>
      <c r="G878" s="76"/>
      <c r="H878" s="76"/>
      <c r="I878" s="76"/>
      <c r="J878" s="43"/>
      <c r="K878" s="44"/>
      <c r="L878" s="44"/>
      <c r="M878" s="44"/>
      <c r="N878" s="44"/>
      <c r="O878" s="44"/>
      <c r="P878" s="44"/>
      <c r="Q878" s="44"/>
      <c r="R878" s="44"/>
      <c r="S878" s="44"/>
      <c r="T878" s="44"/>
      <c r="U878" s="44"/>
      <c r="V878" s="44"/>
      <c r="W878" s="44"/>
      <c r="X878" s="44"/>
      <c r="Y878" s="44"/>
      <c r="Z878" s="44"/>
      <c r="AA878" s="44"/>
      <c r="AB878" s="44"/>
    </row>
    <row r="879">
      <c r="A879" s="51"/>
      <c r="B879" s="43"/>
      <c r="C879" s="74"/>
      <c r="D879" s="75"/>
      <c r="E879" s="76"/>
      <c r="F879" s="76"/>
      <c r="G879" s="76"/>
      <c r="H879" s="76"/>
      <c r="I879" s="76"/>
      <c r="J879" s="43"/>
      <c r="K879" s="44"/>
      <c r="L879" s="44"/>
      <c r="M879" s="44"/>
      <c r="N879" s="44"/>
      <c r="O879" s="44"/>
      <c r="P879" s="44"/>
      <c r="Q879" s="44"/>
      <c r="R879" s="44"/>
      <c r="S879" s="44"/>
      <c r="T879" s="44"/>
      <c r="U879" s="44"/>
      <c r="V879" s="44"/>
      <c r="W879" s="44"/>
      <c r="X879" s="44"/>
      <c r="Y879" s="44"/>
      <c r="Z879" s="44"/>
      <c r="AA879" s="44"/>
      <c r="AB879" s="44"/>
    </row>
    <row r="880">
      <c r="A880" s="51"/>
      <c r="B880" s="43"/>
      <c r="C880" s="74"/>
      <c r="D880" s="75"/>
      <c r="E880" s="76"/>
      <c r="F880" s="76"/>
      <c r="G880" s="76"/>
      <c r="H880" s="76"/>
      <c r="I880" s="76"/>
      <c r="J880" s="43"/>
      <c r="K880" s="44"/>
      <c r="L880" s="44"/>
      <c r="M880" s="44"/>
      <c r="N880" s="44"/>
      <c r="O880" s="44"/>
      <c r="P880" s="44"/>
      <c r="Q880" s="44"/>
      <c r="R880" s="44"/>
      <c r="S880" s="44"/>
      <c r="T880" s="44"/>
      <c r="U880" s="44"/>
      <c r="V880" s="44"/>
      <c r="W880" s="44"/>
      <c r="X880" s="44"/>
      <c r="Y880" s="44"/>
      <c r="Z880" s="44"/>
      <c r="AA880" s="44"/>
      <c r="AB880" s="44"/>
    </row>
    <row r="881">
      <c r="A881" s="51"/>
      <c r="B881" s="43"/>
      <c r="C881" s="74"/>
      <c r="D881" s="75"/>
      <c r="E881" s="76"/>
      <c r="F881" s="76"/>
      <c r="G881" s="76"/>
      <c r="H881" s="76"/>
      <c r="I881" s="76"/>
      <c r="J881" s="43"/>
      <c r="K881" s="44"/>
      <c r="L881" s="44"/>
      <c r="M881" s="44"/>
      <c r="N881" s="44"/>
      <c r="O881" s="44"/>
      <c r="P881" s="44"/>
      <c r="Q881" s="44"/>
      <c r="R881" s="44"/>
      <c r="S881" s="44"/>
      <c r="T881" s="44"/>
      <c r="U881" s="44"/>
      <c r="V881" s="44"/>
      <c r="W881" s="44"/>
      <c r="X881" s="44"/>
      <c r="Y881" s="44"/>
      <c r="Z881" s="44"/>
      <c r="AA881" s="44"/>
      <c r="AB881" s="44"/>
    </row>
    <row r="882">
      <c r="A882" s="51"/>
      <c r="B882" s="43"/>
      <c r="C882" s="74"/>
      <c r="D882" s="75"/>
      <c r="E882" s="76"/>
      <c r="F882" s="76"/>
      <c r="G882" s="76"/>
      <c r="H882" s="76"/>
      <c r="I882" s="76"/>
      <c r="J882" s="43"/>
      <c r="K882" s="44"/>
      <c r="L882" s="44"/>
      <c r="M882" s="44"/>
      <c r="N882" s="44"/>
      <c r="O882" s="44"/>
      <c r="P882" s="44"/>
      <c r="Q882" s="44"/>
      <c r="R882" s="44"/>
      <c r="S882" s="44"/>
      <c r="T882" s="44"/>
      <c r="U882" s="44"/>
      <c r="V882" s="44"/>
      <c r="W882" s="44"/>
      <c r="X882" s="44"/>
      <c r="Y882" s="44"/>
      <c r="Z882" s="44"/>
      <c r="AA882" s="44"/>
      <c r="AB882" s="44"/>
    </row>
    <row r="883">
      <c r="A883" s="51"/>
      <c r="B883" s="43"/>
      <c r="C883" s="74"/>
      <c r="D883" s="75"/>
      <c r="E883" s="76"/>
      <c r="F883" s="76"/>
      <c r="G883" s="76"/>
      <c r="H883" s="76"/>
      <c r="I883" s="76"/>
      <c r="J883" s="43"/>
      <c r="K883" s="44"/>
      <c r="L883" s="44"/>
      <c r="M883" s="44"/>
      <c r="N883" s="44"/>
      <c r="O883" s="44"/>
      <c r="P883" s="44"/>
      <c r="Q883" s="44"/>
      <c r="R883" s="44"/>
      <c r="S883" s="44"/>
      <c r="T883" s="44"/>
      <c r="U883" s="44"/>
      <c r="V883" s="44"/>
      <c r="W883" s="44"/>
      <c r="X883" s="44"/>
      <c r="Y883" s="44"/>
      <c r="Z883" s="44"/>
      <c r="AA883" s="44"/>
      <c r="AB883" s="44"/>
    </row>
    <row r="884">
      <c r="A884" s="51"/>
      <c r="B884" s="43"/>
      <c r="C884" s="74"/>
      <c r="D884" s="75"/>
      <c r="E884" s="76"/>
      <c r="F884" s="76"/>
      <c r="G884" s="76"/>
      <c r="H884" s="76"/>
      <c r="I884" s="76"/>
      <c r="J884" s="43"/>
      <c r="K884" s="44"/>
      <c r="L884" s="44"/>
      <c r="M884" s="44"/>
      <c r="N884" s="44"/>
      <c r="O884" s="44"/>
      <c r="P884" s="44"/>
      <c r="Q884" s="44"/>
      <c r="R884" s="44"/>
      <c r="S884" s="44"/>
      <c r="T884" s="44"/>
      <c r="U884" s="44"/>
      <c r="V884" s="44"/>
      <c r="W884" s="44"/>
      <c r="X884" s="44"/>
      <c r="Y884" s="44"/>
      <c r="Z884" s="44"/>
      <c r="AA884" s="44"/>
      <c r="AB884" s="44"/>
    </row>
    <row r="885">
      <c r="A885" s="51"/>
      <c r="B885" s="43"/>
      <c r="C885" s="74"/>
      <c r="D885" s="75"/>
      <c r="E885" s="76"/>
      <c r="F885" s="76"/>
      <c r="G885" s="76"/>
      <c r="H885" s="76"/>
      <c r="I885" s="76"/>
      <c r="J885" s="43"/>
      <c r="K885" s="44"/>
      <c r="L885" s="44"/>
      <c r="M885" s="44"/>
      <c r="N885" s="44"/>
      <c r="O885" s="44"/>
      <c r="P885" s="44"/>
      <c r="Q885" s="44"/>
      <c r="R885" s="44"/>
      <c r="S885" s="44"/>
      <c r="T885" s="44"/>
      <c r="U885" s="44"/>
      <c r="V885" s="44"/>
      <c r="W885" s="44"/>
      <c r="X885" s="44"/>
      <c r="Y885" s="44"/>
      <c r="Z885" s="44"/>
      <c r="AA885" s="44"/>
      <c r="AB885" s="44"/>
    </row>
    <row r="886">
      <c r="A886" s="51"/>
      <c r="B886" s="43"/>
      <c r="C886" s="74"/>
      <c r="D886" s="75"/>
      <c r="E886" s="76"/>
      <c r="F886" s="76"/>
      <c r="G886" s="76"/>
      <c r="H886" s="76"/>
      <c r="I886" s="76"/>
      <c r="J886" s="43"/>
      <c r="K886" s="44"/>
      <c r="L886" s="44"/>
      <c r="M886" s="44"/>
      <c r="N886" s="44"/>
      <c r="O886" s="44"/>
      <c r="P886" s="44"/>
      <c r="Q886" s="44"/>
      <c r="R886" s="44"/>
      <c r="S886" s="44"/>
      <c r="T886" s="44"/>
      <c r="U886" s="44"/>
      <c r="V886" s="44"/>
      <c r="W886" s="44"/>
      <c r="X886" s="44"/>
      <c r="Y886" s="44"/>
      <c r="Z886" s="44"/>
      <c r="AA886" s="44"/>
      <c r="AB886" s="44"/>
    </row>
    <row r="887">
      <c r="A887" s="51"/>
      <c r="B887" s="43"/>
      <c r="C887" s="74"/>
      <c r="D887" s="75"/>
      <c r="E887" s="76"/>
      <c r="F887" s="76"/>
      <c r="G887" s="76"/>
      <c r="H887" s="76"/>
      <c r="I887" s="76"/>
      <c r="J887" s="43"/>
      <c r="K887" s="44"/>
      <c r="L887" s="44"/>
      <c r="M887" s="44"/>
      <c r="N887" s="44"/>
      <c r="O887" s="44"/>
      <c r="P887" s="44"/>
      <c r="Q887" s="44"/>
      <c r="R887" s="44"/>
      <c r="S887" s="44"/>
      <c r="T887" s="44"/>
      <c r="U887" s="44"/>
      <c r="V887" s="44"/>
      <c r="W887" s="44"/>
      <c r="X887" s="44"/>
      <c r="Y887" s="44"/>
      <c r="Z887" s="44"/>
      <c r="AA887" s="44"/>
      <c r="AB887" s="44"/>
    </row>
    <row r="888">
      <c r="A888" s="51"/>
      <c r="B888" s="43"/>
      <c r="C888" s="74"/>
      <c r="D888" s="75"/>
      <c r="E888" s="76"/>
      <c r="F888" s="76"/>
      <c r="G888" s="76"/>
      <c r="H888" s="76"/>
      <c r="I888" s="76"/>
      <c r="J888" s="43"/>
      <c r="K888" s="44"/>
      <c r="L888" s="44"/>
      <c r="M888" s="44"/>
      <c r="N888" s="44"/>
      <c r="O888" s="44"/>
      <c r="P888" s="44"/>
      <c r="Q888" s="44"/>
      <c r="R888" s="44"/>
      <c r="S888" s="44"/>
      <c r="T888" s="44"/>
      <c r="U888" s="44"/>
      <c r="V888" s="44"/>
      <c r="W888" s="44"/>
      <c r="X888" s="44"/>
      <c r="Y888" s="44"/>
      <c r="Z888" s="44"/>
      <c r="AA888" s="44"/>
      <c r="AB888" s="44"/>
    </row>
    <row r="889">
      <c r="A889" s="51"/>
      <c r="B889" s="43"/>
      <c r="C889" s="74"/>
      <c r="D889" s="75"/>
      <c r="E889" s="76"/>
      <c r="F889" s="76"/>
      <c r="G889" s="76"/>
      <c r="H889" s="76"/>
      <c r="I889" s="76"/>
      <c r="J889" s="43"/>
      <c r="K889" s="44"/>
      <c r="L889" s="44"/>
      <c r="M889" s="44"/>
      <c r="N889" s="44"/>
      <c r="O889" s="44"/>
      <c r="P889" s="44"/>
      <c r="Q889" s="44"/>
      <c r="R889" s="44"/>
      <c r="S889" s="44"/>
      <c r="T889" s="44"/>
      <c r="U889" s="44"/>
      <c r="V889" s="44"/>
      <c r="W889" s="44"/>
      <c r="X889" s="44"/>
      <c r="Y889" s="44"/>
      <c r="Z889" s="44"/>
      <c r="AA889" s="44"/>
      <c r="AB889" s="44"/>
    </row>
    <row r="890">
      <c r="A890" s="51"/>
      <c r="B890" s="43"/>
      <c r="C890" s="74"/>
      <c r="D890" s="75"/>
      <c r="E890" s="76"/>
      <c r="F890" s="76"/>
      <c r="G890" s="76"/>
      <c r="H890" s="76"/>
      <c r="I890" s="76"/>
      <c r="J890" s="43"/>
      <c r="K890" s="44"/>
      <c r="L890" s="44"/>
      <c r="M890" s="44"/>
      <c r="N890" s="44"/>
      <c r="O890" s="44"/>
      <c r="P890" s="44"/>
      <c r="Q890" s="44"/>
      <c r="R890" s="44"/>
      <c r="S890" s="44"/>
      <c r="T890" s="44"/>
      <c r="U890" s="44"/>
      <c r="V890" s="44"/>
      <c r="W890" s="44"/>
      <c r="X890" s="44"/>
      <c r="Y890" s="44"/>
      <c r="Z890" s="44"/>
      <c r="AA890" s="44"/>
      <c r="AB890" s="44"/>
    </row>
    <row r="891">
      <c r="A891" s="51"/>
      <c r="B891" s="43"/>
      <c r="C891" s="74"/>
      <c r="D891" s="75"/>
      <c r="E891" s="76"/>
      <c r="F891" s="76"/>
      <c r="G891" s="76"/>
      <c r="H891" s="76"/>
      <c r="I891" s="76"/>
      <c r="J891" s="43"/>
      <c r="K891" s="44"/>
      <c r="L891" s="44"/>
      <c r="M891" s="44"/>
      <c r="N891" s="44"/>
      <c r="O891" s="44"/>
      <c r="P891" s="44"/>
      <c r="Q891" s="44"/>
      <c r="R891" s="44"/>
      <c r="S891" s="44"/>
      <c r="T891" s="44"/>
      <c r="U891" s="44"/>
      <c r="V891" s="44"/>
      <c r="W891" s="44"/>
      <c r="X891" s="44"/>
      <c r="Y891" s="44"/>
      <c r="Z891" s="44"/>
      <c r="AA891" s="44"/>
      <c r="AB891" s="44"/>
    </row>
    <row r="892">
      <c r="A892" s="51"/>
      <c r="B892" s="43"/>
      <c r="C892" s="74"/>
      <c r="D892" s="75"/>
      <c r="E892" s="76"/>
      <c r="F892" s="76"/>
      <c r="G892" s="76"/>
      <c r="H892" s="76"/>
      <c r="I892" s="76"/>
      <c r="J892" s="43"/>
      <c r="K892" s="44"/>
      <c r="L892" s="44"/>
      <c r="M892" s="44"/>
      <c r="N892" s="44"/>
      <c r="O892" s="44"/>
      <c r="P892" s="44"/>
      <c r="Q892" s="44"/>
      <c r="R892" s="44"/>
      <c r="S892" s="44"/>
      <c r="T892" s="44"/>
      <c r="U892" s="44"/>
      <c r="V892" s="44"/>
      <c r="W892" s="44"/>
      <c r="X892" s="44"/>
      <c r="Y892" s="44"/>
      <c r="Z892" s="44"/>
      <c r="AA892" s="44"/>
      <c r="AB892" s="44"/>
    </row>
    <row r="893">
      <c r="A893" s="51"/>
      <c r="B893" s="43"/>
      <c r="C893" s="74"/>
      <c r="D893" s="75"/>
      <c r="E893" s="76"/>
      <c r="F893" s="76"/>
      <c r="G893" s="76"/>
      <c r="H893" s="76"/>
      <c r="I893" s="76"/>
      <c r="J893" s="43"/>
      <c r="K893" s="44"/>
      <c r="L893" s="44"/>
      <c r="M893" s="44"/>
      <c r="N893" s="44"/>
      <c r="O893" s="44"/>
      <c r="P893" s="44"/>
      <c r="Q893" s="44"/>
      <c r="R893" s="44"/>
      <c r="S893" s="44"/>
      <c r="T893" s="44"/>
      <c r="U893" s="44"/>
      <c r="V893" s="44"/>
      <c r="W893" s="44"/>
      <c r="X893" s="44"/>
      <c r="Y893" s="44"/>
      <c r="Z893" s="44"/>
      <c r="AA893" s="44"/>
      <c r="AB893" s="44"/>
    </row>
    <row r="894">
      <c r="A894" s="51"/>
      <c r="B894" s="43"/>
      <c r="C894" s="74"/>
      <c r="D894" s="75"/>
      <c r="E894" s="76"/>
      <c r="F894" s="76"/>
      <c r="G894" s="76"/>
      <c r="H894" s="76"/>
      <c r="I894" s="76"/>
      <c r="J894" s="43"/>
      <c r="K894" s="44"/>
      <c r="L894" s="44"/>
      <c r="M894" s="44"/>
      <c r="N894" s="44"/>
      <c r="O894" s="44"/>
      <c r="P894" s="44"/>
      <c r="Q894" s="44"/>
      <c r="R894" s="44"/>
      <c r="S894" s="44"/>
      <c r="T894" s="44"/>
      <c r="U894" s="44"/>
      <c r="V894" s="44"/>
      <c r="W894" s="44"/>
      <c r="X894" s="44"/>
      <c r="Y894" s="44"/>
      <c r="Z894" s="44"/>
      <c r="AA894" s="44"/>
      <c r="AB894" s="44"/>
    </row>
    <row r="895">
      <c r="A895" s="51"/>
      <c r="B895" s="43"/>
      <c r="C895" s="74"/>
      <c r="D895" s="75"/>
      <c r="E895" s="76"/>
      <c r="F895" s="76"/>
      <c r="G895" s="76"/>
      <c r="H895" s="76"/>
      <c r="I895" s="76"/>
      <c r="J895" s="43"/>
      <c r="K895" s="44"/>
      <c r="L895" s="44"/>
      <c r="M895" s="44"/>
      <c r="N895" s="44"/>
      <c r="O895" s="44"/>
      <c r="P895" s="44"/>
      <c r="Q895" s="44"/>
      <c r="R895" s="44"/>
      <c r="S895" s="44"/>
      <c r="T895" s="44"/>
      <c r="U895" s="44"/>
      <c r="V895" s="44"/>
      <c r="W895" s="44"/>
      <c r="X895" s="44"/>
      <c r="Y895" s="44"/>
      <c r="Z895" s="44"/>
      <c r="AA895" s="44"/>
      <c r="AB895" s="44"/>
    </row>
    <row r="896">
      <c r="A896" s="51"/>
      <c r="B896" s="43"/>
      <c r="C896" s="74"/>
      <c r="D896" s="75"/>
      <c r="E896" s="76"/>
      <c r="F896" s="76"/>
      <c r="G896" s="76"/>
      <c r="H896" s="76"/>
      <c r="I896" s="76"/>
      <c r="J896" s="43"/>
      <c r="K896" s="44"/>
      <c r="L896" s="44"/>
      <c r="M896" s="44"/>
      <c r="N896" s="44"/>
      <c r="O896" s="44"/>
      <c r="P896" s="44"/>
      <c r="Q896" s="44"/>
      <c r="R896" s="44"/>
      <c r="S896" s="44"/>
      <c r="T896" s="44"/>
      <c r="U896" s="44"/>
      <c r="V896" s="44"/>
      <c r="W896" s="44"/>
      <c r="X896" s="44"/>
      <c r="Y896" s="44"/>
      <c r="Z896" s="44"/>
      <c r="AA896" s="44"/>
      <c r="AB896" s="44"/>
    </row>
    <row r="897">
      <c r="A897" s="51"/>
      <c r="B897" s="43"/>
      <c r="C897" s="74"/>
      <c r="D897" s="75"/>
      <c r="E897" s="76"/>
      <c r="F897" s="76"/>
      <c r="G897" s="76"/>
      <c r="H897" s="76"/>
      <c r="I897" s="76"/>
      <c r="J897" s="43"/>
      <c r="K897" s="44"/>
      <c r="L897" s="44"/>
      <c r="M897" s="44"/>
      <c r="N897" s="44"/>
      <c r="O897" s="44"/>
      <c r="P897" s="44"/>
      <c r="Q897" s="44"/>
      <c r="R897" s="44"/>
      <c r="S897" s="44"/>
      <c r="T897" s="44"/>
      <c r="U897" s="44"/>
      <c r="V897" s="44"/>
      <c r="W897" s="44"/>
      <c r="X897" s="44"/>
      <c r="Y897" s="44"/>
      <c r="Z897" s="44"/>
      <c r="AA897" s="44"/>
      <c r="AB897" s="44"/>
    </row>
    <row r="898">
      <c r="A898" s="51"/>
      <c r="B898" s="43"/>
      <c r="C898" s="74"/>
      <c r="D898" s="75"/>
      <c r="E898" s="76"/>
      <c r="F898" s="76"/>
      <c r="G898" s="76"/>
      <c r="H898" s="76"/>
      <c r="I898" s="76"/>
      <c r="J898" s="43"/>
      <c r="K898" s="44"/>
      <c r="L898" s="44"/>
      <c r="M898" s="44"/>
      <c r="N898" s="44"/>
      <c r="O898" s="44"/>
      <c r="P898" s="44"/>
      <c r="Q898" s="44"/>
      <c r="R898" s="44"/>
      <c r="S898" s="44"/>
      <c r="T898" s="44"/>
      <c r="U898" s="44"/>
      <c r="V898" s="44"/>
      <c r="W898" s="44"/>
      <c r="X898" s="44"/>
      <c r="Y898" s="44"/>
      <c r="Z898" s="44"/>
      <c r="AA898" s="44"/>
      <c r="AB898" s="44"/>
    </row>
    <row r="899">
      <c r="A899" s="51"/>
      <c r="B899" s="43"/>
      <c r="C899" s="74"/>
      <c r="D899" s="75"/>
      <c r="E899" s="76"/>
      <c r="F899" s="76"/>
      <c r="G899" s="76"/>
      <c r="H899" s="76"/>
      <c r="I899" s="76"/>
      <c r="J899" s="43"/>
      <c r="K899" s="44"/>
      <c r="L899" s="44"/>
      <c r="M899" s="44"/>
      <c r="N899" s="44"/>
      <c r="O899" s="44"/>
      <c r="P899" s="44"/>
      <c r="Q899" s="44"/>
      <c r="R899" s="44"/>
      <c r="S899" s="44"/>
      <c r="T899" s="44"/>
      <c r="U899" s="44"/>
      <c r="V899" s="44"/>
      <c r="W899" s="44"/>
      <c r="X899" s="44"/>
      <c r="Y899" s="44"/>
      <c r="Z899" s="44"/>
      <c r="AA899" s="44"/>
      <c r="AB899" s="44"/>
    </row>
    <row r="900">
      <c r="A900" s="51"/>
      <c r="B900" s="43"/>
      <c r="C900" s="74"/>
      <c r="D900" s="75"/>
      <c r="E900" s="76"/>
      <c r="F900" s="76"/>
      <c r="G900" s="76"/>
      <c r="H900" s="76"/>
      <c r="I900" s="76"/>
      <c r="J900" s="43"/>
      <c r="K900" s="44"/>
      <c r="L900" s="44"/>
      <c r="M900" s="44"/>
      <c r="N900" s="44"/>
      <c r="O900" s="44"/>
      <c r="P900" s="44"/>
      <c r="Q900" s="44"/>
      <c r="R900" s="44"/>
      <c r="S900" s="44"/>
      <c r="T900" s="44"/>
      <c r="U900" s="44"/>
      <c r="V900" s="44"/>
      <c r="W900" s="44"/>
      <c r="X900" s="44"/>
      <c r="Y900" s="44"/>
      <c r="Z900" s="44"/>
      <c r="AA900" s="44"/>
      <c r="AB900" s="44"/>
    </row>
    <row r="901">
      <c r="A901" s="51"/>
      <c r="B901" s="43"/>
      <c r="C901" s="74"/>
      <c r="D901" s="75"/>
      <c r="E901" s="76"/>
      <c r="F901" s="76"/>
      <c r="G901" s="76"/>
      <c r="H901" s="76"/>
      <c r="I901" s="76"/>
      <c r="J901" s="43"/>
      <c r="K901" s="44"/>
      <c r="L901" s="44"/>
      <c r="M901" s="44"/>
      <c r="N901" s="44"/>
      <c r="O901" s="44"/>
      <c r="P901" s="44"/>
      <c r="Q901" s="44"/>
      <c r="R901" s="44"/>
      <c r="S901" s="44"/>
      <c r="T901" s="44"/>
      <c r="U901" s="44"/>
      <c r="V901" s="44"/>
      <c r="W901" s="44"/>
      <c r="X901" s="44"/>
      <c r="Y901" s="44"/>
      <c r="Z901" s="44"/>
      <c r="AA901" s="44"/>
      <c r="AB901" s="44"/>
    </row>
    <row r="902">
      <c r="A902" s="51"/>
      <c r="B902" s="43"/>
      <c r="C902" s="74"/>
      <c r="D902" s="75"/>
      <c r="E902" s="76"/>
      <c r="F902" s="76"/>
      <c r="G902" s="76"/>
      <c r="H902" s="76"/>
      <c r="I902" s="76"/>
      <c r="J902" s="43"/>
      <c r="K902" s="44"/>
      <c r="L902" s="44"/>
      <c r="M902" s="44"/>
      <c r="N902" s="44"/>
      <c r="O902" s="44"/>
      <c r="P902" s="44"/>
      <c r="Q902" s="44"/>
      <c r="R902" s="44"/>
      <c r="S902" s="44"/>
      <c r="T902" s="44"/>
      <c r="U902" s="44"/>
      <c r="V902" s="44"/>
      <c r="W902" s="44"/>
      <c r="X902" s="44"/>
      <c r="Y902" s="44"/>
      <c r="Z902" s="44"/>
      <c r="AA902" s="44"/>
      <c r="AB902" s="44"/>
    </row>
    <row r="903">
      <c r="A903" s="51"/>
      <c r="B903" s="43"/>
      <c r="C903" s="74"/>
      <c r="D903" s="75"/>
      <c r="E903" s="76"/>
      <c r="F903" s="76"/>
      <c r="G903" s="76"/>
      <c r="H903" s="76"/>
      <c r="I903" s="76"/>
      <c r="J903" s="43"/>
      <c r="K903" s="44"/>
      <c r="L903" s="44"/>
      <c r="M903" s="44"/>
      <c r="N903" s="44"/>
      <c r="O903" s="44"/>
      <c r="P903" s="44"/>
      <c r="Q903" s="44"/>
      <c r="R903" s="44"/>
      <c r="S903" s="44"/>
      <c r="T903" s="44"/>
      <c r="U903" s="44"/>
      <c r="V903" s="44"/>
      <c r="W903" s="44"/>
      <c r="X903" s="44"/>
      <c r="Y903" s="44"/>
      <c r="Z903" s="44"/>
      <c r="AA903" s="44"/>
      <c r="AB903" s="44"/>
    </row>
    <row r="904">
      <c r="A904" s="51"/>
      <c r="B904" s="43"/>
      <c r="C904" s="74"/>
      <c r="D904" s="75"/>
      <c r="E904" s="76"/>
      <c r="F904" s="76"/>
      <c r="G904" s="76"/>
      <c r="H904" s="76"/>
      <c r="I904" s="76"/>
      <c r="J904" s="43"/>
      <c r="K904" s="44"/>
      <c r="L904" s="44"/>
      <c r="M904" s="44"/>
      <c r="N904" s="44"/>
      <c r="O904" s="44"/>
      <c r="P904" s="44"/>
      <c r="Q904" s="44"/>
      <c r="R904" s="44"/>
      <c r="S904" s="44"/>
      <c r="T904" s="44"/>
      <c r="U904" s="44"/>
      <c r="V904" s="44"/>
      <c r="W904" s="44"/>
      <c r="X904" s="44"/>
      <c r="Y904" s="44"/>
      <c r="Z904" s="44"/>
      <c r="AA904" s="44"/>
      <c r="AB904" s="44"/>
    </row>
    <row r="905">
      <c r="A905" s="51"/>
      <c r="B905" s="43"/>
      <c r="C905" s="74"/>
      <c r="D905" s="75"/>
      <c r="E905" s="76"/>
      <c r="F905" s="76"/>
      <c r="G905" s="76"/>
      <c r="H905" s="76"/>
      <c r="I905" s="76"/>
      <c r="J905" s="43"/>
      <c r="K905" s="44"/>
      <c r="L905" s="44"/>
      <c r="M905" s="44"/>
      <c r="N905" s="44"/>
      <c r="O905" s="44"/>
      <c r="P905" s="44"/>
      <c r="Q905" s="44"/>
      <c r="R905" s="44"/>
      <c r="S905" s="44"/>
      <c r="T905" s="44"/>
      <c r="U905" s="44"/>
      <c r="V905" s="44"/>
      <c r="W905" s="44"/>
      <c r="X905" s="44"/>
      <c r="Y905" s="44"/>
      <c r="Z905" s="44"/>
      <c r="AA905" s="44"/>
      <c r="AB905" s="44"/>
    </row>
    <row r="906">
      <c r="A906" s="51"/>
      <c r="B906" s="43"/>
      <c r="C906" s="74"/>
      <c r="D906" s="75"/>
      <c r="E906" s="76"/>
      <c r="F906" s="76"/>
      <c r="G906" s="76"/>
      <c r="H906" s="76"/>
      <c r="I906" s="76"/>
      <c r="J906" s="43"/>
      <c r="K906" s="44"/>
      <c r="L906" s="44"/>
      <c r="M906" s="44"/>
      <c r="N906" s="44"/>
      <c r="O906" s="44"/>
      <c r="P906" s="44"/>
      <c r="Q906" s="44"/>
      <c r="R906" s="44"/>
      <c r="S906" s="44"/>
      <c r="T906" s="44"/>
      <c r="U906" s="44"/>
      <c r="V906" s="44"/>
      <c r="W906" s="44"/>
      <c r="X906" s="44"/>
      <c r="Y906" s="44"/>
      <c r="Z906" s="44"/>
      <c r="AA906" s="44"/>
      <c r="AB906" s="44"/>
    </row>
    <row r="907">
      <c r="A907" s="51"/>
      <c r="B907" s="43"/>
      <c r="C907" s="74"/>
      <c r="D907" s="75"/>
      <c r="E907" s="76"/>
      <c r="F907" s="76"/>
      <c r="G907" s="76"/>
      <c r="H907" s="76"/>
      <c r="I907" s="76"/>
      <c r="J907" s="43"/>
      <c r="K907" s="44"/>
      <c r="L907" s="44"/>
      <c r="M907" s="44"/>
      <c r="N907" s="44"/>
      <c r="O907" s="44"/>
      <c r="P907" s="44"/>
      <c r="Q907" s="44"/>
      <c r="R907" s="44"/>
      <c r="S907" s="44"/>
      <c r="T907" s="44"/>
      <c r="U907" s="44"/>
      <c r="V907" s="44"/>
      <c r="W907" s="44"/>
      <c r="X907" s="44"/>
      <c r="Y907" s="44"/>
      <c r="Z907" s="44"/>
      <c r="AA907" s="44"/>
      <c r="AB907" s="44"/>
    </row>
    <row r="908">
      <c r="A908" s="51"/>
      <c r="B908" s="43"/>
      <c r="C908" s="74"/>
      <c r="D908" s="75"/>
      <c r="E908" s="76"/>
      <c r="F908" s="76"/>
      <c r="G908" s="76"/>
      <c r="H908" s="76"/>
      <c r="I908" s="76"/>
      <c r="J908" s="43"/>
      <c r="K908" s="44"/>
      <c r="L908" s="44"/>
      <c r="M908" s="44"/>
      <c r="N908" s="44"/>
      <c r="O908" s="44"/>
      <c r="P908" s="44"/>
      <c r="Q908" s="44"/>
      <c r="R908" s="44"/>
      <c r="S908" s="44"/>
      <c r="T908" s="44"/>
      <c r="U908" s="44"/>
      <c r="V908" s="44"/>
      <c r="W908" s="44"/>
      <c r="X908" s="44"/>
      <c r="Y908" s="44"/>
      <c r="Z908" s="44"/>
      <c r="AA908" s="44"/>
      <c r="AB908" s="44"/>
    </row>
    <row r="909">
      <c r="A909" s="51"/>
      <c r="B909" s="43"/>
      <c r="C909" s="74"/>
      <c r="D909" s="75"/>
      <c r="E909" s="76"/>
      <c r="F909" s="76"/>
      <c r="G909" s="76"/>
      <c r="H909" s="76"/>
      <c r="I909" s="76"/>
      <c r="J909" s="43"/>
      <c r="K909" s="44"/>
      <c r="L909" s="44"/>
      <c r="M909" s="44"/>
      <c r="N909" s="44"/>
      <c r="O909" s="44"/>
      <c r="P909" s="44"/>
      <c r="Q909" s="44"/>
      <c r="R909" s="44"/>
      <c r="S909" s="44"/>
      <c r="T909" s="44"/>
      <c r="U909" s="44"/>
      <c r="V909" s="44"/>
      <c r="W909" s="44"/>
      <c r="X909" s="44"/>
      <c r="Y909" s="44"/>
      <c r="Z909" s="44"/>
      <c r="AA909" s="44"/>
      <c r="AB909" s="44"/>
    </row>
    <row r="910">
      <c r="A910" s="51"/>
      <c r="B910" s="43"/>
      <c r="C910" s="74"/>
      <c r="D910" s="75"/>
      <c r="E910" s="76"/>
      <c r="F910" s="76"/>
      <c r="G910" s="76"/>
      <c r="H910" s="76"/>
      <c r="I910" s="76"/>
      <c r="J910" s="43"/>
      <c r="K910" s="44"/>
      <c r="L910" s="44"/>
      <c r="M910" s="44"/>
      <c r="N910" s="44"/>
      <c r="O910" s="44"/>
      <c r="P910" s="44"/>
      <c r="Q910" s="44"/>
      <c r="R910" s="44"/>
      <c r="S910" s="44"/>
      <c r="T910" s="44"/>
      <c r="U910" s="44"/>
      <c r="V910" s="44"/>
      <c r="W910" s="44"/>
      <c r="X910" s="44"/>
      <c r="Y910" s="44"/>
      <c r="Z910" s="44"/>
      <c r="AA910" s="44"/>
      <c r="AB910" s="44"/>
    </row>
    <row r="911">
      <c r="A911" s="51"/>
      <c r="B911" s="43"/>
      <c r="C911" s="74"/>
      <c r="D911" s="75"/>
      <c r="E911" s="76"/>
      <c r="F911" s="76"/>
      <c r="G911" s="76"/>
      <c r="H911" s="76"/>
      <c r="I911" s="76"/>
      <c r="J911" s="43"/>
      <c r="K911" s="44"/>
      <c r="L911" s="44"/>
      <c r="M911" s="44"/>
      <c r="N911" s="44"/>
      <c r="O911" s="44"/>
      <c r="P911" s="44"/>
      <c r="Q911" s="44"/>
      <c r="R911" s="44"/>
      <c r="S911" s="44"/>
      <c r="T911" s="44"/>
      <c r="U911" s="44"/>
      <c r="V911" s="44"/>
      <c r="W911" s="44"/>
      <c r="X911" s="44"/>
      <c r="Y911" s="44"/>
      <c r="Z911" s="44"/>
      <c r="AA911" s="44"/>
      <c r="AB911" s="44"/>
    </row>
    <row r="912">
      <c r="A912" s="51"/>
      <c r="B912" s="43"/>
      <c r="C912" s="74"/>
      <c r="D912" s="75"/>
      <c r="E912" s="76"/>
      <c r="F912" s="76"/>
      <c r="G912" s="76"/>
      <c r="H912" s="76"/>
      <c r="I912" s="76"/>
      <c r="J912" s="43"/>
      <c r="K912" s="44"/>
      <c r="L912" s="44"/>
      <c r="M912" s="44"/>
      <c r="N912" s="44"/>
      <c r="O912" s="44"/>
      <c r="P912" s="44"/>
      <c r="Q912" s="44"/>
      <c r="R912" s="44"/>
      <c r="S912" s="44"/>
      <c r="T912" s="44"/>
      <c r="U912" s="44"/>
      <c r="V912" s="44"/>
      <c r="W912" s="44"/>
      <c r="X912" s="44"/>
      <c r="Y912" s="44"/>
      <c r="Z912" s="44"/>
      <c r="AA912" s="44"/>
      <c r="AB912" s="44"/>
    </row>
    <row r="913">
      <c r="A913" s="51"/>
      <c r="B913" s="43"/>
      <c r="C913" s="74"/>
      <c r="D913" s="75"/>
      <c r="E913" s="76"/>
      <c r="F913" s="76"/>
      <c r="G913" s="76"/>
      <c r="H913" s="76"/>
      <c r="I913" s="76"/>
      <c r="J913" s="43"/>
      <c r="K913" s="44"/>
      <c r="L913" s="44"/>
      <c r="M913" s="44"/>
      <c r="N913" s="44"/>
      <c r="O913" s="44"/>
      <c r="P913" s="44"/>
      <c r="Q913" s="44"/>
      <c r="R913" s="44"/>
      <c r="S913" s="44"/>
      <c r="T913" s="44"/>
      <c r="U913" s="44"/>
      <c r="V913" s="44"/>
      <c r="W913" s="44"/>
      <c r="X913" s="44"/>
      <c r="Y913" s="44"/>
      <c r="Z913" s="44"/>
      <c r="AA913" s="44"/>
      <c r="AB913" s="44"/>
    </row>
    <row r="914">
      <c r="A914" s="51"/>
      <c r="B914" s="43"/>
      <c r="C914" s="74"/>
      <c r="D914" s="75"/>
      <c r="E914" s="76"/>
      <c r="F914" s="76"/>
      <c r="G914" s="76"/>
      <c r="H914" s="76"/>
      <c r="I914" s="76"/>
      <c r="J914" s="43"/>
      <c r="K914" s="44"/>
      <c r="L914" s="44"/>
      <c r="M914" s="44"/>
      <c r="N914" s="44"/>
      <c r="O914" s="44"/>
      <c r="P914" s="44"/>
      <c r="Q914" s="44"/>
      <c r="R914" s="44"/>
      <c r="S914" s="44"/>
      <c r="T914" s="44"/>
      <c r="U914" s="44"/>
      <c r="V914" s="44"/>
      <c r="W914" s="44"/>
      <c r="X914" s="44"/>
      <c r="Y914" s="44"/>
      <c r="Z914" s="44"/>
      <c r="AA914" s="44"/>
      <c r="AB914" s="44"/>
    </row>
    <row r="915">
      <c r="A915" s="51"/>
      <c r="B915" s="43"/>
      <c r="C915" s="74"/>
      <c r="D915" s="75"/>
      <c r="E915" s="76"/>
      <c r="F915" s="76"/>
      <c r="G915" s="76"/>
      <c r="H915" s="76"/>
      <c r="I915" s="76"/>
      <c r="J915" s="43"/>
      <c r="K915" s="44"/>
      <c r="L915" s="44"/>
      <c r="M915" s="44"/>
      <c r="N915" s="44"/>
      <c r="O915" s="44"/>
      <c r="P915" s="44"/>
      <c r="Q915" s="44"/>
      <c r="R915" s="44"/>
      <c r="S915" s="44"/>
      <c r="T915" s="44"/>
      <c r="U915" s="44"/>
      <c r="V915" s="44"/>
      <c r="W915" s="44"/>
      <c r="X915" s="44"/>
      <c r="Y915" s="44"/>
      <c r="Z915" s="44"/>
      <c r="AA915" s="44"/>
      <c r="AB915" s="44"/>
    </row>
    <row r="916">
      <c r="A916" s="51"/>
      <c r="B916" s="43"/>
      <c r="C916" s="74"/>
      <c r="D916" s="75"/>
      <c r="E916" s="76"/>
      <c r="F916" s="76"/>
      <c r="G916" s="76"/>
      <c r="H916" s="76"/>
      <c r="I916" s="76"/>
      <c r="J916" s="43"/>
      <c r="K916" s="44"/>
      <c r="L916" s="44"/>
      <c r="M916" s="44"/>
      <c r="N916" s="44"/>
      <c r="O916" s="44"/>
      <c r="P916" s="44"/>
      <c r="Q916" s="44"/>
      <c r="R916" s="44"/>
      <c r="S916" s="44"/>
      <c r="T916" s="44"/>
      <c r="U916" s="44"/>
      <c r="V916" s="44"/>
      <c r="W916" s="44"/>
      <c r="X916" s="44"/>
      <c r="Y916" s="44"/>
      <c r="Z916" s="44"/>
      <c r="AA916" s="44"/>
      <c r="AB916" s="44"/>
    </row>
    <row r="917">
      <c r="A917" s="51"/>
      <c r="B917" s="43"/>
      <c r="C917" s="74"/>
      <c r="D917" s="75"/>
      <c r="E917" s="76"/>
      <c r="F917" s="76"/>
      <c r="G917" s="76"/>
      <c r="H917" s="76"/>
      <c r="I917" s="76"/>
      <c r="J917" s="43"/>
      <c r="K917" s="44"/>
      <c r="L917" s="44"/>
      <c r="M917" s="44"/>
      <c r="N917" s="44"/>
      <c r="O917" s="44"/>
      <c r="P917" s="44"/>
      <c r="Q917" s="44"/>
      <c r="R917" s="44"/>
      <c r="S917" s="44"/>
      <c r="T917" s="44"/>
      <c r="U917" s="44"/>
      <c r="V917" s="44"/>
      <c r="W917" s="44"/>
      <c r="X917" s="44"/>
      <c r="Y917" s="44"/>
      <c r="Z917" s="44"/>
      <c r="AA917" s="44"/>
      <c r="AB917" s="44"/>
    </row>
    <row r="918">
      <c r="A918" s="51"/>
      <c r="B918" s="43"/>
      <c r="C918" s="74"/>
      <c r="D918" s="75"/>
      <c r="E918" s="76"/>
      <c r="F918" s="76"/>
      <c r="G918" s="76"/>
      <c r="H918" s="76"/>
      <c r="I918" s="76"/>
      <c r="J918" s="43"/>
      <c r="K918" s="44"/>
      <c r="L918" s="44"/>
      <c r="M918" s="44"/>
      <c r="N918" s="44"/>
      <c r="O918" s="44"/>
      <c r="P918" s="44"/>
      <c r="Q918" s="44"/>
      <c r="R918" s="44"/>
      <c r="S918" s="44"/>
      <c r="T918" s="44"/>
      <c r="U918" s="44"/>
      <c r="V918" s="44"/>
      <c r="W918" s="44"/>
      <c r="X918" s="44"/>
      <c r="Y918" s="44"/>
      <c r="Z918" s="44"/>
      <c r="AA918" s="44"/>
      <c r="AB918" s="44"/>
    </row>
    <row r="919">
      <c r="A919" s="51"/>
      <c r="B919" s="43"/>
      <c r="C919" s="74"/>
      <c r="D919" s="75"/>
      <c r="E919" s="76"/>
      <c r="F919" s="76"/>
      <c r="G919" s="76"/>
      <c r="H919" s="76"/>
      <c r="I919" s="76"/>
      <c r="J919" s="43"/>
      <c r="K919" s="44"/>
      <c r="L919" s="44"/>
      <c r="M919" s="44"/>
      <c r="N919" s="44"/>
      <c r="O919" s="44"/>
      <c r="P919" s="44"/>
      <c r="Q919" s="44"/>
      <c r="R919" s="44"/>
      <c r="S919" s="44"/>
      <c r="T919" s="44"/>
      <c r="U919" s="44"/>
      <c r="V919" s="44"/>
      <c r="W919" s="44"/>
      <c r="X919" s="44"/>
      <c r="Y919" s="44"/>
      <c r="Z919" s="44"/>
      <c r="AA919" s="44"/>
      <c r="AB919" s="44"/>
    </row>
    <row r="920">
      <c r="A920" s="51"/>
      <c r="B920" s="43"/>
      <c r="C920" s="74"/>
      <c r="D920" s="75"/>
      <c r="E920" s="76"/>
      <c r="F920" s="76"/>
      <c r="G920" s="76"/>
      <c r="H920" s="76"/>
      <c r="I920" s="76"/>
      <c r="J920" s="43"/>
      <c r="K920" s="44"/>
      <c r="L920" s="44"/>
      <c r="M920" s="44"/>
      <c r="N920" s="44"/>
      <c r="O920" s="44"/>
      <c r="P920" s="44"/>
      <c r="Q920" s="44"/>
      <c r="R920" s="44"/>
      <c r="S920" s="44"/>
      <c r="T920" s="44"/>
      <c r="U920" s="44"/>
      <c r="V920" s="44"/>
      <c r="W920" s="44"/>
      <c r="X920" s="44"/>
      <c r="Y920" s="44"/>
      <c r="Z920" s="44"/>
      <c r="AA920" s="44"/>
      <c r="AB920" s="44"/>
    </row>
    <row r="921">
      <c r="A921" s="51"/>
      <c r="B921" s="43"/>
      <c r="C921" s="74"/>
      <c r="D921" s="75"/>
      <c r="E921" s="76"/>
      <c r="F921" s="76"/>
      <c r="G921" s="76"/>
      <c r="H921" s="76"/>
      <c r="I921" s="76"/>
      <c r="J921" s="43"/>
      <c r="K921" s="44"/>
      <c r="L921" s="44"/>
      <c r="M921" s="44"/>
      <c r="N921" s="44"/>
      <c r="O921" s="44"/>
      <c r="P921" s="44"/>
      <c r="Q921" s="44"/>
      <c r="R921" s="44"/>
      <c r="S921" s="44"/>
      <c r="T921" s="44"/>
      <c r="U921" s="44"/>
      <c r="V921" s="44"/>
      <c r="W921" s="44"/>
      <c r="X921" s="44"/>
      <c r="Y921" s="44"/>
      <c r="Z921" s="44"/>
      <c r="AA921" s="44"/>
      <c r="AB921" s="44"/>
    </row>
    <row r="922">
      <c r="A922" s="51"/>
      <c r="B922" s="43"/>
      <c r="C922" s="74"/>
      <c r="D922" s="75"/>
      <c r="E922" s="76"/>
      <c r="F922" s="76"/>
      <c r="G922" s="76"/>
      <c r="H922" s="76"/>
      <c r="I922" s="76"/>
      <c r="J922" s="43"/>
      <c r="K922" s="44"/>
      <c r="L922" s="44"/>
      <c r="M922" s="44"/>
      <c r="N922" s="44"/>
      <c r="O922" s="44"/>
      <c r="P922" s="44"/>
      <c r="Q922" s="44"/>
      <c r="R922" s="44"/>
      <c r="S922" s="44"/>
      <c r="T922" s="44"/>
      <c r="U922" s="44"/>
      <c r="V922" s="44"/>
      <c r="W922" s="44"/>
      <c r="X922" s="44"/>
      <c r="Y922" s="44"/>
      <c r="Z922" s="44"/>
      <c r="AA922" s="44"/>
      <c r="AB922" s="44"/>
    </row>
    <row r="923">
      <c r="A923" s="51"/>
      <c r="B923" s="43"/>
      <c r="C923" s="74"/>
      <c r="D923" s="75"/>
      <c r="E923" s="76"/>
      <c r="F923" s="76"/>
      <c r="G923" s="76"/>
      <c r="H923" s="76"/>
      <c r="I923" s="76"/>
      <c r="J923" s="43"/>
      <c r="K923" s="44"/>
      <c r="L923" s="44"/>
      <c r="M923" s="44"/>
      <c r="N923" s="44"/>
      <c r="O923" s="44"/>
      <c r="P923" s="44"/>
      <c r="Q923" s="44"/>
      <c r="R923" s="44"/>
      <c r="S923" s="44"/>
      <c r="T923" s="44"/>
      <c r="U923" s="44"/>
      <c r="V923" s="44"/>
      <c r="W923" s="44"/>
      <c r="X923" s="44"/>
      <c r="Y923" s="44"/>
      <c r="Z923" s="44"/>
      <c r="AA923" s="44"/>
      <c r="AB923" s="44"/>
    </row>
    <row r="924">
      <c r="A924" s="51"/>
      <c r="B924" s="43"/>
      <c r="C924" s="74"/>
      <c r="D924" s="75"/>
      <c r="E924" s="76"/>
      <c r="F924" s="76"/>
      <c r="G924" s="76"/>
      <c r="H924" s="76"/>
      <c r="I924" s="76"/>
      <c r="J924" s="43"/>
      <c r="K924" s="44"/>
      <c r="L924" s="44"/>
      <c r="M924" s="44"/>
      <c r="N924" s="44"/>
      <c r="O924" s="44"/>
      <c r="P924" s="44"/>
      <c r="Q924" s="44"/>
      <c r="R924" s="44"/>
      <c r="S924" s="44"/>
      <c r="T924" s="44"/>
      <c r="U924" s="44"/>
      <c r="V924" s="44"/>
      <c r="W924" s="44"/>
      <c r="X924" s="44"/>
      <c r="Y924" s="44"/>
      <c r="Z924" s="44"/>
      <c r="AA924" s="44"/>
      <c r="AB924" s="44"/>
    </row>
    <row r="925">
      <c r="A925" s="51"/>
      <c r="B925" s="43"/>
      <c r="C925" s="74"/>
      <c r="D925" s="75"/>
      <c r="E925" s="76"/>
      <c r="F925" s="76"/>
      <c r="G925" s="76"/>
      <c r="H925" s="76"/>
      <c r="I925" s="76"/>
      <c r="J925" s="43"/>
      <c r="K925" s="44"/>
      <c r="L925" s="44"/>
      <c r="M925" s="44"/>
      <c r="N925" s="44"/>
      <c r="O925" s="44"/>
      <c r="P925" s="44"/>
      <c r="Q925" s="44"/>
      <c r="R925" s="44"/>
      <c r="S925" s="44"/>
      <c r="T925" s="44"/>
      <c r="U925" s="44"/>
      <c r="V925" s="44"/>
      <c r="W925" s="44"/>
      <c r="X925" s="44"/>
      <c r="Y925" s="44"/>
      <c r="Z925" s="44"/>
      <c r="AA925" s="44"/>
      <c r="AB925" s="44"/>
    </row>
    <row r="926">
      <c r="A926" s="51"/>
      <c r="B926" s="43"/>
      <c r="C926" s="74"/>
      <c r="D926" s="75"/>
      <c r="E926" s="76"/>
      <c r="F926" s="76"/>
      <c r="G926" s="76"/>
      <c r="H926" s="76"/>
      <c r="I926" s="76"/>
      <c r="J926" s="43"/>
      <c r="K926" s="44"/>
      <c r="L926" s="44"/>
      <c r="M926" s="44"/>
      <c r="N926" s="44"/>
      <c r="O926" s="44"/>
      <c r="P926" s="44"/>
      <c r="Q926" s="44"/>
      <c r="R926" s="44"/>
      <c r="S926" s="44"/>
      <c r="T926" s="44"/>
      <c r="U926" s="44"/>
      <c r="V926" s="44"/>
      <c r="W926" s="44"/>
      <c r="X926" s="44"/>
      <c r="Y926" s="44"/>
      <c r="Z926" s="44"/>
      <c r="AA926" s="44"/>
      <c r="AB926" s="44"/>
    </row>
    <row r="927">
      <c r="A927" s="51"/>
      <c r="B927" s="43"/>
      <c r="C927" s="74"/>
      <c r="D927" s="75"/>
      <c r="E927" s="76"/>
      <c r="F927" s="76"/>
      <c r="G927" s="76"/>
      <c r="H927" s="76"/>
      <c r="I927" s="76"/>
      <c r="J927" s="43"/>
      <c r="K927" s="44"/>
      <c r="L927" s="44"/>
      <c r="M927" s="44"/>
      <c r="N927" s="44"/>
      <c r="O927" s="44"/>
      <c r="P927" s="44"/>
      <c r="Q927" s="44"/>
      <c r="R927" s="44"/>
      <c r="S927" s="44"/>
      <c r="T927" s="44"/>
      <c r="U927" s="44"/>
      <c r="V927" s="44"/>
      <c r="W927" s="44"/>
      <c r="X927" s="44"/>
      <c r="Y927" s="44"/>
      <c r="Z927" s="44"/>
      <c r="AA927" s="44"/>
      <c r="AB927" s="44"/>
    </row>
    <row r="928">
      <c r="A928" s="51"/>
      <c r="B928" s="43"/>
      <c r="C928" s="74"/>
      <c r="D928" s="75"/>
      <c r="E928" s="76"/>
      <c r="F928" s="76"/>
      <c r="G928" s="76"/>
      <c r="H928" s="76"/>
      <c r="I928" s="76"/>
      <c r="J928" s="43"/>
      <c r="K928" s="44"/>
      <c r="L928" s="44"/>
      <c r="M928" s="44"/>
      <c r="N928" s="44"/>
      <c r="O928" s="44"/>
      <c r="P928" s="44"/>
      <c r="Q928" s="44"/>
      <c r="R928" s="44"/>
      <c r="S928" s="44"/>
      <c r="T928" s="44"/>
      <c r="U928" s="44"/>
      <c r="V928" s="44"/>
      <c r="W928" s="44"/>
      <c r="X928" s="44"/>
      <c r="Y928" s="44"/>
      <c r="Z928" s="44"/>
      <c r="AA928" s="44"/>
      <c r="AB928" s="44"/>
    </row>
    <row r="929">
      <c r="A929" s="51"/>
      <c r="B929" s="43"/>
      <c r="C929" s="74"/>
      <c r="D929" s="75"/>
      <c r="E929" s="76"/>
      <c r="F929" s="76"/>
      <c r="G929" s="76"/>
      <c r="H929" s="76"/>
      <c r="I929" s="76"/>
      <c r="J929" s="43"/>
      <c r="K929" s="44"/>
      <c r="L929" s="44"/>
      <c r="M929" s="44"/>
      <c r="N929" s="44"/>
      <c r="O929" s="44"/>
      <c r="P929" s="44"/>
      <c r="Q929" s="44"/>
      <c r="R929" s="44"/>
      <c r="S929" s="44"/>
      <c r="T929" s="44"/>
      <c r="U929" s="44"/>
      <c r="V929" s="44"/>
      <c r="W929" s="44"/>
      <c r="X929" s="44"/>
      <c r="Y929" s="44"/>
      <c r="Z929" s="44"/>
      <c r="AA929" s="44"/>
      <c r="AB929" s="44"/>
    </row>
    <row r="930">
      <c r="A930" s="51"/>
      <c r="B930" s="43"/>
      <c r="C930" s="74"/>
      <c r="D930" s="75"/>
      <c r="E930" s="76"/>
      <c r="F930" s="76"/>
      <c r="G930" s="76"/>
      <c r="H930" s="76"/>
      <c r="I930" s="76"/>
      <c r="J930" s="43"/>
      <c r="K930" s="44"/>
      <c r="L930" s="44"/>
      <c r="M930" s="44"/>
      <c r="N930" s="44"/>
      <c r="O930" s="44"/>
      <c r="P930" s="44"/>
      <c r="Q930" s="44"/>
      <c r="R930" s="44"/>
      <c r="S930" s="44"/>
      <c r="T930" s="44"/>
      <c r="U930" s="44"/>
      <c r="V930" s="44"/>
      <c r="W930" s="44"/>
      <c r="X930" s="44"/>
      <c r="Y930" s="44"/>
      <c r="Z930" s="44"/>
      <c r="AA930" s="44"/>
      <c r="AB930" s="44"/>
    </row>
    <row r="931">
      <c r="A931" s="51"/>
      <c r="B931" s="43"/>
      <c r="C931" s="74"/>
      <c r="D931" s="75"/>
      <c r="E931" s="76"/>
      <c r="F931" s="76"/>
      <c r="G931" s="76"/>
      <c r="H931" s="76"/>
      <c r="I931" s="76"/>
      <c r="J931" s="43"/>
      <c r="K931" s="44"/>
      <c r="L931" s="44"/>
      <c r="M931" s="44"/>
      <c r="N931" s="44"/>
      <c r="O931" s="44"/>
      <c r="P931" s="44"/>
      <c r="Q931" s="44"/>
      <c r="R931" s="44"/>
      <c r="S931" s="44"/>
      <c r="T931" s="44"/>
      <c r="U931" s="44"/>
      <c r="V931" s="44"/>
      <c r="W931" s="44"/>
      <c r="X931" s="44"/>
      <c r="Y931" s="44"/>
      <c r="Z931" s="44"/>
      <c r="AA931" s="44"/>
      <c r="AB931" s="44"/>
    </row>
    <row r="932">
      <c r="A932" s="51"/>
      <c r="B932" s="43"/>
      <c r="C932" s="74"/>
      <c r="D932" s="75"/>
      <c r="E932" s="76"/>
      <c r="F932" s="76"/>
      <c r="G932" s="76"/>
      <c r="H932" s="76"/>
      <c r="I932" s="76"/>
      <c r="J932" s="43"/>
      <c r="K932" s="44"/>
      <c r="L932" s="44"/>
      <c r="M932" s="44"/>
      <c r="N932" s="44"/>
      <c r="O932" s="44"/>
      <c r="P932" s="44"/>
      <c r="Q932" s="44"/>
      <c r="R932" s="44"/>
      <c r="S932" s="44"/>
      <c r="T932" s="44"/>
      <c r="U932" s="44"/>
      <c r="V932" s="44"/>
      <c r="W932" s="44"/>
      <c r="X932" s="44"/>
      <c r="Y932" s="44"/>
      <c r="Z932" s="44"/>
      <c r="AA932" s="44"/>
      <c r="AB932" s="44"/>
    </row>
    <row r="933">
      <c r="A933" s="51"/>
      <c r="B933" s="43"/>
      <c r="C933" s="74"/>
      <c r="D933" s="75"/>
      <c r="E933" s="76"/>
      <c r="F933" s="76"/>
      <c r="G933" s="76"/>
      <c r="H933" s="76"/>
      <c r="I933" s="76"/>
      <c r="J933" s="43"/>
      <c r="K933" s="44"/>
      <c r="L933" s="44"/>
      <c r="M933" s="44"/>
      <c r="N933" s="44"/>
      <c r="O933" s="44"/>
      <c r="P933" s="44"/>
      <c r="Q933" s="44"/>
      <c r="R933" s="44"/>
      <c r="S933" s="44"/>
      <c r="T933" s="44"/>
      <c r="U933" s="44"/>
      <c r="V933" s="44"/>
      <c r="W933" s="44"/>
      <c r="X933" s="44"/>
      <c r="Y933" s="44"/>
      <c r="Z933" s="44"/>
      <c r="AA933" s="44"/>
      <c r="AB933" s="44"/>
    </row>
    <row r="934">
      <c r="A934" s="51"/>
      <c r="B934" s="43"/>
      <c r="C934" s="74"/>
      <c r="D934" s="75"/>
      <c r="E934" s="76"/>
      <c r="F934" s="76"/>
      <c r="G934" s="76"/>
      <c r="H934" s="76"/>
      <c r="I934" s="76"/>
      <c r="J934" s="43"/>
      <c r="K934" s="44"/>
      <c r="L934" s="44"/>
      <c r="M934" s="44"/>
      <c r="N934" s="44"/>
      <c r="O934" s="44"/>
      <c r="P934" s="44"/>
      <c r="Q934" s="44"/>
      <c r="R934" s="44"/>
      <c r="S934" s="44"/>
      <c r="T934" s="44"/>
      <c r="U934" s="44"/>
      <c r="V934" s="44"/>
      <c r="W934" s="44"/>
      <c r="X934" s="44"/>
      <c r="Y934" s="44"/>
      <c r="Z934" s="44"/>
      <c r="AA934" s="44"/>
      <c r="AB934" s="44"/>
    </row>
    <row r="935">
      <c r="A935" s="51"/>
      <c r="B935" s="43"/>
      <c r="C935" s="74"/>
      <c r="D935" s="75"/>
      <c r="E935" s="76"/>
      <c r="F935" s="76"/>
      <c r="G935" s="76"/>
      <c r="H935" s="76"/>
      <c r="I935" s="76"/>
      <c r="J935" s="43"/>
      <c r="K935" s="44"/>
      <c r="L935" s="44"/>
      <c r="M935" s="44"/>
      <c r="N935" s="44"/>
      <c r="O935" s="44"/>
      <c r="P935" s="44"/>
      <c r="Q935" s="44"/>
      <c r="R935" s="44"/>
      <c r="S935" s="44"/>
      <c r="T935" s="44"/>
      <c r="U935" s="44"/>
      <c r="V935" s="44"/>
      <c r="W935" s="44"/>
      <c r="X935" s="44"/>
      <c r="Y935" s="44"/>
      <c r="Z935" s="44"/>
      <c r="AA935" s="44"/>
      <c r="AB935" s="44"/>
    </row>
    <row r="936">
      <c r="A936" s="51"/>
      <c r="B936" s="43"/>
      <c r="C936" s="74"/>
      <c r="D936" s="75"/>
      <c r="E936" s="76"/>
      <c r="F936" s="76"/>
      <c r="G936" s="76"/>
      <c r="H936" s="76"/>
      <c r="I936" s="76"/>
      <c r="J936" s="43"/>
      <c r="K936" s="44"/>
      <c r="L936" s="44"/>
      <c r="M936" s="44"/>
      <c r="N936" s="44"/>
      <c r="O936" s="44"/>
      <c r="P936" s="44"/>
      <c r="Q936" s="44"/>
      <c r="R936" s="44"/>
      <c r="S936" s="44"/>
      <c r="T936" s="44"/>
      <c r="U936" s="44"/>
      <c r="V936" s="44"/>
      <c r="W936" s="44"/>
      <c r="X936" s="44"/>
      <c r="Y936" s="44"/>
      <c r="Z936" s="44"/>
      <c r="AA936" s="44"/>
      <c r="AB936" s="44"/>
    </row>
    <row r="937">
      <c r="A937" s="51"/>
      <c r="B937" s="43"/>
      <c r="C937" s="74"/>
      <c r="D937" s="75"/>
      <c r="E937" s="76"/>
      <c r="F937" s="76"/>
      <c r="G937" s="76"/>
      <c r="H937" s="76"/>
      <c r="I937" s="76"/>
      <c r="J937" s="43"/>
      <c r="K937" s="44"/>
      <c r="L937" s="44"/>
      <c r="M937" s="44"/>
      <c r="N937" s="44"/>
      <c r="O937" s="44"/>
      <c r="P937" s="44"/>
      <c r="Q937" s="44"/>
      <c r="R937" s="44"/>
      <c r="S937" s="44"/>
      <c r="T937" s="44"/>
      <c r="U937" s="44"/>
      <c r="V937" s="44"/>
      <c r="W937" s="44"/>
      <c r="X937" s="44"/>
      <c r="Y937" s="44"/>
      <c r="Z937" s="44"/>
      <c r="AA937" s="44"/>
      <c r="AB937" s="44"/>
    </row>
    <row r="938">
      <c r="A938" s="51"/>
      <c r="B938" s="43"/>
      <c r="C938" s="74"/>
      <c r="D938" s="75"/>
      <c r="E938" s="76"/>
      <c r="F938" s="76"/>
      <c r="G938" s="76"/>
      <c r="H938" s="76"/>
      <c r="I938" s="76"/>
      <c r="J938" s="43"/>
      <c r="K938" s="44"/>
      <c r="L938" s="44"/>
      <c r="M938" s="44"/>
      <c r="N938" s="44"/>
      <c r="O938" s="44"/>
      <c r="P938" s="44"/>
      <c r="Q938" s="44"/>
      <c r="R938" s="44"/>
      <c r="S938" s="44"/>
      <c r="T938" s="44"/>
      <c r="U938" s="44"/>
      <c r="V938" s="44"/>
      <c r="W938" s="44"/>
      <c r="X938" s="44"/>
      <c r="Y938" s="44"/>
      <c r="Z938" s="44"/>
      <c r="AA938" s="44"/>
      <c r="AB938" s="44"/>
    </row>
    <row r="939">
      <c r="A939" s="51"/>
      <c r="B939" s="43"/>
      <c r="C939" s="74"/>
      <c r="D939" s="75"/>
      <c r="E939" s="76"/>
      <c r="F939" s="76"/>
      <c r="G939" s="76"/>
      <c r="H939" s="76"/>
      <c r="I939" s="76"/>
      <c r="J939" s="43"/>
      <c r="K939" s="44"/>
      <c r="L939" s="44"/>
      <c r="M939" s="44"/>
      <c r="N939" s="44"/>
      <c r="O939" s="44"/>
      <c r="P939" s="44"/>
      <c r="Q939" s="44"/>
      <c r="R939" s="44"/>
      <c r="S939" s="44"/>
      <c r="T939" s="44"/>
      <c r="U939" s="44"/>
      <c r="V939" s="44"/>
      <c r="W939" s="44"/>
      <c r="X939" s="44"/>
      <c r="Y939" s="44"/>
      <c r="Z939" s="44"/>
      <c r="AA939" s="44"/>
      <c r="AB939" s="44"/>
    </row>
    <row r="940">
      <c r="A940" s="51"/>
      <c r="B940" s="43"/>
      <c r="C940" s="74"/>
      <c r="D940" s="75"/>
      <c r="E940" s="76"/>
      <c r="F940" s="76"/>
      <c r="G940" s="76"/>
      <c r="H940" s="76"/>
      <c r="I940" s="76"/>
      <c r="J940" s="43"/>
      <c r="K940" s="44"/>
      <c r="L940" s="44"/>
      <c r="M940" s="44"/>
      <c r="N940" s="44"/>
      <c r="O940" s="44"/>
      <c r="P940" s="44"/>
      <c r="Q940" s="44"/>
      <c r="R940" s="44"/>
      <c r="S940" s="44"/>
      <c r="T940" s="44"/>
      <c r="U940" s="44"/>
      <c r="V940" s="44"/>
      <c r="W940" s="44"/>
      <c r="X940" s="44"/>
      <c r="Y940" s="44"/>
      <c r="Z940" s="44"/>
      <c r="AA940" s="44"/>
      <c r="AB940" s="44"/>
    </row>
    <row r="941">
      <c r="A941" s="51"/>
      <c r="B941" s="43"/>
      <c r="C941" s="74"/>
      <c r="D941" s="75"/>
      <c r="E941" s="76"/>
      <c r="F941" s="76"/>
      <c r="G941" s="76"/>
      <c r="H941" s="76"/>
      <c r="I941" s="76"/>
      <c r="J941" s="43"/>
      <c r="K941" s="44"/>
      <c r="L941" s="44"/>
      <c r="M941" s="44"/>
      <c r="N941" s="44"/>
      <c r="O941" s="44"/>
      <c r="P941" s="44"/>
      <c r="Q941" s="44"/>
      <c r="R941" s="44"/>
      <c r="S941" s="44"/>
      <c r="T941" s="44"/>
      <c r="U941" s="44"/>
      <c r="V941" s="44"/>
      <c r="W941" s="44"/>
      <c r="X941" s="44"/>
      <c r="Y941" s="44"/>
      <c r="Z941" s="44"/>
      <c r="AA941" s="44"/>
      <c r="AB941" s="44"/>
    </row>
    <row r="942">
      <c r="A942" s="51"/>
      <c r="B942" s="43"/>
      <c r="C942" s="74"/>
      <c r="D942" s="75"/>
      <c r="E942" s="76"/>
      <c r="F942" s="76"/>
      <c r="G942" s="76"/>
      <c r="H942" s="76"/>
      <c r="I942" s="76"/>
      <c r="J942" s="43"/>
      <c r="K942" s="44"/>
      <c r="L942" s="44"/>
      <c r="M942" s="44"/>
      <c r="N942" s="44"/>
      <c r="O942" s="44"/>
      <c r="P942" s="44"/>
      <c r="Q942" s="44"/>
      <c r="R942" s="44"/>
      <c r="S942" s="44"/>
      <c r="T942" s="44"/>
      <c r="U942" s="44"/>
      <c r="V942" s="44"/>
      <c r="W942" s="44"/>
      <c r="X942" s="44"/>
      <c r="Y942" s="44"/>
      <c r="Z942" s="44"/>
      <c r="AA942" s="44"/>
      <c r="AB942" s="44"/>
    </row>
    <row r="943">
      <c r="A943" s="51"/>
      <c r="B943" s="43"/>
      <c r="C943" s="74"/>
      <c r="D943" s="75"/>
      <c r="E943" s="76"/>
      <c r="F943" s="76"/>
      <c r="G943" s="76"/>
      <c r="H943" s="76"/>
      <c r="I943" s="76"/>
      <c r="J943" s="43"/>
      <c r="K943" s="44"/>
      <c r="L943" s="44"/>
      <c r="M943" s="44"/>
      <c r="N943" s="44"/>
      <c r="O943" s="44"/>
      <c r="P943" s="44"/>
      <c r="Q943" s="44"/>
      <c r="R943" s="44"/>
      <c r="S943" s="44"/>
      <c r="T943" s="44"/>
      <c r="U943" s="44"/>
      <c r="V943" s="44"/>
      <c r="W943" s="44"/>
      <c r="X943" s="44"/>
      <c r="Y943" s="44"/>
      <c r="Z943" s="44"/>
      <c r="AA943" s="44"/>
      <c r="AB943" s="44"/>
    </row>
    <row r="944">
      <c r="A944" s="51"/>
      <c r="B944" s="43"/>
      <c r="C944" s="74"/>
      <c r="D944" s="75"/>
      <c r="E944" s="76"/>
      <c r="F944" s="76"/>
      <c r="G944" s="76"/>
      <c r="H944" s="76"/>
      <c r="I944" s="76"/>
      <c r="J944" s="43"/>
      <c r="K944" s="44"/>
      <c r="L944" s="44"/>
      <c r="M944" s="44"/>
      <c r="N944" s="44"/>
      <c r="O944" s="44"/>
      <c r="P944" s="44"/>
      <c r="Q944" s="44"/>
      <c r="R944" s="44"/>
      <c r="S944" s="44"/>
      <c r="T944" s="44"/>
      <c r="U944" s="44"/>
      <c r="V944" s="44"/>
      <c r="W944" s="44"/>
      <c r="X944" s="44"/>
      <c r="Y944" s="44"/>
      <c r="Z944" s="44"/>
      <c r="AA944" s="44"/>
      <c r="AB944" s="44"/>
    </row>
    <row r="945">
      <c r="A945" s="51"/>
      <c r="B945" s="43"/>
      <c r="C945" s="74"/>
      <c r="D945" s="75"/>
      <c r="E945" s="76"/>
      <c r="F945" s="76"/>
      <c r="G945" s="76"/>
      <c r="H945" s="76"/>
      <c r="I945" s="76"/>
      <c r="J945" s="43"/>
      <c r="K945" s="44"/>
      <c r="L945" s="44"/>
      <c r="M945" s="44"/>
      <c r="N945" s="44"/>
      <c r="O945" s="44"/>
      <c r="P945" s="44"/>
      <c r="Q945" s="44"/>
      <c r="R945" s="44"/>
      <c r="S945" s="44"/>
      <c r="T945" s="44"/>
      <c r="U945" s="44"/>
      <c r="V945" s="44"/>
      <c r="W945" s="44"/>
      <c r="X945" s="44"/>
      <c r="Y945" s="44"/>
      <c r="Z945" s="44"/>
      <c r="AA945" s="44"/>
      <c r="AB945" s="44"/>
    </row>
    <row r="946">
      <c r="A946" s="51"/>
      <c r="B946" s="43"/>
      <c r="C946" s="74"/>
      <c r="D946" s="75"/>
      <c r="E946" s="76"/>
      <c r="F946" s="76"/>
      <c r="G946" s="76"/>
      <c r="H946" s="76"/>
      <c r="I946" s="76"/>
      <c r="J946" s="43"/>
      <c r="K946" s="44"/>
      <c r="L946" s="44"/>
      <c r="M946" s="44"/>
      <c r="N946" s="44"/>
      <c r="O946" s="44"/>
      <c r="P946" s="44"/>
      <c r="Q946" s="44"/>
      <c r="R946" s="44"/>
      <c r="S946" s="44"/>
      <c r="T946" s="44"/>
      <c r="U946" s="44"/>
      <c r="V946" s="44"/>
      <c r="W946" s="44"/>
      <c r="X946" s="44"/>
      <c r="Y946" s="44"/>
      <c r="Z946" s="44"/>
      <c r="AA946" s="44"/>
      <c r="AB946" s="44"/>
    </row>
    <row r="947">
      <c r="A947" s="51"/>
      <c r="B947" s="43"/>
      <c r="C947" s="74"/>
      <c r="D947" s="75"/>
      <c r="E947" s="76"/>
      <c r="F947" s="76"/>
      <c r="G947" s="76"/>
      <c r="H947" s="76"/>
      <c r="I947" s="76"/>
      <c r="J947" s="43"/>
      <c r="K947" s="44"/>
      <c r="L947" s="44"/>
      <c r="M947" s="44"/>
      <c r="N947" s="44"/>
      <c r="O947" s="44"/>
      <c r="P947" s="44"/>
      <c r="Q947" s="44"/>
      <c r="R947" s="44"/>
      <c r="S947" s="44"/>
      <c r="T947" s="44"/>
      <c r="U947" s="44"/>
      <c r="V947" s="44"/>
      <c r="W947" s="44"/>
      <c r="X947" s="44"/>
      <c r="Y947" s="44"/>
      <c r="Z947" s="44"/>
      <c r="AA947" s="44"/>
      <c r="AB947" s="44"/>
    </row>
    <row r="948">
      <c r="A948" s="51"/>
      <c r="B948" s="43"/>
      <c r="C948" s="74"/>
      <c r="D948" s="75"/>
      <c r="E948" s="76"/>
      <c r="F948" s="76"/>
      <c r="G948" s="76"/>
      <c r="H948" s="76"/>
      <c r="I948" s="76"/>
      <c r="J948" s="43"/>
      <c r="K948" s="44"/>
      <c r="L948" s="44"/>
      <c r="M948" s="44"/>
      <c r="N948" s="44"/>
      <c r="O948" s="44"/>
      <c r="P948" s="44"/>
      <c r="Q948" s="44"/>
      <c r="R948" s="44"/>
      <c r="S948" s="44"/>
      <c r="T948" s="44"/>
      <c r="U948" s="44"/>
      <c r="V948" s="44"/>
      <c r="W948" s="44"/>
      <c r="X948" s="44"/>
      <c r="Y948" s="44"/>
      <c r="Z948" s="44"/>
      <c r="AA948" s="44"/>
      <c r="AB948" s="44"/>
    </row>
    <row r="949">
      <c r="A949" s="51"/>
      <c r="B949" s="43"/>
      <c r="C949" s="74"/>
      <c r="D949" s="75"/>
      <c r="E949" s="76"/>
      <c r="F949" s="76"/>
      <c r="G949" s="76"/>
      <c r="H949" s="76"/>
      <c r="I949" s="76"/>
      <c r="J949" s="43"/>
      <c r="K949" s="44"/>
      <c r="L949" s="44"/>
      <c r="M949" s="44"/>
      <c r="N949" s="44"/>
      <c r="O949" s="44"/>
      <c r="P949" s="44"/>
      <c r="Q949" s="44"/>
      <c r="R949" s="44"/>
      <c r="S949" s="44"/>
      <c r="T949" s="44"/>
      <c r="U949" s="44"/>
      <c r="V949" s="44"/>
      <c r="W949" s="44"/>
      <c r="X949" s="44"/>
      <c r="Y949" s="44"/>
      <c r="Z949" s="44"/>
      <c r="AA949" s="44"/>
      <c r="AB949" s="44"/>
    </row>
    <row r="950">
      <c r="A950" s="51"/>
      <c r="B950" s="43"/>
      <c r="C950" s="74"/>
      <c r="D950" s="75"/>
      <c r="E950" s="76"/>
      <c r="F950" s="76"/>
      <c r="G950" s="76"/>
      <c r="H950" s="76"/>
      <c r="I950" s="76"/>
      <c r="J950" s="43"/>
      <c r="K950" s="44"/>
      <c r="L950" s="44"/>
      <c r="M950" s="44"/>
      <c r="N950" s="44"/>
      <c r="O950" s="44"/>
      <c r="P950" s="44"/>
      <c r="Q950" s="44"/>
      <c r="R950" s="44"/>
      <c r="S950" s="44"/>
      <c r="T950" s="44"/>
      <c r="U950" s="44"/>
      <c r="V950" s="44"/>
      <c r="W950" s="44"/>
      <c r="X950" s="44"/>
      <c r="Y950" s="44"/>
      <c r="Z950" s="44"/>
      <c r="AA950" s="44"/>
      <c r="AB950" s="44"/>
    </row>
    <row r="951">
      <c r="A951" s="51"/>
      <c r="B951" s="43"/>
      <c r="C951" s="74"/>
      <c r="D951" s="75"/>
      <c r="E951" s="76"/>
      <c r="F951" s="76"/>
      <c r="G951" s="76"/>
      <c r="H951" s="76"/>
      <c r="I951" s="76"/>
      <c r="J951" s="43"/>
      <c r="K951" s="44"/>
      <c r="L951" s="44"/>
      <c r="M951" s="44"/>
      <c r="N951" s="44"/>
      <c r="O951" s="44"/>
      <c r="P951" s="44"/>
      <c r="Q951" s="44"/>
      <c r="R951" s="44"/>
      <c r="S951" s="44"/>
      <c r="T951" s="44"/>
      <c r="U951" s="44"/>
      <c r="V951" s="44"/>
      <c r="W951" s="44"/>
      <c r="X951" s="44"/>
      <c r="Y951" s="44"/>
      <c r="Z951" s="44"/>
      <c r="AA951" s="44"/>
      <c r="AB951" s="44"/>
    </row>
    <row r="952">
      <c r="A952" s="51"/>
      <c r="B952" s="43"/>
      <c r="C952" s="74"/>
      <c r="D952" s="75"/>
      <c r="E952" s="76"/>
      <c r="F952" s="76"/>
      <c r="G952" s="76"/>
      <c r="H952" s="76"/>
      <c r="I952" s="76"/>
      <c r="J952" s="43"/>
      <c r="K952" s="44"/>
      <c r="L952" s="44"/>
      <c r="M952" s="44"/>
      <c r="N952" s="44"/>
      <c r="O952" s="44"/>
      <c r="P952" s="44"/>
      <c r="Q952" s="44"/>
      <c r="R952" s="44"/>
      <c r="S952" s="44"/>
      <c r="T952" s="44"/>
      <c r="U952" s="44"/>
      <c r="V952" s="44"/>
      <c r="W952" s="44"/>
      <c r="X952" s="44"/>
      <c r="Y952" s="44"/>
      <c r="Z952" s="44"/>
      <c r="AA952" s="44"/>
      <c r="AB952" s="44"/>
    </row>
    <row r="953">
      <c r="A953" s="51"/>
      <c r="B953" s="43"/>
      <c r="C953" s="74"/>
      <c r="D953" s="75"/>
      <c r="E953" s="76"/>
      <c r="F953" s="76"/>
      <c r="G953" s="76"/>
      <c r="H953" s="76"/>
      <c r="I953" s="76"/>
      <c r="J953" s="43"/>
      <c r="K953" s="44"/>
      <c r="L953" s="44"/>
      <c r="M953" s="44"/>
      <c r="N953" s="44"/>
      <c r="O953" s="44"/>
      <c r="P953" s="44"/>
      <c r="Q953" s="44"/>
      <c r="R953" s="44"/>
      <c r="S953" s="44"/>
      <c r="T953" s="44"/>
      <c r="U953" s="44"/>
      <c r="V953" s="44"/>
      <c r="W953" s="44"/>
      <c r="X953" s="44"/>
      <c r="Y953" s="44"/>
      <c r="Z953" s="44"/>
      <c r="AA953" s="44"/>
      <c r="AB953" s="44"/>
    </row>
    <row r="954">
      <c r="A954" s="51"/>
      <c r="B954" s="43"/>
      <c r="C954" s="74"/>
      <c r="D954" s="75"/>
      <c r="E954" s="76"/>
      <c r="F954" s="76"/>
      <c r="G954" s="76"/>
      <c r="H954" s="76"/>
      <c r="I954" s="76"/>
      <c r="J954" s="43"/>
      <c r="K954" s="44"/>
      <c r="L954" s="44"/>
      <c r="M954" s="44"/>
      <c r="N954" s="44"/>
      <c r="O954" s="44"/>
      <c r="P954" s="44"/>
      <c r="Q954" s="44"/>
      <c r="R954" s="44"/>
      <c r="S954" s="44"/>
      <c r="T954" s="44"/>
      <c r="U954" s="44"/>
      <c r="V954" s="44"/>
      <c r="W954" s="44"/>
      <c r="X954" s="44"/>
      <c r="Y954" s="44"/>
      <c r="Z954" s="44"/>
      <c r="AA954" s="44"/>
      <c r="AB954" s="44"/>
    </row>
    <row r="955">
      <c r="A955" s="51"/>
      <c r="B955" s="43"/>
      <c r="C955" s="74"/>
      <c r="D955" s="75"/>
      <c r="E955" s="76"/>
      <c r="F955" s="76"/>
      <c r="G955" s="76"/>
      <c r="H955" s="76"/>
      <c r="I955" s="76"/>
      <c r="J955" s="43"/>
      <c r="K955" s="44"/>
      <c r="L955" s="44"/>
      <c r="M955" s="44"/>
      <c r="N955" s="44"/>
      <c r="O955" s="44"/>
      <c r="P955" s="44"/>
      <c r="Q955" s="44"/>
      <c r="R955" s="44"/>
      <c r="S955" s="44"/>
      <c r="T955" s="44"/>
      <c r="U955" s="44"/>
      <c r="V955" s="44"/>
      <c r="W955" s="44"/>
      <c r="X955" s="44"/>
      <c r="Y955" s="44"/>
      <c r="Z955" s="44"/>
      <c r="AA955" s="44"/>
      <c r="AB955" s="44"/>
    </row>
    <row r="956">
      <c r="A956" s="51"/>
      <c r="B956" s="43"/>
      <c r="C956" s="74"/>
      <c r="D956" s="75"/>
      <c r="E956" s="76"/>
      <c r="F956" s="76"/>
      <c r="G956" s="76"/>
      <c r="H956" s="76"/>
      <c r="I956" s="76"/>
      <c r="J956" s="43"/>
      <c r="K956" s="44"/>
      <c r="L956" s="44"/>
      <c r="M956" s="44"/>
      <c r="N956" s="44"/>
      <c r="O956" s="44"/>
      <c r="P956" s="44"/>
      <c r="Q956" s="44"/>
      <c r="R956" s="44"/>
      <c r="S956" s="44"/>
      <c r="T956" s="44"/>
      <c r="U956" s="44"/>
      <c r="V956" s="44"/>
      <c r="W956" s="44"/>
      <c r="X956" s="44"/>
      <c r="Y956" s="44"/>
      <c r="Z956" s="44"/>
      <c r="AA956" s="44"/>
      <c r="AB956" s="44"/>
    </row>
    <row r="957">
      <c r="A957" s="51"/>
      <c r="B957" s="43"/>
      <c r="C957" s="74"/>
      <c r="D957" s="75"/>
      <c r="E957" s="76"/>
      <c r="F957" s="76"/>
      <c r="G957" s="76"/>
      <c r="H957" s="76"/>
      <c r="I957" s="76"/>
      <c r="J957" s="43"/>
      <c r="K957" s="44"/>
      <c r="L957" s="44"/>
      <c r="M957" s="44"/>
      <c r="N957" s="44"/>
      <c r="O957" s="44"/>
      <c r="P957" s="44"/>
      <c r="Q957" s="44"/>
      <c r="R957" s="44"/>
      <c r="S957" s="44"/>
      <c r="T957" s="44"/>
      <c r="U957" s="44"/>
      <c r="V957" s="44"/>
      <c r="W957" s="44"/>
      <c r="X957" s="44"/>
      <c r="Y957" s="44"/>
      <c r="Z957" s="44"/>
      <c r="AA957" s="44"/>
      <c r="AB957" s="44"/>
    </row>
    <row r="958">
      <c r="A958" s="51"/>
      <c r="B958" s="43"/>
      <c r="C958" s="74"/>
      <c r="D958" s="75"/>
      <c r="E958" s="76"/>
      <c r="F958" s="76"/>
      <c r="G958" s="76"/>
      <c r="H958" s="76"/>
      <c r="I958" s="76"/>
      <c r="J958" s="43"/>
      <c r="K958" s="44"/>
      <c r="L958" s="44"/>
      <c r="M958" s="44"/>
      <c r="N958" s="44"/>
      <c r="O958" s="44"/>
      <c r="P958" s="44"/>
      <c r="Q958" s="44"/>
      <c r="R958" s="44"/>
      <c r="S958" s="44"/>
      <c r="T958" s="44"/>
      <c r="U958" s="44"/>
      <c r="V958" s="44"/>
      <c r="W958" s="44"/>
      <c r="X958" s="44"/>
      <c r="Y958" s="44"/>
      <c r="Z958" s="44"/>
      <c r="AA958" s="44"/>
      <c r="AB958" s="44"/>
    </row>
    <row r="959">
      <c r="A959" s="51"/>
      <c r="B959" s="43"/>
      <c r="C959" s="74"/>
      <c r="D959" s="75"/>
      <c r="E959" s="76"/>
      <c r="F959" s="76"/>
      <c r="G959" s="76"/>
      <c r="H959" s="76"/>
      <c r="I959" s="76"/>
      <c r="J959" s="43"/>
      <c r="K959" s="44"/>
      <c r="L959" s="44"/>
      <c r="M959" s="44"/>
      <c r="N959" s="44"/>
      <c r="O959" s="44"/>
      <c r="P959" s="44"/>
      <c r="Q959" s="44"/>
      <c r="R959" s="44"/>
      <c r="S959" s="44"/>
      <c r="T959" s="44"/>
      <c r="U959" s="44"/>
      <c r="V959" s="44"/>
      <c r="W959" s="44"/>
      <c r="X959" s="44"/>
      <c r="Y959" s="44"/>
      <c r="Z959" s="44"/>
      <c r="AA959" s="44"/>
      <c r="AB959" s="44"/>
    </row>
    <row r="960">
      <c r="A960" s="51"/>
      <c r="B960" s="43"/>
      <c r="C960" s="74"/>
      <c r="D960" s="75"/>
      <c r="E960" s="76"/>
      <c r="F960" s="76"/>
      <c r="G960" s="76"/>
      <c r="H960" s="76"/>
      <c r="I960" s="76"/>
      <c r="J960" s="43"/>
      <c r="K960" s="44"/>
      <c r="L960" s="44"/>
      <c r="M960" s="44"/>
      <c r="N960" s="44"/>
      <c r="O960" s="44"/>
      <c r="P960" s="44"/>
      <c r="Q960" s="44"/>
      <c r="R960" s="44"/>
      <c r="S960" s="44"/>
      <c r="T960" s="44"/>
      <c r="U960" s="44"/>
      <c r="V960" s="44"/>
      <c r="W960" s="44"/>
      <c r="X960" s="44"/>
      <c r="Y960" s="44"/>
      <c r="Z960" s="44"/>
      <c r="AA960" s="44"/>
      <c r="AB960" s="44"/>
    </row>
    <row r="961">
      <c r="A961" s="51"/>
      <c r="B961" s="43"/>
      <c r="C961" s="74"/>
      <c r="D961" s="75"/>
      <c r="E961" s="76"/>
      <c r="F961" s="76"/>
      <c r="G961" s="76"/>
      <c r="H961" s="76"/>
      <c r="I961" s="76"/>
      <c r="J961" s="43"/>
      <c r="K961" s="44"/>
      <c r="L961" s="44"/>
      <c r="M961" s="44"/>
      <c r="N961" s="44"/>
      <c r="O961" s="44"/>
      <c r="P961" s="44"/>
      <c r="Q961" s="44"/>
      <c r="R961" s="44"/>
      <c r="S961" s="44"/>
      <c r="T961" s="44"/>
      <c r="U961" s="44"/>
      <c r="V961" s="44"/>
      <c r="W961" s="44"/>
      <c r="X961" s="44"/>
      <c r="Y961" s="44"/>
      <c r="Z961" s="44"/>
      <c r="AA961" s="44"/>
      <c r="AB961" s="44"/>
    </row>
    <row r="962">
      <c r="A962" s="51"/>
      <c r="B962" s="43"/>
      <c r="C962" s="74"/>
      <c r="D962" s="75"/>
      <c r="E962" s="76"/>
      <c r="F962" s="76"/>
      <c r="G962" s="76"/>
      <c r="H962" s="76"/>
      <c r="I962" s="76"/>
      <c r="J962" s="43"/>
      <c r="K962" s="44"/>
      <c r="L962" s="44"/>
      <c r="M962" s="44"/>
      <c r="N962" s="44"/>
      <c r="O962" s="44"/>
      <c r="P962" s="44"/>
      <c r="Q962" s="44"/>
      <c r="R962" s="44"/>
      <c r="S962" s="44"/>
      <c r="T962" s="44"/>
      <c r="U962" s="44"/>
      <c r="V962" s="44"/>
      <c r="W962" s="44"/>
      <c r="X962" s="44"/>
      <c r="Y962" s="44"/>
      <c r="Z962" s="44"/>
      <c r="AA962" s="44"/>
      <c r="AB962" s="44"/>
    </row>
    <row r="963">
      <c r="A963" s="51"/>
      <c r="B963" s="43"/>
      <c r="C963" s="74"/>
      <c r="D963" s="75"/>
      <c r="E963" s="76"/>
      <c r="F963" s="76"/>
      <c r="G963" s="76"/>
      <c r="H963" s="76"/>
      <c r="I963" s="76"/>
      <c r="J963" s="43"/>
      <c r="K963" s="44"/>
      <c r="L963" s="44"/>
      <c r="M963" s="44"/>
      <c r="N963" s="44"/>
      <c r="O963" s="44"/>
      <c r="P963" s="44"/>
      <c r="Q963" s="44"/>
      <c r="R963" s="44"/>
      <c r="S963" s="44"/>
      <c r="T963" s="44"/>
      <c r="U963" s="44"/>
      <c r="V963" s="44"/>
      <c r="W963" s="44"/>
      <c r="X963" s="44"/>
      <c r="Y963" s="44"/>
      <c r="Z963" s="44"/>
      <c r="AA963" s="44"/>
      <c r="AB963" s="44"/>
    </row>
    <row r="964">
      <c r="A964" s="51"/>
      <c r="B964" s="43"/>
      <c r="C964" s="74"/>
      <c r="D964" s="75"/>
      <c r="E964" s="76"/>
      <c r="F964" s="76"/>
      <c r="G964" s="76"/>
      <c r="H964" s="76"/>
      <c r="I964" s="76"/>
      <c r="J964" s="43"/>
      <c r="K964" s="44"/>
      <c r="L964" s="44"/>
      <c r="M964" s="44"/>
      <c r="N964" s="44"/>
      <c r="O964" s="44"/>
      <c r="P964" s="44"/>
      <c r="Q964" s="44"/>
      <c r="R964" s="44"/>
      <c r="S964" s="44"/>
      <c r="T964" s="44"/>
      <c r="U964" s="44"/>
      <c r="V964" s="44"/>
      <c r="W964" s="44"/>
      <c r="X964" s="44"/>
      <c r="Y964" s="44"/>
      <c r="Z964" s="44"/>
      <c r="AA964" s="44"/>
      <c r="AB964" s="44"/>
    </row>
    <row r="965">
      <c r="A965" s="51"/>
      <c r="B965" s="43"/>
      <c r="C965" s="74"/>
      <c r="D965" s="75"/>
      <c r="E965" s="76"/>
      <c r="F965" s="76"/>
      <c r="G965" s="76"/>
      <c r="H965" s="76"/>
      <c r="I965" s="76"/>
      <c r="J965" s="43"/>
      <c r="K965" s="44"/>
      <c r="L965" s="44"/>
      <c r="M965" s="44"/>
      <c r="N965" s="44"/>
      <c r="O965" s="44"/>
      <c r="P965" s="44"/>
      <c r="Q965" s="44"/>
      <c r="R965" s="44"/>
      <c r="S965" s="44"/>
      <c r="T965" s="44"/>
      <c r="U965" s="44"/>
      <c r="V965" s="44"/>
      <c r="W965" s="44"/>
      <c r="X965" s="44"/>
      <c r="Y965" s="44"/>
      <c r="Z965" s="44"/>
      <c r="AA965" s="44"/>
      <c r="AB965" s="44"/>
    </row>
    <row r="966">
      <c r="A966" s="51"/>
      <c r="B966" s="43"/>
      <c r="C966" s="74"/>
      <c r="D966" s="75"/>
      <c r="E966" s="76"/>
      <c r="F966" s="76"/>
      <c r="G966" s="76"/>
      <c r="H966" s="76"/>
      <c r="I966" s="76"/>
      <c r="J966" s="43"/>
      <c r="K966" s="44"/>
      <c r="L966" s="44"/>
      <c r="M966" s="44"/>
      <c r="N966" s="44"/>
      <c r="O966" s="44"/>
      <c r="P966" s="44"/>
      <c r="Q966" s="44"/>
      <c r="R966" s="44"/>
      <c r="S966" s="44"/>
      <c r="T966" s="44"/>
      <c r="U966" s="44"/>
      <c r="V966" s="44"/>
      <c r="W966" s="44"/>
      <c r="X966" s="44"/>
      <c r="Y966" s="44"/>
      <c r="Z966" s="44"/>
      <c r="AA966" s="44"/>
      <c r="AB966" s="44"/>
    </row>
    <row r="967">
      <c r="A967" s="51"/>
      <c r="B967" s="43"/>
      <c r="C967" s="74"/>
      <c r="D967" s="75"/>
      <c r="E967" s="76"/>
      <c r="F967" s="76"/>
      <c r="G967" s="76"/>
      <c r="H967" s="76"/>
      <c r="I967" s="76"/>
      <c r="J967" s="43"/>
      <c r="K967" s="44"/>
      <c r="L967" s="44"/>
      <c r="M967" s="44"/>
      <c r="N967" s="44"/>
      <c r="O967" s="44"/>
      <c r="P967" s="44"/>
      <c r="Q967" s="44"/>
      <c r="R967" s="44"/>
      <c r="S967" s="44"/>
      <c r="T967" s="44"/>
      <c r="U967" s="44"/>
      <c r="V967" s="44"/>
      <c r="W967" s="44"/>
      <c r="X967" s="44"/>
      <c r="Y967" s="44"/>
      <c r="Z967" s="44"/>
      <c r="AA967" s="44"/>
      <c r="AB967" s="44"/>
    </row>
    <row r="968">
      <c r="A968" s="51"/>
      <c r="B968" s="43"/>
      <c r="C968" s="74"/>
      <c r="D968" s="75"/>
      <c r="E968" s="76"/>
      <c r="F968" s="76"/>
      <c r="G968" s="76"/>
      <c r="H968" s="76"/>
      <c r="I968" s="76"/>
      <c r="J968" s="43"/>
      <c r="K968" s="44"/>
      <c r="L968" s="44"/>
      <c r="M968" s="44"/>
      <c r="N968" s="44"/>
      <c r="O968" s="44"/>
      <c r="P968" s="44"/>
      <c r="Q968" s="44"/>
      <c r="R968" s="44"/>
      <c r="S968" s="44"/>
      <c r="T968" s="44"/>
      <c r="U968" s="44"/>
      <c r="V968" s="44"/>
      <c r="W968" s="44"/>
      <c r="X968" s="44"/>
      <c r="Y968" s="44"/>
      <c r="Z968" s="44"/>
      <c r="AA968" s="44"/>
      <c r="AB968" s="44"/>
    </row>
    <row r="969">
      <c r="A969" s="51"/>
      <c r="B969" s="43"/>
      <c r="C969" s="74"/>
      <c r="D969" s="75"/>
      <c r="E969" s="76"/>
      <c r="F969" s="76"/>
      <c r="G969" s="76"/>
      <c r="H969" s="76"/>
      <c r="I969" s="76"/>
      <c r="J969" s="43"/>
      <c r="K969" s="44"/>
      <c r="L969" s="44"/>
      <c r="M969" s="44"/>
      <c r="N969" s="44"/>
      <c r="O969" s="44"/>
      <c r="P969" s="44"/>
      <c r="Q969" s="44"/>
      <c r="R969" s="44"/>
      <c r="S969" s="44"/>
      <c r="T969" s="44"/>
      <c r="U969" s="44"/>
      <c r="V969" s="44"/>
      <c r="W969" s="44"/>
      <c r="X969" s="44"/>
      <c r="Y969" s="44"/>
      <c r="Z969" s="44"/>
      <c r="AA969" s="44"/>
      <c r="AB969" s="44"/>
    </row>
    <row r="970">
      <c r="A970" s="51"/>
      <c r="B970" s="43"/>
      <c r="C970" s="74"/>
      <c r="D970" s="75"/>
      <c r="E970" s="76"/>
      <c r="F970" s="76"/>
      <c r="G970" s="76"/>
      <c r="H970" s="76"/>
      <c r="I970" s="76"/>
      <c r="J970" s="43"/>
      <c r="K970" s="44"/>
      <c r="L970" s="44"/>
      <c r="M970" s="44"/>
      <c r="N970" s="44"/>
      <c r="O970" s="44"/>
      <c r="P970" s="44"/>
      <c r="Q970" s="44"/>
      <c r="R970" s="44"/>
      <c r="S970" s="44"/>
      <c r="T970" s="44"/>
      <c r="U970" s="44"/>
      <c r="V970" s="44"/>
      <c r="W970" s="44"/>
      <c r="X970" s="44"/>
      <c r="Y970" s="44"/>
      <c r="Z970" s="44"/>
      <c r="AA970" s="44"/>
      <c r="AB970" s="44"/>
    </row>
    <row r="971">
      <c r="A971" s="51"/>
      <c r="B971" s="43"/>
      <c r="C971" s="74"/>
      <c r="D971" s="75"/>
      <c r="E971" s="76"/>
      <c r="F971" s="76"/>
      <c r="G971" s="76"/>
      <c r="H971" s="76"/>
      <c r="I971" s="76"/>
      <c r="J971" s="43"/>
      <c r="K971" s="44"/>
      <c r="L971" s="44"/>
      <c r="M971" s="44"/>
      <c r="N971" s="44"/>
      <c r="O971" s="44"/>
      <c r="P971" s="44"/>
      <c r="Q971" s="44"/>
      <c r="R971" s="44"/>
      <c r="S971" s="44"/>
      <c r="T971" s="44"/>
      <c r="U971" s="44"/>
      <c r="V971" s="44"/>
      <c r="W971" s="44"/>
      <c r="X971" s="44"/>
      <c r="Y971" s="44"/>
      <c r="Z971" s="44"/>
      <c r="AA971" s="44"/>
      <c r="AB971" s="44"/>
    </row>
    <row r="972">
      <c r="A972" s="51"/>
      <c r="B972" s="43"/>
      <c r="C972" s="74"/>
      <c r="D972" s="75"/>
      <c r="E972" s="76"/>
      <c r="F972" s="76"/>
      <c r="G972" s="76"/>
      <c r="H972" s="76"/>
      <c r="I972" s="76"/>
      <c r="J972" s="43"/>
      <c r="K972" s="44"/>
      <c r="L972" s="44"/>
      <c r="M972" s="44"/>
      <c r="N972" s="44"/>
      <c r="O972" s="44"/>
      <c r="P972" s="44"/>
      <c r="Q972" s="44"/>
      <c r="R972" s="44"/>
      <c r="S972" s="44"/>
      <c r="T972" s="44"/>
      <c r="U972" s="44"/>
      <c r="V972" s="44"/>
      <c r="W972" s="44"/>
      <c r="X972" s="44"/>
      <c r="Y972" s="44"/>
      <c r="Z972" s="44"/>
      <c r="AA972" s="44"/>
      <c r="AB972" s="44"/>
    </row>
    <row r="973">
      <c r="A973" s="51"/>
      <c r="B973" s="43"/>
      <c r="C973" s="74"/>
      <c r="D973" s="75"/>
      <c r="E973" s="76"/>
      <c r="F973" s="76"/>
      <c r="G973" s="76"/>
      <c r="H973" s="76"/>
      <c r="I973" s="76"/>
      <c r="J973" s="43"/>
      <c r="K973" s="44"/>
      <c r="L973" s="44"/>
      <c r="M973" s="44"/>
      <c r="N973" s="44"/>
      <c r="O973" s="44"/>
      <c r="P973" s="44"/>
      <c r="Q973" s="44"/>
      <c r="R973" s="44"/>
      <c r="S973" s="44"/>
      <c r="T973" s="44"/>
      <c r="U973" s="44"/>
      <c r="V973" s="44"/>
      <c r="W973" s="44"/>
      <c r="X973" s="44"/>
      <c r="Y973" s="44"/>
      <c r="Z973" s="44"/>
      <c r="AA973" s="44"/>
      <c r="AB973" s="44"/>
    </row>
    <row r="974">
      <c r="A974" s="51"/>
      <c r="B974" s="43"/>
      <c r="C974" s="74"/>
      <c r="D974" s="75"/>
      <c r="E974" s="76"/>
      <c r="F974" s="76"/>
      <c r="G974" s="76"/>
      <c r="H974" s="76"/>
      <c r="I974" s="76"/>
      <c r="J974" s="43"/>
      <c r="K974" s="44"/>
      <c r="L974" s="44"/>
      <c r="M974" s="44"/>
      <c r="N974" s="44"/>
      <c r="O974" s="44"/>
      <c r="P974" s="44"/>
      <c r="Q974" s="44"/>
      <c r="R974" s="44"/>
      <c r="S974" s="44"/>
      <c r="T974" s="44"/>
      <c r="U974" s="44"/>
      <c r="V974" s="44"/>
      <c r="W974" s="44"/>
      <c r="X974" s="44"/>
      <c r="Y974" s="44"/>
      <c r="Z974" s="44"/>
      <c r="AA974" s="44"/>
      <c r="AB974" s="44"/>
    </row>
    <row r="975">
      <c r="A975" s="51"/>
      <c r="B975" s="43"/>
      <c r="C975" s="74"/>
      <c r="D975" s="75"/>
      <c r="E975" s="76"/>
      <c r="F975" s="76"/>
      <c r="G975" s="76"/>
      <c r="H975" s="76"/>
      <c r="I975" s="76"/>
      <c r="J975" s="43"/>
      <c r="K975" s="44"/>
      <c r="L975" s="44"/>
      <c r="M975" s="44"/>
      <c r="N975" s="44"/>
      <c r="O975" s="44"/>
      <c r="P975" s="44"/>
      <c r="Q975" s="44"/>
      <c r="R975" s="44"/>
      <c r="S975" s="44"/>
      <c r="T975" s="44"/>
      <c r="U975" s="44"/>
      <c r="V975" s="44"/>
      <c r="W975" s="44"/>
      <c r="X975" s="44"/>
      <c r="Y975" s="44"/>
      <c r="Z975" s="44"/>
      <c r="AA975" s="44"/>
      <c r="AB975" s="44"/>
    </row>
    <row r="976">
      <c r="A976" s="51"/>
      <c r="B976" s="43"/>
      <c r="C976" s="74"/>
      <c r="D976" s="75"/>
      <c r="E976" s="76"/>
      <c r="F976" s="76"/>
      <c r="G976" s="76"/>
      <c r="H976" s="76"/>
      <c r="I976" s="76"/>
      <c r="J976" s="43"/>
      <c r="K976" s="44"/>
      <c r="L976" s="44"/>
      <c r="M976" s="44"/>
      <c r="N976" s="44"/>
      <c r="O976" s="44"/>
      <c r="P976" s="44"/>
      <c r="Q976" s="44"/>
      <c r="R976" s="44"/>
      <c r="S976" s="44"/>
      <c r="T976" s="44"/>
      <c r="U976" s="44"/>
      <c r="V976" s="44"/>
      <c r="W976" s="44"/>
      <c r="X976" s="44"/>
      <c r="Y976" s="44"/>
      <c r="Z976" s="44"/>
      <c r="AA976" s="44"/>
      <c r="AB976" s="44"/>
    </row>
    <row r="977">
      <c r="A977" s="51"/>
      <c r="B977" s="43"/>
      <c r="C977" s="74"/>
      <c r="D977" s="75"/>
      <c r="E977" s="76"/>
      <c r="F977" s="76"/>
      <c r="G977" s="76"/>
      <c r="H977" s="76"/>
      <c r="I977" s="76"/>
      <c r="J977" s="43"/>
      <c r="K977" s="44"/>
      <c r="L977" s="44"/>
      <c r="M977" s="44"/>
      <c r="N977" s="44"/>
      <c r="O977" s="44"/>
      <c r="P977" s="44"/>
      <c r="Q977" s="44"/>
      <c r="R977" s="44"/>
      <c r="S977" s="44"/>
      <c r="T977" s="44"/>
      <c r="U977" s="44"/>
      <c r="V977" s="44"/>
      <c r="W977" s="44"/>
      <c r="X977" s="44"/>
      <c r="Y977" s="44"/>
      <c r="Z977" s="44"/>
      <c r="AA977" s="44"/>
      <c r="AB977" s="44"/>
    </row>
    <row r="978">
      <c r="A978" s="51"/>
      <c r="B978" s="43"/>
      <c r="C978" s="74"/>
      <c r="D978" s="75"/>
      <c r="E978" s="76"/>
      <c r="F978" s="76"/>
      <c r="G978" s="76"/>
      <c r="H978" s="76"/>
      <c r="I978" s="76"/>
      <c r="J978" s="43"/>
      <c r="K978" s="44"/>
      <c r="L978" s="44"/>
      <c r="M978" s="44"/>
      <c r="N978" s="44"/>
      <c r="O978" s="44"/>
      <c r="P978" s="44"/>
      <c r="Q978" s="44"/>
      <c r="R978" s="44"/>
      <c r="S978" s="44"/>
      <c r="T978" s="44"/>
      <c r="U978" s="44"/>
      <c r="V978" s="44"/>
      <c r="W978" s="44"/>
      <c r="X978" s="44"/>
      <c r="Y978" s="44"/>
      <c r="Z978" s="44"/>
      <c r="AA978" s="44"/>
      <c r="AB978" s="44"/>
    </row>
    <row r="979">
      <c r="A979" s="51"/>
      <c r="B979" s="43"/>
      <c r="C979" s="74"/>
      <c r="D979" s="75"/>
      <c r="E979" s="76"/>
      <c r="F979" s="76"/>
      <c r="G979" s="76"/>
      <c r="H979" s="76"/>
      <c r="I979" s="76"/>
      <c r="J979" s="43"/>
      <c r="K979" s="44"/>
      <c r="L979" s="44"/>
      <c r="M979" s="44"/>
      <c r="N979" s="44"/>
      <c r="O979" s="44"/>
      <c r="P979" s="44"/>
      <c r="Q979" s="44"/>
      <c r="R979" s="44"/>
      <c r="S979" s="44"/>
      <c r="T979" s="44"/>
      <c r="U979" s="44"/>
      <c r="V979" s="44"/>
      <c r="W979" s="44"/>
      <c r="X979" s="44"/>
      <c r="Y979" s="44"/>
      <c r="Z979" s="44"/>
      <c r="AA979" s="44"/>
      <c r="AB979" s="44"/>
    </row>
    <row r="980">
      <c r="A980" s="51"/>
      <c r="B980" s="43"/>
      <c r="C980" s="74"/>
      <c r="D980" s="75"/>
      <c r="E980" s="76"/>
      <c r="F980" s="76"/>
      <c r="G980" s="76"/>
      <c r="H980" s="76"/>
      <c r="I980" s="76"/>
      <c r="J980" s="43"/>
      <c r="K980" s="44"/>
      <c r="L980" s="44"/>
      <c r="M980" s="44"/>
      <c r="N980" s="44"/>
      <c r="O980" s="44"/>
      <c r="P980" s="44"/>
      <c r="Q980" s="44"/>
      <c r="R980" s="44"/>
      <c r="S980" s="44"/>
      <c r="T980" s="44"/>
      <c r="U980" s="44"/>
      <c r="V980" s="44"/>
      <c r="W980" s="44"/>
      <c r="X980" s="44"/>
      <c r="Y980" s="44"/>
      <c r="Z980" s="44"/>
      <c r="AA980" s="44"/>
      <c r="AB980" s="44"/>
    </row>
    <row r="981">
      <c r="A981" s="51"/>
      <c r="B981" s="43"/>
      <c r="C981" s="74"/>
      <c r="D981" s="75"/>
      <c r="E981" s="76"/>
      <c r="F981" s="76"/>
      <c r="G981" s="76"/>
      <c r="H981" s="76"/>
      <c r="I981" s="76"/>
      <c r="J981" s="43"/>
      <c r="K981" s="44"/>
      <c r="L981" s="44"/>
      <c r="M981" s="44"/>
      <c r="N981" s="44"/>
      <c r="O981" s="44"/>
      <c r="P981" s="44"/>
      <c r="Q981" s="44"/>
      <c r="R981" s="44"/>
      <c r="S981" s="44"/>
      <c r="T981" s="44"/>
      <c r="U981" s="44"/>
      <c r="V981" s="44"/>
      <c r="W981" s="44"/>
      <c r="X981" s="44"/>
      <c r="Y981" s="44"/>
      <c r="Z981" s="44"/>
      <c r="AA981" s="44"/>
      <c r="AB981" s="44"/>
    </row>
    <row r="982">
      <c r="A982" s="51"/>
      <c r="B982" s="43"/>
      <c r="C982" s="74"/>
      <c r="D982" s="75"/>
      <c r="E982" s="76"/>
      <c r="F982" s="76"/>
      <c r="G982" s="76"/>
      <c r="H982" s="76"/>
      <c r="I982" s="76"/>
      <c r="J982" s="43"/>
      <c r="K982" s="44"/>
      <c r="L982" s="44"/>
      <c r="M982" s="44"/>
      <c r="N982" s="44"/>
      <c r="O982" s="44"/>
      <c r="P982" s="44"/>
      <c r="Q982" s="44"/>
      <c r="R982" s="44"/>
      <c r="S982" s="44"/>
      <c r="T982" s="44"/>
      <c r="U982" s="44"/>
      <c r="V982" s="44"/>
      <c r="W982" s="44"/>
      <c r="X982" s="44"/>
      <c r="Y982" s="44"/>
      <c r="Z982" s="44"/>
      <c r="AA982" s="44"/>
      <c r="AB982" s="44"/>
    </row>
    <row r="983">
      <c r="A983" s="51"/>
      <c r="B983" s="43"/>
      <c r="C983" s="74"/>
      <c r="D983" s="75"/>
      <c r="E983" s="76"/>
      <c r="F983" s="76"/>
      <c r="G983" s="76"/>
      <c r="H983" s="76"/>
      <c r="I983" s="76"/>
      <c r="J983" s="43"/>
      <c r="K983" s="44"/>
      <c r="L983" s="44"/>
      <c r="M983" s="44"/>
      <c r="N983" s="44"/>
      <c r="O983" s="44"/>
      <c r="P983" s="44"/>
      <c r="Q983" s="44"/>
      <c r="R983" s="44"/>
      <c r="S983" s="44"/>
      <c r="T983" s="44"/>
      <c r="U983" s="44"/>
      <c r="V983" s="44"/>
      <c r="W983" s="44"/>
      <c r="X983" s="44"/>
      <c r="Y983" s="44"/>
      <c r="Z983" s="44"/>
      <c r="AA983" s="44"/>
      <c r="AB983" s="44"/>
    </row>
    <row r="984">
      <c r="A984" s="51"/>
      <c r="B984" s="43"/>
      <c r="C984" s="74"/>
      <c r="D984" s="75"/>
      <c r="E984" s="76"/>
      <c r="F984" s="76"/>
      <c r="G984" s="76"/>
      <c r="H984" s="76"/>
      <c r="I984" s="76"/>
      <c r="J984" s="43"/>
      <c r="K984" s="44"/>
      <c r="L984" s="44"/>
      <c r="M984" s="44"/>
      <c r="N984" s="44"/>
      <c r="O984" s="44"/>
      <c r="P984" s="44"/>
      <c r="Q984" s="44"/>
      <c r="R984" s="44"/>
      <c r="S984" s="44"/>
      <c r="T984" s="44"/>
      <c r="U984" s="44"/>
      <c r="V984" s="44"/>
      <c r="W984" s="44"/>
      <c r="X984" s="44"/>
      <c r="Y984" s="44"/>
      <c r="Z984" s="44"/>
      <c r="AA984" s="44"/>
      <c r="AB984" s="44"/>
    </row>
    <row r="985">
      <c r="A985" s="51"/>
      <c r="B985" s="43"/>
      <c r="C985" s="74"/>
      <c r="D985" s="75"/>
      <c r="E985" s="76"/>
      <c r="F985" s="76"/>
      <c r="G985" s="76"/>
      <c r="H985" s="76"/>
      <c r="I985" s="76"/>
      <c r="J985" s="43"/>
      <c r="K985" s="44"/>
      <c r="L985" s="44"/>
      <c r="M985" s="44"/>
      <c r="N985" s="44"/>
      <c r="O985" s="44"/>
      <c r="P985" s="44"/>
      <c r="Q985" s="44"/>
      <c r="R985" s="44"/>
      <c r="S985" s="44"/>
      <c r="T985" s="44"/>
      <c r="U985" s="44"/>
      <c r="V985" s="44"/>
      <c r="W985" s="44"/>
      <c r="X985" s="44"/>
      <c r="Y985" s="44"/>
      <c r="Z985" s="44"/>
      <c r="AA985" s="44"/>
      <c r="AB985" s="44"/>
    </row>
    <row r="986">
      <c r="A986" s="51"/>
      <c r="B986" s="43"/>
      <c r="C986" s="74"/>
      <c r="D986" s="75"/>
      <c r="E986" s="76"/>
      <c r="F986" s="76"/>
      <c r="G986" s="76"/>
      <c r="H986" s="76"/>
      <c r="I986" s="76"/>
      <c r="J986" s="43"/>
      <c r="K986" s="44"/>
      <c r="L986" s="44"/>
      <c r="M986" s="44"/>
      <c r="N986" s="44"/>
      <c r="O986" s="44"/>
      <c r="P986" s="44"/>
      <c r="Q986" s="44"/>
      <c r="R986" s="44"/>
      <c r="S986" s="44"/>
      <c r="T986" s="44"/>
      <c r="U986" s="44"/>
      <c r="V986" s="44"/>
      <c r="W986" s="44"/>
      <c r="X986" s="44"/>
      <c r="Y986" s="44"/>
      <c r="Z986" s="44"/>
      <c r="AA986" s="44"/>
      <c r="AB986" s="44"/>
    </row>
    <row r="987">
      <c r="A987" s="51"/>
      <c r="B987" s="43"/>
      <c r="C987" s="74"/>
      <c r="D987" s="75"/>
      <c r="E987" s="76"/>
      <c r="F987" s="76"/>
      <c r="G987" s="76"/>
      <c r="H987" s="76"/>
      <c r="I987" s="76"/>
      <c r="J987" s="43"/>
      <c r="K987" s="44"/>
      <c r="L987" s="44"/>
      <c r="M987" s="44"/>
      <c r="N987" s="44"/>
      <c r="O987" s="44"/>
      <c r="P987" s="44"/>
      <c r="Q987" s="44"/>
      <c r="R987" s="44"/>
      <c r="S987" s="44"/>
      <c r="T987" s="44"/>
      <c r="U987" s="44"/>
      <c r="V987" s="44"/>
      <c r="W987" s="44"/>
      <c r="X987" s="44"/>
      <c r="Y987" s="44"/>
      <c r="Z987" s="44"/>
      <c r="AA987" s="44"/>
      <c r="AB987" s="44"/>
    </row>
    <row r="988">
      <c r="A988" s="51"/>
      <c r="B988" s="43"/>
      <c r="C988" s="74"/>
      <c r="D988" s="75"/>
      <c r="E988" s="76"/>
      <c r="F988" s="76"/>
      <c r="G988" s="76"/>
      <c r="H988" s="76"/>
      <c r="I988" s="76"/>
      <c r="J988" s="43"/>
      <c r="K988" s="44"/>
      <c r="L988" s="44"/>
      <c r="M988" s="44"/>
      <c r="N988" s="44"/>
      <c r="O988" s="44"/>
      <c r="P988" s="44"/>
      <c r="Q988" s="44"/>
      <c r="R988" s="44"/>
      <c r="S988" s="44"/>
      <c r="T988" s="44"/>
      <c r="U988" s="44"/>
      <c r="V988" s="44"/>
      <c r="W988" s="44"/>
      <c r="X988" s="44"/>
      <c r="Y988" s="44"/>
      <c r="Z988" s="44"/>
      <c r="AA988" s="44"/>
      <c r="AB988" s="44"/>
    </row>
    <row r="989">
      <c r="A989" s="51"/>
      <c r="B989" s="43"/>
      <c r="C989" s="74"/>
      <c r="D989" s="75"/>
      <c r="E989" s="76"/>
      <c r="F989" s="76"/>
      <c r="G989" s="76"/>
      <c r="H989" s="76"/>
      <c r="I989" s="76"/>
      <c r="J989" s="43"/>
      <c r="K989" s="44"/>
      <c r="L989" s="44"/>
      <c r="M989" s="44"/>
      <c r="N989" s="44"/>
      <c r="O989" s="44"/>
      <c r="P989" s="44"/>
      <c r="Q989" s="44"/>
      <c r="R989" s="44"/>
      <c r="S989" s="44"/>
      <c r="T989" s="44"/>
      <c r="U989" s="44"/>
      <c r="V989" s="44"/>
      <c r="W989" s="44"/>
      <c r="X989" s="44"/>
      <c r="Y989" s="44"/>
      <c r="Z989" s="44"/>
      <c r="AA989" s="44"/>
      <c r="AB989" s="44"/>
    </row>
    <row r="990">
      <c r="A990" s="51"/>
      <c r="B990" s="43"/>
      <c r="C990" s="74"/>
      <c r="D990" s="75"/>
      <c r="E990" s="76"/>
      <c r="F990" s="76"/>
      <c r="G990" s="76"/>
      <c r="H990" s="76"/>
      <c r="I990" s="76"/>
      <c r="J990" s="43"/>
      <c r="K990" s="44"/>
      <c r="L990" s="44"/>
      <c r="M990" s="44"/>
      <c r="N990" s="44"/>
      <c r="O990" s="44"/>
      <c r="P990" s="44"/>
      <c r="Q990" s="44"/>
      <c r="R990" s="44"/>
      <c r="S990" s="44"/>
      <c r="T990" s="44"/>
      <c r="U990" s="44"/>
      <c r="V990" s="44"/>
      <c r="W990" s="44"/>
      <c r="X990" s="44"/>
      <c r="Y990" s="44"/>
      <c r="Z990" s="44"/>
      <c r="AA990" s="44"/>
      <c r="AB990" s="44"/>
    </row>
    <row r="991">
      <c r="A991" s="51"/>
      <c r="B991" s="43"/>
      <c r="C991" s="74"/>
      <c r="D991" s="75"/>
      <c r="E991" s="76"/>
      <c r="F991" s="76"/>
      <c r="G991" s="76"/>
      <c r="H991" s="76"/>
      <c r="I991" s="76"/>
      <c r="J991" s="43"/>
      <c r="K991" s="44"/>
      <c r="L991" s="44"/>
      <c r="M991" s="44"/>
      <c r="N991" s="44"/>
      <c r="O991" s="44"/>
      <c r="P991" s="44"/>
      <c r="Q991" s="44"/>
      <c r="R991" s="44"/>
      <c r="S991" s="44"/>
      <c r="T991" s="44"/>
      <c r="U991" s="44"/>
      <c r="V991" s="44"/>
      <c r="W991" s="44"/>
      <c r="X991" s="44"/>
      <c r="Y991" s="44"/>
      <c r="Z991" s="44"/>
      <c r="AA991" s="44"/>
      <c r="AB991" s="44"/>
    </row>
    <row r="992">
      <c r="A992" s="51"/>
      <c r="B992" s="43"/>
      <c r="C992" s="74"/>
      <c r="D992" s="75"/>
      <c r="E992" s="76"/>
      <c r="F992" s="76"/>
      <c r="G992" s="76"/>
      <c r="H992" s="76"/>
      <c r="I992" s="76"/>
      <c r="J992" s="43"/>
      <c r="K992" s="44"/>
      <c r="L992" s="44"/>
      <c r="M992" s="44"/>
      <c r="N992" s="44"/>
      <c r="O992" s="44"/>
      <c r="P992" s="44"/>
      <c r="Q992" s="44"/>
      <c r="R992" s="44"/>
      <c r="S992" s="44"/>
      <c r="T992" s="44"/>
      <c r="U992" s="44"/>
      <c r="V992" s="44"/>
      <c r="W992" s="44"/>
      <c r="X992" s="44"/>
      <c r="Y992" s="44"/>
      <c r="Z992" s="44"/>
      <c r="AA992" s="44"/>
      <c r="AB992" s="44"/>
    </row>
    <row r="993">
      <c r="A993" s="51"/>
      <c r="B993" s="43"/>
      <c r="C993" s="74"/>
      <c r="D993" s="75"/>
      <c r="E993" s="76"/>
      <c r="F993" s="76"/>
      <c r="G993" s="76"/>
      <c r="H993" s="76"/>
      <c r="I993" s="76"/>
      <c r="J993" s="43"/>
      <c r="K993" s="44"/>
      <c r="L993" s="44"/>
      <c r="M993" s="44"/>
      <c r="N993" s="44"/>
      <c r="O993" s="44"/>
      <c r="P993" s="44"/>
      <c r="Q993" s="44"/>
      <c r="R993" s="44"/>
      <c r="S993" s="44"/>
      <c r="T993" s="44"/>
      <c r="U993" s="44"/>
      <c r="V993" s="44"/>
      <c r="W993" s="44"/>
      <c r="X993" s="44"/>
      <c r="Y993" s="44"/>
      <c r="Z993" s="44"/>
      <c r="AA993" s="44"/>
      <c r="AB993" s="44"/>
    </row>
    <row r="994">
      <c r="A994" s="51"/>
      <c r="B994" s="43"/>
      <c r="C994" s="74"/>
      <c r="D994" s="75"/>
      <c r="E994" s="76"/>
      <c r="F994" s="76"/>
      <c r="G994" s="76"/>
      <c r="H994" s="76"/>
      <c r="I994" s="76"/>
      <c r="J994" s="43"/>
      <c r="K994" s="44"/>
      <c r="L994" s="44"/>
      <c r="M994" s="44"/>
      <c r="N994" s="44"/>
      <c r="O994" s="44"/>
      <c r="P994" s="44"/>
      <c r="Q994" s="44"/>
      <c r="R994" s="44"/>
      <c r="S994" s="44"/>
      <c r="T994" s="44"/>
      <c r="U994" s="44"/>
      <c r="V994" s="44"/>
      <c r="W994" s="44"/>
      <c r="X994" s="44"/>
      <c r="Y994" s="44"/>
      <c r="Z994" s="44"/>
      <c r="AA994" s="44"/>
      <c r="AB994" s="44"/>
    </row>
    <row r="995">
      <c r="A995" s="51"/>
      <c r="B995" s="43"/>
      <c r="C995" s="74"/>
      <c r="D995" s="75"/>
      <c r="E995" s="76"/>
      <c r="F995" s="76"/>
      <c r="G995" s="76"/>
      <c r="H995" s="76"/>
      <c r="I995" s="76"/>
      <c r="J995" s="43"/>
      <c r="K995" s="44"/>
      <c r="L995" s="44"/>
      <c r="M995" s="44"/>
      <c r="N995" s="44"/>
      <c r="O995" s="44"/>
      <c r="P995" s="44"/>
      <c r="Q995" s="44"/>
      <c r="R995" s="44"/>
      <c r="S995" s="44"/>
      <c r="T995" s="44"/>
      <c r="U995" s="44"/>
      <c r="V995" s="44"/>
      <c r="W995" s="44"/>
      <c r="X995" s="44"/>
      <c r="Y995" s="44"/>
      <c r="Z995" s="44"/>
      <c r="AA995" s="44"/>
      <c r="AB995" s="44"/>
    </row>
    <row r="996">
      <c r="A996" s="51"/>
      <c r="B996" s="43"/>
      <c r="C996" s="74"/>
      <c r="D996" s="75"/>
      <c r="E996" s="76"/>
      <c r="F996" s="76"/>
      <c r="G996" s="76"/>
      <c r="H996" s="76"/>
      <c r="I996" s="76"/>
      <c r="J996" s="43"/>
      <c r="K996" s="44"/>
      <c r="L996" s="44"/>
      <c r="M996" s="44"/>
      <c r="N996" s="44"/>
      <c r="O996" s="44"/>
      <c r="P996" s="44"/>
      <c r="Q996" s="44"/>
      <c r="R996" s="44"/>
      <c r="S996" s="44"/>
      <c r="T996" s="44"/>
      <c r="U996" s="44"/>
      <c r="V996" s="44"/>
      <c r="W996" s="44"/>
      <c r="X996" s="44"/>
      <c r="Y996" s="44"/>
      <c r="Z996" s="44"/>
      <c r="AA996" s="44"/>
      <c r="AB996" s="44"/>
    </row>
    <row r="997">
      <c r="A997" s="51"/>
      <c r="B997" s="43"/>
      <c r="C997" s="74"/>
      <c r="D997" s="75"/>
      <c r="E997" s="76"/>
      <c r="F997" s="76"/>
      <c r="G997" s="76"/>
      <c r="H997" s="76"/>
      <c r="I997" s="76"/>
      <c r="J997" s="43"/>
      <c r="K997" s="44"/>
      <c r="L997" s="44"/>
      <c r="M997" s="44"/>
      <c r="N997" s="44"/>
      <c r="O997" s="44"/>
      <c r="P997" s="44"/>
      <c r="Q997" s="44"/>
      <c r="R997" s="44"/>
      <c r="S997" s="44"/>
      <c r="T997" s="44"/>
      <c r="U997" s="44"/>
      <c r="V997" s="44"/>
      <c r="W997" s="44"/>
      <c r="X997" s="44"/>
      <c r="Y997" s="44"/>
      <c r="Z997" s="44"/>
      <c r="AA997" s="44"/>
      <c r="AB997" s="44"/>
    </row>
    <row r="998">
      <c r="A998" s="51"/>
      <c r="B998" s="43"/>
      <c r="C998" s="74"/>
      <c r="D998" s="75"/>
      <c r="E998" s="76"/>
      <c r="F998" s="76"/>
      <c r="G998" s="76"/>
      <c r="H998" s="76"/>
      <c r="I998" s="76"/>
      <c r="J998" s="43"/>
      <c r="K998" s="44"/>
      <c r="L998" s="44"/>
      <c r="M998" s="44"/>
      <c r="N998" s="44"/>
      <c r="O998" s="44"/>
      <c r="P998" s="44"/>
      <c r="Q998" s="44"/>
      <c r="R998" s="44"/>
      <c r="S998" s="44"/>
      <c r="T998" s="44"/>
      <c r="U998" s="44"/>
      <c r="V998" s="44"/>
      <c r="W998" s="44"/>
      <c r="X998" s="44"/>
      <c r="Y998" s="44"/>
      <c r="Z998" s="44"/>
      <c r="AA998" s="44"/>
      <c r="AB998" s="44"/>
    </row>
    <row r="999">
      <c r="A999" s="51"/>
      <c r="B999" s="43"/>
      <c r="C999" s="76"/>
      <c r="D999" s="76"/>
      <c r="E999" s="76"/>
      <c r="F999" s="76"/>
      <c r="G999" s="76"/>
      <c r="H999" s="76"/>
      <c r="I999" s="76"/>
      <c r="J999" s="43"/>
      <c r="K999" s="44"/>
      <c r="L999" s="44"/>
      <c r="M999" s="44"/>
      <c r="N999" s="44"/>
      <c r="O999" s="44"/>
      <c r="P999" s="44"/>
      <c r="Q999" s="44"/>
      <c r="R999" s="44"/>
      <c r="S999" s="44"/>
      <c r="T999" s="44"/>
      <c r="U999" s="44"/>
      <c r="V999" s="44"/>
      <c r="W999" s="44"/>
      <c r="X999" s="44"/>
      <c r="Y999" s="44"/>
      <c r="Z999" s="44"/>
      <c r="AA999" s="44"/>
      <c r="AB999" s="44"/>
    </row>
    <row r="1000">
      <c r="A1000" s="51"/>
      <c r="B1000" s="43"/>
      <c r="C1000" s="76"/>
      <c r="D1000" s="76"/>
      <c r="E1000" s="76"/>
      <c r="F1000" s="76"/>
      <c r="G1000" s="76"/>
      <c r="H1000" s="76"/>
      <c r="I1000" s="76"/>
      <c r="J1000" s="43"/>
      <c r="K1000" s="44"/>
      <c r="L1000" s="44"/>
      <c r="M1000" s="44"/>
      <c r="N1000" s="44"/>
      <c r="O1000" s="44"/>
      <c r="P1000" s="44"/>
      <c r="Q1000" s="44"/>
      <c r="R1000" s="44"/>
      <c r="S1000" s="44"/>
      <c r="T1000" s="44"/>
      <c r="U1000" s="44"/>
      <c r="V1000" s="44"/>
      <c r="W1000" s="44"/>
      <c r="X1000" s="44"/>
      <c r="Y1000" s="44"/>
      <c r="Z1000" s="44"/>
      <c r="AA1000" s="44"/>
      <c r="AB1000" s="44"/>
    </row>
    <row r="1001">
      <c r="A1001" s="51"/>
      <c r="B1001" s="43"/>
      <c r="C1001" s="76"/>
      <c r="D1001" s="76"/>
      <c r="E1001" s="76"/>
      <c r="F1001" s="76"/>
      <c r="G1001" s="76"/>
      <c r="H1001" s="76"/>
      <c r="I1001" s="76"/>
      <c r="J1001" s="43"/>
      <c r="K1001" s="44"/>
      <c r="L1001" s="44"/>
      <c r="M1001" s="44"/>
      <c r="N1001" s="44"/>
      <c r="O1001" s="44"/>
      <c r="P1001" s="44"/>
      <c r="Q1001" s="44"/>
      <c r="R1001" s="44"/>
      <c r="S1001" s="44"/>
      <c r="T1001" s="44"/>
      <c r="U1001" s="44"/>
      <c r="V1001" s="44"/>
      <c r="W1001" s="44"/>
      <c r="X1001" s="44"/>
      <c r="Y1001" s="44"/>
      <c r="Z1001" s="44"/>
      <c r="AA1001" s="44"/>
      <c r="AB1001" s="44"/>
    </row>
    <row r="1002">
      <c r="A1002" s="51"/>
      <c r="B1002" s="43"/>
      <c r="C1002" s="76"/>
      <c r="D1002" s="76"/>
      <c r="E1002" s="76"/>
      <c r="F1002" s="76"/>
      <c r="G1002" s="76"/>
      <c r="H1002" s="76"/>
      <c r="I1002" s="76"/>
      <c r="J1002" s="43"/>
      <c r="K1002" s="44"/>
      <c r="L1002" s="44"/>
      <c r="M1002" s="44"/>
      <c r="N1002" s="44"/>
      <c r="O1002" s="44"/>
      <c r="P1002" s="44"/>
      <c r="Q1002" s="44"/>
      <c r="R1002" s="44"/>
      <c r="S1002" s="44"/>
      <c r="T1002" s="44"/>
      <c r="U1002" s="44"/>
      <c r="V1002" s="44"/>
      <c r="W1002" s="44"/>
      <c r="X1002" s="44"/>
      <c r="Y1002" s="44"/>
      <c r="Z1002" s="44"/>
      <c r="AA1002" s="44"/>
      <c r="AB1002" s="44"/>
    </row>
    <row r="1003">
      <c r="A1003" s="51"/>
      <c r="B1003" s="43"/>
      <c r="C1003" s="76"/>
      <c r="D1003" s="76"/>
      <c r="E1003" s="76"/>
      <c r="F1003" s="76"/>
      <c r="G1003" s="76"/>
      <c r="H1003" s="76"/>
      <c r="I1003" s="76"/>
      <c r="J1003" s="43"/>
      <c r="K1003" s="44"/>
      <c r="L1003" s="44"/>
      <c r="M1003" s="44"/>
      <c r="N1003" s="44"/>
      <c r="O1003" s="44"/>
      <c r="P1003" s="44"/>
      <c r="Q1003" s="44"/>
      <c r="R1003" s="44"/>
      <c r="S1003" s="44"/>
      <c r="T1003" s="44"/>
      <c r="U1003" s="44"/>
      <c r="V1003" s="44"/>
      <c r="W1003" s="44"/>
      <c r="X1003" s="44"/>
      <c r="Y1003" s="44"/>
      <c r="Z1003" s="44"/>
      <c r="AA1003" s="44"/>
      <c r="AB1003" s="44"/>
    </row>
    <row r="1004">
      <c r="A1004" s="51"/>
      <c r="B1004" s="43"/>
      <c r="C1004" s="76"/>
      <c r="D1004" s="76"/>
      <c r="E1004" s="76"/>
      <c r="F1004" s="76"/>
      <c r="G1004" s="76"/>
      <c r="H1004" s="76"/>
      <c r="I1004" s="76"/>
      <c r="J1004" s="43"/>
      <c r="K1004" s="44"/>
      <c r="L1004" s="44"/>
      <c r="M1004" s="44"/>
      <c r="N1004" s="44"/>
      <c r="O1004" s="44"/>
      <c r="P1004" s="44"/>
      <c r="Q1004" s="44"/>
      <c r="R1004" s="44"/>
      <c r="S1004" s="44"/>
      <c r="T1004" s="44"/>
      <c r="U1004" s="44"/>
      <c r="V1004" s="44"/>
      <c r="W1004" s="44"/>
      <c r="X1004" s="44"/>
      <c r="Y1004" s="44"/>
      <c r="Z1004" s="44"/>
      <c r="AA1004" s="44"/>
      <c r="AB1004" s="44"/>
    </row>
    <row r="1005">
      <c r="A1005" s="51"/>
      <c r="B1005" s="43"/>
      <c r="C1005" s="76"/>
      <c r="D1005" s="76"/>
      <c r="E1005" s="76"/>
      <c r="F1005" s="76"/>
      <c r="G1005" s="76"/>
      <c r="H1005" s="76"/>
      <c r="I1005" s="76"/>
      <c r="J1005" s="43"/>
      <c r="K1005" s="44"/>
      <c r="L1005" s="44"/>
      <c r="M1005" s="44"/>
      <c r="N1005" s="44"/>
      <c r="O1005" s="44"/>
      <c r="P1005" s="44"/>
      <c r="Q1005" s="44"/>
      <c r="R1005" s="44"/>
      <c r="S1005" s="44"/>
      <c r="T1005" s="44"/>
      <c r="U1005" s="44"/>
      <c r="V1005" s="44"/>
      <c r="W1005" s="44"/>
      <c r="X1005" s="44"/>
      <c r="Y1005" s="44"/>
      <c r="Z1005" s="44"/>
      <c r="AA1005" s="44"/>
      <c r="AB1005" s="44"/>
    </row>
    <row r="1006">
      <c r="A1006" s="51"/>
      <c r="B1006" s="43"/>
      <c r="C1006" s="76"/>
      <c r="D1006" s="76"/>
      <c r="E1006" s="76"/>
      <c r="F1006" s="76"/>
      <c r="G1006" s="76"/>
      <c r="H1006" s="76"/>
      <c r="I1006" s="76"/>
      <c r="J1006" s="43"/>
      <c r="K1006" s="44"/>
      <c r="L1006" s="44"/>
      <c r="M1006" s="44"/>
      <c r="N1006" s="44"/>
      <c r="O1006" s="44"/>
      <c r="P1006" s="44"/>
      <c r="Q1006" s="44"/>
      <c r="R1006" s="44"/>
      <c r="S1006" s="44"/>
      <c r="T1006" s="44"/>
      <c r="U1006" s="44"/>
      <c r="V1006" s="44"/>
      <c r="W1006" s="44"/>
      <c r="X1006" s="44"/>
      <c r="Y1006" s="44"/>
      <c r="Z1006" s="44"/>
      <c r="AA1006" s="44"/>
      <c r="AB1006" s="44"/>
    </row>
    <row r="1007">
      <c r="A1007" s="51"/>
      <c r="B1007" s="43"/>
      <c r="C1007" s="76"/>
      <c r="D1007" s="76"/>
      <c r="E1007" s="76"/>
      <c r="F1007" s="76"/>
      <c r="G1007" s="76"/>
      <c r="H1007" s="76"/>
      <c r="I1007" s="76"/>
      <c r="J1007" s="43"/>
      <c r="K1007" s="44"/>
      <c r="L1007" s="44"/>
      <c r="M1007" s="44"/>
      <c r="N1007" s="44"/>
      <c r="O1007" s="44"/>
      <c r="P1007" s="44"/>
      <c r="Q1007" s="44"/>
      <c r="R1007" s="44"/>
      <c r="S1007" s="44"/>
      <c r="T1007" s="44"/>
      <c r="U1007" s="44"/>
      <c r="V1007" s="44"/>
      <c r="W1007" s="44"/>
      <c r="X1007" s="44"/>
      <c r="Y1007" s="44"/>
      <c r="Z1007" s="44"/>
      <c r="AA1007" s="44"/>
      <c r="AB1007" s="44"/>
    </row>
    <row r="1008">
      <c r="A1008" s="51"/>
      <c r="B1008" s="43"/>
      <c r="C1008" s="76"/>
      <c r="D1008" s="76"/>
      <c r="E1008" s="76"/>
      <c r="F1008" s="76"/>
      <c r="G1008" s="76"/>
      <c r="H1008" s="76"/>
      <c r="I1008" s="76"/>
      <c r="J1008" s="43"/>
      <c r="K1008" s="44"/>
      <c r="L1008" s="44"/>
      <c r="M1008" s="44"/>
      <c r="N1008" s="44"/>
      <c r="O1008" s="44"/>
      <c r="P1008" s="44"/>
      <c r="Q1008" s="44"/>
      <c r="R1008" s="44"/>
      <c r="S1008" s="44"/>
      <c r="T1008" s="44"/>
      <c r="U1008" s="44"/>
      <c r="V1008" s="44"/>
      <c r="W1008" s="44"/>
      <c r="X1008" s="44"/>
      <c r="Y1008" s="44"/>
      <c r="Z1008" s="44"/>
      <c r="AA1008" s="44"/>
      <c r="AB1008" s="44"/>
    </row>
  </sheetData>
  <mergeCells count="59">
    <mergeCell ref="C57:I57"/>
    <mergeCell ref="C58:I58"/>
    <mergeCell ref="C59:I59"/>
    <mergeCell ref="C50:I50"/>
    <mergeCell ref="C51:I51"/>
    <mergeCell ref="C52:I52"/>
    <mergeCell ref="C53:I53"/>
    <mergeCell ref="C54:I54"/>
    <mergeCell ref="C55:I55"/>
    <mergeCell ref="C56:I56"/>
    <mergeCell ref="C1:I1"/>
    <mergeCell ref="C2:I2"/>
    <mergeCell ref="C3:I3"/>
    <mergeCell ref="C4:F4"/>
    <mergeCell ref="G4:I4"/>
    <mergeCell ref="G5:I7"/>
    <mergeCell ref="C7:F7"/>
    <mergeCell ref="C8:I8"/>
    <mergeCell ref="C9:I9"/>
    <mergeCell ref="C10:I10"/>
    <mergeCell ref="C11:I11"/>
    <mergeCell ref="D12:I12"/>
    <mergeCell ref="D13:I13"/>
    <mergeCell ref="D14:I14"/>
    <mergeCell ref="D15:I15"/>
    <mergeCell ref="D16:I16"/>
    <mergeCell ref="D17:I17"/>
    <mergeCell ref="D18:I18"/>
    <mergeCell ref="D19:I19"/>
    <mergeCell ref="D20:I20"/>
    <mergeCell ref="D21:I21"/>
    <mergeCell ref="D22:I22"/>
    <mergeCell ref="D23:I23"/>
    <mergeCell ref="D24:I24"/>
    <mergeCell ref="C25:I25"/>
    <mergeCell ref="C26:I26"/>
    <mergeCell ref="C27:I27"/>
    <mergeCell ref="C28:I28"/>
    <mergeCell ref="C29:I29"/>
    <mergeCell ref="C30:I30"/>
    <mergeCell ref="C31:I31"/>
    <mergeCell ref="C32:I32"/>
    <mergeCell ref="C33:I33"/>
    <mergeCell ref="C34:I34"/>
    <mergeCell ref="C35:I35"/>
    <mergeCell ref="C36:I36"/>
    <mergeCell ref="C37:I37"/>
    <mergeCell ref="C38:I38"/>
    <mergeCell ref="C39:I39"/>
    <mergeCell ref="C40:I40"/>
    <mergeCell ref="C41:I41"/>
    <mergeCell ref="C42:I42"/>
    <mergeCell ref="D43:I43"/>
    <mergeCell ref="D44:I44"/>
    <mergeCell ref="D45:I45"/>
    <mergeCell ref="D46:I46"/>
    <mergeCell ref="D47:I47"/>
    <mergeCell ref="D48:I48"/>
    <mergeCell ref="D49:I49"/>
  </mergeCells>
  <hyperlinks>
    <hyperlink r:id="rId1" ref="G5"/>
    <hyperlink r:id="rId2" location="gid=654072444&amp;fvid=660758144" ref="C29"/>
    <hyperlink r:id="rId3" location="gid=654072444&amp;fvid=1957242540" ref="C30"/>
    <hyperlink r:id="rId4" location="gid=654072444&amp;fvid=1244206487" ref="C31"/>
    <hyperlink r:id="rId5" location="gid=654072444&amp;fvid=1262556" ref="C32"/>
    <hyperlink r:id="rId6" ref="C37"/>
    <hyperlink r:id="rId7" location="gid=107975758&amp;fvid=1989605583" ref="C52"/>
    <hyperlink r:id="rId8" location="gid=107975758&amp;fvid=838845020" ref="C53"/>
    <hyperlink r:id="rId9" ref="C56"/>
    <hyperlink r:id="rId10" ref="C59"/>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28.25"/>
    <col customWidth="1" min="2" max="2" width="46.88"/>
    <col customWidth="1" hidden="1" min="3" max="3" width="14.75"/>
    <col customWidth="1" min="4" max="4" width="63.13"/>
    <col customWidth="1" min="5" max="5" width="12.75"/>
    <col customWidth="1" min="6" max="6" width="9.0"/>
    <col customWidth="1" min="7" max="7" width="8.5"/>
    <col customWidth="1" min="8" max="8" width="4.75"/>
    <col customWidth="1" min="9" max="9" width="7.5"/>
    <col customWidth="1" min="10" max="10" width="15.5"/>
    <col customWidth="1" min="11" max="11" width="16.75"/>
    <col customWidth="1" min="12" max="12" width="117.5"/>
  </cols>
  <sheetData>
    <row r="1">
      <c r="A1" s="77" t="s">
        <v>13</v>
      </c>
      <c r="B1" s="77" t="s">
        <v>15</v>
      </c>
      <c r="C1" s="78" t="s">
        <v>17</v>
      </c>
      <c r="D1" s="77" t="s">
        <v>19</v>
      </c>
      <c r="E1" s="77" t="s">
        <v>21</v>
      </c>
      <c r="F1" s="77" t="s">
        <v>23</v>
      </c>
      <c r="G1" s="77" t="s">
        <v>25</v>
      </c>
      <c r="H1" s="77" t="s">
        <v>27</v>
      </c>
      <c r="I1" s="77" t="s">
        <v>29</v>
      </c>
      <c r="J1" s="77" t="s">
        <v>31</v>
      </c>
      <c r="K1" s="77" t="s">
        <v>33</v>
      </c>
      <c r="L1" s="77" t="s">
        <v>35</v>
      </c>
      <c r="M1" s="79"/>
      <c r="N1" s="79"/>
      <c r="O1" s="79"/>
      <c r="P1" s="79"/>
      <c r="Q1" s="79"/>
      <c r="R1" s="79"/>
      <c r="S1" s="79"/>
      <c r="T1" s="79"/>
      <c r="U1" s="79"/>
      <c r="V1" s="79"/>
      <c r="W1" s="79"/>
      <c r="X1" s="79"/>
      <c r="Y1" s="79"/>
    </row>
    <row r="2">
      <c r="A2" s="80" t="s">
        <v>61</v>
      </c>
      <c r="B2" s="81" t="str">
        <f t="shared" ref="B2:B3" si="1">HYPERLINK("https://www.youtube.com/channel/UCJ4XVrJuqKHbc9yF9oUFseg", "MEeeep More")</f>
        <v>MEeeep More</v>
      </c>
      <c r="C2" s="80" t="s">
        <v>62</v>
      </c>
      <c r="D2" s="81" t="str">
        <f>HYPERLINK("https://youtube.com/watch?v=cvORaIj9QWM", "au XR Door - 即玩 AR 帶你遊世界！現實版隨意門 - Staycation Flycation 另類選擇")</f>
        <v>au XR Door - 即玩 AR 帶你遊世界！現實版隨意門 - Staycation Flycation 另類選擇</v>
      </c>
      <c r="E2" s="82">
        <v>44124.0</v>
      </c>
      <c r="F2" s="80">
        <v>136.0</v>
      </c>
      <c r="G2" s="80" t="s">
        <v>63</v>
      </c>
      <c r="I2" s="80" t="s">
        <v>63</v>
      </c>
      <c r="J2" s="80">
        <v>371.0</v>
      </c>
      <c r="K2" s="80">
        <v>0.724609375</v>
      </c>
      <c r="L2" s="80" t="s">
        <v>64</v>
      </c>
    </row>
    <row r="3">
      <c r="A3" s="80" t="s">
        <v>61</v>
      </c>
      <c r="B3" s="81" t="str">
        <f t="shared" si="1"/>
        <v>MEeeep More</v>
      </c>
      <c r="C3" s="80" t="s">
        <v>65</v>
      </c>
      <c r="D3" s="81" t="str">
        <f>HYPERLINK("https://youtube.com/watch?v=AM-o74xhKg0", "[比用銀聯更平] 一App在手 日本購物額外7%折扣！　- 《食玩飛常遊》")</f>
        <v>[比用銀聯更平] 一App在手 日本購物額外7%折扣！　- 《食玩飛常遊》</v>
      </c>
      <c r="E3" s="82">
        <v>43542.0</v>
      </c>
      <c r="F3" s="80">
        <v>111.0</v>
      </c>
      <c r="G3" s="80" t="s">
        <v>63</v>
      </c>
      <c r="I3" s="80" t="s">
        <v>63</v>
      </c>
      <c r="J3" s="80">
        <v>340.0</v>
      </c>
      <c r="K3" s="80">
        <v>0.878552971576227</v>
      </c>
      <c r="L3" s="80" t="s">
        <v>66</v>
      </c>
    </row>
    <row r="4">
      <c r="A4" s="80" t="s">
        <v>67</v>
      </c>
      <c r="B4" s="81" t="str">
        <f>HYPERLINK("https://www.youtube.com/channel/UC7U6-j2DrKRIKXmPo4kE7YA", "雞WING")</f>
        <v>雞WING</v>
      </c>
      <c r="C4" s="80" t="s">
        <v>68</v>
      </c>
      <c r="D4" s="81" t="str">
        <f>HYPERLINK("https://youtube.com/watch?v=cwspYhZf5b0", "【Fun身日記】21  係屋企都可以有排玩！｜ Amilia")</f>
        <v>【Fun身日記】21  係屋企都可以有排玩！｜ Amilia</v>
      </c>
      <c r="E4" s="82">
        <v>44178.0</v>
      </c>
      <c r="F4" s="80">
        <v>1121.0</v>
      </c>
      <c r="G4" s="80" t="s">
        <v>63</v>
      </c>
      <c r="I4" s="80" t="s">
        <v>63</v>
      </c>
      <c r="J4" s="80">
        <v>3081.0</v>
      </c>
      <c r="K4" s="80">
        <v>0.919427036705461</v>
      </c>
      <c r="L4" s="80" t="s">
        <v>64</v>
      </c>
    </row>
    <row r="5">
      <c r="A5" s="80" t="s">
        <v>69</v>
      </c>
      <c r="B5" s="81" t="str">
        <f>HYPERLINK("https://www.youtube.com/channel/UCoVycxbCXEsd-mrP83EqVWQ", "馬米高 Michael MMG")</f>
        <v>馬米高 Michael MMG</v>
      </c>
      <c r="C5" s="80" t="s">
        <v>70</v>
      </c>
      <c r="D5" s="81" t="str">
        <f>HYPERLINK("https://youtube.com/watch?v=AOpHSdPpmag", "【香港政府人才】月薪$22萬副局長的英文")</f>
        <v>【香港政府人才】月薪$22萬副局長的英文</v>
      </c>
      <c r="E5" s="82">
        <v>43988.0</v>
      </c>
      <c r="F5" s="80">
        <v>223.0</v>
      </c>
      <c r="G5" s="80" t="s">
        <v>63</v>
      </c>
      <c r="I5" s="80" t="s">
        <v>63</v>
      </c>
      <c r="J5" s="80">
        <v>124.0</v>
      </c>
      <c r="K5" s="80">
        <v>0.62</v>
      </c>
      <c r="L5" s="80" t="s">
        <v>64</v>
      </c>
    </row>
    <row r="6">
      <c r="A6" s="80" t="s">
        <v>71</v>
      </c>
      <c r="B6" s="81" t="str">
        <f>HYPERLINK("https://www.youtube.com/channel/UCXTE-gQCetfrx_lC9yFM2aw", "arhoTV")</f>
        <v>arhoTV</v>
      </c>
      <c r="C6" s="80" t="s">
        <v>72</v>
      </c>
      <c r="D6" s="81" t="str">
        <f>HYPERLINK("https://youtube.com/watch?v=BBK6ioVe9og", "【日常】平時我D畫點畫？")</f>
        <v>【日常】平時我D畫點畫？</v>
      </c>
      <c r="E6" s="82">
        <v>42798.0</v>
      </c>
      <c r="F6" s="80">
        <v>167.0</v>
      </c>
      <c r="G6" s="80" t="s">
        <v>63</v>
      </c>
      <c r="H6" s="80" t="s">
        <v>63</v>
      </c>
      <c r="I6" s="80" t="s">
        <v>63</v>
      </c>
      <c r="J6" s="80">
        <v>1414.0</v>
      </c>
      <c r="K6" s="80">
        <v>0.917269906928645</v>
      </c>
      <c r="L6" s="80" t="s">
        <v>73</v>
      </c>
    </row>
    <row r="7">
      <c r="A7" s="80" t="s">
        <v>74</v>
      </c>
      <c r="B7" s="81" t="str">
        <f>HYPERLINK("https://www.youtube.com/channel/UCO_5XP-qd-udNxBlzzSzgvw", "Handline Fishing")</f>
        <v>Handline Fishing</v>
      </c>
      <c r="C7" s="80" t="s">
        <v>75</v>
      </c>
      <c r="D7" s="81" t="str">
        <f>HYPERLINK("https://youtube.com/watch?v=d-iV8XpjVZE", "#120 與師妹閒釣維港，交流! 交流!『香港釣魚 : 艇釣』維港 {粵語旁白+中英文字幕}")</f>
        <v>#120 與師妹閒釣維港，交流! 交流!『香港釣魚 : 艇釣』維港 {粵語旁白+中英文字幕}</v>
      </c>
      <c r="E7" s="82">
        <v>43987.0</v>
      </c>
      <c r="F7" s="80">
        <v>239.0</v>
      </c>
      <c r="G7" s="80" t="s">
        <v>63</v>
      </c>
      <c r="I7" s="80" t="s">
        <v>63</v>
      </c>
      <c r="J7" s="80">
        <v>823.0</v>
      </c>
      <c r="K7" s="80">
        <v>0.972813238770685</v>
      </c>
      <c r="L7" s="80" t="s">
        <v>76</v>
      </c>
    </row>
    <row r="8">
      <c r="A8" s="80" t="s">
        <v>61</v>
      </c>
      <c r="B8" s="81" t="str">
        <f>HYPERLINK("https://www.youtube.com/channel/UCJ4XVrJuqKHbc9yF9oUFseg", "MEeeep More")</f>
        <v>MEeeep More</v>
      </c>
      <c r="C8" s="80" t="s">
        <v>77</v>
      </c>
      <c r="D8" s="81" t="str">
        <f>HYPERLINK("https://youtube.com/watch?v=AV4Bbfq0JK4", "Garmin Venu SQ 開箱評測 全天侯健康體能運動偵測 支援最多室內外運動模式 高性價比智能手錶 venu sq garmin 佳明Venu smart watch 2021")</f>
        <v>Garmin Venu SQ 開箱評測 全天侯健康體能運動偵測 支援最多室內外運動模式 高性價比智能手錶 venu sq garmin 佳明Venu smart watch 2021</v>
      </c>
      <c r="E8" s="82">
        <v>44222.0</v>
      </c>
      <c r="F8" s="80">
        <v>205.0</v>
      </c>
      <c r="G8" s="80" t="s">
        <v>63</v>
      </c>
      <c r="I8" s="80" t="s">
        <v>63</v>
      </c>
      <c r="J8" s="80">
        <v>645.0</v>
      </c>
      <c r="K8" s="80">
        <v>0.82798459563543</v>
      </c>
      <c r="L8" s="80" t="s">
        <v>64</v>
      </c>
    </row>
    <row r="9">
      <c r="A9" s="80" t="s">
        <v>78</v>
      </c>
      <c r="B9" s="81" t="str">
        <f>HYPERLINK("https://www.youtube.com/channel/UCXnWjmQ8BDE0sDIeZLK5yJg", "點 Cook Guide")</f>
        <v>點 Cook Guide</v>
      </c>
      <c r="C9" s="80" t="s">
        <v>79</v>
      </c>
      <c r="D9" s="81" t="str">
        <f>HYPERLINK("https://youtube.com/watch?v=B-hXFYVmf7Q", "唔L係掛 瞓左無得睇 [東京逃學之旅]")</f>
        <v>唔L係掛 瞓左無得睇 [東京逃學之旅]</v>
      </c>
      <c r="E9" s="82">
        <v>42885.0</v>
      </c>
      <c r="F9" s="80">
        <v>649.0</v>
      </c>
      <c r="G9" s="80" t="s">
        <v>63</v>
      </c>
      <c r="H9" s="80" t="s">
        <v>63</v>
      </c>
      <c r="I9" s="80" t="s">
        <v>63</v>
      </c>
      <c r="J9" s="80">
        <v>1661.0</v>
      </c>
      <c r="K9" s="80">
        <v>0.963404255319149</v>
      </c>
      <c r="L9" s="80" t="s">
        <v>80</v>
      </c>
    </row>
    <row r="10">
      <c r="A10" s="80" t="s">
        <v>61</v>
      </c>
      <c r="B10" s="81" t="str">
        <f>HYPERLINK("https://www.youtube.com/channel/UCJ4XVrJuqKHbc9yF9oUFseg", "MEeeep More")</f>
        <v>MEeeep More</v>
      </c>
      <c r="C10" s="80" t="s">
        <v>81</v>
      </c>
      <c r="D10" s="81" t="str">
        <f>HYPERLINK("https://youtube.com/watch?v=d3FrcsH5wN0", "三星 Samsung Galaxy A52 5G 登場！四千有找 中階機王 四鏡拍攝 預載Snapchat AR濾鏡 ｜香港5G 2021新機評測 開箱 GalaxyA52 SamsungA52")</f>
        <v>三星 Samsung Galaxy A52 5G 登場！四千有找 中階機王 四鏡拍攝 預載Snapchat AR濾鏡 ｜香港5G 2021新機評測 開箱 GalaxyA52 SamsungA52</v>
      </c>
      <c r="E10" s="82">
        <v>44277.0</v>
      </c>
      <c r="F10" s="80">
        <v>198.0</v>
      </c>
      <c r="G10" s="80" t="s">
        <v>63</v>
      </c>
      <c r="I10" s="80" t="s">
        <v>63</v>
      </c>
      <c r="J10" s="80">
        <v>511.0</v>
      </c>
      <c r="K10" s="80">
        <v>0.736311239193083</v>
      </c>
      <c r="L10" s="80" t="s">
        <v>64</v>
      </c>
    </row>
    <row r="11">
      <c r="A11" s="80" t="s">
        <v>82</v>
      </c>
      <c r="B11" s="81" t="str">
        <f>HYPERLINK("https://www.youtube.com/channel/UC6C2hkbggXIgapf5jn_V2Dw", "SpongeMob 852")</f>
        <v>SpongeMob 852</v>
      </c>
      <c r="C11" s="80" t="s">
        <v>83</v>
      </c>
      <c r="D11" s="81" t="str">
        <f>HYPERLINK("https://youtube.com/watch?v=AWYZty41Q-g", "SpongeMob - ""WORK 工"" Cypher, Novel Flash X Para-T X Teddy Beer X Lay-zG")</f>
        <v>SpongeMob - "WORK 工" Cypher, Novel Flash X Para-T X Teddy Beer X Lay-zG</v>
      </c>
      <c r="E11" s="82">
        <v>44063.0</v>
      </c>
      <c r="F11" s="80">
        <v>200.0</v>
      </c>
      <c r="G11" s="80" t="s">
        <v>63</v>
      </c>
      <c r="I11" s="80" t="s">
        <v>63</v>
      </c>
      <c r="J11" s="80">
        <v>696.0</v>
      </c>
      <c r="K11" s="80">
        <v>0.415522388059701</v>
      </c>
      <c r="L11" s="80" t="s">
        <v>64</v>
      </c>
    </row>
    <row r="12">
      <c r="A12" s="80" t="s">
        <v>84</v>
      </c>
      <c r="B12" s="81" t="str">
        <f>HYPERLINK("https://www.youtube.com/channel/UCs6fW24aVjefTsognevmDnA", "PakTil 拍跳")</f>
        <v>PakTil 拍跳</v>
      </c>
      <c r="C12" s="80" t="s">
        <v>85</v>
      </c>
      <c r="D12" s="81" t="str">
        <f>HYPERLINK("https://youtube.com/watch?v=5OxAfb9VYd4", "中佬失戀學打拳（第一堂）｜我要退錢")</f>
        <v>中佬失戀學打拳（第一堂）｜我要退錢</v>
      </c>
      <c r="E12" s="82">
        <v>44075.0</v>
      </c>
      <c r="F12" s="80">
        <v>389.0</v>
      </c>
      <c r="G12" s="80" t="s">
        <v>63</v>
      </c>
      <c r="H12" s="80" t="s">
        <v>63</v>
      </c>
      <c r="I12" s="80" t="s">
        <v>63</v>
      </c>
      <c r="J12" s="80">
        <v>744.0</v>
      </c>
      <c r="K12" s="80">
        <v>1.0</v>
      </c>
      <c r="L12" s="80" t="s">
        <v>86</v>
      </c>
    </row>
    <row r="13">
      <c r="A13" s="80" t="s">
        <v>74</v>
      </c>
      <c r="B13" s="81" t="str">
        <f>HYPERLINK("https://www.youtube.com/channel/UCO_5XP-qd-udNxBlzzSzgvw", "Handline Fishing")</f>
        <v>Handline Fishing</v>
      </c>
      <c r="C13" s="80" t="s">
        <v>87</v>
      </c>
      <c r="D13" s="81" t="str">
        <f>HYPERLINK("https://youtube.com/watch?v=d4g0HkwBgS8", "#250 第一水花䱛? 海市蜃樓? | 金勝 | 香港釣魚 | 艇釣 | 青衣 {粵語旁白+中英文字幕}")</f>
        <v>#250 第一水花䱛? 海市蜃樓? | 金勝 | 香港釣魚 | 艇釣 | 青衣 {粵語旁白+中英文字幕}</v>
      </c>
      <c r="E13" s="82">
        <v>44508.0</v>
      </c>
      <c r="F13" s="80">
        <v>438.0</v>
      </c>
      <c r="G13" s="80" t="s">
        <v>63</v>
      </c>
      <c r="H13" s="80" t="s">
        <v>63</v>
      </c>
      <c r="I13" s="80" t="s">
        <v>63</v>
      </c>
      <c r="J13" s="80">
        <v>355.0</v>
      </c>
      <c r="K13" s="80">
        <v>0.944148936170212</v>
      </c>
      <c r="L13" s="80" t="s">
        <v>88</v>
      </c>
    </row>
    <row r="14">
      <c r="A14" s="80" t="s">
        <v>89</v>
      </c>
      <c r="B14" s="81" t="str">
        <f>HYPERLINK("https://www.youtube.com/channel/UClc7lRdOhLxh3orjosY1R7g", "三木大師")</f>
        <v>三木大師</v>
      </c>
      <c r="C14" s="80" t="s">
        <v>90</v>
      </c>
      <c r="D14" s="81" t="str">
        <f>HYPERLINK("https://youtube.com/watch?v=d4j9ZrJ-t_Y", "冥想| 10 MINS 冥想 - 原生家庭 | Meditation")</f>
        <v>冥想| 10 MINS 冥想 - 原生家庭 | Meditation</v>
      </c>
      <c r="E14" s="82">
        <v>43967.0</v>
      </c>
      <c r="F14" s="80">
        <v>633.0</v>
      </c>
      <c r="G14" s="80" t="s">
        <v>63</v>
      </c>
      <c r="I14" s="80" t="s">
        <v>63</v>
      </c>
      <c r="J14" s="80">
        <v>903.0</v>
      </c>
      <c r="K14" s="80">
        <v>0.976216216216216</v>
      </c>
      <c r="L14" s="80" t="s">
        <v>91</v>
      </c>
    </row>
    <row r="15">
      <c r="A15" s="80" t="s">
        <v>61</v>
      </c>
      <c r="B15" s="81" t="str">
        <f>HYPERLINK("https://www.youtube.com/channel/UCJ4XVrJuqKHbc9yF9oUFseg", "MEeeep More")</f>
        <v>MEeeep More</v>
      </c>
      <c r="C15" s="80" t="s">
        <v>92</v>
      </c>
      <c r="D15" s="81" t="str">
        <f>HYPERLINK("https://youtube.com/watch?v=CzArrk2ed9o", "Smartone 全新「期間限定5G服務體驗數據計劃」唔駛$50就用得!? | 香港5G 5g 儲值卡 數碼通5g 5g prepaid sim 中移 csl. 1010")</f>
        <v>Smartone 全新「期間限定5G服務體驗數據計劃」唔駛$50就用得!? | 香港5G 5g 儲值卡 數碼通5g 5g prepaid sim 中移 csl. 1010</v>
      </c>
      <c r="E15" s="82">
        <v>44517.0</v>
      </c>
      <c r="F15" s="80">
        <v>132.0</v>
      </c>
      <c r="G15" s="80" t="s">
        <v>63</v>
      </c>
      <c r="I15" s="80" t="s">
        <v>63</v>
      </c>
      <c r="J15" s="80">
        <v>376.0</v>
      </c>
      <c r="K15" s="80">
        <v>0.786610878661087</v>
      </c>
      <c r="L15" s="80" t="s">
        <v>64</v>
      </c>
    </row>
    <row r="16">
      <c r="A16" s="80" t="s">
        <v>71</v>
      </c>
      <c r="B16" s="81" t="str">
        <f>HYPERLINK("https://www.youtube.com/channel/UCXTE-gQCetfrx_lC9yFM2aw", "arhoTV")</f>
        <v>arhoTV</v>
      </c>
      <c r="C16" s="80" t="s">
        <v>93</v>
      </c>
      <c r="D16" s="81" t="str">
        <f>HYPERLINK("https://youtube.com/watch?v=dAvGRc6khn0", "【日常】狐狸怪叫！亞悠嬌俏！【亞悠去旅行】")</f>
        <v>【日常】狐狸怪叫！亞悠嬌俏！【亞悠去旅行】</v>
      </c>
      <c r="E16" s="82">
        <v>42824.0</v>
      </c>
      <c r="F16" s="80">
        <v>172.0</v>
      </c>
      <c r="G16" s="80" t="s">
        <v>63</v>
      </c>
      <c r="H16" s="80" t="s">
        <v>63</v>
      </c>
      <c r="I16" s="80" t="s">
        <v>63</v>
      </c>
      <c r="J16" s="80">
        <v>1017.0</v>
      </c>
      <c r="K16" s="80">
        <v>0.848130841121495</v>
      </c>
      <c r="L16" s="80" t="s">
        <v>73</v>
      </c>
    </row>
    <row r="17">
      <c r="A17" s="80" t="s">
        <v>94</v>
      </c>
      <c r="B17" s="81" t="str">
        <f>HYPERLINK("https://www.youtube.com/channel/UCT_dMyI3pNselsmfR6FC8tQ", "PrideLab")</f>
        <v>PrideLab</v>
      </c>
      <c r="C17" s="80" t="s">
        <v>95</v>
      </c>
      <c r="D17" s="81" t="str">
        <f>HYPERLINK("https://youtube.com/watch?v=d64VjNl2CQQ", "Ta們都愛做運動")</f>
        <v>Ta們都愛做運動</v>
      </c>
      <c r="E17" s="82">
        <v>42678.0</v>
      </c>
      <c r="F17" s="80">
        <v>241.0</v>
      </c>
      <c r="G17" s="80" t="s">
        <v>63</v>
      </c>
      <c r="I17" s="80" t="s">
        <v>63</v>
      </c>
      <c r="J17" s="80">
        <v>578.0</v>
      </c>
      <c r="K17" s="80">
        <v>0.862686567164179</v>
      </c>
      <c r="L17" s="80" t="s">
        <v>64</v>
      </c>
    </row>
    <row r="18">
      <c r="A18" s="80" t="s">
        <v>96</v>
      </c>
      <c r="B18" s="81" t="str">
        <f>HYPERLINK("https://www.youtube.com/channel/UCGtyHJ-L_4RDIHe3XaLofQQ", "Anson Cheung")</f>
        <v>Anson Cheung</v>
      </c>
      <c r="C18" s="80" t="s">
        <v>97</v>
      </c>
      <c r="D18" s="81" t="str">
        <f>HYPERLINK("https://youtube.com/watch?v=AZwZOl3S6mw", "係我錯！我對Galaxy S21期望太高 - Samsung Galaxy S21 兩個月後評測")</f>
        <v>係我錯！我對Galaxy S21期望太高 - Samsung Galaxy S21 兩個月後評測</v>
      </c>
      <c r="E18" s="82">
        <v>44289.0</v>
      </c>
      <c r="F18" s="80">
        <v>659.0</v>
      </c>
      <c r="G18" s="80" t="s">
        <v>63</v>
      </c>
      <c r="I18" s="80" t="s">
        <v>63</v>
      </c>
      <c r="J18" s="80">
        <v>2093.0</v>
      </c>
      <c r="K18" s="80">
        <v>0.723220456116102</v>
      </c>
      <c r="L18" s="80" t="s">
        <v>64</v>
      </c>
    </row>
    <row r="19">
      <c r="A19" s="80" t="s">
        <v>98</v>
      </c>
      <c r="B19" s="81" t="str">
        <f>HYPERLINK("https://www.youtube.com/channel/UCrquuQB6v1Ued2xyRKZreGQ", "Stephen Leung ")</f>
        <v>Stephen Leung </v>
      </c>
      <c r="C19" s="80" t="s">
        <v>99</v>
      </c>
      <c r="D19" s="81" t="str">
        <f>HYPERLINK("https://youtube.com/watch?v=5QNxYvdhC0s", "【電子消費券 吃喝玩樂】無限時 火鍋放題 台式養生火鍋！任飲任食 鍋霸吃到飽台式養生火鍋 佐敦美食 | 香港好去處 放題 2021  大食い")</f>
        <v>【電子消費券 吃喝玩樂】無限時 火鍋放題 台式養生火鍋！任飲任食 鍋霸吃到飽台式養生火鍋 佐敦美食 | 香港好去處 放題 2021  大食い</v>
      </c>
      <c r="E19" s="82">
        <v>44395.0</v>
      </c>
      <c r="F19" s="80">
        <v>543.0</v>
      </c>
      <c r="G19" s="80" t="s">
        <v>63</v>
      </c>
      <c r="I19" s="80" t="s">
        <v>63</v>
      </c>
      <c r="J19" s="80">
        <v>1169.0</v>
      </c>
      <c r="K19" s="80">
        <v>0.965317919075144</v>
      </c>
      <c r="L19" s="80" t="s">
        <v>64</v>
      </c>
    </row>
    <row r="20">
      <c r="A20" s="80" t="s">
        <v>100</v>
      </c>
      <c r="B20" s="81" t="str">
        <f>HYPERLINK("https://www.youtube.com/channel/UCcmzcWlA96HTGm18VhgtVkg", "Book is Cat貓貓認真選書")</f>
        <v>Book is Cat貓貓認真選書</v>
      </c>
      <c r="C20" s="80" t="s">
        <v>101</v>
      </c>
      <c r="D20" s="81" t="str">
        <f>HYPERLINK("https://youtube.com/watch?v=dAh1md0Y9fk", "貓貓認真選書| 紮紮跳最啱睇呢本")</f>
        <v>貓貓認真選書| 紮紮跳最啱睇呢本</v>
      </c>
      <c r="E20" s="82">
        <v>43506.0</v>
      </c>
      <c r="F20" s="80">
        <v>357.0</v>
      </c>
      <c r="G20" s="80" t="s">
        <v>63</v>
      </c>
      <c r="I20" s="80" t="s">
        <v>63</v>
      </c>
      <c r="J20" s="80">
        <v>1069.0</v>
      </c>
      <c r="K20" s="80">
        <v>0.879111842105263</v>
      </c>
      <c r="L20" s="80" t="s">
        <v>102</v>
      </c>
    </row>
    <row r="21">
      <c r="A21" s="80" t="s">
        <v>103</v>
      </c>
      <c r="B21" s="81" t="str">
        <f>HYPERLINK("https://www.youtube.com/channel/UCTVpvSswSER2sq1USBTGfnw", "Brittany Chan")</f>
        <v>Brittany Chan</v>
      </c>
      <c r="C21" s="80" t="s">
        <v>104</v>
      </c>
      <c r="D21" s="81" t="str">
        <f>HYPERLINK("https://youtube.com/watch?v=dsr1_ri1F-c", "Getting my American driver's license + celebratory ramen 🚙 🍜")</f>
        <v>Getting my American driver's license + celebratory ramen 🚙 🍜</v>
      </c>
      <c r="E21" s="82">
        <v>44325.0</v>
      </c>
      <c r="F21" s="80">
        <v>461.0</v>
      </c>
      <c r="G21" s="80" t="s">
        <v>63</v>
      </c>
      <c r="I21" s="80" t="s">
        <v>63</v>
      </c>
      <c r="J21" s="80">
        <v>872.0</v>
      </c>
      <c r="K21" s="80">
        <v>0.811918063314711</v>
      </c>
      <c r="L21" s="80" t="s">
        <v>105</v>
      </c>
    </row>
    <row r="22">
      <c r="A22" s="80" t="s">
        <v>106</v>
      </c>
      <c r="B22" s="81" t="str">
        <f>HYPERLINK("https://www.youtube.com/channel/UC9jW6WpsAPgh-9HqDTvkFzg", "ValorGears")</f>
        <v>ValorGears</v>
      </c>
      <c r="C22" s="80" t="s">
        <v>107</v>
      </c>
      <c r="D22" s="81" t="str">
        <f>HYPERLINK("https://youtube.com/watch?v=5Su2Ezz9kGI", "KFC都出遊戲機？Plash Speed 5 正式上線！【每週遊戲花生】")</f>
        <v>KFC都出遊戲機？Plash Speed 5 正式上線！【每週遊戲花生】</v>
      </c>
      <c r="E22" s="82">
        <v>43999.0</v>
      </c>
      <c r="F22" s="80">
        <v>336.0</v>
      </c>
      <c r="G22" s="80" t="s">
        <v>63</v>
      </c>
      <c r="I22" s="80" t="s">
        <v>63</v>
      </c>
      <c r="J22" s="80">
        <v>1159.0</v>
      </c>
      <c r="K22" s="80">
        <v>0.78629579375848</v>
      </c>
      <c r="L22" s="80" t="s">
        <v>64</v>
      </c>
    </row>
    <row r="23">
      <c r="A23" s="80" t="s">
        <v>108</v>
      </c>
      <c r="B23" s="81" t="str">
        <f>HYPERLINK("https://www.youtube.com/channel/UCZL6QN6Xs-ZrKY3y6Pv6Emg", "廢青 - 日賺3000")</f>
        <v>廢青 - 日賺3000</v>
      </c>
      <c r="C23" s="80" t="s">
        <v>109</v>
      </c>
      <c r="D23" s="81" t="str">
        <f>HYPERLINK("https://youtube.com/watch?v=5UhQY_o8CTI", "買樓上車100% 必賺？🤔🤔㊙️  樓市教學 EP04【廢青 日賺3000】")</f>
        <v>買樓上車100% 必賺？🤔🤔㊙️  樓市教學 EP04【廢青 日賺3000】</v>
      </c>
      <c r="E23" s="82">
        <v>44091.0</v>
      </c>
      <c r="F23" s="80">
        <v>516.0</v>
      </c>
      <c r="G23" s="80" t="s">
        <v>63</v>
      </c>
      <c r="I23" s="80" t="s">
        <v>63</v>
      </c>
      <c r="J23" s="80">
        <v>1927.0</v>
      </c>
      <c r="K23" s="80">
        <v>0.924220623501199</v>
      </c>
      <c r="L23" s="80" t="s">
        <v>64</v>
      </c>
    </row>
    <row r="24">
      <c r="A24" s="80" t="s">
        <v>110</v>
      </c>
      <c r="B24" s="81" t="str">
        <f>HYPERLINK("https://www.youtube.com/channel/UCyVByegAj5lQHPmoJRj26vg", "GCxWing")</f>
        <v>GCxWing</v>
      </c>
      <c r="C24" s="80" t="s">
        <v>111</v>
      </c>
      <c r="D24" s="81" t="str">
        <f>HYPERLINK("https://youtube.com/watch?v=dBstGkEPM0o", "黑爆62抽....一隻都冇!!!?????【怪物彈珠】")</f>
        <v>黑爆62抽....一隻都冇!!!?????【怪物彈珠】</v>
      </c>
      <c r="E24" s="82">
        <v>42824.0</v>
      </c>
      <c r="F24" s="80">
        <v>697.0</v>
      </c>
      <c r="G24" s="80" t="s">
        <v>63</v>
      </c>
      <c r="I24" s="80" t="s">
        <v>63</v>
      </c>
      <c r="J24" s="80">
        <v>1250.0</v>
      </c>
      <c r="K24" s="80">
        <v>0.789639924194567</v>
      </c>
      <c r="L24" s="80" t="s">
        <v>64</v>
      </c>
    </row>
    <row r="25">
      <c r="A25" s="80" t="s">
        <v>112</v>
      </c>
      <c r="B25" s="81" t="str">
        <f>HYPERLINK("https://www.youtube.com/channel/UCW_n_gfIv4HhRqCk8EnRhJA", "Happy Kongner")</f>
        <v>Happy Kongner</v>
      </c>
      <c r="C25" s="80" t="s">
        <v>113</v>
      </c>
      <c r="D25" s="81" t="str">
        <f>HYPERLINK("https://youtube.com/watch?v=B58UkyEBLlM", "[廣東話講動漫] 態度決定一切 寵物小精靈日月動畫觀後感 公仔書與卡通片 第十一集 Comic &amp; Cartoon Episode 11 Feedback to Pokemon Sun&amp;Moon")</f>
        <v>[廣東話講動漫] 態度決定一切 寵物小精靈日月動畫觀後感 公仔書與卡通片 第十一集 Comic &amp; Cartoon Episode 11 Feedback to Pokemon Sun&amp;Moon</v>
      </c>
      <c r="E25" s="82">
        <v>43344.0</v>
      </c>
      <c r="F25" s="80">
        <v>630.0</v>
      </c>
      <c r="G25" s="80" t="s">
        <v>63</v>
      </c>
      <c r="I25" s="80" t="s">
        <v>63</v>
      </c>
      <c r="J25" s="80">
        <v>3273.0</v>
      </c>
      <c r="K25" s="80">
        <v>0.931947608200455</v>
      </c>
      <c r="L25" s="80" t="s">
        <v>64</v>
      </c>
    </row>
    <row r="26">
      <c r="A26" s="80" t="s">
        <v>71</v>
      </c>
      <c r="B26" s="81" t="str">
        <f>HYPERLINK("https://www.youtube.com/channel/UCXTE-gQCetfrx_lC9yFM2aw", "arhoTV")</f>
        <v>arhoTV</v>
      </c>
      <c r="C26" s="80" t="s">
        <v>114</v>
      </c>
      <c r="D26" s="81" t="str">
        <f>HYPERLINK("https://youtube.com/watch?v=Ab9Ovm6QY5o", "【日常】事隔多年！再度踏上舞台！【 週末衣櫥 表演 】")</f>
        <v>【日常】事隔多年！再度踏上舞台！【 週末衣櫥 表演 】</v>
      </c>
      <c r="E26" s="82">
        <v>42850.0</v>
      </c>
      <c r="F26" s="80">
        <v>230.0</v>
      </c>
      <c r="G26" s="80" t="s">
        <v>63</v>
      </c>
      <c r="H26" s="80" t="s">
        <v>63</v>
      </c>
      <c r="I26" s="80" t="s">
        <v>63</v>
      </c>
      <c r="J26" s="80">
        <v>653.0</v>
      </c>
      <c r="K26" s="80">
        <v>0.648648648648648</v>
      </c>
      <c r="L26" s="80" t="s">
        <v>86</v>
      </c>
    </row>
    <row r="27">
      <c r="A27" s="80" t="s">
        <v>74</v>
      </c>
      <c r="B27" s="81" t="str">
        <f>HYPERLINK("https://www.youtube.com/channel/UCO_5XP-qd-udNxBlzzSzgvw", "Handline Fishing")</f>
        <v>Handline Fishing</v>
      </c>
      <c r="C27" s="80" t="s">
        <v>115</v>
      </c>
      <c r="D27" s="81" t="str">
        <f>HYPERLINK("https://youtube.com/watch?v=dFNxTQ5D-iQ", "#247 開心夢幻樂園 | 香港釣魚 | 艇釣 | 青衣 {粵語旁白+中英文字幕}")</f>
        <v>#247 開心夢幻樂園 | 香港釣魚 | 艇釣 | 青衣 {粵語旁白+中英文字幕}</v>
      </c>
      <c r="E27" s="82">
        <v>44494.0</v>
      </c>
      <c r="F27" s="80">
        <v>696.0</v>
      </c>
      <c r="G27" s="80" t="s">
        <v>63</v>
      </c>
      <c r="H27" s="80" t="s">
        <v>63</v>
      </c>
      <c r="I27" s="80" t="s">
        <v>63</v>
      </c>
      <c r="J27" s="80">
        <v>559.0</v>
      </c>
      <c r="K27" s="80">
        <v>0.939495798319327</v>
      </c>
      <c r="L27" s="80" t="s">
        <v>88</v>
      </c>
    </row>
    <row r="28">
      <c r="A28" s="80" t="s">
        <v>98</v>
      </c>
      <c r="B28" s="81" t="str">
        <f>HYPERLINK("https://www.youtube.com/channel/UCrquuQB6v1Ued2xyRKZreGQ", "Stephen Leung ")</f>
        <v>Stephen Leung </v>
      </c>
      <c r="C28" s="80" t="s">
        <v>116</v>
      </c>
      <c r="D28" s="81" t="str">
        <f>HYPERLINK("https://youtube.com/watch?v=5Wl9kYg_210", "【移民資訊】移民 香港人移民申請急增！新興地方，愛爾蘭，葡萄牙，馬來西亞，加拿大。")</f>
        <v>【移民資訊】移民 香港人移民申請急增！新興地方，愛爾蘭，葡萄牙，馬來西亞，加拿大。</v>
      </c>
      <c r="E28" s="82">
        <v>43740.0</v>
      </c>
      <c r="F28" s="80">
        <v>884.0</v>
      </c>
      <c r="G28" s="80" t="s">
        <v>63</v>
      </c>
      <c r="I28" s="80" t="s">
        <v>63</v>
      </c>
      <c r="J28" s="80">
        <v>2589.0</v>
      </c>
      <c r="K28" s="80">
        <v>0.922008547008547</v>
      </c>
      <c r="L28" s="80" t="s">
        <v>64</v>
      </c>
    </row>
    <row r="29">
      <c r="A29" s="80" t="s">
        <v>61</v>
      </c>
      <c r="B29" s="81" t="str">
        <f>HYPERLINK("https://www.youtube.com/channel/UCJ4XVrJuqKHbc9yF9oUFseg", "MEeeep More")</f>
        <v>MEeeep More</v>
      </c>
      <c r="C29" s="80" t="s">
        <v>117</v>
      </c>
      <c r="D29" s="81" t="str">
        <f>HYPERLINK("https://youtube.com/watch?v=dFxZ5OP-dX4", "OPPO Reno5 5G 系列評測 | 多項AI攝影技術 | 天線包邊 5G接收更穩定 | oppo reno 5 Reno5 pro")</f>
        <v>OPPO Reno5 5G 系列評測 | 多項AI攝影技術 | 天線包邊 5G接收更穩定 | oppo reno 5 Reno5 pro</v>
      </c>
      <c r="E29" s="82">
        <v>44221.0</v>
      </c>
      <c r="F29" s="80">
        <v>185.0</v>
      </c>
      <c r="G29" s="80" t="s">
        <v>63</v>
      </c>
      <c r="I29" s="80" t="s">
        <v>63</v>
      </c>
      <c r="J29" s="80">
        <v>428.0</v>
      </c>
      <c r="K29" s="80">
        <v>0.642642642642642</v>
      </c>
      <c r="L29" s="80" t="s">
        <v>64</v>
      </c>
    </row>
    <row r="30">
      <c r="A30" s="80" t="s">
        <v>118</v>
      </c>
      <c r="B30" s="81" t="str">
        <f>HYPERLINK("https://www.youtube.com/channel/UCHrgHYFc5KShMJDZNsDZh4g", "BETHNI Y")</f>
        <v>BETHNI Y</v>
      </c>
      <c r="C30" s="80" t="s">
        <v>119</v>
      </c>
      <c r="D30" s="81" t="str">
        <f>HYPERLINK("https://youtube.com/watch?v=AeHlrFLbra0", "測試一天: LA MER 底妝系列 (粉底，遮瑕膏，碎粉) | Bethni Y")</f>
        <v>測試一天: LA MER 底妝系列 (粉底，遮瑕膏，碎粉) | Bethni Y</v>
      </c>
      <c r="E30" s="82">
        <v>42641.0</v>
      </c>
      <c r="F30" s="80">
        <v>1032.0</v>
      </c>
      <c r="G30" s="80" t="s">
        <v>63</v>
      </c>
      <c r="H30" s="80" t="s">
        <v>63</v>
      </c>
      <c r="I30" s="80" t="s">
        <v>63</v>
      </c>
      <c r="J30" s="80">
        <v>3508.0</v>
      </c>
      <c r="K30" s="80">
        <v>0.94225087295192</v>
      </c>
      <c r="L30" s="80" t="s">
        <v>120</v>
      </c>
    </row>
    <row r="31">
      <c r="A31" s="80" t="s">
        <v>121</v>
      </c>
      <c r="B31" s="81" t="str">
        <f>HYPERLINK("https://www.youtube.com/channel/UC-2hWXRgCg-o5Waz36Yt7BA", "Arm Channel TV")</f>
        <v>Arm Channel TV</v>
      </c>
      <c r="C31" s="80" t="s">
        <v>122</v>
      </c>
      <c r="D31" s="81" t="str">
        <f>HYPERLINK("https://youtube.com/watch?v=dIntTFPGtT4", "🇬🇧 我去英國開餐廳 | 拍拍囉柚去英國#05")</f>
        <v>🇬🇧 我去英國開餐廳 | 拍拍囉柚去英國#05</v>
      </c>
      <c r="E31" s="82">
        <v>44333.0</v>
      </c>
      <c r="F31" s="80">
        <v>622.0</v>
      </c>
      <c r="G31" s="80" t="s">
        <v>63</v>
      </c>
      <c r="I31" s="80" t="s">
        <v>63</v>
      </c>
      <c r="J31" s="80">
        <v>1770.0</v>
      </c>
      <c r="K31" s="80">
        <v>0.970927043335161</v>
      </c>
      <c r="L31" s="80" t="s">
        <v>64</v>
      </c>
    </row>
    <row r="32">
      <c r="A32" s="80" t="s">
        <v>61</v>
      </c>
      <c r="B32" s="81" t="str">
        <f>HYPERLINK("https://www.youtube.com/channel/UCJ4XVrJuqKHbc9yF9oUFseg", "MEeeep More")</f>
        <v>MEeeep More</v>
      </c>
      <c r="C32" s="80" t="s">
        <v>123</v>
      </c>
      <c r="D32" s="81" t="str">
        <f>HYPERLINK("https://youtube.com/watch?v=Ak1O8QO2POo", "小米手環6 開箱評測 | 今次終於全屏幕 5 ATM防水 運動健康全天候監察 都唔駛$300 | mi band 6 功能 手環 血壓")</f>
        <v>小米手環6 開箱評測 | 今次終於全屏幕 5 ATM防水 運動健康全天候監察 都唔駛$300 | mi band 6 功能 手環 血壓</v>
      </c>
      <c r="E32" s="82">
        <v>44368.0</v>
      </c>
      <c r="F32" s="80">
        <v>167.0</v>
      </c>
      <c r="G32" s="80" t="s">
        <v>63</v>
      </c>
      <c r="I32" s="80" t="s">
        <v>63</v>
      </c>
      <c r="J32" s="80">
        <v>524.0</v>
      </c>
      <c r="K32" s="80">
        <v>0.882154882154882</v>
      </c>
      <c r="L32" s="80" t="s">
        <v>64</v>
      </c>
    </row>
    <row r="33">
      <c r="A33" s="80" t="s">
        <v>124</v>
      </c>
      <c r="B33" s="81" t="str">
        <f>HYPERLINK("https://www.youtube.com/channel/UCg0vuSE0fBF_NvodyYhMcWg", "Wallace Studio HK")</f>
        <v>Wallace Studio HK</v>
      </c>
      <c r="C33" s="80" t="s">
        <v>125</v>
      </c>
      <c r="D33" s="81" t="str">
        <f>HYPERLINK("https://youtube.com/watch?v=5ZL8sqKQknU", "[效能測試] Gigabyte AORUS 17X 終極評測 Part 1 完整效能測試 |遊戲FPS| 3D 繪圖| 剪片  (vs AORUS 15P YD, vs Lenovo Legion7)")</f>
        <v>[效能測試] Gigabyte AORUS 17X 終極評測 Part 1 完整效能測試 |遊戲FPS| 3D 繪圖| 剪片  (vs AORUS 15P YD, vs Lenovo Legion7)</v>
      </c>
      <c r="E33" s="82">
        <v>44465.0</v>
      </c>
      <c r="F33" s="80">
        <v>724.0</v>
      </c>
      <c r="G33" s="80" t="s">
        <v>63</v>
      </c>
      <c r="H33" s="80" t="s">
        <v>63</v>
      </c>
      <c r="I33" s="80" t="s">
        <v>63</v>
      </c>
      <c r="J33" s="80">
        <v>2031.0</v>
      </c>
      <c r="K33" s="80">
        <v>0.591955698047216</v>
      </c>
      <c r="L33" s="80" t="s">
        <v>86</v>
      </c>
    </row>
    <row r="34">
      <c r="A34" s="80" t="s">
        <v>74</v>
      </c>
      <c r="B34" s="81" t="str">
        <f>HYPERLINK("https://www.youtube.com/channel/UCO_5XP-qd-udNxBlzzSzgvw", "Handline Fishing")</f>
        <v>Handline Fishing</v>
      </c>
      <c r="C34" s="80" t="s">
        <v>126</v>
      </c>
      <c r="D34" s="81" t="str">
        <f>HYPERLINK("https://youtube.com/watch?v=dMU3GdXTU3g", "#226 3個人陪2個人釣魚 | 根叔 | 香港釣魚 | 艇釣 | 維港【Insta360 ONE X2 R 踏青季大特惠】")</f>
        <v>#226 3個人陪2個人釣魚 | 根叔 | 香港釣魚 | 艇釣 | 維港【Insta360 ONE X2 R 踏青季大特惠】</v>
      </c>
      <c r="E34" s="82">
        <v>44403.0</v>
      </c>
      <c r="F34" s="80">
        <v>603.0</v>
      </c>
      <c r="G34" s="80" t="s">
        <v>63</v>
      </c>
      <c r="H34" s="80" t="s">
        <v>63</v>
      </c>
      <c r="I34" s="80" t="s">
        <v>63</v>
      </c>
      <c r="J34" s="80">
        <v>507.0</v>
      </c>
      <c r="K34" s="80">
        <v>0.958412098298676</v>
      </c>
      <c r="L34" s="80" t="s">
        <v>88</v>
      </c>
    </row>
    <row r="35">
      <c r="A35" s="80" t="s">
        <v>127</v>
      </c>
      <c r="B35" s="81" t="str">
        <f>HYPERLINK("https://www.youtube.com/channel/UC97oYK3XMf9RLtkc0lO8C-Q", "健康旦 HiEggo")</f>
        <v>健康旦 HiEggo</v>
      </c>
      <c r="C35" s="80" t="s">
        <v>128</v>
      </c>
      <c r="D35" s="81" t="str">
        <f>HYPERLINK("https://youtube.com/watch?v=5ZYjhJOQx6E", "Ben Sir被疫情逼到開學堂 阿旦大讚拍得住張小燕 玩音樂劇初體驗 - 鄭丹瑞《健康旦》Ben Sir （CC中文字幕）")</f>
        <v>Ben Sir被疫情逼到開學堂 阿旦大讚拍得住張小燕 玩音樂劇初體驗 - 鄭丹瑞《健康旦》Ben Sir （CC中文字幕）</v>
      </c>
      <c r="E35" s="82">
        <v>43959.0</v>
      </c>
      <c r="F35" s="80">
        <v>632.0</v>
      </c>
      <c r="G35" s="80" t="s">
        <v>63</v>
      </c>
      <c r="I35" s="80" t="s">
        <v>63</v>
      </c>
      <c r="J35" s="80">
        <v>2168.0</v>
      </c>
      <c r="K35" s="80">
        <v>0.939748591244039</v>
      </c>
      <c r="L35" s="80" t="s">
        <v>64</v>
      </c>
    </row>
    <row r="36">
      <c r="A36" s="80" t="s">
        <v>129</v>
      </c>
      <c r="B36" s="81" t="str">
        <f>HYPERLINK("https://www.youtube.com/channel/UCBbTnorwzva0ZIMGW0ttwVA", "阿豬 Ah Ju")</f>
        <v>阿豬 Ah Ju</v>
      </c>
      <c r="C36" s="80" t="s">
        <v>130</v>
      </c>
      <c r="D36" s="81" t="str">
        <f>HYPERLINK("https://youtube.com/watch?v=Am7nG_2cC6g", "香港人移民應該邊度開始？ [中文字幕]")</f>
        <v>香港人移民應該邊度開始？ [中文字幕]</v>
      </c>
      <c r="E36" s="82">
        <v>43984.0</v>
      </c>
      <c r="F36" s="80">
        <v>501.0</v>
      </c>
      <c r="G36" s="80" t="s">
        <v>63</v>
      </c>
      <c r="I36" s="80" t="s">
        <v>63</v>
      </c>
      <c r="J36" s="80">
        <v>2341.0</v>
      </c>
      <c r="K36" s="80">
        <v>0.88640666414237</v>
      </c>
      <c r="L36" s="80" t="s">
        <v>102</v>
      </c>
    </row>
    <row r="37">
      <c r="A37" s="80" t="s">
        <v>131</v>
      </c>
      <c r="B37" s="81" t="str">
        <f t="shared" ref="B37:B43" si="2">HYPERLINK("https://www.youtube.com/channel/UCUYkVCKAdb9W7bdYz4qknHA", "BillyGoOut")</f>
        <v>BillyGoOut</v>
      </c>
      <c r="C37" s="80" t="s">
        <v>132</v>
      </c>
      <c r="D37" s="81" t="str">
        <f>HYPERLINK("https://youtube.com/watch?v=5SVOIH9i8nE", "3號風球另類行街街丨捐血要食豬潤麵丨油深旺天光玩到天黑丨仁芝初暖在心糖水 4K")</f>
        <v>3號風球另類行街街丨捐血要食豬潤麵丨油深旺天光玩到天黑丨仁芝初暖在心糖水 4K</v>
      </c>
      <c r="E37" s="82">
        <v>44401.0</v>
      </c>
      <c r="F37" s="80">
        <v>978.0</v>
      </c>
      <c r="G37" s="80" t="s">
        <v>63</v>
      </c>
      <c r="I37" s="80" t="s">
        <v>63</v>
      </c>
      <c r="J37" s="80">
        <v>2292.0</v>
      </c>
      <c r="K37" s="80">
        <v>0.941273100616016</v>
      </c>
      <c r="L37" s="80" t="s">
        <v>102</v>
      </c>
    </row>
    <row r="38">
      <c r="A38" s="80" t="s">
        <v>131</v>
      </c>
      <c r="B38" s="81" t="str">
        <f t="shared" si="2"/>
        <v>BillyGoOut</v>
      </c>
      <c r="C38" s="80" t="s">
        <v>133</v>
      </c>
      <c r="D38" s="81" t="str">
        <f>HYPERLINK("https://youtube.com/watch?v=l8B1u3HoULQ", "露營通識科| 繩索繩結運用 | 營繩結｜雙套結 （中文字幕）")</f>
        <v>露營通識科| 繩索繩結運用 | 營繩結｜雙套結 （中文字幕）</v>
      </c>
      <c r="E38" s="82">
        <v>44173.0</v>
      </c>
      <c r="F38" s="80">
        <v>1038.0</v>
      </c>
      <c r="G38" s="80" t="s">
        <v>63</v>
      </c>
      <c r="I38" s="80" t="s">
        <v>63</v>
      </c>
      <c r="J38" s="80">
        <v>2577.0</v>
      </c>
      <c r="K38" s="80">
        <v>0.92597915918074</v>
      </c>
      <c r="L38" s="80" t="s">
        <v>64</v>
      </c>
    </row>
    <row r="39">
      <c r="A39" s="80" t="s">
        <v>131</v>
      </c>
      <c r="B39" s="81" t="str">
        <f t="shared" si="2"/>
        <v>BillyGoOut</v>
      </c>
      <c r="C39" s="80" t="s">
        <v>134</v>
      </c>
      <c r="D39" s="81" t="str">
        <f>HYPERLINK("https://youtube.com/watch?v=U3tEs4XAcL4", "嘉道理農場｜探索自然一日遊｜行山｜本地遊")</f>
        <v>嘉道理農場｜探索自然一日遊｜行山｜本地遊</v>
      </c>
      <c r="E39" s="82">
        <v>44151.0</v>
      </c>
      <c r="F39" s="80">
        <v>1570.0</v>
      </c>
      <c r="G39" s="80" t="s">
        <v>63</v>
      </c>
      <c r="I39" s="80" t="s">
        <v>63</v>
      </c>
      <c r="J39" s="80">
        <v>3587.0</v>
      </c>
      <c r="K39" s="80">
        <v>0.977917121046892</v>
      </c>
      <c r="L39" s="80" t="s">
        <v>135</v>
      </c>
    </row>
    <row r="40">
      <c r="A40" s="80" t="s">
        <v>131</v>
      </c>
      <c r="B40" s="81" t="str">
        <f t="shared" si="2"/>
        <v>BillyGoOut</v>
      </c>
      <c r="C40" s="80" t="s">
        <v>136</v>
      </c>
      <c r="D40" s="81" t="str">
        <f>HYPERLINK("https://youtube.com/watch?v=b3r4brK_LWQ", "(油燈用返石蠟油比較好)露營裝備｜又亂買嘢系列｜新玩具開箱｜TABi X BillyGoOut")</f>
        <v>(油燈用返石蠟油比較好)露營裝備｜又亂買嘢系列｜新玩具開箱｜TABi X BillyGoOut</v>
      </c>
      <c r="E40" s="82">
        <v>44147.0</v>
      </c>
      <c r="F40" s="80">
        <v>1043.0</v>
      </c>
      <c r="G40" s="80" t="s">
        <v>63</v>
      </c>
      <c r="I40" s="80" t="s">
        <v>63</v>
      </c>
      <c r="J40" s="80">
        <v>2554.0</v>
      </c>
      <c r="K40" s="80">
        <v>0.903111739745403</v>
      </c>
      <c r="L40" s="80" t="s">
        <v>135</v>
      </c>
    </row>
    <row r="41">
      <c r="A41" s="80" t="s">
        <v>131</v>
      </c>
      <c r="B41" s="81" t="str">
        <f t="shared" si="2"/>
        <v>BillyGoOut</v>
      </c>
      <c r="C41" s="80" t="s">
        <v>137</v>
      </c>
      <c r="D41" s="81" t="str">
        <f>HYPERLINK("https://youtube.com/watch?v=1F8s_cXFGs0", "Sup出海露營(2)｜荒島求生記｜重返文明？")</f>
        <v>Sup出海露營(2)｜荒島求生記｜重返文明？</v>
      </c>
      <c r="E41" s="82">
        <v>44144.0</v>
      </c>
      <c r="F41" s="80">
        <v>1124.0</v>
      </c>
      <c r="G41" s="80" t="s">
        <v>63</v>
      </c>
      <c r="I41" s="80" t="s">
        <v>63</v>
      </c>
      <c r="J41" s="80">
        <v>754.0</v>
      </c>
      <c r="K41" s="80">
        <v>0.882903981264637</v>
      </c>
      <c r="L41" s="80" t="s">
        <v>135</v>
      </c>
    </row>
    <row r="42">
      <c r="A42" s="80" t="s">
        <v>131</v>
      </c>
      <c r="B42" s="81" t="str">
        <f t="shared" si="2"/>
        <v>BillyGoOut</v>
      </c>
      <c r="C42" s="80" t="s">
        <v>138</v>
      </c>
      <c r="D42" s="81" t="str">
        <f>HYPERLINK("https://youtube.com/watch?v=TIiaPDdNF98", "Hola之日常｜四歲生日的一天｜咳咳要食藥")</f>
        <v>Hola之日常｜四歲生日的一天｜咳咳要食藥</v>
      </c>
      <c r="E42" s="82">
        <v>44140.0</v>
      </c>
      <c r="F42" s="80">
        <v>872.0</v>
      </c>
      <c r="G42" s="80" t="s">
        <v>63</v>
      </c>
      <c r="I42" s="80" t="s">
        <v>63</v>
      </c>
      <c r="J42" s="80">
        <v>483.0</v>
      </c>
      <c r="K42" s="80">
        <v>0.865591397849462</v>
      </c>
      <c r="L42" s="80" t="s">
        <v>135</v>
      </c>
    </row>
    <row r="43">
      <c r="A43" s="80" t="s">
        <v>131</v>
      </c>
      <c r="B43" s="81" t="str">
        <f t="shared" si="2"/>
        <v>BillyGoOut</v>
      </c>
      <c r="C43" s="80" t="s">
        <v>139</v>
      </c>
      <c r="D43" s="81" t="str">
        <f>HYPERLINK("https://youtube.com/watch?v=uI4Pw4QtgRM", "鑄鐵鍋好好用｜開鑊｜點樣保養｜Iwatani CB-ODX-JR｜煎牛扒")</f>
        <v>鑄鐵鍋好好用｜開鑊｜點樣保養｜Iwatani CB-ODX-JR｜煎牛扒</v>
      </c>
      <c r="E43" s="82">
        <v>44138.0</v>
      </c>
      <c r="F43" s="80">
        <v>937.0</v>
      </c>
      <c r="G43" s="80" t="s">
        <v>63</v>
      </c>
      <c r="I43" s="80" t="s">
        <v>63</v>
      </c>
      <c r="J43" s="80">
        <v>2194.0</v>
      </c>
      <c r="K43" s="80">
        <v>0.960595446584938</v>
      </c>
      <c r="L43" s="80" t="s">
        <v>135</v>
      </c>
    </row>
    <row r="44">
      <c r="A44" s="80" t="s">
        <v>140</v>
      </c>
      <c r="B44" s="81" t="str">
        <f>HYPERLINK("https://www.youtube.com/channel/UCHK0CZf9HEXs42qIO1GUouA", "TechiCardia")</f>
        <v>TechiCardia</v>
      </c>
      <c r="C44" s="80" t="s">
        <v>141</v>
      </c>
      <c r="D44" s="81" t="str">
        <f>HYPERLINK("https://youtube.com/watch?v=AqMoDn4z0FM", "你有機會買到的10000蚊RTX 3060打機電腦！2021 電腦義賣活動！又靚又勁嘅打機電腦，仲有得做善事！// 4K 【TechiCardia】[CC 廣東話字幕]")</f>
        <v>你有機會買到的10000蚊RTX 3060打機電腦！2021 電腦義賣活動！又靚又勁嘅打機電腦，仲有得做善事！// 4K 【TechiCardia】[CC 廣東話字幕]</v>
      </c>
      <c r="E44" s="82">
        <v>44377.0</v>
      </c>
      <c r="F44" s="80">
        <v>914.0</v>
      </c>
      <c r="G44" s="80" t="s">
        <v>63</v>
      </c>
      <c r="I44" s="80" t="s">
        <v>63</v>
      </c>
      <c r="J44" s="80">
        <v>3202.0</v>
      </c>
      <c r="K44" s="80">
        <v>0.76639540449976</v>
      </c>
      <c r="L44" s="80" t="s">
        <v>102</v>
      </c>
    </row>
    <row r="45">
      <c r="A45" s="80" t="s">
        <v>131</v>
      </c>
      <c r="B45" s="81" t="str">
        <f t="shared" ref="B45:B106" si="3">HYPERLINK("https://www.youtube.com/channel/UCUYkVCKAdb9W7bdYz4qknHA", "BillyGoOut")</f>
        <v>BillyGoOut</v>
      </c>
      <c r="C45" s="80" t="s">
        <v>142</v>
      </c>
      <c r="D45" s="81" t="str">
        <f>HYPERLINK("https://youtube.com/watch?v=a6ugJlZJpjc", "Sup出海露營(1)｜荒島求生記｜釣魚充飢？｜新玩具Braven BRV-MINI有折")</f>
        <v>Sup出海露營(1)｜荒島求生記｜釣魚充飢？｜新玩具Braven BRV-MINI有折</v>
      </c>
      <c r="E45" s="82">
        <v>44134.0</v>
      </c>
      <c r="F45" s="80">
        <v>1427.0</v>
      </c>
      <c r="G45" s="80" t="s">
        <v>63</v>
      </c>
      <c r="I45" s="80" t="s">
        <v>63</v>
      </c>
      <c r="J45" s="80">
        <v>2032.0</v>
      </c>
      <c r="K45" s="80">
        <v>0.920289855072463</v>
      </c>
      <c r="L45" s="80" t="s">
        <v>135</v>
      </c>
    </row>
    <row r="46">
      <c r="A46" s="80" t="s">
        <v>131</v>
      </c>
      <c r="B46" s="81" t="str">
        <f t="shared" si="3"/>
        <v>BillyGoOut</v>
      </c>
      <c r="C46" s="80" t="s">
        <v>143</v>
      </c>
      <c r="D46" s="81" t="str">
        <f>HYPERLINK("https://youtube.com/watch?v=ycy6vE2GjkI", "露營之後裝備善後｜又買新野｜好好用水袋 咖啡磨豆器｜舊嘅唔去新嘅唔來")</f>
        <v>露營之後裝備善後｜又買新野｜好好用水袋 咖啡磨豆器｜舊嘅唔去新嘅唔來</v>
      </c>
      <c r="E46" s="82">
        <v>44127.0</v>
      </c>
      <c r="F46" s="80">
        <v>1150.0</v>
      </c>
      <c r="G46" s="80" t="s">
        <v>63</v>
      </c>
      <c r="I46" s="80" t="s">
        <v>63</v>
      </c>
      <c r="J46" s="80">
        <v>2039.0</v>
      </c>
      <c r="K46" s="80">
        <v>0.932327389117512</v>
      </c>
      <c r="L46" s="80" t="s">
        <v>135</v>
      </c>
    </row>
    <row r="47">
      <c r="A47" s="80" t="s">
        <v>131</v>
      </c>
      <c r="B47" s="81" t="str">
        <f t="shared" si="3"/>
        <v>BillyGoOut</v>
      </c>
      <c r="C47" s="80" t="s">
        <v>144</v>
      </c>
      <c r="D47" s="81" t="str">
        <f>HYPERLINK("https://youtube.com/watch?v=nLh4hJ76c6s", "露營新手包｜要洗幾多錢｜有啲咩要買｜唔好貪平")</f>
        <v>露營新手包｜要洗幾多錢｜有啲咩要買｜唔好貪平</v>
      </c>
      <c r="E47" s="82">
        <v>44123.0</v>
      </c>
      <c r="F47" s="80">
        <v>689.0</v>
      </c>
      <c r="G47" s="80" t="s">
        <v>63</v>
      </c>
      <c r="I47" s="80" t="s">
        <v>63</v>
      </c>
      <c r="J47" s="80">
        <v>2153.0</v>
      </c>
      <c r="K47" s="80">
        <v>0.950132391879964</v>
      </c>
      <c r="L47" s="80" t="s">
        <v>135</v>
      </c>
    </row>
    <row r="48">
      <c r="A48" s="80" t="s">
        <v>131</v>
      </c>
      <c r="B48" s="81" t="str">
        <f t="shared" si="3"/>
        <v>BillyGoOut</v>
      </c>
      <c r="C48" s="80" t="s">
        <v>145</v>
      </c>
      <c r="D48" s="81" t="str">
        <f>HYPERLINK("https://youtube.com/watch?v=0a84cc3JvcU", "三日兩夜(II)｜2人3狗｜露營燒嘢食好危險｜去酒吧卡拉OK安全啲")</f>
        <v>三日兩夜(II)｜2人3狗｜露營燒嘢食好危險｜去酒吧卡拉OK安全啲</v>
      </c>
      <c r="E48" s="82">
        <v>44120.0</v>
      </c>
      <c r="F48" s="80">
        <v>1178.0</v>
      </c>
      <c r="G48" s="80" t="s">
        <v>63</v>
      </c>
      <c r="I48" s="80" t="s">
        <v>63</v>
      </c>
      <c r="J48" s="80">
        <v>879.0</v>
      </c>
      <c r="K48" s="80">
        <v>0.908996897621509</v>
      </c>
      <c r="L48" s="80" t="s">
        <v>135</v>
      </c>
    </row>
    <row r="49">
      <c r="A49" s="80" t="s">
        <v>131</v>
      </c>
      <c r="B49" s="81" t="str">
        <f t="shared" si="3"/>
        <v>BillyGoOut</v>
      </c>
      <c r="C49" s="80" t="s">
        <v>146</v>
      </c>
      <c r="D49" s="81" t="str">
        <f>HYPERLINK("https://youtube.com/watch?v=SIloMj6spKs", "露營用具大晒冷｜所有家當嘅介紹丨Camping gears review")</f>
        <v>露營用具大晒冷｜所有家當嘅介紹丨Camping gears review</v>
      </c>
      <c r="E49" s="82">
        <v>44116.0</v>
      </c>
      <c r="F49" s="80">
        <v>1032.0</v>
      </c>
      <c r="G49" s="80" t="s">
        <v>63</v>
      </c>
      <c r="I49" s="80" t="s">
        <v>63</v>
      </c>
      <c r="J49" s="80">
        <v>2927.0</v>
      </c>
      <c r="K49" s="80">
        <v>0.794948397609994</v>
      </c>
      <c r="L49" s="80" t="s">
        <v>102</v>
      </c>
    </row>
    <row r="50">
      <c r="A50" s="80" t="s">
        <v>131</v>
      </c>
      <c r="B50" s="81" t="str">
        <f t="shared" si="3"/>
        <v>BillyGoOut</v>
      </c>
      <c r="C50" s="80" t="s">
        <v>147</v>
      </c>
      <c r="D50" s="81" t="str">
        <f>HYPERLINK("https://youtube.com/watch?v=qhCVSdD4HBU", "三日兩夜｜2人3狗｜露營去｜唔知去邊度、唔知幾時去｜千祈唔好問")</f>
        <v>三日兩夜｜2人3狗｜露營去｜唔知去邊度、唔知幾時去｜千祈唔好問</v>
      </c>
      <c r="E50" s="82">
        <v>44113.0</v>
      </c>
      <c r="F50" s="80">
        <v>1352.0</v>
      </c>
      <c r="G50" s="80" t="s">
        <v>63</v>
      </c>
      <c r="I50" s="80" t="s">
        <v>63</v>
      </c>
      <c r="J50" s="80">
        <v>1564.0</v>
      </c>
      <c r="K50" s="80">
        <v>0.929845422116528</v>
      </c>
      <c r="L50" s="80" t="s">
        <v>135</v>
      </c>
    </row>
    <row r="51">
      <c r="A51" s="80" t="s">
        <v>131</v>
      </c>
      <c r="B51" s="81" t="str">
        <f t="shared" si="3"/>
        <v>BillyGoOut</v>
      </c>
      <c r="C51" s="80" t="s">
        <v>148</v>
      </c>
      <c r="D51" s="81" t="str">
        <f>HYPERLINK("https://youtube.com/watch?v=uzPAqU3D9Jo", "Vlog｜英昌新店｜買新玩具｜BBQ｜過中秋")</f>
        <v>Vlog｜英昌新店｜買新玩具｜BBQ｜過中秋</v>
      </c>
      <c r="E51" s="82">
        <v>44111.0</v>
      </c>
      <c r="F51" s="80">
        <v>612.0</v>
      </c>
      <c r="G51" s="80" t="s">
        <v>63</v>
      </c>
      <c r="I51" s="80" t="s">
        <v>63</v>
      </c>
      <c r="J51" s="80">
        <v>669.0</v>
      </c>
      <c r="K51" s="80">
        <v>0.922758620689655</v>
      </c>
      <c r="L51" s="80" t="s">
        <v>135</v>
      </c>
    </row>
    <row r="52">
      <c r="A52" s="80" t="s">
        <v>131</v>
      </c>
      <c r="B52" s="81" t="str">
        <f t="shared" si="3"/>
        <v>BillyGoOut</v>
      </c>
      <c r="C52" s="80" t="s">
        <v>149</v>
      </c>
      <c r="D52" s="81" t="str">
        <f>HYPERLINK("https://youtube.com/watch?v=fNtllf3zkCY", "捉住Hola的尾巴｜直立板Sup又出發喇｜新路線丨得返個公仔麵")</f>
        <v>捉住Hola的尾巴｜直立板Sup又出發喇｜新路線丨得返個公仔麵</v>
      </c>
      <c r="E52" s="82">
        <v>44105.0</v>
      </c>
      <c r="F52" s="80">
        <v>1406.0</v>
      </c>
      <c r="G52" s="80" t="s">
        <v>63</v>
      </c>
      <c r="I52" s="80" t="s">
        <v>63</v>
      </c>
      <c r="J52" s="80">
        <v>1316.0</v>
      </c>
      <c r="K52" s="80">
        <v>0.933333333333333</v>
      </c>
      <c r="L52" s="80" t="s">
        <v>135</v>
      </c>
    </row>
    <row r="53">
      <c r="A53" s="80" t="s">
        <v>131</v>
      </c>
      <c r="B53" s="81" t="str">
        <f t="shared" si="3"/>
        <v>BillyGoOut</v>
      </c>
      <c r="C53" s="80" t="s">
        <v>150</v>
      </c>
      <c r="D53" s="81" t="str">
        <f>HYPERLINK("https://youtube.com/watch?v=84mnQKjo4dg", "TENET 天能｜廣東話電影分析｜到底講乜嘢｜100%完全主觀")</f>
        <v>TENET 天能｜廣東話電影分析｜到底講乜嘢｜100%完全主觀</v>
      </c>
      <c r="E53" s="82">
        <v>44098.0</v>
      </c>
      <c r="F53" s="80">
        <v>761.0</v>
      </c>
      <c r="G53" s="80" t="s">
        <v>63</v>
      </c>
      <c r="I53" s="80" t="s">
        <v>63</v>
      </c>
      <c r="J53" s="80">
        <v>2410.0</v>
      </c>
      <c r="K53" s="80">
        <v>0.94994087504927</v>
      </c>
      <c r="L53" s="80" t="s">
        <v>135</v>
      </c>
    </row>
    <row r="54">
      <c r="A54" s="80" t="s">
        <v>131</v>
      </c>
      <c r="B54" s="81" t="str">
        <f t="shared" si="3"/>
        <v>BillyGoOut</v>
      </c>
      <c r="C54" s="80" t="s">
        <v>151</v>
      </c>
      <c r="D54" s="81" t="str">
        <f>HYPERLINK("https://youtube.com/watch?v=WQkYTgBOLa0", "天台煮飯仔｜三糰分立｜香港一直擁護同擁有｜")</f>
        <v>天台煮飯仔｜三糰分立｜香港一直擁護同擁有｜</v>
      </c>
      <c r="E54" s="82">
        <v>44096.0</v>
      </c>
      <c r="F54" s="80">
        <v>838.0</v>
      </c>
      <c r="G54" s="80" t="s">
        <v>63</v>
      </c>
      <c r="I54" s="80" t="s">
        <v>63</v>
      </c>
      <c r="J54" s="80">
        <v>2223.0</v>
      </c>
      <c r="K54" s="80">
        <v>0.957364341085271</v>
      </c>
      <c r="L54" s="80" t="s">
        <v>102</v>
      </c>
    </row>
    <row r="55">
      <c r="A55" s="80" t="s">
        <v>131</v>
      </c>
      <c r="B55" s="81" t="str">
        <f t="shared" si="3"/>
        <v>BillyGoOut</v>
      </c>
      <c r="C55" s="80" t="s">
        <v>152</v>
      </c>
      <c r="D55" s="81" t="str">
        <f>HYPERLINK("https://youtube.com/watch?v=lje0Rgzqc28", "新玩具玩爛咗｜蠔殼真係好鋒利｜充氣SUP修補")</f>
        <v>新玩具玩爛咗｜蠔殼真係好鋒利｜充氣SUP修補</v>
      </c>
      <c r="E55" s="82">
        <v>44090.0</v>
      </c>
      <c r="F55" s="80">
        <v>641.0</v>
      </c>
      <c r="G55" s="80" t="s">
        <v>63</v>
      </c>
      <c r="I55" s="80" t="s">
        <v>63</v>
      </c>
      <c r="J55" s="80">
        <v>1032.0</v>
      </c>
      <c r="K55" s="80">
        <v>0.951152073732718</v>
      </c>
      <c r="L55" s="80" t="s">
        <v>135</v>
      </c>
    </row>
    <row r="56">
      <c r="A56" s="80" t="s">
        <v>131</v>
      </c>
      <c r="B56" s="81" t="str">
        <f t="shared" si="3"/>
        <v>BillyGoOut</v>
      </c>
      <c r="C56" s="80" t="s">
        <v>153</v>
      </c>
      <c r="D56" s="81" t="str">
        <f>HYPERLINK("https://youtube.com/watch?v=HQCfS3TWje8", "捉緊Hola的尾巴｜我哋出發喇｜直立板Sup出海去｜冇人荒島上｜自家Pepper Lunch")</f>
        <v>捉緊Hola的尾巴｜我哋出發喇｜直立板Sup出海去｜冇人荒島上｜自家Pepper Lunch</v>
      </c>
      <c r="E56" s="82">
        <v>44084.0</v>
      </c>
      <c r="F56" s="80">
        <v>1386.0</v>
      </c>
      <c r="G56" s="80" t="s">
        <v>63</v>
      </c>
      <c r="I56" s="80" t="s">
        <v>63</v>
      </c>
      <c r="J56" s="80">
        <v>1601.0</v>
      </c>
      <c r="K56" s="80">
        <v>0.897421524663677</v>
      </c>
      <c r="L56" s="80" t="s">
        <v>135</v>
      </c>
    </row>
    <row r="57">
      <c r="A57" s="80" t="s">
        <v>131</v>
      </c>
      <c r="B57" s="81" t="str">
        <f t="shared" si="3"/>
        <v>BillyGoOut</v>
      </c>
      <c r="C57" s="80" t="s">
        <v>154</v>
      </c>
      <c r="D57" s="81" t="str">
        <f>HYPERLINK("https://youtube.com/watch?v=-qQnJmI-M_Q", "天台煮飯仔｜幸福の咖喱牛肉｜彼得包｜白雪公主特飲")</f>
        <v>天台煮飯仔｜幸福の咖喱牛肉｜彼得包｜白雪公主特飲</v>
      </c>
      <c r="E57" s="82">
        <v>44077.0</v>
      </c>
      <c r="F57" s="80">
        <v>975.0</v>
      </c>
      <c r="G57" s="80" t="s">
        <v>63</v>
      </c>
      <c r="I57" s="80" t="s">
        <v>63</v>
      </c>
      <c r="J57" s="80">
        <v>1828.0</v>
      </c>
      <c r="K57" s="80">
        <v>0.958071278825995</v>
      </c>
      <c r="L57" s="80" t="s">
        <v>135</v>
      </c>
    </row>
    <row r="58">
      <c r="A58" s="80" t="s">
        <v>131</v>
      </c>
      <c r="B58" s="81" t="str">
        <f t="shared" si="3"/>
        <v>BillyGoOut</v>
      </c>
      <c r="C58" s="80" t="s">
        <v>155</v>
      </c>
      <c r="D58" s="81" t="str">
        <f>HYPERLINK("https://youtube.com/watch?v=_bOahjuCqIs", "Hola新朋友仔""多多""｜兩個細路一齊玩餐飽")</f>
        <v>Hola新朋友仔"多多"｜兩個細路一齊玩餐飽</v>
      </c>
      <c r="E58" s="82">
        <v>44075.0</v>
      </c>
      <c r="F58" s="80">
        <v>627.0</v>
      </c>
      <c r="G58" s="80" t="s">
        <v>63</v>
      </c>
      <c r="I58" s="80" t="s">
        <v>63</v>
      </c>
      <c r="J58" s="80">
        <v>624.0</v>
      </c>
      <c r="K58" s="80">
        <v>0.881355932203389</v>
      </c>
      <c r="L58" s="80" t="s">
        <v>135</v>
      </c>
    </row>
    <row r="59">
      <c r="A59" s="80" t="s">
        <v>131</v>
      </c>
      <c r="B59" s="81" t="str">
        <f t="shared" si="3"/>
        <v>BillyGoOut</v>
      </c>
      <c r="C59" s="80" t="s">
        <v>156</v>
      </c>
      <c r="D59" s="81" t="str">
        <f>HYPERLINK("https://youtube.com/watch?v=qwQZnM8bOBQ", "假日嘆返吓｜早晨全餐｜自家製薯餅")</f>
        <v>假日嘆返吓｜早晨全餐｜自家製薯餅</v>
      </c>
      <c r="E59" s="82">
        <v>44071.0</v>
      </c>
      <c r="F59" s="80">
        <v>959.0</v>
      </c>
      <c r="G59" s="80" t="s">
        <v>63</v>
      </c>
      <c r="I59" s="80" t="s">
        <v>63</v>
      </c>
      <c r="J59" s="80">
        <v>1490.0</v>
      </c>
      <c r="K59" s="80">
        <v>0.91579594345421</v>
      </c>
      <c r="L59" s="80" t="s">
        <v>135</v>
      </c>
    </row>
    <row r="60">
      <c r="A60" s="80" t="s">
        <v>131</v>
      </c>
      <c r="B60" s="81" t="str">
        <f t="shared" si="3"/>
        <v>BillyGoOut</v>
      </c>
      <c r="C60" s="80" t="s">
        <v>157</v>
      </c>
      <c r="D60" s="81" t="str">
        <f>HYPERLINK("https://youtube.com/watch?v=lsCCSveANaI", "天台農莊｜少少哋規模種下野｜測試下")</f>
        <v>天台農莊｜少少哋規模種下野｜測試下</v>
      </c>
      <c r="E60" s="82">
        <v>44069.0</v>
      </c>
      <c r="F60" s="80">
        <v>637.0</v>
      </c>
      <c r="G60" s="80" t="s">
        <v>63</v>
      </c>
      <c r="I60" s="80" t="s">
        <v>63</v>
      </c>
      <c r="J60" s="80">
        <v>1231.0</v>
      </c>
      <c r="K60" s="80">
        <v>0.943295019157088</v>
      </c>
      <c r="L60" s="80" t="s">
        <v>135</v>
      </c>
    </row>
    <row r="61">
      <c r="A61" s="80" t="s">
        <v>131</v>
      </c>
      <c r="B61" s="81" t="str">
        <f t="shared" si="3"/>
        <v>BillyGoOut</v>
      </c>
      <c r="C61" s="80" t="s">
        <v>158</v>
      </c>
      <c r="D61" s="81" t="str">
        <f>HYPERLINK("https://youtube.com/watch?v=hLY2GbUrmns", "細佬佬登場｜最終改名揭盅｜三兄弟一齊玩一齊都要沖涼剪毛")</f>
        <v>細佬佬登場｜最終改名揭盅｜三兄弟一齊玩一齊都要沖涼剪毛</v>
      </c>
      <c r="E61" s="82">
        <v>44067.0</v>
      </c>
      <c r="F61" s="80">
        <v>677.0</v>
      </c>
      <c r="G61" s="80" t="s">
        <v>63</v>
      </c>
      <c r="I61" s="80" t="s">
        <v>63</v>
      </c>
      <c r="J61" s="80">
        <v>467.0</v>
      </c>
      <c r="K61" s="80">
        <v>0.813588850174216</v>
      </c>
      <c r="L61" s="80" t="s">
        <v>102</v>
      </c>
    </row>
    <row r="62">
      <c r="A62" s="80" t="s">
        <v>131</v>
      </c>
      <c r="B62" s="81" t="str">
        <f t="shared" si="3"/>
        <v>BillyGoOut</v>
      </c>
      <c r="C62" s="80" t="s">
        <v>159</v>
      </c>
      <c r="D62" s="81" t="str">
        <f>HYPERLINK("https://youtube.com/watch?v=H6Ju6HjRyFU", "宅在家｜挑戰下｜西班牙海鮮飯 Seafood Paella｜甜品Affogato｜")</f>
        <v>宅在家｜挑戰下｜西班牙海鮮飯 Seafood Paella｜甜品Affogato｜</v>
      </c>
      <c r="E62" s="82">
        <v>44064.0</v>
      </c>
      <c r="F62" s="80">
        <v>954.0</v>
      </c>
      <c r="G62" s="80" t="s">
        <v>63</v>
      </c>
      <c r="I62" s="80" t="s">
        <v>63</v>
      </c>
      <c r="J62" s="80">
        <v>1703.0</v>
      </c>
      <c r="K62" s="80">
        <v>0.935200439319055</v>
      </c>
      <c r="L62" s="80" t="s">
        <v>102</v>
      </c>
    </row>
    <row r="63">
      <c r="A63" s="80" t="s">
        <v>131</v>
      </c>
      <c r="B63" s="81" t="str">
        <f t="shared" si="3"/>
        <v>BillyGoOut</v>
      </c>
      <c r="C63" s="80" t="s">
        <v>160</v>
      </c>
      <c r="D63" s="81" t="str">
        <f>HYPERLINK("https://youtube.com/watch?v=Hh-zs1_hTNc", "沖涼之前玩到盡｜小小島探險記")</f>
        <v>沖涼之前玩到盡｜小小島探險記</v>
      </c>
      <c r="E63" s="82">
        <v>44062.0</v>
      </c>
      <c r="F63" s="80">
        <v>781.0</v>
      </c>
      <c r="G63" s="80" t="s">
        <v>63</v>
      </c>
      <c r="I63" s="80" t="s">
        <v>63</v>
      </c>
      <c r="J63" s="80">
        <v>242.0</v>
      </c>
      <c r="K63" s="80">
        <v>0.796052631578947</v>
      </c>
      <c r="L63" s="80" t="s">
        <v>102</v>
      </c>
    </row>
    <row r="64">
      <c r="A64" s="80" t="s">
        <v>131</v>
      </c>
      <c r="B64" s="81" t="str">
        <f t="shared" si="3"/>
        <v>BillyGoOut</v>
      </c>
      <c r="C64" s="80" t="s">
        <v>161</v>
      </c>
      <c r="D64" s="81" t="str">
        <f>HYPERLINK("https://youtube.com/watch?v=UK3ZZchAF-o", "宅在家｜泰式香辣雞扒飯｜夏日開胃食譜｜薄荷朱古力雪糕梳打")</f>
        <v>宅在家｜泰式香辣雞扒飯｜夏日開胃食譜｜薄荷朱古力雪糕梳打</v>
      </c>
      <c r="E64" s="82">
        <v>44057.0</v>
      </c>
      <c r="F64" s="80">
        <v>851.0</v>
      </c>
      <c r="G64" s="80" t="s">
        <v>63</v>
      </c>
      <c r="I64" s="80" t="s">
        <v>63</v>
      </c>
      <c r="J64" s="80">
        <v>1292.0</v>
      </c>
      <c r="K64" s="80">
        <v>0.945827232796486</v>
      </c>
      <c r="L64" s="80" t="s">
        <v>135</v>
      </c>
    </row>
    <row r="65">
      <c r="A65" s="80" t="s">
        <v>131</v>
      </c>
      <c r="B65" s="81" t="str">
        <f t="shared" si="3"/>
        <v>BillyGoOut</v>
      </c>
      <c r="C65" s="80" t="s">
        <v>162</v>
      </c>
      <c r="D65" s="81" t="str">
        <f>HYPERLINK("https://youtube.com/watch?v=ykweg7GNkhQ", "宅在家｜假日嘆返吓｜早晨全餐")</f>
        <v>宅在家｜假日嘆返吓｜早晨全餐</v>
      </c>
      <c r="E65" s="82">
        <v>44055.0</v>
      </c>
      <c r="F65" s="80">
        <v>882.0</v>
      </c>
      <c r="G65" s="80" t="s">
        <v>63</v>
      </c>
      <c r="I65" s="80" t="s">
        <v>63</v>
      </c>
      <c r="J65" s="80">
        <v>1341.0</v>
      </c>
      <c r="K65" s="80">
        <v>0.91286589516678</v>
      </c>
      <c r="L65" s="80" t="s">
        <v>102</v>
      </c>
    </row>
    <row r="66">
      <c r="A66" s="80" t="s">
        <v>131</v>
      </c>
      <c r="B66" s="81" t="str">
        <f t="shared" si="3"/>
        <v>BillyGoOut</v>
      </c>
      <c r="C66" s="80" t="s">
        <v>163</v>
      </c>
      <c r="D66" s="81" t="str">
        <f>HYPERLINK("https://youtube.com/watch?v=8GaYhrfEZ4c", "宅在家|Trangia 726一鑊過|香草雞燴飯")</f>
        <v>宅在家|Trangia 726一鑊過|香草雞燴飯</v>
      </c>
      <c r="E66" s="82">
        <v>44050.0</v>
      </c>
      <c r="F66" s="80">
        <v>1072.0</v>
      </c>
      <c r="G66" s="80" t="s">
        <v>63</v>
      </c>
      <c r="I66" s="80" t="s">
        <v>63</v>
      </c>
      <c r="J66" s="80">
        <v>1493.0</v>
      </c>
      <c r="K66" s="80">
        <v>0.929638854296388</v>
      </c>
      <c r="L66" s="80" t="s">
        <v>64</v>
      </c>
    </row>
    <row r="67">
      <c r="A67" s="80" t="s">
        <v>131</v>
      </c>
      <c r="B67" s="81" t="str">
        <f t="shared" si="3"/>
        <v>BillyGoOut</v>
      </c>
      <c r="C67" s="80" t="s">
        <v>164</v>
      </c>
      <c r="D67" s="81" t="str">
        <f>HYPERLINK("https://youtube.com/watch?v=I1Bm_BW1wXs", "Dji Mavic Air | 2020 依然係我最好嘅航拍機｜太耐冇放有啲生手")</f>
        <v>Dji Mavic Air | 2020 依然係我最好嘅航拍機｜太耐冇放有啲生手</v>
      </c>
      <c r="E67" s="82">
        <v>44047.0</v>
      </c>
      <c r="F67" s="80">
        <v>785.0</v>
      </c>
      <c r="G67" s="80" t="s">
        <v>63</v>
      </c>
      <c r="I67" s="80" t="s">
        <v>63</v>
      </c>
      <c r="J67" s="80">
        <v>1009.0</v>
      </c>
      <c r="K67" s="80">
        <v>0.859454855195911</v>
      </c>
      <c r="L67" s="80" t="s">
        <v>102</v>
      </c>
    </row>
    <row r="68">
      <c r="A68" s="80" t="s">
        <v>131</v>
      </c>
      <c r="B68" s="81" t="str">
        <f t="shared" si="3"/>
        <v>BillyGoOut</v>
      </c>
      <c r="C68" s="80" t="s">
        <v>165</v>
      </c>
      <c r="D68" s="81" t="str">
        <f>HYPERLINK("https://youtube.com/watch?v=L68qYFN2XiE", "煮飯仔製作特輯｜拍攝流程大公開丨剪片工具 Final Cut Pro X｜拍片分享")</f>
        <v>煮飯仔製作特輯｜拍攝流程大公開丨剪片工具 Final Cut Pro X｜拍片分享</v>
      </c>
      <c r="E68" s="82">
        <v>44044.0</v>
      </c>
      <c r="F68" s="80">
        <v>797.0</v>
      </c>
      <c r="G68" s="80" t="s">
        <v>63</v>
      </c>
      <c r="I68" s="80" t="s">
        <v>63</v>
      </c>
      <c r="J68" s="80">
        <v>1508.0</v>
      </c>
      <c r="K68" s="80">
        <v>0.808579088471849</v>
      </c>
      <c r="L68" s="80" t="s">
        <v>135</v>
      </c>
    </row>
    <row r="69">
      <c r="A69" s="80" t="s">
        <v>131</v>
      </c>
      <c r="B69" s="81" t="str">
        <f t="shared" si="3"/>
        <v>BillyGoOut</v>
      </c>
      <c r="C69" s="80" t="s">
        <v>166</v>
      </c>
      <c r="D69" s="81" t="str">
        <f>HYPERLINK("https://youtube.com/watch?v=mKMaaTSIZeU", "繼續宅在家｜牛肉炒烏冬｜超級簡易快手｜零失敗")</f>
        <v>繼續宅在家｜牛肉炒烏冬｜超級簡易快手｜零失敗</v>
      </c>
      <c r="E69" s="82">
        <v>44043.0</v>
      </c>
      <c r="F69" s="80">
        <v>965.0</v>
      </c>
      <c r="G69" s="80" t="s">
        <v>63</v>
      </c>
      <c r="I69" s="80" t="s">
        <v>63</v>
      </c>
      <c r="J69" s="80">
        <v>1355.0</v>
      </c>
      <c r="K69" s="80">
        <v>0.937067773167358</v>
      </c>
      <c r="L69" s="80" t="s">
        <v>135</v>
      </c>
    </row>
    <row r="70">
      <c r="A70" s="80" t="s">
        <v>131</v>
      </c>
      <c r="B70" s="81" t="str">
        <f t="shared" si="3"/>
        <v>BillyGoOut</v>
      </c>
      <c r="C70" s="80" t="s">
        <v>167</v>
      </c>
      <c r="D70" s="81" t="str">
        <f>HYPERLINK("https://youtube.com/watch?v=53Keg7PTsYM", "好耐都冇做過Vlog|西貢人週末好去邊好｜好好食嘅嘢｜香港真係好靚")</f>
        <v>好耐都冇做過Vlog|西貢人週末好去邊好｜好好食嘅嘢｜香港真係好靚</v>
      </c>
      <c r="E70" s="82">
        <v>44041.0</v>
      </c>
      <c r="F70" s="80">
        <v>786.0</v>
      </c>
      <c r="G70" s="80" t="s">
        <v>63</v>
      </c>
      <c r="I70" s="80" t="s">
        <v>63</v>
      </c>
      <c r="J70" s="80">
        <v>734.0</v>
      </c>
      <c r="K70" s="80">
        <v>0.925598991172761</v>
      </c>
      <c r="L70" s="80" t="s">
        <v>135</v>
      </c>
    </row>
    <row r="71">
      <c r="A71" s="80" t="s">
        <v>131</v>
      </c>
      <c r="B71" s="81" t="str">
        <f t="shared" si="3"/>
        <v>BillyGoOut</v>
      </c>
      <c r="C71" s="80" t="s">
        <v>168</v>
      </c>
      <c r="D71" s="81" t="str">
        <f>HYPERLINK("https://youtube.com/watch?v=lPUPAag-wMk", "又宅在家｜阿媽夏日消暑食譜｜鹹蛋冬瓜肉片湯飯｜超簡單快捷")</f>
        <v>又宅在家｜阿媽夏日消暑食譜｜鹹蛋冬瓜肉片湯飯｜超簡單快捷</v>
      </c>
      <c r="E71" s="82">
        <v>44036.0</v>
      </c>
      <c r="F71" s="80">
        <v>913.0</v>
      </c>
      <c r="G71" s="80" t="s">
        <v>63</v>
      </c>
      <c r="I71" s="80" t="s">
        <v>63</v>
      </c>
      <c r="J71" s="80">
        <v>1534.0</v>
      </c>
      <c r="K71" s="80">
        <v>0.906083874778499</v>
      </c>
      <c r="L71" s="80" t="s">
        <v>135</v>
      </c>
    </row>
    <row r="72">
      <c r="A72" s="80" t="s">
        <v>131</v>
      </c>
      <c r="B72" s="81" t="str">
        <f t="shared" si="3"/>
        <v>BillyGoOut</v>
      </c>
      <c r="C72" s="80" t="s">
        <v>169</v>
      </c>
      <c r="D72" s="81" t="str">
        <f>HYPERLINK("https://youtube.com/watch?v=66-Vnd75uSc", "試吓新相機｜Eos M6 Mark ii ｜舊片重溫｜點拍片｜有啲咩器材")</f>
        <v>試吓新相機｜Eos M6 Mark ii ｜舊片重溫｜點拍片｜有啲咩器材</v>
      </c>
      <c r="E72" s="82">
        <v>44035.0</v>
      </c>
      <c r="F72" s="80">
        <v>1238.0</v>
      </c>
      <c r="G72" s="80" t="s">
        <v>63</v>
      </c>
      <c r="I72" s="80" t="s">
        <v>63</v>
      </c>
      <c r="J72" s="80">
        <v>1996.0</v>
      </c>
      <c r="K72" s="80">
        <v>0.827186075424782</v>
      </c>
      <c r="L72" s="80" t="s">
        <v>170</v>
      </c>
    </row>
    <row r="73">
      <c r="A73" s="80" t="s">
        <v>131</v>
      </c>
      <c r="B73" s="81" t="str">
        <f t="shared" si="3"/>
        <v>BillyGoOut</v>
      </c>
      <c r="C73" s="80" t="s">
        <v>171</v>
      </c>
      <c r="D73" s="81" t="str">
        <f>HYPERLINK("https://youtube.com/watch?v=ganrYTtLtPc", "又要宅在家｜超簡單又好味 - Spaghetti Aglio e Olio")</f>
        <v>又要宅在家｜超簡單又好味 - Spaghetti Aglio e Olio</v>
      </c>
      <c r="E73" s="82">
        <v>44031.0</v>
      </c>
      <c r="F73" s="80">
        <v>989.0</v>
      </c>
      <c r="G73" s="80" t="s">
        <v>63</v>
      </c>
      <c r="I73" s="80" t="s">
        <v>63</v>
      </c>
      <c r="J73" s="80">
        <v>1712.0</v>
      </c>
      <c r="K73" s="80">
        <v>0.918454935622317</v>
      </c>
      <c r="L73" s="80" t="s">
        <v>170</v>
      </c>
    </row>
    <row r="74">
      <c r="A74" s="80" t="s">
        <v>131</v>
      </c>
      <c r="B74" s="81" t="str">
        <f t="shared" si="3"/>
        <v>BillyGoOut</v>
      </c>
      <c r="C74" s="80" t="s">
        <v>172</v>
      </c>
      <c r="D74" s="81" t="str">
        <f>HYPERLINK("https://youtube.com/watch?v=pCQJYljZhHk", "有錢身痕食好嘢｜香港人最鍾意嘅-日本嘢｜刺身丼｜小店 丼造")</f>
        <v>有錢身痕食好嘢｜香港人最鍾意嘅-日本嘢｜刺身丼｜小店 丼造</v>
      </c>
      <c r="E74" s="82">
        <v>44026.0</v>
      </c>
      <c r="F74" s="80">
        <v>960.0</v>
      </c>
      <c r="G74" s="80" t="s">
        <v>63</v>
      </c>
      <c r="I74" s="80" t="s">
        <v>63</v>
      </c>
      <c r="J74" s="80">
        <v>1893.0</v>
      </c>
      <c r="K74" s="80">
        <v>0.935276679841897</v>
      </c>
      <c r="L74" s="80" t="s">
        <v>135</v>
      </c>
    </row>
    <row r="75">
      <c r="A75" s="80" t="s">
        <v>131</v>
      </c>
      <c r="B75" s="81" t="str">
        <f t="shared" si="3"/>
        <v>BillyGoOut</v>
      </c>
      <c r="C75" s="80" t="s">
        <v>173</v>
      </c>
      <c r="D75" s="81" t="str">
        <f>HYPERLINK("https://youtube.com/watch?v=WIkKzNYW-k0", "香港老字號- 英昌皮具公司｜點解皮具店賣露營用品")</f>
        <v>香港老字號- 英昌皮具公司｜點解皮具店賣露營用品</v>
      </c>
      <c r="E75" s="82">
        <v>44022.0</v>
      </c>
      <c r="F75" s="80">
        <v>613.0</v>
      </c>
      <c r="G75" s="80" t="s">
        <v>63</v>
      </c>
      <c r="I75" s="80" t="s">
        <v>63</v>
      </c>
      <c r="J75" s="80">
        <v>1524.0</v>
      </c>
      <c r="K75" s="80">
        <v>0.932680538555691</v>
      </c>
      <c r="L75" s="80" t="s">
        <v>135</v>
      </c>
    </row>
    <row r="76">
      <c r="A76" s="80" t="s">
        <v>131</v>
      </c>
      <c r="B76" s="81" t="str">
        <f t="shared" si="3"/>
        <v>BillyGoOut</v>
      </c>
      <c r="C76" s="80" t="s">
        <v>174</v>
      </c>
      <c r="D76" s="81" t="str">
        <f>HYPERLINK("https://youtube.com/watch?v=qjMNAlzy6-w", "Hola下水禮｜遊龍舟水｜終於沖涼啦｜自家寵物美容")</f>
        <v>Hola下水禮｜遊龍舟水｜終於沖涼啦｜自家寵物美容</v>
      </c>
      <c r="E76" s="82">
        <v>44017.0</v>
      </c>
      <c r="F76" s="80">
        <v>1239.0</v>
      </c>
      <c r="G76" s="80" t="s">
        <v>63</v>
      </c>
      <c r="I76" s="80" t="s">
        <v>63</v>
      </c>
      <c r="J76" s="80">
        <v>1569.0</v>
      </c>
      <c r="K76" s="80">
        <v>0.934484812388326</v>
      </c>
      <c r="L76" s="80" t="s">
        <v>135</v>
      </c>
    </row>
    <row r="77">
      <c r="A77" s="80" t="s">
        <v>131</v>
      </c>
      <c r="B77" s="81" t="str">
        <f t="shared" si="3"/>
        <v>BillyGoOut</v>
      </c>
      <c r="C77" s="80" t="s">
        <v>175</v>
      </c>
      <c r="D77" s="81" t="str">
        <f>HYPERLINK("https://youtube.com/watch?v=DO-9SLItV3E", "自家天台種植香草｜自給自足｜羅勒青醬意粉")</f>
        <v>自家天台種植香草｜自給自足｜羅勒青醬意粉</v>
      </c>
      <c r="E77" s="82">
        <v>44006.0</v>
      </c>
      <c r="F77" s="80">
        <v>1061.0</v>
      </c>
      <c r="G77" s="80" t="s">
        <v>63</v>
      </c>
      <c r="I77" s="80" t="s">
        <v>63</v>
      </c>
      <c r="J77" s="80">
        <v>1630.0</v>
      </c>
      <c r="K77" s="80">
        <v>0.958823529411764</v>
      </c>
      <c r="L77" s="80" t="s">
        <v>102</v>
      </c>
    </row>
    <row r="78">
      <c r="A78" s="80" t="s">
        <v>131</v>
      </c>
      <c r="B78" s="81" t="str">
        <f t="shared" si="3"/>
        <v>BillyGoOut</v>
      </c>
      <c r="C78" s="80" t="s">
        <v>176</v>
      </c>
      <c r="D78" s="81" t="str">
        <f>HYPERLINK("https://youtube.com/watch?v=gW6qAQOkSDs", "野餐去｜1號風球下的短暫晴天｜南瓜沙律｜玉子燒｜Hola 兄弟都有份")</f>
        <v>野餐去｜1號風球下的短暫晴天｜南瓜沙律｜玉子燒｜Hola 兄弟都有份</v>
      </c>
      <c r="E78" s="82">
        <v>43999.0</v>
      </c>
      <c r="F78" s="80">
        <v>1191.0</v>
      </c>
      <c r="G78" s="80" t="s">
        <v>63</v>
      </c>
      <c r="I78" s="80" t="s">
        <v>63</v>
      </c>
      <c r="J78" s="80">
        <v>1409.0</v>
      </c>
      <c r="K78" s="80">
        <v>0.97239475500345</v>
      </c>
      <c r="L78" s="80" t="s">
        <v>135</v>
      </c>
    </row>
    <row r="79">
      <c r="A79" s="80" t="s">
        <v>131</v>
      </c>
      <c r="B79" s="81" t="str">
        <f t="shared" si="3"/>
        <v>BillyGoOut</v>
      </c>
      <c r="C79" s="80" t="s">
        <v>177</v>
      </c>
      <c r="D79" s="81" t="str">
        <f>HYPERLINK("https://youtube.com/watch?v=gPWJfoxOiP0", "嘆好啡｜睇好電影｜春光乍洩-王家衛")</f>
        <v>嘆好啡｜睇好電影｜春光乍洩-王家衛</v>
      </c>
      <c r="E79" s="82">
        <v>43994.0</v>
      </c>
      <c r="F79" s="80">
        <v>1274.0</v>
      </c>
      <c r="G79" s="80" t="s">
        <v>63</v>
      </c>
      <c r="I79" s="80" t="s">
        <v>63</v>
      </c>
      <c r="J79" s="80">
        <v>2646.0</v>
      </c>
      <c r="K79" s="80">
        <v>0.986577181208053</v>
      </c>
      <c r="L79" s="80" t="s">
        <v>102</v>
      </c>
    </row>
    <row r="80">
      <c r="A80" s="80" t="s">
        <v>131</v>
      </c>
      <c r="B80" s="81" t="str">
        <f t="shared" si="3"/>
        <v>BillyGoOut</v>
      </c>
      <c r="C80" s="80" t="s">
        <v>178</v>
      </c>
      <c r="D80" s="81" t="str">
        <f>HYPERLINK("https://youtube.com/watch?v=6o6_QLOdQHw", "[露營食乜好] - 牛奶麵豉薯仔三文魚煲｜解封後嘅第一次｜大熱天時唔露營｜煮下飯仔都好玩")</f>
        <v>[露營食乜好] - 牛奶麵豉薯仔三文魚煲｜解封後嘅第一次｜大熱天時唔露營｜煮下飯仔都好玩</v>
      </c>
      <c r="E80" s="82">
        <v>43987.0</v>
      </c>
      <c r="F80" s="80">
        <v>1384.0</v>
      </c>
      <c r="G80" s="80" t="s">
        <v>63</v>
      </c>
      <c r="I80" s="80" t="s">
        <v>63</v>
      </c>
      <c r="J80" s="80">
        <v>1939.0</v>
      </c>
      <c r="K80" s="80">
        <v>0.938983050847457</v>
      </c>
      <c r="L80" s="80" t="s">
        <v>179</v>
      </c>
    </row>
    <row r="81">
      <c r="A81" s="80" t="s">
        <v>131</v>
      </c>
      <c r="B81" s="81" t="str">
        <f t="shared" si="3"/>
        <v>BillyGoOut</v>
      </c>
      <c r="C81" s="80" t="s">
        <v>180</v>
      </c>
      <c r="D81" s="81" t="str">
        <f>HYPERLINK("https://youtube.com/watch?v=Rm-BUJ5M_mw", "攝影分享(3）手沖黑白菲林｜自己係屋企搞都得｜藥水點樣搞｜顯影劑｜Fixer")</f>
        <v>攝影分享(3）手沖黑白菲林｜自己係屋企搞都得｜藥水點樣搞｜顯影劑｜Fixer</v>
      </c>
      <c r="E81" s="82">
        <v>43983.0</v>
      </c>
      <c r="F81" s="80">
        <v>1588.0</v>
      </c>
      <c r="G81" s="80" t="s">
        <v>63</v>
      </c>
      <c r="I81" s="80" t="s">
        <v>63</v>
      </c>
      <c r="J81" s="80">
        <v>2786.0</v>
      </c>
      <c r="K81" s="80">
        <v>0.905427364315892</v>
      </c>
      <c r="L81" s="80" t="s">
        <v>179</v>
      </c>
    </row>
    <row r="82">
      <c r="A82" s="80" t="s">
        <v>131</v>
      </c>
      <c r="B82" s="81" t="str">
        <f t="shared" si="3"/>
        <v>BillyGoOut</v>
      </c>
      <c r="C82" s="80" t="s">
        <v>181</v>
      </c>
      <c r="D82" s="81" t="str">
        <f>HYPERLINK("https://youtube.com/watch?v=m_4Qymcx684", "攝影分享(2) 哈蘇相機｜全機械菲林相機之操作｜測光｜相機經典｜Victor Hasselblad")</f>
        <v>攝影分享(2) 哈蘇相機｜全機械菲林相機之操作｜測光｜相機經典｜Victor Hasselblad</v>
      </c>
      <c r="E82" s="82">
        <v>43980.0</v>
      </c>
      <c r="F82" s="80">
        <v>666.0</v>
      </c>
      <c r="G82" s="80" t="s">
        <v>63</v>
      </c>
      <c r="I82" s="80" t="s">
        <v>63</v>
      </c>
      <c r="J82" s="80">
        <v>1382.0</v>
      </c>
      <c r="K82" s="80">
        <v>0.973925299506694</v>
      </c>
      <c r="L82" s="80" t="s">
        <v>135</v>
      </c>
    </row>
    <row r="83">
      <c r="A83" s="80" t="s">
        <v>131</v>
      </c>
      <c r="B83" s="81" t="str">
        <f t="shared" si="3"/>
        <v>BillyGoOut</v>
      </c>
      <c r="C83" s="80" t="s">
        <v>182</v>
      </c>
      <c r="D83" s="81" t="str">
        <f>HYPERLINK("https://youtube.com/watch?v=Lk3EZLJe-hM", "攝影分享(1)｜相機經典｜月球上的 Victor Hasselblad｜全機械菲林相機 - 簡介")</f>
        <v>攝影分享(1)｜相機經典｜月球上的 Victor Hasselblad｜全機械菲林相機 - 簡介</v>
      </c>
      <c r="E83" s="82">
        <v>43977.0</v>
      </c>
      <c r="F83" s="80">
        <v>830.0</v>
      </c>
      <c r="G83" s="80" t="s">
        <v>63</v>
      </c>
      <c r="I83" s="80" t="s">
        <v>63</v>
      </c>
      <c r="J83" s="80">
        <v>2129.0</v>
      </c>
      <c r="K83" s="80">
        <v>0.910218041898247</v>
      </c>
      <c r="L83" s="80" t="s">
        <v>135</v>
      </c>
    </row>
    <row r="84">
      <c r="A84" s="80" t="s">
        <v>131</v>
      </c>
      <c r="B84" s="81" t="str">
        <f t="shared" si="3"/>
        <v>BillyGoOut</v>
      </c>
      <c r="C84" s="80" t="s">
        <v>183</v>
      </c>
      <c r="D84" s="81" t="str">
        <f>HYPERLINK("https://youtube.com/watch?v=5tcQe_PZhzo", "近近地野餐去｜西貢靚靚海邊位｜牛油果青醬螺絲粉沙律")</f>
        <v>近近地野餐去｜西貢靚靚海邊位｜牛油果青醬螺絲粉沙律</v>
      </c>
      <c r="E84" s="82">
        <v>43971.0</v>
      </c>
      <c r="F84" s="80">
        <v>1162.0</v>
      </c>
      <c r="G84" s="80" t="s">
        <v>63</v>
      </c>
      <c r="I84" s="80" t="s">
        <v>63</v>
      </c>
      <c r="J84" s="80">
        <v>1121.0</v>
      </c>
      <c r="K84" s="80">
        <v>0.905492730210016</v>
      </c>
      <c r="L84" s="80" t="s">
        <v>102</v>
      </c>
    </row>
    <row r="85">
      <c r="A85" s="80" t="s">
        <v>131</v>
      </c>
      <c r="B85" s="81" t="str">
        <f t="shared" si="3"/>
        <v>BillyGoOut</v>
      </c>
      <c r="C85" s="80" t="s">
        <v>184</v>
      </c>
      <c r="D85" s="81" t="str">
        <f>HYPERLINK("https://youtube.com/watch?v=urNUzttzg0M", "動物農莊｜極權總係透過一步一步修改規則，慢慢地去剝削｜要反抗就要咬緊每一次嘅機會｜中文字幕")</f>
        <v>動物農莊｜極權總係透過一步一步修改規則，慢慢地去剝削｜要反抗就要咬緊每一次嘅機會｜中文字幕</v>
      </c>
      <c r="E85" s="82">
        <v>43966.0</v>
      </c>
      <c r="F85" s="80">
        <v>1347.0</v>
      </c>
      <c r="G85" s="80" t="s">
        <v>63</v>
      </c>
      <c r="I85" s="80" t="s">
        <v>63</v>
      </c>
      <c r="J85" s="80">
        <v>3262.0</v>
      </c>
      <c r="K85" s="80">
        <v>0.986094316807738</v>
      </c>
      <c r="L85" s="80" t="s">
        <v>135</v>
      </c>
    </row>
    <row r="86">
      <c r="A86" s="80" t="s">
        <v>131</v>
      </c>
      <c r="B86" s="81" t="str">
        <f t="shared" si="3"/>
        <v>BillyGoOut</v>
      </c>
      <c r="C86" s="80" t="s">
        <v>185</v>
      </c>
      <c r="D86" s="81" t="str">
        <f>HYPERLINK("https://youtube.com/watch?v=3eJ3LqyUKxw", "近近地單車野餐去｜辣汁吞拿魚沙律｜凍冰冰西柚梳打｜手沖咖啡")</f>
        <v>近近地單車野餐去｜辣汁吞拿魚沙律｜凍冰冰西柚梳打｜手沖咖啡</v>
      </c>
      <c r="E86" s="82">
        <v>43960.0</v>
      </c>
      <c r="F86" s="80">
        <v>1170.0</v>
      </c>
      <c r="G86" s="80" t="s">
        <v>63</v>
      </c>
      <c r="I86" s="80" t="s">
        <v>63</v>
      </c>
      <c r="J86" s="80">
        <v>915.0</v>
      </c>
      <c r="K86" s="80">
        <v>0.912263210368893</v>
      </c>
      <c r="L86" s="80" t="s">
        <v>135</v>
      </c>
    </row>
    <row r="87">
      <c r="A87" s="80" t="s">
        <v>131</v>
      </c>
      <c r="B87" s="81" t="str">
        <f t="shared" si="3"/>
        <v>BillyGoOut</v>
      </c>
      <c r="C87" s="80" t="s">
        <v>186</v>
      </c>
      <c r="D87" s="81" t="str">
        <f>HYPERLINK("https://youtube.com/watch?v=tQ9uyZtxduM", "家居DIY第3集 - 鑽咀點樣分｜爆炸螺絲點樣拆｜瓷磚用乜鑽｜")</f>
        <v>家居DIY第3集 - 鑽咀點樣分｜爆炸螺絲點樣拆｜瓷磚用乜鑽｜</v>
      </c>
      <c r="E87" s="82">
        <v>43958.0</v>
      </c>
      <c r="F87" s="80">
        <v>741.0</v>
      </c>
      <c r="G87" s="80" t="s">
        <v>63</v>
      </c>
      <c r="I87" s="80" t="s">
        <v>63</v>
      </c>
      <c r="J87" s="80">
        <v>1655.0</v>
      </c>
      <c r="K87" s="80">
        <v>0.956094742923165</v>
      </c>
      <c r="L87" s="80" t="s">
        <v>135</v>
      </c>
    </row>
    <row r="88">
      <c r="A88" s="80" t="s">
        <v>131</v>
      </c>
      <c r="B88" s="81" t="str">
        <f t="shared" si="3"/>
        <v>BillyGoOut</v>
      </c>
      <c r="C88" s="80" t="s">
        <v>187</v>
      </c>
      <c r="D88" s="81" t="str">
        <f>HYPERLINK("https://youtube.com/watch?v=OCD2odCoYfQ", "家居DIY第2集 - 電鑽點樣分｜油壓鑽｜電批｜雞仔鑽｜錘鑽")</f>
        <v>家居DIY第2集 - 電鑽點樣分｜油壓鑽｜電批｜雞仔鑽｜錘鑽</v>
      </c>
      <c r="E88" s="82">
        <v>43957.0</v>
      </c>
      <c r="F88" s="80">
        <v>946.0</v>
      </c>
      <c r="G88" s="80" t="s">
        <v>63</v>
      </c>
      <c r="I88" s="80" t="s">
        <v>63</v>
      </c>
      <c r="J88" s="80">
        <v>2280.0</v>
      </c>
      <c r="K88" s="80">
        <v>0.962837837837837</v>
      </c>
      <c r="L88" s="80" t="s">
        <v>135</v>
      </c>
    </row>
    <row r="89">
      <c r="A89" s="80" t="s">
        <v>131</v>
      </c>
      <c r="B89" s="81" t="str">
        <f t="shared" si="3"/>
        <v>BillyGoOut</v>
      </c>
      <c r="C89" s="80" t="s">
        <v>188</v>
      </c>
      <c r="D89" s="81" t="str">
        <f>HYPERLINK("https://youtube.com/watch?v=_WqsEyFM3h4", "家居DIY第一集 - 講螺絲｜爆炸螺絲會爆炸？｜實際試吓裝城門")</f>
        <v>家居DIY第一集 - 講螺絲｜爆炸螺絲會爆炸？｜實際試吓裝城門</v>
      </c>
      <c r="E89" s="82">
        <v>43953.0</v>
      </c>
      <c r="F89" s="80">
        <v>1338.0</v>
      </c>
      <c r="G89" s="80" t="s">
        <v>63</v>
      </c>
      <c r="I89" s="80" t="s">
        <v>63</v>
      </c>
      <c r="J89" s="80">
        <v>3161.0</v>
      </c>
      <c r="K89" s="80">
        <v>0.98045905707196</v>
      </c>
      <c r="L89" s="80" t="s">
        <v>102</v>
      </c>
    </row>
    <row r="90">
      <c r="A90" s="80" t="s">
        <v>131</v>
      </c>
      <c r="B90" s="81" t="str">
        <f t="shared" si="3"/>
        <v>BillyGoOut</v>
      </c>
      <c r="C90" s="80" t="s">
        <v>189</v>
      </c>
      <c r="D90" s="81" t="str">
        <f>HYPERLINK("https://youtube.com/watch?v=hYIhSTSt05Y", "上馬鞍山昂平｜試新嘢｜嘆咖啡｜輕量化｜食脫水飯")</f>
        <v>上馬鞍山昂平｜試新嘢｜嘆咖啡｜輕量化｜食脫水飯</v>
      </c>
      <c r="E90" s="82">
        <v>43917.0</v>
      </c>
      <c r="F90" s="80">
        <v>958.0</v>
      </c>
      <c r="G90" s="80" t="s">
        <v>63</v>
      </c>
      <c r="I90" s="80" t="s">
        <v>63</v>
      </c>
      <c r="J90" s="80">
        <v>1083.0</v>
      </c>
      <c r="K90" s="80">
        <v>0.900998336106489</v>
      </c>
      <c r="L90" s="80" t="s">
        <v>179</v>
      </c>
    </row>
    <row r="91">
      <c r="A91" s="80" t="s">
        <v>131</v>
      </c>
      <c r="B91" s="81" t="str">
        <f t="shared" si="3"/>
        <v>BillyGoOut</v>
      </c>
      <c r="C91" s="80" t="s">
        <v>190</v>
      </c>
      <c r="D91" s="81" t="str">
        <f>HYPERLINK("https://youtube.com/watch?v=vFU3NOOiNjs", "開箱｜Luxe V4a|金字塔營｜輕量化入門之選")</f>
        <v>開箱｜Luxe V4a|金字塔營｜輕量化入門之選</v>
      </c>
      <c r="E91" s="82">
        <v>43915.0</v>
      </c>
      <c r="F91" s="80">
        <v>960.0</v>
      </c>
      <c r="G91" s="80" t="s">
        <v>63</v>
      </c>
      <c r="I91" s="80" t="s">
        <v>63</v>
      </c>
      <c r="J91" s="80">
        <v>1677.0</v>
      </c>
      <c r="K91" s="80">
        <v>0.956645750142612</v>
      </c>
      <c r="L91" s="80" t="s">
        <v>179</v>
      </c>
    </row>
    <row r="92">
      <c r="A92" s="80" t="s">
        <v>131</v>
      </c>
      <c r="B92" s="81" t="str">
        <f t="shared" si="3"/>
        <v>BillyGoOut</v>
      </c>
      <c r="C92" s="80" t="s">
        <v>191</v>
      </c>
      <c r="D92" s="81" t="str">
        <f>HYPERLINK("https://youtube.com/watch?v=iLFkhdZLBLk", "試味大會｜嘆杯咖啡食件邪惡砂糖多士｜舊隊員Henry亮相")</f>
        <v>試味大會｜嘆杯咖啡食件邪惡砂糖多士｜舊隊員Henry亮相</v>
      </c>
      <c r="E92" s="82">
        <v>43912.0</v>
      </c>
      <c r="F92" s="80">
        <v>803.0</v>
      </c>
      <c r="G92" s="80" t="s">
        <v>63</v>
      </c>
      <c r="I92" s="80" t="s">
        <v>63</v>
      </c>
      <c r="J92" s="80">
        <v>1042.0</v>
      </c>
      <c r="K92" s="80">
        <v>0.873428331936295</v>
      </c>
      <c r="L92" s="80" t="s">
        <v>179</v>
      </c>
    </row>
    <row r="93">
      <c r="A93" s="80" t="s">
        <v>131</v>
      </c>
      <c r="B93" s="81" t="str">
        <f t="shared" si="3"/>
        <v>BillyGoOut</v>
      </c>
      <c r="C93" s="80" t="s">
        <v>192</v>
      </c>
      <c r="D93" s="81" t="str">
        <f>HYPERLINK("https://youtube.com/watch?v=Sh9R0BiL330", "我哋轉行做兒童節目｜小朋友一齊煮｜白汁碎蛋牛油果三文治")</f>
        <v>我哋轉行做兒童節目｜小朋友一齊煮｜白汁碎蛋牛油果三文治</v>
      </c>
      <c r="E93" s="82">
        <v>43908.0</v>
      </c>
      <c r="F93" s="80">
        <v>674.0</v>
      </c>
      <c r="G93" s="80" t="s">
        <v>63</v>
      </c>
      <c r="I93" s="80" t="s">
        <v>63</v>
      </c>
      <c r="J93" s="80">
        <v>1069.0</v>
      </c>
      <c r="K93" s="80">
        <v>0.951914514692787</v>
      </c>
      <c r="L93" s="80" t="s">
        <v>179</v>
      </c>
    </row>
    <row r="94">
      <c r="A94" s="80" t="s">
        <v>131</v>
      </c>
      <c r="B94" s="81" t="str">
        <f t="shared" si="3"/>
        <v>BillyGoOut</v>
      </c>
      <c r="C94" s="80" t="s">
        <v>193</v>
      </c>
      <c r="D94" s="81" t="str">
        <f>HYPERLINK("https://youtube.com/watch?v=hGzs-RZgGoo", "我哋又去SOLO露營啦｜味噌煮鯖魚｜自家薯餅｜又係水浪窩")</f>
        <v>我哋又去SOLO露營啦｜味噌煮鯖魚｜自家薯餅｜又係水浪窩</v>
      </c>
      <c r="E94" s="82">
        <v>43896.0</v>
      </c>
      <c r="F94" s="80">
        <v>1380.0</v>
      </c>
      <c r="G94" s="80" t="s">
        <v>63</v>
      </c>
      <c r="I94" s="80" t="s">
        <v>63</v>
      </c>
      <c r="J94" s="80">
        <v>1234.0</v>
      </c>
      <c r="K94" s="80">
        <v>0.934848484848484</v>
      </c>
      <c r="L94" s="80" t="s">
        <v>179</v>
      </c>
    </row>
    <row r="95">
      <c r="A95" s="80" t="s">
        <v>131</v>
      </c>
      <c r="B95" s="81" t="str">
        <f t="shared" si="3"/>
        <v>BillyGoOut</v>
      </c>
      <c r="C95" s="80" t="s">
        <v>194</v>
      </c>
      <c r="D95" s="81" t="str">
        <f>HYPERLINK("https://youtube.com/watch?v=eURyBULfxJI", "露營執包袱走人篇｜點洗碗｜一條友帳幕天幕又點樣收")</f>
        <v>露營執包袱走人篇｜點洗碗｜一條友帳幕天幕又點樣收</v>
      </c>
      <c r="E95" s="82">
        <v>43893.0</v>
      </c>
      <c r="F95" s="80">
        <v>768.0</v>
      </c>
      <c r="G95" s="80" t="s">
        <v>63</v>
      </c>
      <c r="I95" s="80" t="s">
        <v>63</v>
      </c>
      <c r="J95" s="80">
        <v>796.0</v>
      </c>
      <c r="K95" s="80">
        <v>0.985148514851485</v>
      </c>
      <c r="L95" s="80" t="s">
        <v>179</v>
      </c>
    </row>
    <row r="96">
      <c r="A96" s="80" t="s">
        <v>131</v>
      </c>
      <c r="B96" s="81" t="str">
        <f t="shared" si="3"/>
        <v>BillyGoOut</v>
      </c>
      <c r="C96" s="80" t="s">
        <v>195</v>
      </c>
      <c r="D96" s="81" t="str">
        <f>HYPERLINK("https://youtube.com/watch?v=PFgB4ezK-FY", "露營嘅事你要知｜有咩準備｜去郊外玩嘅常見問題｜入門新手包")</f>
        <v>露營嘅事你要知｜有咩準備｜去郊外玩嘅常見問題｜入門新手包</v>
      </c>
      <c r="E96" s="82">
        <v>43890.0</v>
      </c>
      <c r="F96" s="80">
        <v>642.0</v>
      </c>
      <c r="G96" s="80" t="s">
        <v>63</v>
      </c>
      <c r="I96" s="80" t="s">
        <v>63</v>
      </c>
      <c r="J96" s="80">
        <v>2140.0</v>
      </c>
      <c r="K96" s="80">
        <v>0.994423791821561</v>
      </c>
      <c r="L96" s="80" t="s">
        <v>179</v>
      </c>
    </row>
    <row r="97">
      <c r="A97" s="80" t="s">
        <v>131</v>
      </c>
      <c r="B97" s="81" t="str">
        <f t="shared" si="3"/>
        <v>BillyGoOut</v>
      </c>
      <c r="C97" s="80" t="s">
        <v>196</v>
      </c>
      <c r="D97" s="81" t="str">
        <f>HYPERLINK("https://youtube.com/watch?v=FEWXfq9wNco", "[露營食乜好] 勇闖隔離營嘅隔離｜Hola開箱-狗狗鮮食｜白汁雞絲長通粉")</f>
        <v>[露營食乜好] 勇闖隔離營嘅隔離｜Hola開箱-狗狗鮮食｜白汁雞絲長通粉</v>
      </c>
      <c r="E97" s="82">
        <v>43885.0</v>
      </c>
      <c r="F97" s="80">
        <v>971.0</v>
      </c>
      <c r="G97" s="80" t="s">
        <v>63</v>
      </c>
      <c r="I97" s="80" t="s">
        <v>63</v>
      </c>
      <c r="J97" s="80">
        <v>1296.0</v>
      </c>
      <c r="K97" s="80">
        <v>0.939811457577955</v>
      </c>
      <c r="L97" s="80" t="s">
        <v>179</v>
      </c>
    </row>
    <row r="98">
      <c r="A98" s="80" t="s">
        <v>131</v>
      </c>
      <c r="B98" s="81" t="str">
        <f t="shared" si="3"/>
        <v>BillyGoOut</v>
      </c>
      <c r="C98" s="80" t="s">
        <v>197</v>
      </c>
      <c r="D98" s="81" t="str">
        <f>HYPERLINK("https://youtube.com/watch?v=zOKy7DJCUSU", "去Shopping｜Trangia 詳盡介紹｜超好用既戶外煮食用具")</f>
        <v>去Shopping｜Trangia 詳盡介紹｜超好用既戶外煮食用具</v>
      </c>
      <c r="E98" s="82">
        <v>43881.0</v>
      </c>
      <c r="F98" s="80">
        <v>666.0</v>
      </c>
      <c r="G98" s="80" t="s">
        <v>63</v>
      </c>
      <c r="I98" s="80" t="s">
        <v>63</v>
      </c>
      <c r="J98" s="80">
        <v>1781.0</v>
      </c>
      <c r="K98" s="80">
        <v>0.885188866799204</v>
      </c>
      <c r="L98" s="80" t="s">
        <v>179</v>
      </c>
    </row>
    <row r="99">
      <c r="A99" s="80" t="s">
        <v>131</v>
      </c>
      <c r="B99" s="81" t="str">
        <f t="shared" si="3"/>
        <v>BillyGoOut</v>
      </c>
      <c r="C99" s="80" t="s">
        <v>198</v>
      </c>
      <c r="D99" s="81" t="str">
        <f>HYPERLINK("https://youtube.com/watch?v=2SKLd8HioNU", "我地又去Solo露營啦｜同Hola上山避一避｜又係水浪窩")</f>
        <v>我地又去Solo露營啦｜同Hola上山避一避｜又係水浪窩</v>
      </c>
      <c r="E99" s="82">
        <v>43876.0</v>
      </c>
      <c r="F99" s="80">
        <v>1075.0</v>
      </c>
      <c r="G99" s="80" t="s">
        <v>63</v>
      </c>
      <c r="I99" s="80" t="s">
        <v>63</v>
      </c>
      <c r="J99" s="80">
        <v>835.0</v>
      </c>
      <c r="K99" s="80">
        <v>0.93400447427293</v>
      </c>
      <c r="L99" s="80" t="s">
        <v>179</v>
      </c>
    </row>
    <row r="100">
      <c r="A100" s="80" t="s">
        <v>131</v>
      </c>
      <c r="B100" s="81" t="str">
        <f t="shared" si="3"/>
        <v>BillyGoOut</v>
      </c>
      <c r="C100" s="80" t="s">
        <v>199</v>
      </c>
      <c r="D100" s="81" t="str">
        <f>HYPERLINK("https://youtube.com/watch?v=MuR5vSWQOGI", "露營小貼士 - 背囊裏邊有啲乜｜露營裝備介紹")</f>
        <v>露營小貼士 - 背囊裏邊有啲乜｜露營裝備介紹</v>
      </c>
      <c r="E100" s="82">
        <v>43873.0</v>
      </c>
      <c r="F100" s="80">
        <v>959.0</v>
      </c>
      <c r="G100" s="80" t="s">
        <v>63</v>
      </c>
      <c r="I100" s="80" t="s">
        <v>63</v>
      </c>
      <c r="J100" s="80">
        <v>2085.0</v>
      </c>
      <c r="K100" s="80">
        <v>0.946866485013624</v>
      </c>
      <c r="L100" s="80" t="s">
        <v>179</v>
      </c>
    </row>
    <row r="101">
      <c r="A101" s="80" t="s">
        <v>131</v>
      </c>
      <c r="B101" s="81" t="str">
        <f t="shared" si="3"/>
        <v>BillyGoOut</v>
      </c>
      <c r="C101" s="80" t="s">
        <v>200</v>
      </c>
      <c r="D101" s="81" t="str">
        <f>HYPERLINK("https://youtube.com/watch?v=6qx1pocJOvI", "SOLO露營小貼士-如何一個人起天幕")</f>
        <v>SOLO露營小貼士-如何一個人起天幕</v>
      </c>
      <c r="E101" s="82">
        <v>43870.0</v>
      </c>
      <c r="F101" s="80">
        <v>546.0</v>
      </c>
      <c r="G101" s="80" t="s">
        <v>63</v>
      </c>
      <c r="I101" s="80" t="s">
        <v>63</v>
      </c>
      <c r="J101" s="80">
        <v>608.0</v>
      </c>
      <c r="K101" s="80">
        <v>0.918429003021148</v>
      </c>
      <c r="L101" s="80" t="s">
        <v>91</v>
      </c>
    </row>
    <row r="102">
      <c r="A102" s="80" t="s">
        <v>131</v>
      </c>
      <c r="B102" s="81" t="str">
        <f t="shared" si="3"/>
        <v>BillyGoOut</v>
      </c>
      <c r="C102" s="80" t="s">
        <v>201</v>
      </c>
      <c r="D102" s="81" t="str">
        <f>HYPERLINK("https://youtube.com/watch?v=IUXm999yPsg", "[露營恩物] UCO 蠟燭燈｜營造浪漫氣氛｜仲可以驅蚊驅蟲？")</f>
        <v>[露營恩物] UCO 蠟燭燈｜營造浪漫氣氛｜仲可以驅蚊驅蟲？</v>
      </c>
      <c r="E102" s="82">
        <v>43809.0</v>
      </c>
      <c r="F102" s="80">
        <v>297.0</v>
      </c>
      <c r="G102" s="80" t="s">
        <v>63</v>
      </c>
      <c r="I102" s="80" t="s">
        <v>63</v>
      </c>
      <c r="J102" s="80">
        <v>813.0</v>
      </c>
      <c r="K102" s="80">
        <v>0.996323529411764</v>
      </c>
      <c r="L102" s="80" t="s">
        <v>135</v>
      </c>
    </row>
    <row r="103">
      <c r="A103" s="80" t="s">
        <v>131</v>
      </c>
      <c r="B103" s="81" t="str">
        <f t="shared" si="3"/>
        <v>BillyGoOut</v>
      </c>
      <c r="C103" s="80" t="s">
        <v>202</v>
      </c>
      <c r="D103" s="81" t="str">
        <f>HYPERLINK("https://youtube.com/watch?v=r_G9QW0H6fc", "[開箱文］dji osmo action 有冇中伏 買唔買得過")</f>
        <v>[開箱文］dji osmo action 有冇中伏 買唔買得過</v>
      </c>
      <c r="E103" s="82">
        <v>43614.0</v>
      </c>
      <c r="F103" s="80">
        <v>484.0</v>
      </c>
      <c r="G103" s="80" t="s">
        <v>63</v>
      </c>
      <c r="I103" s="80" t="s">
        <v>63</v>
      </c>
      <c r="J103" s="80">
        <v>889.0</v>
      </c>
      <c r="K103" s="80">
        <v>0.811131386861313</v>
      </c>
      <c r="L103" s="80" t="s">
        <v>102</v>
      </c>
    </row>
    <row r="104">
      <c r="A104" s="80" t="s">
        <v>131</v>
      </c>
      <c r="B104" s="81" t="str">
        <f t="shared" si="3"/>
        <v>BillyGoOut</v>
      </c>
      <c r="C104" s="80" t="s">
        <v>203</v>
      </c>
      <c r="D104" s="81" t="str">
        <f>HYPERLINK("https://youtube.com/watch?v=tap9Bm61F8s", "4傻[東京之行Day3]河口湖 富士山下 牧場 草津溫泉")</f>
        <v>4傻[東京之行Day3]河口湖 富士山下 牧場 草津溫泉</v>
      </c>
      <c r="E104" s="82">
        <v>43611.0</v>
      </c>
      <c r="F104" s="80">
        <v>617.0</v>
      </c>
      <c r="G104" s="80" t="s">
        <v>63</v>
      </c>
      <c r="I104" s="80" t="s">
        <v>63</v>
      </c>
      <c r="J104" s="80">
        <v>955.0</v>
      </c>
      <c r="K104" s="80">
        <v>0.969543147208121</v>
      </c>
      <c r="L104" s="80" t="s">
        <v>170</v>
      </c>
    </row>
    <row r="105">
      <c r="A105" s="80" t="s">
        <v>131</v>
      </c>
      <c r="B105" s="81" t="str">
        <f t="shared" si="3"/>
        <v>BillyGoOut</v>
      </c>
      <c r="C105" s="80" t="s">
        <v>204</v>
      </c>
      <c r="D105" s="81" t="str">
        <f>HYPERLINK("https://youtube.com/watch?v=qY6VC0DUpBM", "4傻[東京之行Day2 ]睇靚影+超正打卡位【箱根】2018，")</f>
        <v>4傻[東京之行Day2 ]睇靚影+超正打卡位【箱根】2018，</v>
      </c>
      <c r="E105" s="82">
        <v>43598.0</v>
      </c>
      <c r="F105" s="80">
        <v>379.0</v>
      </c>
      <c r="G105" s="80" t="s">
        <v>63</v>
      </c>
      <c r="I105" s="80" t="s">
        <v>63</v>
      </c>
      <c r="J105" s="80">
        <v>842.0</v>
      </c>
      <c r="K105" s="80">
        <v>0.988262910798122</v>
      </c>
      <c r="L105" s="80" t="s">
        <v>179</v>
      </c>
    </row>
    <row r="106">
      <c r="A106" s="80" t="s">
        <v>131</v>
      </c>
      <c r="B106" s="81" t="str">
        <f t="shared" si="3"/>
        <v>BillyGoOut</v>
      </c>
      <c r="C106" s="80" t="s">
        <v>205</v>
      </c>
      <c r="D106" s="81" t="str">
        <f>HYPERLINK("https://youtube.com/watch?v=SL0J23CNSBE", "4傻[東京之行Day1 ]東京人嘅度假勝地【鎌倉】2018")</f>
        <v>4傻[東京之行Day1 ]東京人嘅度假勝地【鎌倉】2018</v>
      </c>
      <c r="E106" s="82">
        <v>43594.0</v>
      </c>
      <c r="F106" s="80">
        <v>386.0</v>
      </c>
      <c r="G106" s="80" t="s">
        <v>63</v>
      </c>
      <c r="I106" s="80" t="s">
        <v>63</v>
      </c>
      <c r="J106" s="80">
        <v>932.0</v>
      </c>
      <c r="K106" s="80">
        <v>0.936491935483871</v>
      </c>
      <c r="L106" s="80" t="s">
        <v>206</v>
      </c>
    </row>
    <row r="107">
      <c r="A107" s="80" t="s">
        <v>207</v>
      </c>
      <c r="B107" s="81" t="str">
        <f t="shared" ref="B107:B115" si="4">HYPERLINK("https://www.youtube.com/channel/UCMDQ0yBIh37t3Nm-mnMODCA", "麥兜Mcdull")</f>
        <v>麥兜Mcdull</v>
      </c>
      <c r="C107" s="80" t="s">
        <v>208</v>
      </c>
      <c r="D107" s="81" t="str">
        <f>HYPERLINK("https://youtube.com/watch?v=mKn0kZBD1Vs", "麥兜 - 母親節感人至深小故事 「你要比我多吃」")</f>
        <v>麥兜 - 母親節感人至深小故事 「你要比我多吃」</v>
      </c>
      <c r="E107" s="82">
        <v>43958.0</v>
      </c>
      <c r="F107" s="80">
        <v>122.0</v>
      </c>
      <c r="G107" s="80" t="s">
        <v>63</v>
      </c>
      <c r="I107" s="80" t="s">
        <v>63</v>
      </c>
      <c r="J107" s="80">
        <v>257.0</v>
      </c>
      <c r="K107" s="80">
        <v>0.996124031007751</v>
      </c>
      <c r="L107" s="80" t="s">
        <v>64</v>
      </c>
    </row>
    <row r="108">
      <c r="A108" s="80" t="s">
        <v>207</v>
      </c>
      <c r="B108" s="81" t="str">
        <f t="shared" si="4"/>
        <v>麥兜Mcdull</v>
      </c>
      <c r="C108" s="80" t="s">
        <v>209</v>
      </c>
      <c r="D108" s="81" t="str">
        <f>HYPERLINK("https://youtube.com/watch?v=0PCtpqrStFk", "《麥兜菠蘿油王子》電影歌曲：落街冇錢買麵包")</f>
        <v>《麥兜菠蘿油王子》電影歌曲：落街冇錢買麵包</v>
      </c>
      <c r="E108" s="82">
        <v>43927.0</v>
      </c>
      <c r="F108" s="80">
        <v>101.0</v>
      </c>
      <c r="G108" s="80" t="s">
        <v>63</v>
      </c>
      <c r="I108" s="80" t="s">
        <v>63</v>
      </c>
      <c r="J108" s="80">
        <v>126.0</v>
      </c>
      <c r="K108" s="80">
        <v>1.0</v>
      </c>
      <c r="L108" s="80" t="s">
        <v>64</v>
      </c>
    </row>
    <row r="109">
      <c r="A109" s="80" t="s">
        <v>207</v>
      </c>
      <c r="B109" s="81" t="str">
        <f t="shared" si="4"/>
        <v>麥兜Mcdull</v>
      </c>
      <c r="C109" s="80" t="s">
        <v>210</v>
      </c>
      <c r="D109" s="81" t="str">
        <f>HYPERLINK("https://youtube.com/watch?v=qcAB65oQ7r4", "麥兜動畫：青青！ 清明！情！")</f>
        <v>麥兜動畫：青青！ 清明！情！</v>
      </c>
      <c r="E109" s="82">
        <v>43923.0</v>
      </c>
      <c r="F109" s="80">
        <v>245.0</v>
      </c>
      <c r="G109" s="80" t="s">
        <v>63</v>
      </c>
      <c r="I109" s="80" t="s">
        <v>63</v>
      </c>
      <c r="J109" s="80">
        <v>591.0</v>
      </c>
      <c r="K109" s="80">
        <v>0.964110929853181</v>
      </c>
      <c r="L109" s="80" t="s">
        <v>64</v>
      </c>
    </row>
    <row r="110">
      <c r="A110" s="80" t="s">
        <v>207</v>
      </c>
      <c r="B110" s="81" t="str">
        <f t="shared" si="4"/>
        <v>麥兜Mcdull</v>
      </c>
      <c r="C110" s="80" t="s">
        <v>211</v>
      </c>
      <c r="D110" s="81" t="str">
        <f>HYPERLINK("https://youtube.com/watch?v=UkZLYokPuY4", "麥兜「一寸光陰一串雞」預告篇")</f>
        <v>麥兜「一寸光陰一串雞」預告篇</v>
      </c>
      <c r="E110" s="82">
        <v>43907.0</v>
      </c>
      <c r="F110" s="80">
        <v>31.0</v>
      </c>
      <c r="G110" s="80" t="s">
        <v>63</v>
      </c>
      <c r="I110" s="80" t="s">
        <v>63</v>
      </c>
      <c r="J110" s="80">
        <v>63.0</v>
      </c>
      <c r="K110" s="80">
        <v>0.940298507462686</v>
      </c>
      <c r="L110" s="80" t="s">
        <v>64</v>
      </c>
    </row>
    <row r="111">
      <c r="A111" s="80" t="s">
        <v>207</v>
      </c>
      <c r="B111" s="81" t="str">
        <f t="shared" si="4"/>
        <v>麥兜Mcdull</v>
      </c>
      <c r="C111" s="80" t="s">
        <v>212</v>
      </c>
      <c r="D111" s="81" t="str">
        <f>HYPERLINK("https://youtube.com/watch?v=OnQzvAjXEus", "《麥兜飯寶奇兵》電影歌曲: 麥記")</f>
        <v>《麥兜飯寶奇兵》電影歌曲: 麥記</v>
      </c>
      <c r="E111" s="82">
        <v>43873.0</v>
      </c>
      <c r="F111" s="80">
        <v>120.0</v>
      </c>
      <c r="G111" s="80" t="s">
        <v>63</v>
      </c>
      <c r="I111" s="80" t="s">
        <v>63</v>
      </c>
      <c r="J111" s="80">
        <v>151.0</v>
      </c>
      <c r="K111" s="80">
        <v>0.993421052631579</v>
      </c>
      <c r="L111" s="80" t="s">
        <v>64</v>
      </c>
    </row>
    <row r="112">
      <c r="A112" s="80" t="s">
        <v>207</v>
      </c>
      <c r="B112" s="81" t="str">
        <f t="shared" si="4"/>
        <v>麥兜Mcdull</v>
      </c>
      <c r="C112" s="80" t="s">
        <v>213</v>
      </c>
      <c r="D112" s="81" t="str">
        <f>HYPERLINK("https://youtube.com/watch?v=VxuPtCTUiMA", "《麥兜我和我媽媽》電影歌曲: 鹹檸檬")</f>
        <v>《麥兜我和我媽媽》電影歌曲: 鹹檸檬</v>
      </c>
      <c r="E112" s="82">
        <v>43870.0</v>
      </c>
      <c r="F112" s="80">
        <v>113.0</v>
      </c>
      <c r="G112" s="80" t="s">
        <v>63</v>
      </c>
      <c r="I112" s="80" t="s">
        <v>63</v>
      </c>
      <c r="J112" s="80">
        <v>91.0</v>
      </c>
      <c r="K112" s="80">
        <v>0.978494623655914</v>
      </c>
      <c r="L112" s="80" t="s">
        <v>64</v>
      </c>
    </row>
    <row r="113">
      <c r="A113" s="80" t="s">
        <v>207</v>
      </c>
      <c r="B113" s="81" t="str">
        <f t="shared" si="4"/>
        <v>麥兜Mcdull</v>
      </c>
      <c r="C113" s="80" t="s">
        <v>214</v>
      </c>
      <c r="D113" s="81" t="str">
        <f>HYPERLINK("https://youtube.com/watch?v=xa8Y4teNOOA", "《麥兜我和我媽媽》電影歌曲: 神探波比")</f>
        <v>《麥兜我和我媽媽》電影歌曲: 神探波比</v>
      </c>
      <c r="E113" s="82">
        <v>43870.0</v>
      </c>
      <c r="F113" s="80">
        <v>65.0</v>
      </c>
      <c r="G113" s="80" t="s">
        <v>63</v>
      </c>
      <c r="I113" s="80" t="s">
        <v>63</v>
      </c>
      <c r="J113" s="80">
        <v>56.0</v>
      </c>
      <c r="K113" s="80">
        <v>1.0</v>
      </c>
      <c r="L113" s="80" t="s">
        <v>64</v>
      </c>
    </row>
    <row r="114">
      <c r="A114" s="80" t="s">
        <v>207</v>
      </c>
      <c r="B114" s="81" t="str">
        <f t="shared" si="4"/>
        <v>麥兜Mcdull</v>
      </c>
      <c r="C114" s="80" t="s">
        <v>215</v>
      </c>
      <c r="D114" s="81" t="str">
        <f>HYPERLINK("https://youtube.com/watch?v=81kaZG7qyz0", "《麥兜噹噹伴我心》電影歌曲: 一身豬腩肉")</f>
        <v>《麥兜噹噹伴我心》電影歌曲: 一身豬腩肉</v>
      </c>
      <c r="E114" s="82">
        <v>43866.0</v>
      </c>
      <c r="F114" s="80">
        <v>67.0</v>
      </c>
      <c r="G114" s="80" t="s">
        <v>63</v>
      </c>
      <c r="I114" s="80" t="s">
        <v>63</v>
      </c>
      <c r="J114" s="80">
        <v>115.0</v>
      </c>
      <c r="K114" s="80">
        <v>0.982905982905982</v>
      </c>
      <c r="L114" s="80" t="s">
        <v>64</v>
      </c>
    </row>
    <row r="115">
      <c r="A115" s="80" t="s">
        <v>207</v>
      </c>
      <c r="B115" s="81" t="str">
        <f t="shared" si="4"/>
        <v>麥兜Mcdull</v>
      </c>
      <c r="C115" s="80" t="s">
        <v>216</v>
      </c>
      <c r="D115" s="81" t="str">
        <f>HYPERLINK("https://youtube.com/watch?v=3aWidnUkJcU", "《麥兜噹噹伴我心》電影歌曲: 吃蕉好孩子")</f>
        <v>《麥兜噹噹伴我心》電影歌曲: 吃蕉好孩子</v>
      </c>
      <c r="E115" s="82">
        <v>43866.0</v>
      </c>
      <c r="F115" s="80">
        <v>38.0</v>
      </c>
      <c r="G115" s="80" t="s">
        <v>63</v>
      </c>
      <c r="I115" s="80" t="s">
        <v>63</v>
      </c>
      <c r="J115" s="80">
        <v>59.0</v>
      </c>
      <c r="K115" s="80">
        <v>0.967213114754098</v>
      </c>
      <c r="L115" s="80" t="s">
        <v>64</v>
      </c>
    </row>
    <row r="116">
      <c r="A116" s="80" t="s">
        <v>217</v>
      </c>
      <c r="B116" s="81" t="str">
        <f>HYPERLINK("https://www.youtube.com/channel/UCXKg0qPRz32bs5Z4mTGF3TQ", "Stormtrooper白兵")</f>
        <v>Stormtrooper白兵</v>
      </c>
      <c r="C116" s="80" t="s">
        <v>218</v>
      </c>
      <c r="D116" s="81" t="str">
        <f>HYPERLINK("https://youtube.com/watch?v=Awzs8IHECqo", "對抗深層國家、極權政府「大重構」－帶你進入全民「大覺醒」的時代！克服恐懼，揸緊信念！解構香港民主停滯不前的真正原因！介紹白兵最愛的周星馳電影《回魂夜》")</f>
        <v>對抗深層國家、極權政府「大重構」－帶你進入全民「大覺醒」的時代！克服恐懼，揸緊信念！解構香港民主停滯不前的真正原因！介紹白兵最愛的周星馳電影《回魂夜》</v>
      </c>
      <c r="E116" s="82">
        <v>44189.0</v>
      </c>
      <c r="F116" s="80">
        <v>1539.0</v>
      </c>
      <c r="G116" s="80" t="s">
        <v>63</v>
      </c>
      <c r="H116" s="80" t="s">
        <v>63</v>
      </c>
      <c r="I116" s="80" t="s">
        <v>63</v>
      </c>
      <c r="J116" s="80">
        <v>6357.0</v>
      </c>
      <c r="K116" s="80">
        <v>0.96905487804878</v>
      </c>
      <c r="L116" s="80" t="s">
        <v>86</v>
      </c>
    </row>
    <row r="117">
      <c r="A117" s="80" t="s">
        <v>219</v>
      </c>
      <c r="B117" s="81" t="str">
        <f>HYPERLINK("https://www.youtube.com/channel/UC9_PnptBIpNF0JXbJjd8TsQ", "Brown's Channel")</f>
        <v>Brown's Channel</v>
      </c>
      <c r="C117" s="80" t="s">
        <v>220</v>
      </c>
      <c r="D117" s="81" t="str">
        <f>HYPERLINK("https://youtube.com/watch?v=B21D39mv73o", "【一隻熊仔去搵食@香港】#2 2 MUJI Cafe －－ 超香濃抹茶 cheesecake")</f>
        <v>【一隻熊仔去搵食@香港】#2 2 MUJI Cafe －－ 超香濃抹茶 cheesecake</v>
      </c>
      <c r="E117" s="82">
        <v>44029.0</v>
      </c>
      <c r="F117" s="80">
        <v>264.0</v>
      </c>
      <c r="G117" s="80" t="s">
        <v>63</v>
      </c>
      <c r="I117" s="80" t="s">
        <v>63</v>
      </c>
      <c r="J117" s="80">
        <v>984.0</v>
      </c>
      <c r="K117" s="80">
        <v>0.814569536423841</v>
      </c>
      <c r="L117" s="80" t="s">
        <v>64</v>
      </c>
    </row>
    <row r="118">
      <c r="A118" s="80" t="s">
        <v>221</v>
      </c>
      <c r="B118" s="81" t="str">
        <f>HYPERLINK("https://www.youtube.com/channel/UCBgWgQyEb5eTzvh4lLcuipQ", "Wikitongues")</f>
        <v>Wikitongues</v>
      </c>
      <c r="C118" s="80" t="s">
        <v>222</v>
      </c>
      <c r="D118" s="81" t="str">
        <f>HYPERLINK("https://youtube.com/watch?v=B56nxfnSV4U", "Guangxi Cantonese language conversation | Ying and Lian speaking Cantonese | Wikitongues")</f>
        <v>Guangxi Cantonese language conversation | Ying and Lian speaking Cantonese | Wikitongues</v>
      </c>
      <c r="E118" s="82">
        <v>44099.0</v>
      </c>
      <c r="F118" s="80">
        <v>90.0</v>
      </c>
      <c r="G118" s="80" t="s">
        <v>63</v>
      </c>
      <c r="I118" s="80" t="s">
        <v>63</v>
      </c>
      <c r="J118" s="80">
        <v>249.0</v>
      </c>
      <c r="K118" s="80">
        <v>0.892473118279569</v>
      </c>
      <c r="L118" s="80" t="s">
        <v>102</v>
      </c>
    </row>
    <row r="119">
      <c r="A119" s="80" t="s">
        <v>94</v>
      </c>
      <c r="B119" s="81" t="str">
        <f>HYPERLINK("https://www.youtube.com/channel/UCT_dMyI3pNselsmfR6FC8tQ", "PrideLab")</f>
        <v>PrideLab</v>
      </c>
      <c r="C119" s="80" t="s">
        <v>223</v>
      </c>
      <c r="D119" s="81" t="str">
        <f>HYPERLINK("https://youtube.com/watch?v=BDECYJ1TXAw", "性別承認諮詢懶人包 第四集： 性別承認雙軌制")</f>
        <v>性別承認諮詢懶人包 第四集： 性別承認雙軌制</v>
      </c>
      <c r="E119" s="82">
        <v>43002.0</v>
      </c>
      <c r="F119" s="80">
        <v>477.0</v>
      </c>
      <c r="G119" s="80" t="s">
        <v>63</v>
      </c>
      <c r="I119" s="80" t="s">
        <v>63</v>
      </c>
      <c r="J119" s="80">
        <v>1907.0</v>
      </c>
      <c r="K119" s="80">
        <v>0.945932539682539</v>
      </c>
      <c r="L119" s="80" t="s">
        <v>64</v>
      </c>
    </row>
    <row r="120">
      <c r="A120" s="80" t="s">
        <v>61</v>
      </c>
      <c r="B120" s="81" t="str">
        <f>HYPERLINK("https://www.youtube.com/channel/UCJ4XVrJuqKHbc9yF9oUFseg", "MEeeep More")</f>
        <v>MEeeep More</v>
      </c>
      <c r="C120" s="80" t="s">
        <v>224</v>
      </c>
      <c r="D120" s="81" t="str">
        <f>HYPERLINK("https://youtube.com/watch?v=BKunQjmuZeo", "Nokia 3.4 千元入門機 三鏡支援超廣角及夜攝！2020抵買之選")</f>
        <v>Nokia 3.4 千元入門機 三鏡支援超廣角及夜攝！2020抵買之選</v>
      </c>
      <c r="E120" s="82">
        <v>44168.0</v>
      </c>
      <c r="F120" s="80">
        <v>145.0</v>
      </c>
      <c r="G120" s="80" t="s">
        <v>63</v>
      </c>
      <c r="I120" s="80" t="s">
        <v>63</v>
      </c>
      <c r="J120" s="80">
        <v>389.0</v>
      </c>
      <c r="K120" s="80">
        <v>0.731203007518797</v>
      </c>
      <c r="L120" s="80" t="s">
        <v>64</v>
      </c>
    </row>
    <row r="121">
      <c r="A121" s="80" t="s">
        <v>217</v>
      </c>
      <c r="B121" s="81" t="str">
        <f>HYPERLINK("https://www.youtube.com/channel/UCXKg0qPRz32bs5Z4mTGF3TQ", "Stormtrooper白兵")</f>
        <v>Stormtrooper白兵</v>
      </c>
      <c r="C121" s="80" t="s">
        <v>225</v>
      </c>
      <c r="D121" s="81" t="str">
        <f>HYPERLINK("https://youtube.com/watch?v=BL4_cYX5QQI", "[辯論教學]吸煙有害嗎？｜為什麼政府說為你健康著想而迫你打email戴面冚，但不從禁煙禁酒？｜「你只要證明別人是錯，你就是正確」？｜展示遊說的極致｜二元兩難誤導市民大眾？｜ 粵語中字")</f>
        <v>[辯論教學]吸煙有害嗎？｜為什麼政府說為你健康著想而迫你打email戴面冚，但不從禁煙禁酒？｜「你只要證明別人是錯，你就是正確」？｜展示遊說的極致｜二元兩難誤導市民大眾？｜ 粵語中字</v>
      </c>
      <c r="E121" s="82">
        <v>44476.0</v>
      </c>
      <c r="F121" s="80">
        <v>684.0</v>
      </c>
      <c r="G121" s="80" t="s">
        <v>63</v>
      </c>
      <c r="I121" s="80" t="s">
        <v>63</v>
      </c>
      <c r="J121" s="80">
        <v>2882.0</v>
      </c>
      <c r="K121" s="80">
        <v>0.858504617217754</v>
      </c>
      <c r="L121" s="80" t="s">
        <v>64</v>
      </c>
    </row>
    <row r="122">
      <c r="A122" s="80" t="s">
        <v>207</v>
      </c>
      <c r="B122" s="81" t="str">
        <f t="shared" ref="B122:B124" si="5">HYPERLINK("https://www.youtube.com/channel/UCMDQ0yBIh37t3Nm-mnMODCA", "麥兜Mcdull")</f>
        <v>麥兜Mcdull</v>
      </c>
      <c r="C122" s="80" t="s">
        <v>226</v>
      </c>
      <c r="D122" s="81" t="str">
        <f>HYPERLINK("https://youtube.com/watch?v=xGyMlVSE3G8", "《麥兜響噹噹》電影歌曲: 人細細")</f>
        <v>《麥兜響噹噹》電影歌曲: 人細細</v>
      </c>
      <c r="E122" s="82">
        <v>43846.0</v>
      </c>
      <c r="F122" s="80">
        <v>53.0</v>
      </c>
      <c r="G122" s="80" t="s">
        <v>63</v>
      </c>
      <c r="I122" s="80" t="s">
        <v>63</v>
      </c>
      <c r="J122" s="80">
        <v>85.0</v>
      </c>
      <c r="K122" s="80">
        <v>1.0</v>
      </c>
      <c r="L122" s="80" t="s">
        <v>64</v>
      </c>
    </row>
    <row r="123">
      <c r="A123" s="80" t="s">
        <v>207</v>
      </c>
      <c r="B123" s="81" t="str">
        <f t="shared" si="5"/>
        <v>麥兜Mcdull</v>
      </c>
      <c r="C123" s="80" t="s">
        <v>227</v>
      </c>
      <c r="D123" s="81" t="str">
        <f>HYPERLINK("https://youtube.com/watch?v=Vaf7c7bFm58", "《麥兜響噹噹》電影歌曲: 麥兜響噹噹")</f>
        <v>《麥兜響噹噹》電影歌曲: 麥兜響噹噹</v>
      </c>
      <c r="E123" s="82">
        <v>43846.0</v>
      </c>
      <c r="F123" s="80">
        <v>124.0</v>
      </c>
      <c r="G123" s="80" t="s">
        <v>63</v>
      </c>
      <c r="I123" s="80" t="s">
        <v>63</v>
      </c>
      <c r="J123" s="80">
        <v>98.0</v>
      </c>
      <c r="K123" s="80">
        <v>0.464454976303317</v>
      </c>
      <c r="L123" s="80" t="s">
        <v>64</v>
      </c>
    </row>
    <row r="124">
      <c r="A124" s="80" t="s">
        <v>207</v>
      </c>
      <c r="B124" s="81" t="str">
        <f t="shared" si="5"/>
        <v>麥兜Mcdull</v>
      </c>
      <c r="C124" s="80" t="s">
        <v>228</v>
      </c>
      <c r="D124" s="81" t="str">
        <f>HYPERLINK("https://youtube.com/watch?v=4F_5xz6gDng", "《麥兜響噹噹》電影歌曲: 月光光")</f>
        <v>《麥兜響噹噹》電影歌曲: 月光光</v>
      </c>
      <c r="E124" s="82">
        <v>43846.0</v>
      </c>
      <c r="F124" s="80">
        <v>126.0</v>
      </c>
      <c r="G124" s="80" t="s">
        <v>63</v>
      </c>
      <c r="I124" s="80" t="s">
        <v>63</v>
      </c>
      <c r="J124" s="80">
        <v>109.0</v>
      </c>
      <c r="K124" s="80">
        <v>0.908333333333333</v>
      </c>
      <c r="L124" s="80" t="s">
        <v>64</v>
      </c>
    </row>
    <row r="125">
      <c r="A125" s="80" t="s">
        <v>74</v>
      </c>
      <c r="B125" s="81" t="str">
        <f>HYPERLINK("https://www.youtube.com/channel/UCO_5XP-qd-udNxBlzzSzgvw", "Handline Fishing")</f>
        <v>Handline Fishing</v>
      </c>
      <c r="C125" s="80" t="s">
        <v>229</v>
      </c>
      <c r="D125" s="81" t="str">
        <f>HYPERLINK("https://youtube.com/watch?v=BSImfwVXtZQ", "#219 大西南，去邊樹最好呢? |『香港釣魚 : 艇釣』青衣油庫 {粵語旁白+中英文字幕}")</f>
        <v>#219 大西南，去邊樹最好呢? |『香港釣魚 : 艇釣』青衣油庫 {粵語旁白+中英文字幕}</v>
      </c>
      <c r="E125" s="82">
        <v>44370.0</v>
      </c>
      <c r="F125" s="80">
        <v>376.0</v>
      </c>
      <c r="G125" s="80" t="s">
        <v>63</v>
      </c>
      <c r="H125" s="80" t="s">
        <v>63</v>
      </c>
      <c r="I125" s="80" t="s">
        <v>63</v>
      </c>
      <c r="J125" s="80">
        <v>633.0</v>
      </c>
      <c r="K125" s="80">
        <v>0.957142857142857</v>
      </c>
      <c r="L125" s="80" t="s">
        <v>88</v>
      </c>
    </row>
    <row r="126">
      <c r="A126" s="80" t="s">
        <v>89</v>
      </c>
      <c r="B126" s="81" t="str">
        <f>HYPERLINK("https://www.youtube.com/channel/UClc7lRdOhLxh3orjosY1R7g", "三木大師")</f>
        <v>三木大師</v>
      </c>
      <c r="C126" s="80" t="s">
        <v>230</v>
      </c>
      <c r="D126" s="81" t="str">
        <f>HYPERLINK("https://youtube.com/watch?v=BTBK3QD24Bw", "科學證實你想的會成真 - 從心靈到物質的驚人創造力 | 廣東話/ 粵語 | 書評 | 讀書 | 書集")</f>
        <v>科學證實你想的會成真 - 從心靈到物質的驚人創造力 | 廣東話/ 粵語 | 書評 | 讀書 | 書集</v>
      </c>
      <c r="E126" s="82">
        <v>43987.0</v>
      </c>
      <c r="F126" s="80">
        <v>665.0</v>
      </c>
      <c r="G126" s="80" t="s">
        <v>63</v>
      </c>
      <c r="I126" s="80" t="s">
        <v>63</v>
      </c>
      <c r="J126" s="80">
        <v>2001.0</v>
      </c>
      <c r="K126" s="80">
        <v>0.983775811209439</v>
      </c>
      <c r="L126" s="80" t="s">
        <v>91</v>
      </c>
    </row>
    <row r="127">
      <c r="A127" s="80" t="s">
        <v>112</v>
      </c>
      <c r="B127" s="81" t="str">
        <f>HYPERLINK("https://www.youtube.com/channel/UCW_n_gfIv4HhRqCk8EnRhJA", "Happy Kongner")</f>
        <v>Happy Kongner</v>
      </c>
      <c r="C127" s="80" t="s">
        <v>231</v>
      </c>
      <c r="D127" s="81" t="str">
        <f>HYPERLINK("https://youtube.com/watch?v=BU5NbG4kzow", "「廣東話講西洋書法」字得其樂 The ABC of Western Calligraphy 鉛筆 Pencil")</f>
        <v>「廣東話講西洋書法」字得其樂 The ABC of Western Calligraphy 鉛筆 Pencil</v>
      </c>
      <c r="E127" s="82">
        <v>43327.0</v>
      </c>
      <c r="F127" s="80">
        <v>325.0</v>
      </c>
      <c r="G127" s="80" t="s">
        <v>63</v>
      </c>
      <c r="I127" s="80" t="s">
        <v>63</v>
      </c>
      <c r="J127" s="80">
        <v>996.0</v>
      </c>
      <c r="K127" s="80">
        <v>0.917972350230414</v>
      </c>
      <c r="L127" s="80" t="s">
        <v>64</v>
      </c>
    </row>
    <row r="128">
      <c r="A128" s="80" t="s">
        <v>129</v>
      </c>
      <c r="B128" s="81" t="str">
        <f>HYPERLINK("https://www.youtube.com/channel/UCBbTnorwzva0ZIMGW0ttwVA", "阿豬 Ah Ju")</f>
        <v>阿豬 Ah Ju</v>
      </c>
      <c r="C128" s="80" t="s">
        <v>232</v>
      </c>
      <c r="D128" s="81" t="str">
        <f>HYPERLINK("https://youtube.com/watch?v=BYVH4918qno", "移民外國買樓有咩費用 | 三百萬港元買到咩？英國，澳洲，加拿大")</f>
        <v>移民外國買樓有咩費用 | 三百萬港元買到咩？英國，澳洲，加拿大</v>
      </c>
      <c r="E128" s="82">
        <v>44031.0</v>
      </c>
      <c r="F128" s="80">
        <v>1342.0</v>
      </c>
      <c r="G128" s="80" t="s">
        <v>63</v>
      </c>
      <c r="I128" s="80" t="s">
        <v>63</v>
      </c>
      <c r="J128" s="80">
        <v>39.0</v>
      </c>
      <c r="K128" s="80">
        <v>0.722222222222222</v>
      </c>
      <c r="L128" s="80" t="s">
        <v>102</v>
      </c>
    </row>
    <row r="129">
      <c r="A129" s="80" t="s">
        <v>233</v>
      </c>
      <c r="B129" s="81" t="str">
        <f>HYPERLINK("https://www.youtube.com/channel/UCjL61vw5qtDQudezRnnv-ig", "rickolam1")</f>
        <v>rickolam1</v>
      </c>
      <c r="C129" s="80" t="s">
        <v>234</v>
      </c>
      <c r="D129" s="81" t="str">
        <f>HYPERLINK("https://youtube.com/watch?v=BZqKuYhJikk", "【真人show】五種喜歡你的徵兆・跑步著蛙鞋?!")</f>
        <v>【真人show】五種喜歡你的徵兆・跑步著蛙鞋?!</v>
      </c>
      <c r="E129" s="82">
        <v>42559.0</v>
      </c>
      <c r="F129" s="80">
        <v>413.0</v>
      </c>
      <c r="G129" s="80" t="s">
        <v>63</v>
      </c>
      <c r="H129" s="80" t="s">
        <v>63</v>
      </c>
      <c r="I129" s="80" t="s">
        <v>63</v>
      </c>
      <c r="J129" s="80">
        <v>1707.0</v>
      </c>
      <c r="K129" s="80">
        <v>0.952408589669181</v>
      </c>
      <c r="L129" s="80" t="s">
        <v>86</v>
      </c>
    </row>
    <row r="130">
      <c r="A130" s="80" t="s">
        <v>118</v>
      </c>
      <c r="B130" s="81" t="str">
        <f>HYPERLINK("https://www.youtube.com/channel/UCHrgHYFc5KShMJDZNsDZh4g", "BETHNI Y")</f>
        <v>BETHNI Y</v>
      </c>
      <c r="C130" s="80" t="s">
        <v>235</v>
      </c>
      <c r="D130" s="81" t="str">
        <f>HYPERLINK("https://youtube.com/watch?v=BafHg0K_7SE", "好美的頭飾 ＋ GIRLS NIGHT! [8-14 DEC 2016] | BethniVlogs")</f>
        <v>好美的頭飾 ＋ GIRLS NIGHT! [8-14 DEC 2016] | BethniVlogs</v>
      </c>
      <c r="E130" s="82">
        <v>42727.0</v>
      </c>
      <c r="F130" s="80">
        <v>822.0</v>
      </c>
      <c r="G130" s="80" t="s">
        <v>63</v>
      </c>
      <c r="H130" s="80" t="s">
        <v>63</v>
      </c>
      <c r="I130" s="80" t="s">
        <v>63</v>
      </c>
      <c r="J130" s="80">
        <v>1227.0</v>
      </c>
      <c r="K130" s="80">
        <v>0.806176084099868</v>
      </c>
      <c r="L130" s="80" t="s">
        <v>236</v>
      </c>
    </row>
    <row r="131">
      <c r="A131" s="80" t="s">
        <v>96</v>
      </c>
      <c r="B131" s="81" t="str">
        <f>HYPERLINK("https://www.youtube.com/channel/UCGtyHJ-L_4RDIHe3XaLofQQ", "Anson Cheung")</f>
        <v>Anson Cheung</v>
      </c>
      <c r="C131" s="80" t="s">
        <v>237</v>
      </c>
      <c r="D131" s="81" t="str">
        <f>HYPERLINK("https://youtube.com/watch?v=Bhcdj-nP7zA", "Samsung Galaxy A52 5G 評測 - 有驚有喜！但請不要期望太高｜Samsung A52 Review")</f>
        <v>Samsung Galaxy A52 5G 評測 - 有驚有喜！但請不要期望太高｜Samsung A52 Review</v>
      </c>
      <c r="E131" s="82">
        <v>44313.0</v>
      </c>
      <c r="F131" s="80">
        <v>815.0</v>
      </c>
      <c r="G131" s="80" t="s">
        <v>63</v>
      </c>
      <c r="I131" s="80" t="s">
        <v>63</v>
      </c>
      <c r="J131" s="80">
        <v>2814.0</v>
      </c>
      <c r="K131" s="80">
        <v>0.660718478516083</v>
      </c>
      <c r="L131" s="80" t="s">
        <v>64</v>
      </c>
    </row>
    <row r="132">
      <c r="A132" s="80" t="s">
        <v>238</v>
      </c>
      <c r="B132" s="81" t="str">
        <f>HYPERLINK("https://www.youtube.com/channel/UCSBkm4LwpgBmcA3MCtO8vqg", "Post76影音玩樂")</f>
        <v>Post76影音玩樂</v>
      </c>
      <c r="C132" s="80" t="s">
        <v>239</v>
      </c>
      <c r="D132" s="81" t="str">
        <f>HYPERLINK("https://youtube.com/watch?v=5_jlxS85F60", "Cambridge Audio EVO 系列 : 影音分家體驗方案＂返歸玩＂活動（全站遊戲｜附設cc字幕）【影音家訪】")</f>
        <v>Cambridge Audio EVO 系列 : 影音分家體驗方案＂返歸玩＂活動（全站遊戲｜附設cc字幕）【影音家訪】</v>
      </c>
      <c r="E132" s="82">
        <v>44533.0</v>
      </c>
      <c r="F132" s="80">
        <v>580.0</v>
      </c>
      <c r="G132" s="80" t="s">
        <v>63</v>
      </c>
      <c r="H132" s="80" t="s">
        <v>63</v>
      </c>
      <c r="I132" s="80" t="s">
        <v>63</v>
      </c>
      <c r="J132" s="80">
        <v>1774.0</v>
      </c>
      <c r="K132" s="80">
        <v>0.764601769911504</v>
      </c>
      <c r="L132" s="80" t="s">
        <v>240</v>
      </c>
    </row>
    <row r="133">
      <c r="A133" s="80" t="s">
        <v>112</v>
      </c>
      <c r="B133" s="81" t="str">
        <f>HYPERLINK("https://www.youtube.com/channel/UCW_n_gfIv4HhRqCk8EnRhJA", "Happy Kongner")</f>
        <v>Happy Kongner</v>
      </c>
      <c r="C133" s="80" t="s">
        <v>241</v>
      </c>
      <c r="D133" s="81" t="str">
        <f>HYPERLINK("https://youtube.com/watch?v=BiqFXJO9U_Y", "出爾反爾！Lebron James 引爆公關災難！ [美帝的籃球 第四季]")</f>
        <v>出爾反爾！Lebron James 引爆公關災難！ [美帝的籃球 第四季]</v>
      </c>
      <c r="E133" s="82">
        <v>43757.0</v>
      </c>
      <c r="F133" s="80">
        <v>2340.0</v>
      </c>
      <c r="G133" s="80" t="s">
        <v>63</v>
      </c>
      <c r="I133" s="80" t="s">
        <v>63</v>
      </c>
      <c r="J133" s="80">
        <v>11443.0</v>
      </c>
      <c r="K133" s="80">
        <v>0.799762370701705</v>
      </c>
      <c r="L133" s="80" t="s">
        <v>64</v>
      </c>
    </row>
    <row r="134">
      <c r="A134" s="80" t="s">
        <v>242</v>
      </c>
      <c r="B134" s="81" t="str">
        <f>HYPERLINK("https://www.youtube.com/channel/UCZGVB6g74LXWtkR3fX50ykg", "Edwin H.")</f>
        <v>Edwin H.</v>
      </c>
      <c r="C134" s="80" t="s">
        <v>243</v>
      </c>
      <c r="D134" s="81" t="str">
        <f>HYPERLINK("https://youtube.com/watch?v=21Lns6go9fo", "【中文教學】iOS 12.4 越獄 Jailbreak  改機 + 必定下載Tweaks插件 【不須電腦】")</f>
        <v>【中文教學】iOS 12.4 越獄 Jailbreak  改機 + 必定下載Tweaks插件 【不須電腦】</v>
      </c>
      <c r="E134" s="82">
        <v>43700.0</v>
      </c>
      <c r="F134" s="80">
        <v>601.0</v>
      </c>
      <c r="G134" s="80" t="s">
        <v>63</v>
      </c>
      <c r="I134" s="80" t="s">
        <v>63</v>
      </c>
      <c r="J134" s="80">
        <v>1661.0</v>
      </c>
      <c r="K134" s="80">
        <v>0.656781336496639</v>
      </c>
      <c r="L134" s="80" t="s">
        <v>64</v>
      </c>
    </row>
    <row r="135">
      <c r="A135" s="80" t="s">
        <v>207</v>
      </c>
      <c r="B135" s="81" t="str">
        <f>HYPERLINK("https://www.youtube.com/channel/UCMDQ0yBIh37t3Nm-mnMODCA", "麥兜Mcdull")</f>
        <v>麥兜Mcdull</v>
      </c>
      <c r="C135" s="80" t="s">
        <v>244</v>
      </c>
      <c r="D135" s="81" t="str">
        <f>HYPERLINK("https://youtube.com/watch?v=28SJdFF5TOk", "《麥兜菠蘿油王子》電影歌曲: 教我如何去小便")</f>
        <v>《麥兜菠蘿油王子》電影歌曲: 教我如何去小便</v>
      </c>
      <c r="E135" s="82">
        <v>43839.0</v>
      </c>
      <c r="F135" s="80">
        <v>139.0</v>
      </c>
      <c r="G135" s="80" t="s">
        <v>63</v>
      </c>
      <c r="I135" s="80" t="s">
        <v>63</v>
      </c>
      <c r="J135" s="80">
        <v>304.0</v>
      </c>
      <c r="K135" s="80">
        <v>1.0</v>
      </c>
      <c r="L135" s="80" t="s">
        <v>64</v>
      </c>
    </row>
    <row r="136">
      <c r="A136" s="80" t="s">
        <v>245</v>
      </c>
      <c r="B136" s="81" t="str">
        <f>HYPERLINK("https://www.youtube.com/channel/UCkZ3cOWgnhJheCK7Ywpiezw", "Eagen Kao")</f>
        <v>Eagen Kao</v>
      </c>
      <c r="C136" s="80" t="s">
        <v>246</v>
      </c>
      <c r="D136" s="81" t="str">
        <f>HYPERLINK("https://youtube.com/watch?v=5a_opnQif_g", "[講TECH] TOFU MARU Traveller Bundle 快速開箱 | Gadget評測 [廣東話]")</f>
        <v>[講TECH] TOFU MARU Traveller Bundle 快速開箱 | Gadget評測 [廣東話]</v>
      </c>
      <c r="E136" s="82">
        <v>44416.0</v>
      </c>
      <c r="F136" s="80">
        <v>457.0</v>
      </c>
      <c r="G136" s="80" t="s">
        <v>63</v>
      </c>
      <c r="H136" s="80" t="s">
        <v>63</v>
      </c>
      <c r="I136" s="80" t="s">
        <v>63</v>
      </c>
      <c r="J136" s="80">
        <v>1502.0</v>
      </c>
      <c r="K136" s="80">
        <v>0.810374639769452</v>
      </c>
      <c r="L136" s="80" t="s">
        <v>120</v>
      </c>
    </row>
    <row r="137">
      <c r="A137" s="80" t="s">
        <v>207</v>
      </c>
      <c r="B137" s="81" t="str">
        <f>HYPERLINK("https://www.youtube.com/channel/UCMDQ0yBIh37t3Nm-mnMODCA", "麥兜Mcdull")</f>
        <v>麥兜Mcdull</v>
      </c>
      <c r="C137" s="80" t="s">
        <v>247</v>
      </c>
      <c r="D137" s="81" t="str">
        <f>HYPERLINK("https://youtube.com/watch?v=xr4st1JFd6Q", "《麥兜菠蘿油王子》電影歌曲: 咁咁咁")</f>
        <v>《麥兜菠蘿油王子》電影歌曲: 咁咁咁</v>
      </c>
      <c r="E137" s="82">
        <v>43839.0</v>
      </c>
      <c r="F137" s="80">
        <v>130.0</v>
      </c>
      <c r="G137" s="80" t="s">
        <v>63</v>
      </c>
      <c r="I137" s="80" t="s">
        <v>63</v>
      </c>
      <c r="J137" s="80">
        <v>280.0</v>
      </c>
      <c r="K137" s="80">
        <v>0.809248554913294</v>
      </c>
      <c r="L137" s="80" t="s">
        <v>64</v>
      </c>
    </row>
    <row r="138">
      <c r="A138" s="80" t="s">
        <v>248</v>
      </c>
      <c r="B138" s="81" t="str">
        <f>HYPERLINK("https://www.youtube.com/channel/UCUEJok-GiWaGlv5nIPwk-GQ", "Price.com.hk 香港格價網")</f>
        <v>Price.com.hk 香港格價網</v>
      </c>
      <c r="C138" s="80" t="s">
        <v>249</v>
      </c>
      <c r="D138" s="81" t="str">
        <f>HYPERLINK("https://youtube.com/watch?v=5bBCGKNK4vE", "iPhone 13 駕到？！首批預載Windows 11手提電腦面世、aptX Lossless 無損格式料明年正式推出｜廣東話【Price Weekly #79 2021年9月 】")</f>
        <v>iPhone 13 駕到？！首批預載Windows 11手提電腦面世、aptX Lossless 無損格式料明年正式推出｜廣東話【Price Weekly #79 2021年9月 】</v>
      </c>
      <c r="E138" s="82">
        <v>44449.0</v>
      </c>
      <c r="F138" s="80">
        <v>563.0</v>
      </c>
      <c r="G138" s="80" t="s">
        <v>63</v>
      </c>
      <c r="I138" s="80" t="s">
        <v>63</v>
      </c>
      <c r="J138" s="80">
        <v>1802.0</v>
      </c>
      <c r="K138" s="80">
        <v>0.662013225569434</v>
      </c>
      <c r="L138" s="80" t="s">
        <v>64</v>
      </c>
    </row>
    <row r="139">
      <c r="A139" s="80" t="s">
        <v>207</v>
      </c>
      <c r="B139" s="81" t="str">
        <f t="shared" ref="B139:B140" si="6">HYPERLINK("https://www.youtube.com/channel/UCMDQ0yBIh37t3Nm-mnMODCA", "麥兜Mcdull")</f>
        <v>麥兜Mcdull</v>
      </c>
      <c r="C139" s="80" t="s">
        <v>250</v>
      </c>
      <c r="D139" s="81" t="str">
        <f>HYPERLINK("https://youtube.com/watch?v=VCTttbVpTCs", "《麥兜故事》電影歌曲: 一定得")</f>
        <v>《麥兜故事》電影歌曲: 一定得</v>
      </c>
      <c r="E139" s="82">
        <v>43832.0</v>
      </c>
      <c r="F139" s="80">
        <v>64.0</v>
      </c>
      <c r="G139" s="80" t="s">
        <v>63</v>
      </c>
      <c r="I139" s="80" t="s">
        <v>63</v>
      </c>
      <c r="J139" s="80">
        <v>166.0</v>
      </c>
      <c r="K139" s="80">
        <v>0.932584269662921</v>
      </c>
      <c r="L139" s="80" t="s">
        <v>64</v>
      </c>
    </row>
    <row r="140">
      <c r="A140" s="80" t="s">
        <v>207</v>
      </c>
      <c r="B140" s="81" t="str">
        <f t="shared" si="6"/>
        <v>麥兜Mcdull</v>
      </c>
      <c r="C140" s="80" t="s">
        <v>251</v>
      </c>
      <c r="D140" s="81" t="str">
        <f>HYPERLINK("https://youtube.com/watch?v=0oCP7nZhZJo", "《麥兜故事》電影歌曲: 麥兜與雞")</f>
        <v>《麥兜故事》電影歌曲: 麥兜與雞</v>
      </c>
      <c r="E140" s="82">
        <v>43825.0</v>
      </c>
      <c r="F140" s="80">
        <v>91.0</v>
      </c>
      <c r="G140" s="80" t="s">
        <v>63</v>
      </c>
      <c r="I140" s="80" t="s">
        <v>63</v>
      </c>
      <c r="J140" s="80">
        <v>165.0</v>
      </c>
      <c r="K140" s="80">
        <v>0.88235294117647</v>
      </c>
      <c r="L140" s="80" t="s">
        <v>64</v>
      </c>
    </row>
    <row r="141">
      <c r="A141" s="80" t="s">
        <v>252</v>
      </c>
      <c r="B141" s="81" t="str">
        <f>HYPERLINK("https://www.youtube.com/channel/UCrISkBm7rgsRUAw8018eWvw", "MoYung 慕容公子")</f>
        <v>MoYung 慕容公子</v>
      </c>
      <c r="C141" s="80" t="s">
        <v>253</v>
      </c>
      <c r="D141" s="81" t="str">
        <f>HYPERLINK("https://youtube.com/watch?v=BnI4Kk3Q3Ig", "慕容玩冰鳥 ! 底線痛腳Get！禾仔關係Up教學！[後製:BillHK]")</f>
        <v>慕容玩冰鳥 ! 底線痛腳Get！禾仔關係Up教學！[後製:BillHK]</v>
      </c>
      <c r="E141" s="82">
        <v>42761.0</v>
      </c>
      <c r="F141" s="80">
        <v>390.0</v>
      </c>
      <c r="G141" s="80" t="s">
        <v>63</v>
      </c>
      <c r="I141" s="80" t="s">
        <v>63</v>
      </c>
      <c r="J141" s="80">
        <v>290.0</v>
      </c>
      <c r="K141" s="80">
        <v>0.751295336787564</v>
      </c>
      <c r="L141" s="80" t="s">
        <v>64</v>
      </c>
    </row>
    <row r="142">
      <c r="A142" s="80" t="s">
        <v>207</v>
      </c>
      <c r="B142" s="81" t="str">
        <f t="shared" ref="B142:B143" si="7">HYPERLINK("https://www.youtube.com/channel/UCMDQ0yBIh37t3Nm-mnMODCA", "麥兜Mcdull")</f>
        <v>麥兜Mcdull</v>
      </c>
      <c r="C142" s="80" t="s">
        <v>254</v>
      </c>
      <c r="D142" s="81" t="str">
        <f>HYPERLINK("https://youtube.com/watch?v=4THNurN1yCg", "《麥兜故事》電影歌曲: 大包整多兩籠")</f>
        <v>《麥兜故事》電影歌曲: 大包整多兩籠</v>
      </c>
      <c r="E142" s="82">
        <v>43825.0</v>
      </c>
      <c r="F142" s="80">
        <v>66.0</v>
      </c>
      <c r="G142" s="80" t="s">
        <v>63</v>
      </c>
      <c r="I142" s="80" t="s">
        <v>63</v>
      </c>
      <c r="J142" s="80">
        <v>101.0</v>
      </c>
      <c r="K142" s="80">
        <v>1.0</v>
      </c>
      <c r="L142" s="80" t="s">
        <v>64</v>
      </c>
    </row>
    <row r="143">
      <c r="A143" s="80" t="s">
        <v>207</v>
      </c>
      <c r="B143" s="81" t="str">
        <f t="shared" si="7"/>
        <v>麥兜Mcdull</v>
      </c>
      <c r="C143" s="80" t="s">
        <v>255</v>
      </c>
      <c r="D143" s="81" t="str">
        <f>HYPERLINK("https://youtube.com/watch?v=nQdS8GycRt0", "《麥兜故事》電影歌曲: 噢聖誕樹")</f>
        <v>《麥兜故事》電影歌曲: 噢聖誕樹</v>
      </c>
      <c r="E143" s="82">
        <v>43821.0</v>
      </c>
      <c r="F143" s="80">
        <v>92.0</v>
      </c>
      <c r="G143" s="80" t="s">
        <v>63</v>
      </c>
      <c r="I143" s="80" t="s">
        <v>63</v>
      </c>
      <c r="J143" s="80">
        <v>123.0</v>
      </c>
      <c r="K143" s="80">
        <v>1.0</v>
      </c>
      <c r="L143" s="80" t="s">
        <v>64</v>
      </c>
    </row>
    <row r="144">
      <c r="A144" s="80" t="s">
        <v>248</v>
      </c>
      <c r="B144" s="81" t="str">
        <f>HYPERLINK("https://www.youtube.com/channel/UCUEJok-GiWaGlv5nIPwk-GQ", "Price.com.hk 香港格價網")</f>
        <v>Price.com.hk 香港格價網</v>
      </c>
      <c r="C144" s="80" t="s">
        <v>256</v>
      </c>
      <c r="D144" s="81" t="str">
        <f>HYPERLINK("https://youtube.com/watch?v=5cSlAjiAy88", "日本製Acoustune高階耳機HS2000MX 首見模組化單元設計｜杜拉鋁合金腔體｜全新ARS100系列耳機線｜特約專題【Price.com.hk產品評測】")</f>
        <v>日本製Acoustune高階耳機HS2000MX 首見模組化單元設計｜杜拉鋁合金腔體｜全新ARS100系列耳機線｜特約專題【Price.com.hk產品評測】</v>
      </c>
      <c r="E144" s="82">
        <v>44413.0</v>
      </c>
      <c r="F144" s="80">
        <v>368.0</v>
      </c>
      <c r="G144" s="80" t="s">
        <v>63</v>
      </c>
      <c r="I144" s="80" t="s">
        <v>63</v>
      </c>
      <c r="J144" s="80">
        <v>1230.0</v>
      </c>
      <c r="K144" s="80">
        <v>0.804973821989528</v>
      </c>
      <c r="L144" s="80" t="s">
        <v>64</v>
      </c>
    </row>
    <row r="145">
      <c r="A145" s="80" t="s">
        <v>257</v>
      </c>
      <c r="B145" s="81" t="str">
        <f>HYPERLINK("https://www.youtube.com/channel/UC1u7XM2b3QCHcGOhD6nDypg", "Poopstirrer")</f>
        <v>Poopstirrer</v>
      </c>
      <c r="C145" s="80" t="s">
        <v>258</v>
      </c>
      <c r="D145" s="81" t="str">
        <f>HYPERLINK("https://youtube.com/watch?v=5dolUb6YP7o", "你瞞我瞞！一人一字合唱挑戰！！（好Ｌ難）！")</f>
        <v>你瞞我瞞！一人一字合唱挑戰！！（好Ｌ難）！</v>
      </c>
      <c r="E145" s="82">
        <v>42799.0</v>
      </c>
      <c r="F145" s="80">
        <v>170.0</v>
      </c>
      <c r="G145" s="80" t="s">
        <v>63</v>
      </c>
      <c r="I145" s="80" t="s">
        <v>63</v>
      </c>
      <c r="J145" s="80">
        <v>264.0</v>
      </c>
      <c r="K145" s="80">
        <v>0.814814814814814</v>
      </c>
      <c r="L145" s="80" t="s">
        <v>64</v>
      </c>
    </row>
    <row r="146">
      <c r="A146" s="80" t="s">
        <v>74</v>
      </c>
      <c r="B146" s="81" t="str">
        <f>HYPERLINK("https://www.youtube.com/channel/UCO_5XP-qd-udNxBlzzSzgvw", "Handline Fishing")</f>
        <v>Handline Fishing</v>
      </c>
      <c r="C146" s="80" t="s">
        <v>259</v>
      </c>
      <c r="D146" s="81" t="str">
        <f>HYPERLINK("https://youtube.com/watch?v=Br5RtZEFiaM", "#231 青斑天后 x 黃腳之神 聯乘 | 香港釣魚 | 艇釣 | 維港 {粵語旁白+中英文字幕}")</f>
        <v>#231 青斑天后 x 黃腳之神 聯乘 | 香港釣魚 | 艇釣 | 維港 {粵語旁白+中英文字幕}</v>
      </c>
      <c r="E146" s="82">
        <v>44420.0</v>
      </c>
      <c r="F146" s="80">
        <v>488.0</v>
      </c>
      <c r="G146" s="80" t="s">
        <v>63</v>
      </c>
      <c r="H146" s="80" t="s">
        <v>63</v>
      </c>
      <c r="I146" s="80" t="s">
        <v>63</v>
      </c>
      <c r="J146" s="80">
        <v>584.0</v>
      </c>
      <c r="K146" s="80">
        <v>0.970099667774086</v>
      </c>
      <c r="L146" s="80" t="s">
        <v>88</v>
      </c>
    </row>
    <row r="147">
      <c r="A147" s="80" t="s">
        <v>260</v>
      </c>
      <c r="B147" s="81" t="str">
        <f>HYPERLINK("https://www.youtube.com/channel/UC-HXOikkLx7BGEfILGIpYOg", "港短 . 英移")</f>
        <v>港短 . 英移</v>
      </c>
      <c r="C147" s="80" t="s">
        <v>261</v>
      </c>
      <c r="D147" s="81" t="str">
        <f>HYPERLINK("https://youtube.com/watch?v=Buj0eaDoDwI", "18萬人確診下過傳統聖誕🎅祝大家聖誕及新年快樂🎄⛄身體健康🏃💪Mince Pie🥧Mulled Wine🍷Hyde Park聖誕市集⛄港短.英移 #HongKonger#英國聖誕#英國香港人")</f>
        <v>18萬人確診下過傳統聖誕🎅祝大家聖誕及新年快樂🎄⛄身體健康🏃💪Mince Pie🥧Mulled Wine🍷Hyde Park聖誕市集⛄港短.英移 #HongKonger#英國聖誕#英國香港人</v>
      </c>
      <c r="E147" s="82">
        <v>44553.0</v>
      </c>
      <c r="F147" s="80">
        <v>340.0</v>
      </c>
      <c r="G147" s="80" t="s">
        <v>63</v>
      </c>
      <c r="I147" s="80" t="s">
        <v>63</v>
      </c>
      <c r="J147" s="80">
        <v>1107.0</v>
      </c>
      <c r="K147" s="80">
        <v>0.803921568627451</v>
      </c>
      <c r="L147" s="80" t="s">
        <v>102</v>
      </c>
    </row>
    <row r="148">
      <c r="A148" s="80" t="s">
        <v>61</v>
      </c>
      <c r="B148" s="81" t="str">
        <f t="shared" ref="B148:B149" si="8">HYPERLINK("https://www.youtube.com/channel/UCJ4XVrJuqKHbc9yF9oUFseg", "MEeeep More")</f>
        <v>MEeeep More</v>
      </c>
      <c r="C148" s="80" t="s">
        <v>262</v>
      </c>
      <c r="D148" s="81" t="str">
        <f>HYPERLINK("https://youtube.com/watch?v=BxDN1B1S95Q", "Honor Watch ES 開箱評測 | 高性價比智能手錶 $600都唔駛 健身課程變動畫 跟住做冇難度 | 榮耀手錶香港 honor watch es評測")</f>
        <v>Honor Watch ES 開箱評測 | 高性價比智能手錶 $600都唔駛 健身課程變動畫 跟住做冇難度 | 榮耀手錶香港 honor watch es評測</v>
      </c>
      <c r="E148" s="82">
        <v>44388.0</v>
      </c>
      <c r="F148" s="80">
        <v>165.0</v>
      </c>
      <c r="G148" s="80" t="s">
        <v>63</v>
      </c>
      <c r="I148" s="80" t="s">
        <v>63</v>
      </c>
      <c r="J148" s="80">
        <v>466.0</v>
      </c>
      <c r="K148" s="80">
        <v>0.715821812596006</v>
      </c>
      <c r="L148" s="80" t="s">
        <v>64</v>
      </c>
    </row>
    <row r="149">
      <c r="A149" s="80" t="s">
        <v>61</v>
      </c>
      <c r="B149" s="81" t="str">
        <f t="shared" si="8"/>
        <v>MEeeep More</v>
      </c>
      <c r="C149" s="80" t="s">
        <v>263</v>
      </c>
      <c r="D149" s="81" t="str">
        <f>HYPERLINK("https://youtube.com/watch?v=ByyNDCiIEPI", "小米 12 Pro 強勢出現 ! 搭載最強處理器 問鼎2022年最高性價比手機? | 小米12 pro评测 xiaomi 12")</f>
        <v>小米 12 Pro 強勢出現 ! 搭載最強處理器 問鼎2022年最高性價比手機? | 小米12 pro评测 xiaomi 12</v>
      </c>
      <c r="E149" s="82">
        <v>44559.0</v>
      </c>
      <c r="F149" s="80">
        <v>188.0</v>
      </c>
      <c r="G149" s="80" t="s">
        <v>63</v>
      </c>
      <c r="I149" s="80" t="s">
        <v>63</v>
      </c>
      <c r="J149" s="80">
        <v>489.0</v>
      </c>
      <c r="K149" s="80">
        <v>0.771293375394321</v>
      </c>
      <c r="L149" s="80" t="s">
        <v>64</v>
      </c>
    </row>
    <row r="150">
      <c r="A150" s="80" t="s">
        <v>74</v>
      </c>
      <c r="B150" s="81" t="str">
        <f>HYPERLINK("https://www.youtube.com/channel/UCO_5XP-qd-udNxBlzzSzgvw", "Handline Fishing")</f>
        <v>Handline Fishing</v>
      </c>
      <c r="C150" s="80" t="s">
        <v>264</v>
      </c>
      <c r="D150" s="81" t="str">
        <f>HYPERLINK("https://youtube.com/watch?v=C-094zmOpNo", "#196 跟我一齊去銅鑼灣避風塘 | 『香港釣魚 : 岸釣』銅鑼灣石駁 【MasterTool  戶外用品】")</f>
        <v>#196 跟我一齊去銅鑼灣避風塘 | 『香港釣魚 : 岸釣』銅鑼灣石駁 【MasterTool  戶外用品】</v>
      </c>
      <c r="E150" s="82">
        <v>44274.0</v>
      </c>
      <c r="F150" s="80">
        <v>336.0</v>
      </c>
      <c r="G150" s="80" t="s">
        <v>63</v>
      </c>
      <c r="H150" s="80" t="s">
        <v>63</v>
      </c>
      <c r="I150" s="80" t="s">
        <v>63</v>
      </c>
      <c r="J150" s="80">
        <v>797.0</v>
      </c>
      <c r="K150" s="80">
        <v>0.9890625</v>
      </c>
      <c r="L150" s="80" t="s">
        <v>88</v>
      </c>
    </row>
    <row r="151">
      <c r="A151" s="80" t="s">
        <v>61</v>
      </c>
      <c r="B151" s="81" t="str">
        <f>HYPERLINK("https://www.youtube.com/channel/UCJ4XVrJuqKHbc9yF9oUFseg", "MEeeep More")</f>
        <v>MEeeep More</v>
      </c>
      <c r="C151" s="80" t="s">
        <v>265</v>
      </c>
      <c r="D151" s="81" t="str">
        <f>HYPERLINK("https://youtube.com/watch?v=C0yvFQoaZ14", "AirTag Apple物件追蹤器 | 輕鬆追蹤物品實時位置 加密保護位置資訊 NFC顯示物主通知方式 | airtag 功能 apple 2021 spring event")</f>
        <v>AirTag Apple物件追蹤器 | 輕鬆追蹤物品實時位置 加密保護位置資訊 NFC顯示物主通知方式 | airtag 功能 apple 2021 spring event</v>
      </c>
      <c r="E151" s="82">
        <v>44314.0</v>
      </c>
      <c r="F151" s="80">
        <v>155.0</v>
      </c>
      <c r="G151" s="80" t="s">
        <v>63</v>
      </c>
      <c r="I151" s="80" t="s">
        <v>63</v>
      </c>
      <c r="J151" s="80">
        <v>440.0</v>
      </c>
      <c r="K151" s="80">
        <v>0.72013093289689</v>
      </c>
      <c r="L151" s="80" t="s">
        <v>64</v>
      </c>
    </row>
    <row r="152">
      <c r="A152" s="80" t="s">
        <v>74</v>
      </c>
      <c r="B152" s="81" t="str">
        <f>HYPERLINK("https://www.youtube.com/channel/UCO_5XP-qd-udNxBlzzSzgvw", "Handline Fishing")</f>
        <v>Handline Fishing</v>
      </c>
      <c r="C152" s="80" t="s">
        <v>266</v>
      </c>
      <c r="D152" s="81" t="str">
        <f>HYPERLINK("https://youtube.com/watch?v=C1Jujqu4S6Q", "#261 體驗維港釣魚傳統生活 | 基哥 | 香港釣魚 | 艇釣 | 維港 {粵語旁白+中英文字幕}")</f>
        <v>#261 體驗維港釣魚傳統生活 | 基哥 | 香港釣魚 | 艇釣 | 維港 {粵語旁白+中英文字幕}</v>
      </c>
      <c r="E152" s="82">
        <v>44552.0</v>
      </c>
      <c r="F152" s="80">
        <v>445.0</v>
      </c>
      <c r="G152" s="80" t="s">
        <v>63</v>
      </c>
      <c r="H152" s="80" t="s">
        <v>63</v>
      </c>
      <c r="I152" s="80" t="s">
        <v>63</v>
      </c>
      <c r="J152" s="80">
        <v>331.0</v>
      </c>
      <c r="K152" s="80">
        <v>0.951149425287356</v>
      </c>
      <c r="L152" s="80" t="s">
        <v>88</v>
      </c>
    </row>
    <row r="153">
      <c r="A153" s="80" t="s">
        <v>267</v>
      </c>
      <c r="B153" s="81" t="str">
        <f>HYPERLINK("https://www.youtube.com/channel/UCcrhFT95jH5XqVVPyBhRbrA", "JFFT")</f>
        <v>JFFT</v>
      </c>
      <c r="C153" s="80" t="s">
        <v>268</v>
      </c>
      <c r="D153" s="81" t="str">
        <f>HYPERLINK("https://youtube.com/watch?v=C2Wcf3qX9OI", "[笑談講粗口]第七集－你冇撚野呀？")</f>
        <v>[笑談講粗口]第七集－你冇撚野呀？</v>
      </c>
      <c r="E153" s="82">
        <v>43000.0</v>
      </c>
      <c r="F153" s="80">
        <v>307.0</v>
      </c>
      <c r="G153" s="80" t="s">
        <v>63</v>
      </c>
      <c r="I153" s="80" t="s">
        <v>63</v>
      </c>
      <c r="J153" s="80">
        <v>855.0</v>
      </c>
      <c r="K153" s="80">
        <v>0.849056603773584</v>
      </c>
      <c r="L153" s="80" t="s">
        <v>64</v>
      </c>
    </row>
    <row r="154">
      <c r="A154" s="80" t="s">
        <v>61</v>
      </c>
      <c r="B154" s="81" t="str">
        <f>HYPERLINK("https://www.youtube.com/channel/UCJ4XVrJuqKHbc9yF9oUFseg", "MEeeep More")</f>
        <v>MEeeep More</v>
      </c>
      <c r="C154" s="80" t="s">
        <v>269</v>
      </c>
      <c r="D154" s="81" t="str">
        <f>HYPERLINK("https://youtube.com/watch?v=CDokbW9Rq4A", "Nokia X10 5G | 二千幾支援 5G + 蔡司認證四鏡頭 高性價比不二之選 | x105g nokia g20 zeiss phone")</f>
        <v>Nokia X10 5G | 二千幾支援 5G + 蔡司認證四鏡頭 高性價比不二之選 | x105g nokia g20 zeiss phone</v>
      </c>
      <c r="E154" s="82">
        <v>44358.0</v>
      </c>
      <c r="F154" s="80">
        <v>129.0</v>
      </c>
      <c r="G154" s="80" t="s">
        <v>63</v>
      </c>
      <c r="I154" s="80" t="s">
        <v>63</v>
      </c>
      <c r="J154" s="80">
        <v>301.0</v>
      </c>
      <c r="K154" s="80">
        <v>0.657205240174672</v>
      </c>
      <c r="L154" s="80" t="s">
        <v>64</v>
      </c>
    </row>
    <row r="155">
      <c r="A155" s="80" t="s">
        <v>74</v>
      </c>
      <c r="B155" s="81" t="str">
        <f>HYPERLINK("https://www.youtube.com/channel/UCO_5XP-qd-udNxBlzzSzgvw", "Handline Fishing")</f>
        <v>Handline Fishing</v>
      </c>
      <c r="C155" s="80" t="s">
        <v>270</v>
      </c>
      <c r="D155" s="81" t="str">
        <f>HYPERLINK("https://youtube.com/watch?v=CG7kakqp21s", "#185 散團釣魚的體驗日 | 『香港釣魚 : 艇釣』索罟群島 {粵語旁白+中英文字幕}")</f>
        <v>#185 散團釣魚的體驗日 | 『香港釣魚 : 艇釣』索罟群島 {粵語旁白+中英文字幕}</v>
      </c>
      <c r="E155" s="82">
        <v>44225.0</v>
      </c>
      <c r="F155" s="80">
        <v>382.0</v>
      </c>
      <c r="G155" s="80" t="s">
        <v>63</v>
      </c>
      <c r="I155" s="80" t="s">
        <v>63</v>
      </c>
      <c r="J155" s="80">
        <v>980.0</v>
      </c>
      <c r="K155" s="80">
        <v>0.957966764418377</v>
      </c>
      <c r="L155" s="80" t="s">
        <v>271</v>
      </c>
    </row>
    <row r="156">
      <c r="A156" s="80" t="s">
        <v>217</v>
      </c>
      <c r="B156" s="81" t="str">
        <f>HYPERLINK("https://www.youtube.com/channel/UCXKg0qPRz32bs5Z4mTGF3TQ", "Stormtrooper白兵")</f>
        <v>Stormtrooper白兵</v>
      </c>
      <c r="C156" s="80" t="s">
        <v>272</v>
      </c>
      <c r="D156" s="81" t="str">
        <f>HYPERLINK("https://youtube.com/watch?v=CGtR-ARGBHI", "［中國騙局］中共如何勾結華爾街？銀行家、律師、核數師全面崩潰，連奧巴馬都係幫兇？分析2018年最重要紀錄片《The China Hustle》，保住你既財產同埋退休金！")</f>
        <v>［中國騙局］中共如何勾結華爾街？銀行家、律師、核數師全面崩潰，連奧巴馬都係幫兇？分析2018年最重要紀錄片《The China Hustle》，保住你既財產同埋退休金！</v>
      </c>
      <c r="E156" s="82">
        <v>44084.0</v>
      </c>
      <c r="F156" s="80">
        <v>845.0</v>
      </c>
      <c r="G156" s="80" t="s">
        <v>63</v>
      </c>
      <c r="I156" s="80" t="s">
        <v>63</v>
      </c>
      <c r="J156" s="80">
        <v>3349.0</v>
      </c>
      <c r="K156" s="80">
        <v>0.878541448058761</v>
      </c>
      <c r="L156" s="80" t="s">
        <v>64</v>
      </c>
    </row>
    <row r="157">
      <c r="A157" s="80" t="s">
        <v>61</v>
      </c>
      <c r="B157" s="81" t="str">
        <f>HYPERLINK("https://www.youtube.com/channel/UCJ4XVrJuqKHbc9yF9oUFseg", "MEeeep More")</f>
        <v>MEeeep More</v>
      </c>
      <c r="C157" s="80" t="s">
        <v>273</v>
      </c>
      <c r="D157" s="81" t="str">
        <f>HYPERLINK("https://youtube.com/watch?v=CKeatjaKQ94", "【吉隆坡美食2020】 呢間瓦煲雞飯大不同！慢火煮入味又好食！168餐室 168瓦煲雞飯 Pudu")</f>
        <v>【吉隆坡美食2020】 呢間瓦煲雞飯大不同！慢火煮入味又好食！168餐室 168瓦煲雞飯 Pudu</v>
      </c>
      <c r="E157" s="82">
        <v>43871.0</v>
      </c>
      <c r="F157" s="80">
        <v>187.0</v>
      </c>
      <c r="G157" s="80" t="s">
        <v>63</v>
      </c>
      <c r="I157" s="80" t="s">
        <v>63</v>
      </c>
      <c r="J157" s="80">
        <v>503.0</v>
      </c>
      <c r="K157" s="80">
        <v>0.88556338028169</v>
      </c>
      <c r="L157" s="80" t="s">
        <v>64</v>
      </c>
    </row>
    <row r="158">
      <c r="A158" s="80" t="s">
        <v>274</v>
      </c>
      <c r="B158" s="81" t="str">
        <f>HYPERLINK("https://www.youtube.com/channel/UC2oB9QCXs-RKtaKChrz4dKg", "MtzCherry")</f>
        <v>MtzCherry</v>
      </c>
      <c r="C158" s="80" t="s">
        <v>275</v>
      </c>
      <c r="D158" s="81" t="str">
        <f>HYPERLINK("https://youtube.com/watch?v=CMznNNtoSXc", "🇩🇰 哥本哈根嘅剩食超級市場?! 😱 WeFood Supermarket in Copenhagen")</f>
        <v>🇩🇰 哥本哈根嘅剩食超級市場?! 😱 WeFood Supermarket in Copenhagen</v>
      </c>
      <c r="E158" s="82">
        <v>43253.0</v>
      </c>
      <c r="F158" s="80">
        <v>230.0</v>
      </c>
      <c r="G158" s="80" t="s">
        <v>63</v>
      </c>
      <c r="H158" s="80" t="s">
        <v>63</v>
      </c>
      <c r="I158" s="80" t="s">
        <v>63</v>
      </c>
      <c r="J158" s="80">
        <v>34.0</v>
      </c>
      <c r="K158" s="80">
        <v>0.629629629629629</v>
      </c>
      <c r="L158" s="80" t="s">
        <v>276</v>
      </c>
    </row>
    <row r="159">
      <c r="A159" s="80" t="s">
        <v>96</v>
      </c>
      <c r="B159" s="81" t="str">
        <f>HYPERLINK("https://www.youtube.com/channel/UCGtyHJ-L_4RDIHe3XaLofQQ", "Anson Cheung")</f>
        <v>Anson Cheung</v>
      </c>
      <c r="C159" s="80" t="s">
        <v>277</v>
      </c>
      <c r="D159" s="81" t="str">
        <f>HYPERLINK("https://youtube.com/watch?v=CO3yBedryiE", "SAMSUNG Galaxy Note 20 係一部令我百思不解嘅手機 - Samsung Galaxy Note 20/Note 20 Ultra 功能重點解說｜紙上談兵 Ep.2")</f>
        <v>SAMSUNG Galaxy Note 20 係一部令我百思不解嘅手機 - Samsung Galaxy Note 20/Note 20 Ultra 功能重點解說｜紙上談兵 Ep.2</v>
      </c>
      <c r="E159" s="82">
        <v>44049.0</v>
      </c>
      <c r="F159" s="80">
        <v>542.0</v>
      </c>
      <c r="G159" s="80" t="s">
        <v>63</v>
      </c>
      <c r="I159" s="80" t="s">
        <v>63</v>
      </c>
      <c r="J159" s="80">
        <v>1655.0</v>
      </c>
      <c r="K159" s="80">
        <v>0.660151575588352</v>
      </c>
      <c r="L159" s="80" t="s">
        <v>64</v>
      </c>
    </row>
    <row r="160">
      <c r="A160" s="80" t="s">
        <v>278</v>
      </c>
      <c r="B160" s="81" t="str">
        <f>HYPERLINK("https://www.youtube.com/channel/UCDoEdJo-PI-EKGNKomwLroQ", "mingjai14")</f>
        <v>mingjai14</v>
      </c>
      <c r="C160" s="80" t="s">
        <v>279</v>
      </c>
      <c r="D160" s="81" t="str">
        <f>HYPERLINK("https://youtube.com/watch?v=CRJ0jyl5EZE", "潛入非洲野生動物家園｜非南非旅2｜Ep 6")</f>
        <v>潛入非洲野生動物家園｜非南非旅2｜Ep 6</v>
      </c>
      <c r="E160" s="82">
        <v>42942.0</v>
      </c>
      <c r="F160" s="80">
        <v>700.0</v>
      </c>
      <c r="G160" s="80" t="s">
        <v>63</v>
      </c>
      <c r="I160" s="80" t="s">
        <v>63</v>
      </c>
      <c r="J160" s="80">
        <v>1626.0</v>
      </c>
      <c r="K160" s="80">
        <v>0.615209988649262</v>
      </c>
      <c r="L160" s="80" t="s">
        <v>64</v>
      </c>
    </row>
    <row r="161">
      <c r="A161" s="80" t="s">
        <v>140</v>
      </c>
      <c r="B161" s="81" t="str">
        <f>HYPERLINK("https://www.youtube.com/channel/UCHK0CZf9HEXs42qIO1GUouA", "TechiCardia")</f>
        <v>TechiCardia</v>
      </c>
      <c r="C161" s="80" t="s">
        <v>280</v>
      </c>
      <c r="D161" s="81" t="str">
        <f>HYPERLINK("https://youtube.com/watch?v=CVXyNbosKJE", "Nanoleaf Shapes 智能燈板試玩簡評！又睇得又玩得，但拍片用就要注意！YouTuber 必備RGB燈板？//4K 【TechiCardia】[CC廣東話字幕]")</f>
        <v>Nanoleaf Shapes 智能燈板試玩簡評！又睇得又玩得，但拍片用就要注意！YouTuber 必備RGB燈板？//4K 【TechiCardia】[CC廣東話字幕]</v>
      </c>
      <c r="E161" s="82">
        <v>44373.0</v>
      </c>
      <c r="F161" s="80">
        <v>748.0</v>
      </c>
      <c r="G161" s="80" t="s">
        <v>63</v>
      </c>
      <c r="I161" s="80" t="s">
        <v>63</v>
      </c>
      <c r="J161" s="80">
        <v>2568.0</v>
      </c>
      <c r="K161" s="80">
        <v>0.766567164179104</v>
      </c>
      <c r="L161" s="80" t="s">
        <v>102</v>
      </c>
    </row>
    <row r="162">
      <c r="A162" s="80" t="s">
        <v>61</v>
      </c>
      <c r="B162" s="81" t="str">
        <f>HYPERLINK("https://www.youtube.com/channel/UCJ4XVrJuqKHbc9yF9oUFseg", "MEeeep More")</f>
        <v>MEeeep More</v>
      </c>
      <c r="C162" s="80" t="s">
        <v>281</v>
      </c>
      <c r="D162" s="81" t="str">
        <f>HYPERLINK("https://youtube.com/watch?v=C_rumeYevLk", "Nokia X-series G-series C-series 6款新機震撼登場 5G中階入門全方位包辦  nokiax20 nokia x10 g20nokia g10 C20 nokia c10")</f>
        <v>Nokia X-series G-series C-series 6款新機震撼登場 5G中階入門全方位包辦  nokiax20 nokia x10 g20nokia g10 C20 nokia c10</v>
      </c>
      <c r="E162" s="82">
        <v>44295.0</v>
      </c>
      <c r="F162" s="80">
        <v>229.0</v>
      </c>
      <c r="G162" s="80" t="s">
        <v>63</v>
      </c>
      <c r="I162" s="80" t="s">
        <v>63</v>
      </c>
      <c r="J162" s="80">
        <v>558.0</v>
      </c>
      <c r="K162" s="80">
        <v>0.658018867924528</v>
      </c>
      <c r="L162" s="80" t="s">
        <v>64</v>
      </c>
    </row>
    <row r="163">
      <c r="A163" s="80" t="s">
        <v>96</v>
      </c>
      <c r="B163" s="81" t="str">
        <f>HYPERLINK("https://www.youtube.com/channel/UCGtyHJ-L_4RDIHe3XaLofQQ", "Anson Cheung")</f>
        <v>Anson Cheung</v>
      </c>
      <c r="C163" s="80" t="s">
        <v>282</v>
      </c>
      <c r="D163" s="81" t="str">
        <f>HYPERLINK("https://youtube.com/watch?v=dQcG_cy3jNQ", "AC Weekly #4 - iPhone 8, iPhone X總整理，Pokeguide與MTR抄襲爭議")</f>
        <v>AC Weekly #4 - iPhone 8, iPhone X總整理，Pokeguide與MTR抄襲爭議</v>
      </c>
      <c r="E163" s="82">
        <v>42994.0</v>
      </c>
      <c r="F163" s="80">
        <v>656.0</v>
      </c>
      <c r="G163" s="80" t="s">
        <v>63</v>
      </c>
      <c r="I163" s="80" t="s">
        <v>63</v>
      </c>
      <c r="J163" s="80">
        <v>1897.0</v>
      </c>
      <c r="K163" s="80">
        <v>0.652787336545079</v>
      </c>
      <c r="L163" s="80" t="s">
        <v>64</v>
      </c>
    </row>
    <row r="164">
      <c r="A164" s="80" t="s">
        <v>283</v>
      </c>
      <c r="B164" s="81" t="str">
        <f>HYPERLINK("https://www.youtube.com/channel/UCN-lClAD0VW6OJMMa-kuy8A", "波仔 Boris")</f>
        <v>波仔 Boris</v>
      </c>
      <c r="C164" s="80" t="s">
        <v>284</v>
      </c>
      <c r="D164" s="81" t="str">
        <f>HYPERLINK("https://youtube.com/watch?v=bNpgwmM2pFQ", "【波仔家姐Q&amp;A】 同家姐一齊沖涼唔尷尬！？ 最赤裸既問答！")</f>
        <v>【波仔家姐Q&amp;A】 同家姐一齊沖涼唔尷尬！？ 最赤裸既問答！</v>
      </c>
      <c r="E164" s="82">
        <v>43263.0</v>
      </c>
      <c r="F164" s="80">
        <v>873.0</v>
      </c>
      <c r="G164" s="80" t="s">
        <v>63</v>
      </c>
      <c r="I164" s="80" t="s">
        <v>63</v>
      </c>
      <c r="J164" s="80">
        <v>2896.0</v>
      </c>
      <c r="K164" s="80">
        <v>0.915007898894154</v>
      </c>
      <c r="L164" s="80" t="s">
        <v>64</v>
      </c>
    </row>
    <row r="165">
      <c r="A165" s="80" t="s">
        <v>285</v>
      </c>
      <c r="B165" s="81" t="str">
        <f>HYPERLINK("https://www.youtube.com/channel/UCW76wvF8SpMMPS4XD0hGQcg", "Sisters Lab")</f>
        <v>Sisters Lab</v>
      </c>
      <c r="C165" s="80" t="s">
        <v>286</v>
      </c>
      <c r="D165" s="81" t="str">
        <f>HYPERLINK("https://youtube.com/watch?v=5iigWQ2jGLY", "【粥品大比拼】｜試食牛脷酥腸粉有冇驚喜？｜ENG＋CANTO SUB/CC")</f>
        <v>【粥品大比拼】｜試食牛脷酥腸粉有冇驚喜？｜ENG＋CANTO SUB/CC</v>
      </c>
      <c r="E165" s="82">
        <v>44137.0</v>
      </c>
      <c r="F165" s="80">
        <v>618.0</v>
      </c>
      <c r="G165" s="80" t="s">
        <v>63</v>
      </c>
      <c r="I165" s="80" t="s">
        <v>63</v>
      </c>
      <c r="J165" s="80">
        <v>2288.0</v>
      </c>
      <c r="K165" s="80">
        <v>0.974446337308347</v>
      </c>
      <c r="L165" s="80" t="s">
        <v>287</v>
      </c>
    </row>
    <row r="166">
      <c r="A166" s="80" t="s">
        <v>288</v>
      </c>
      <c r="B166" s="81" t="str">
        <f>HYPERLINK("https://www.youtube.com/channel/UCDWOYEhVnyD4IHZGVAMLc0g", "Brendan 毛爸")</f>
        <v>Brendan 毛爸</v>
      </c>
      <c r="C166" s="80" t="s">
        <v>289</v>
      </c>
      <c r="D166" s="81" t="str">
        <f>HYPERLINK("https://youtube.com/watch?v=5j1TB8gI50Q", "[附限量座騎連結] 分析遊戲幾大特色！24小時無間斷掛機！MMORPG生存遊戲！玩前必看！【天啟紀元:預言之子】（請打開CC 中文字幕）")</f>
        <v>[附限量座騎連結] 分析遊戲幾大特色！24小時無間斷掛機！MMORPG生存遊戲！玩前必看！【天啟紀元:預言之子】（請打開CC 中文字幕）</v>
      </c>
      <c r="E166" s="82">
        <v>43996.0</v>
      </c>
      <c r="F166" s="80">
        <v>437.0</v>
      </c>
      <c r="G166" s="80" t="s">
        <v>63</v>
      </c>
      <c r="I166" s="80" t="s">
        <v>63</v>
      </c>
      <c r="J166" s="80">
        <v>1784.0</v>
      </c>
      <c r="K166" s="80">
        <v>0.958109559613319</v>
      </c>
      <c r="L166" s="80" t="s">
        <v>64</v>
      </c>
    </row>
    <row r="167">
      <c r="A167" s="80" t="s">
        <v>74</v>
      </c>
      <c r="B167" s="81" t="str">
        <f>HYPERLINK("https://www.youtube.com/channel/UCO_5XP-qd-udNxBlzzSzgvw", "Handline Fishing")</f>
        <v>Handline Fishing</v>
      </c>
      <c r="C167" s="80" t="s">
        <v>290</v>
      </c>
      <c r="D167" s="81" t="str">
        <f>HYPERLINK("https://youtube.com/watch?v=CdAfX1f6zxQ", "#115 尋找他墩的泥鯭 II 大號數橋墩『香港釣魚 : 岸釣』東區走廊北角橋墩 {粵語旁白+中英文字幕}")</f>
        <v>#115 尋找他墩的泥鯭 II 大號數橋墩『香港釣魚 : 岸釣』東區走廊北角橋墩 {粵語旁白+中英文字幕}</v>
      </c>
      <c r="E167" s="82">
        <v>43969.0</v>
      </c>
      <c r="F167" s="80">
        <v>212.0</v>
      </c>
      <c r="G167" s="80" t="s">
        <v>63</v>
      </c>
      <c r="I167" s="80" t="s">
        <v>63</v>
      </c>
      <c r="J167" s="80">
        <v>845.0</v>
      </c>
      <c r="K167" s="80">
        <v>0.950506186726659</v>
      </c>
      <c r="L167" s="80" t="s">
        <v>76</v>
      </c>
    </row>
    <row r="168">
      <c r="A168" s="80" t="s">
        <v>291</v>
      </c>
      <c r="B168" s="81" t="str">
        <f>HYPERLINK("https://www.youtube.com/channel/UClSNJbCUCp_W4yrS3DlCmjw", "飛馬 PEGASUS")</f>
        <v>飛馬 PEGASUS</v>
      </c>
      <c r="C168" s="80" t="s">
        <v>292</v>
      </c>
      <c r="D168" s="81" t="str">
        <f>HYPERLINK("https://youtube.com/watch?v=d9rM0PBoGOE", "Google Chrome 好食 Ram? 4分鐘教你點揀 Ram! (ft. 林仔 &amp; KLEVV CRAS XR RGB) (CC中文字幕)")</f>
        <v>Google Chrome 好食 Ram? 4分鐘教你點揀 Ram! (ft. 林仔 &amp; KLEVV CRAS XR RGB) (CC中文字幕)</v>
      </c>
      <c r="E168" s="82">
        <v>44151.0</v>
      </c>
      <c r="F168" s="80">
        <v>276.0</v>
      </c>
      <c r="G168" s="80" t="s">
        <v>63</v>
      </c>
      <c r="I168" s="80" t="s">
        <v>63</v>
      </c>
      <c r="J168" s="80">
        <v>1210.0</v>
      </c>
      <c r="K168" s="80">
        <v>0.761964735516372</v>
      </c>
      <c r="L168" s="80" t="s">
        <v>64</v>
      </c>
    </row>
    <row r="169">
      <c r="A169" s="80" t="s">
        <v>293</v>
      </c>
      <c r="B169" s="81" t="str">
        <f>HYPERLINK("https://www.youtube.com/channel/UCXRcbXqjORdIvl63I7MtOLQ", "趁熱 Kerry 's kitchen")</f>
        <v>趁熱 Kerry 's kitchen</v>
      </c>
      <c r="C169" s="80" t="s">
        <v>294</v>
      </c>
      <c r="D169" s="81" t="str">
        <f>HYPERLINK("https://youtube.com/watch?v=5lKEWotgOe8", "蝦醬 豆腐/大馬站煲/懷舊 經典/簡單易做/下飯菜/粵語/中字/cc 字幕")</f>
        <v>蝦醬 豆腐/大馬站煲/懷舊 經典/簡單易做/下飯菜/粵語/中字/cc 字幕</v>
      </c>
      <c r="E169" s="82">
        <v>44293.0</v>
      </c>
      <c r="F169" s="80">
        <v>574.0</v>
      </c>
      <c r="G169" s="80" t="s">
        <v>63</v>
      </c>
      <c r="I169" s="80" t="s">
        <v>63</v>
      </c>
      <c r="J169" s="80">
        <v>1347.0</v>
      </c>
      <c r="K169" s="80">
        <v>0.986090775988287</v>
      </c>
      <c r="L169" s="80" t="s">
        <v>64</v>
      </c>
    </row>
    <row r="170">
      <c r="A170" s="80" t="s">
        <v>295</v>
      </c>
      <c r="B170" s="81" t="str">
        <f>HYPERLINK("https://www.youtube.com/channel/UCIotQRUz6c4H-BRsouLt4YQ", "Captain and his squad")</f>
        <v>Captain and his squad</v>
      </c>
      <c r="C170" s="80" t="s">
        <v>296</v>
      </c>
      <c r="D170" s="81" t="str">
        <f>HYPERLINK("https://youtube.com/watch?v=5mfwLeW_OZM", "【 教學 ep.06 : 唔好再誤導狗狗 🐾 主人必睇 】最簡單嘅 sit 指令都教錯?｜點樣確保主人同狗狗有良好嘅溝通?《Captain 狗隻訓練📍清水灣郊野公園一日遊》(cc中英字幕)")</f>
        <v>【 教學 ep.06 : 唔好再誤導狗狗 🐾 主人必睇 】最簡單嘅 sit 指令都教錯?｜點樣確保主人同狗狗有良好嘅溝通?《Captain 狗隻訓練📍清水灣郊野公園一日遊》(cc中英字幕)</v>
      </c>
      <c r="E170" s="82">
        <v>44063.0</v>
      </c>
      <c r="F170" s="80">
        <v>557.0</v>
      </c>
      <c r="G170" s="80" t="s">
        <v>63</v>
      </c>
      <c r="I170" s="80" t="s">
        <v>63</v>
      </c>
      <c r="J170" s="80">
        <v>2154.0</v>
      </c>
      <c r="K170" s="80">
        <v>0.738176833447566</v>
      </c>
      <c r="L170" s="80" t="s">
        <v>102</v>
      </c>
    </row>
    <row r="171">
      <c r="A171" s="80" t="s">
        <v>127</v>
      </c>
      <c r="B171" s="81" t="str">
        <f t="shared" ref="B171:B172" si="9">HYPERLINK("https://www.youtube.com/channel/UC97oYK3XMf9RLtkc0lO8C-Q", "健康旦 HiEggo")</f>
        <v>健康旦 HiEggo</v>
      </c>
      <c r="C171" s="80" t="s">
        <v>297</v>
      </c>
      <c r="D171" s="81" t="str">
        <f>HYPERLINK("https://youtube.com/watch?v=5oOp2Ha-88k", "88歲胡楓憶述後生試鏡拍電影漏口頂硬上、與謝賢和曾江的關係、公開簡單產前湯水秘方食譜助順產（兩個孫女都靠佢！） - 鄭丹瑞《健康旦》#胡楓 訪問 PART 1 (CC中文字幕)")</f>
        <v>88歲胡楓憶述後生試鏡拍電影漏口頂硬上、與謝賢和曾江的關係、公開簡單產前湯水秘方食譜助順產（兩個孫女都靠佢！） - 鄭丹瑞《健康旦》#胡楓 訪問 PART 1 (CC中文字幕)</v>
      </c>
      <c r="E171" s="82">
        <v>43994.0</v>
      </c>
      <c r="F171" s="80">
        <v>959.0</v>
      </c>
      <c r="G171" s="80" t="s">
        <v>63</v>
      </c>
      <c r="I171" s="80" t="s">
        <v>63</v>
      </c>
      <c r="J171" s="80">
        <v>2976.0</v>
      </c>
      <c r="K171" s="80">
        <v>0.978625452153896</v>
      </c>
      <c r="L171" s="80" t="s">
        <v>102</v>
      </c>
    </row>
    <row r="172">
      <c r="A172" s="80" t="s">
        <v>127</v>
      </c>
      <c r="B172" s="81" t="str">
        <f t="shared" si="9"/>
        <v>健康旦 HiEggo</v>
      </c>
      <c r="C172" s="80" t="s">
        <v>298</v>
      </c>
      <c r="D172" s="81" t="str">
        <f>HYPERLINK("https://youtube.com/watch?v=5qFNa-MYe2M", "繼續講銀離子水 李維恩教授提你 益生菌唔講數量講種類 - 鄭丹瑞《健康旦》李維恩教授 Part6 (CC中文字幕)")</f>
        <v>繼續講銀離子水 李維恩教授提你 益生菌唔講數量講種類 - 鄭丹瑞《健康旦》李維恩教授 Part6 (CC中文字幕)</v>
      </c>
      <c r="E172" s="82">
        <v>43909.0</v>
      </c>
      <c r="F172" s="80">
        <v>638.0</v>
      </c>
      <c r="G172" s="80" t="s">
        <v>63</v>
      </c>
      <c r="I172" s="80" t="s">
        <v>63</v>
      </c>
      <c r="J172" s="80">
        <v>2570.0</v>
      </c>
      <c r="K172" s="80">
        <v>0.986185725249424</v>
      </c>
      <c r="L172" s="80" t="s">
        <v>102</v>
      </c>
    </row>
    <row r="173">
      <c r="A173" s="80" t="s">
        <v>248</v>
      </c>
      <c r="B173" s="81" t="str">
        <f>HYPERLINK("https://www.youtube.com/channel/UCUEJok-GiWaGlv5nIPwk-GQ", "Price.com.hk 香港格價網")</f>
        <v>Price.com.hk 香港格價網</v>
      </c>
      <c r="C173" s="80" t="s">
        <v>299</v>
      </c>
      <c r="D173" s="81" t="str">
        <f>HYPERLINK("https://youtube.com/watch?v=5qUW2q4Cauk", "ASUS首部OLED商務手提電腦 ExpertBook B5重點功能試用｜同場介紹 B1、B9、 Chromebook CM3｜懶人包｜廣東話｜特約專題 【Price.com.hk產品介紹】")</f>
        <v>ASUS首部OLED商務手提電腦 ExpertBook B5重點功能試用｜同場介紹 B1、B9、 Chromebook CM3｜懶人包｜廣東話｜特約專題 【Price.com.hk產品介紹】</v>
      </c>
      <c r="E173" s="82">
        <v>44519.0</v>
      </c>
      <c r="F173" s="80">
        <v>454.0</v>
      </c>
      <c r="G173" s="80" t="s">
        <v>63</v>
      </c>
      <c r="I173" s="80" t="s">
        <v>63</v>
      </c>
      <c r="J173" s="80">
        <v>1361.0</v>
      </c>
      <c r="K173" s="80">
        <v>0.649332061068702</v>
      </c>
      <c r="L173" s="80" t="s">
        <v>64</v>
      </c>
    </row>
    <row r="174">
      <c r="A174" s="80" t="s">
        <v>108</v>
      </c>
      <c r="B174" s="81" t="str">
        <f>HYPERLINK("https://www.youtube.com/channel/UCZL6QN6Xs-ZrKY3y6Pv6Emg", "廢青 - 日賺3000")</f>
        <v>廢青 - 日賺3000</v>
      </c>
      <c r="C174" s="80" t="s">
        <v>300</v>
      </c>
      <c r="D174" s="81" t="str">
        <f>HYPERLINK("https://youtube.com/watch?v=5r-GV4xXNAw", "網易 ! 京東 ! 是咪優質股⁉️買得過⁉️ 【BONUS ⚠廢青一隻持股公開】【點CC看中文字幕】")</f>
        <v>網易 ! 京東 ! 是咪優質股⁉️買得過⁉️ 【BONUS ⚠廢青一隻持股公開】【點CC看中文字幕】</v>
      </c>
      <c r="E174" s="82">
        <v>44001.0</v>
      </c>
      <c r="F174" s="80">
        <v>722.0</v>
      </c>
      <c r="G174" s="80" t="s">
        <v>63</v>
      </c>
      <c r="I174" s="80" t="s">
        <v>63</v>
      </c>
      <c r="J174" s="80">
        <v>3027.0</v>
      </c>
      <c r="K174" s="80">
        <v>0.904662283323371</v>
      </c>
      <c r="L174" s="80" t="s">
        <v>64</v>
      </c>
    </row>
    <row r="175">
      <c r="A175" s="80" t="s">
        <v>84</v>
      </c>
      <c r="B175" s="81" t="str">
        <f>HYPERLINK("https://www.youtube.com/channel/UCs6fW24aVjefTsognevmDnA", "PakTil 拍跳")</f>
        <v>PakTil 拍跳</v>
      </c>
      <c r="C175" s="80" t="s">
        <v>301</v>
      </c>
      <c r="D175" s="81" t="str">
        <f>HYPERLINK("https://youtube.com/watch?v=5rfL01MGPgU", "【拍跳短跑】網紅KOL拍乜最令人火滾？答案係呢樣！")</f>
        <v>【拍跳短跑】網紅KOL拍乜最令人火滾？答案係呢樣！</v>
      </c>
      <c r="E175" s="82">
        <v>44068.0</v>
      </c>
      <c r="F175" s="80">
        <v>81.0</v>
      </c>
      <c r="G175" s="80" t="s">
        <v>63</v>
      </c>
      <c r="I175" s="80" t="s">
        <v>63</v>
      </c>
      <c r="J175" s="80">
        <v>225.0</v>
      </c>
      <c r="K175" s="80">
        <v>0.965665236051502</v>
      </c>
      <c r="L175" s="80" t="s">
        <v>86</v>
      </c>
    </row>
    <row r="176">
      <c r="A176" s="80" t="s">
        <v>302</v>
      </c>
      <c r="B176" s="81" t="str">
        <f t="shared" ref="B176:B178" si="10">HYPERLINK("https://www.youtube.com/channel/UCNAqBC6Z1HkymQ7gkG0pCOg", "UNWIRE.HK")</f>
        <v>UNWIRE.HK</v>
      </c>
      <c r="C176" s="80" t="s">
        <v>303</v>
      </c>
      <c r="D176" s="81" t="str">
        <f>HYPERLINK("https://youtube.com/watch?v=xco1xSzbNLc", "📷真係真係唔好睇小佢機仔細細｜Canon M6 Mark II 試玩｜Anson Cheung")</f>
        <v>📷真係真係唔好睇小佢機仔細細｜Canon M6 Mark II 試玩｜Anson Cheung</v>
      </c>
      <c r="E176" s="82">
        <v>43897.0</v>
      </c>
      <c r="F176" s="80">
        <v>337.0</v>
      </c>
      <c r="G176" s="80" t="s">
        <v>63</v>
      </c>
      <c r="I176" s="80" t="s">
        <v>63</v>
      </c>
      <c r="J176" s="80">
        <v>1154.0</v>
      </c>
      <c r="K176" s="80">
        <v>0.740218088518281</v>
      </c>
      <c r="L176" s="80" t="s">
        <v>64</v>
      </c>
    </row>
    <row r="177">
      <c r="A177" s="80" t="s">
        <v>302</v>
      </c>
      <c r="B177" s="81" t="str">
        <f t="shared" si="10"/>
        <v>UNWIRE.HK</v>
      </c>
      <c r="C177" s="80" t="s">
        <v>304</v>
      </c>
      <c r="D177" s="81" t="str">
        <f>HYPERLINK("https://youtube.com/watch?v=A_2yD8JSTQo", "今年MWC竟然取消咗！原本要發佈嘅手機會點？｜MWC 2020 最令人期待的手機｜Anson Cheung")</f>
        <v>今年MWC竟然取消咗！原本要發佈嘅手機會點？｜MWC 2020 最令人期待的手機｜Anson Cheung</v>
      </c>
      <c r="E177" s="82">
        <v>43881.0</v>
      </c>
      <c r="F177" s="80">
        <v>303.0</v>
      </c>
      <c r="G177" s="80" t="s">
        <v>63</v>
      </c>
      <c r="I177" s="80" t="s">
        <v>63</v>
      </c>
      <c r="J177" s="80">
        <v>1142.0</v>
      </c>
      <c r="K177" s="80">
        <v>0.737726098191214</v>
      </c>
      <c r="L177" s="80" t="s">
        <v>64</v>
      </c>
    </row>
    <row r="178">
      <c r="A178" s="80" t="s">
        <v>302</v>
      </c>
      <c r="B178" s="81" t="str">
        <f t="shared" si="10"/>
        <v>UNWIRE.HK</v>
      </c>
      <c r="C178" s="80" t="s">
        <v>305</v>
      </c>
      <c r="D178" s="81" t="str">
        <f>HYPERLINK("https://youtube.com/watch?v=rd-cuiUnY7E", "CES 2020 有咩睇？｜CES 消費電子展 2020 預告｜Anson Cheung")</f>
        <v>CES 2020 有咩睇？｜CES 消費電子展 2020 預告｜Anson Cheung</v>
      </c>
      <c r="E178" s="82">
        <v>43829.0</v>
      </c>
      <c r="F178" s="80">
        <v>377.0</v>
      </c>
      <c r="G178" s="80" t="s">
        <v>63</v>
      </c>
      <c r="I178" s="80" t="s">
        <v>63</v>
      </c>
      <c r="J178" s="80">
        <v>1265.0</v>
      </c>
      <c r="K178" s="80">
        <v>0.792606516290726</v>
      </c>
      <c r="L178" s="80" t="s">
        <v>64</v>
      </c>
    </row>
    <row r="179">
      <c r="A179" s="80" t="s">
        <v>306</v>
      </c>
      <c r="B179" s="81" t="str">
        <f t="shared" ref="B179:B268" si="11">HYPERLINK("https://www.youtube.com/channel/UCMIcGwp4ssZHqz-nSbkO0yw", "Yuet Lab 粵語詞𢑥研究所")</f>
        <v>Yuet Lab 粵語詞𢑥研究所</v>
      </c>
      <c r="C179" s="80" t="s">
        <v>307</v>
      </c>
      <c r="D179" s="81" t="str">
        <f>HYPERLINK("https://youtube.com/watch?v=oF46Q4la_eg", "粵語詞彙研究所 - 銖")</f>
        <v>粵語詞彙研究所 - 銖</v>
      </c>
      <c r="E179" s="82">
        <v>44551.0</v>
      </c>
      <c r="F179" s="80">
        <v>402.0</v>
      </c>
      <c r="G179" s="80" t="s">
        <v>63</v>
      </c>
      <c r="I179" s="80" t="s">
        <v>63</v>
      </c>
      <c r="J179" s="80">
        <v>1547.0</v>
      </c>
      <c r="K179" s="80">
        <v>0.97112366603892</v>
      </c>
      <c r="L179" s="80" t="s">
        <v>102</v>
      </c>
    </row>
    <row r="180">
      <c r="A180" s="80" t="s">
        <v>306</v>
      </c>
      <c r="B180" s="81" t="str">
        <f t="shared" si="11"/>
        <v>Yuet Lab 粵語詞𢑥研究所</v>
      </c>
      <c r="C180" s="80" t="s">
        <v>308</v>
      </c>
      <c r="D180" s="81" t="str">
        <f>HYPERLINK("https://youtube.com/watch?v=O4F6Bv9n8N8", "粵語詞彙研究所 - 鑊")</f>
        <v>粵語詞彙研究所 - 鑊</v>
      </c>
      <c r="E180" s="82">
        <v>44537.0</v>
      </c>
      <c r="F180" s="80">
        <v>131.0</v>
      </c>
      <c r="G180" s="80" t="s">
        <v>63</v>
      </c>
      <c r="I180" s="80" t="s">
        <v>63</v>
      </c>
      <c r="J180" s="80">
        <v>414.0</v>
      </c>
      <c r="K180" s="80">
        <v>0.877118644067796</v>
      </c>
      <c r="L180" s="80" t="s">
        <v>102</v>
      </c>
    </row>
    <row r="181">
      <c r="A181" s="80" t="s">
        <v>306</v>
      </c>
      <c r="B181" s="81" t="str">
        <f t="shared" si="11"/>
        <v>Yuet Lab 粵語詞𢑥研究所</v>
      </c>
      <c r="C181" s="80" t="s">
        <v>309</v>
      </c>
      <c r="D181" s="81" t="str">
        <f>HYPERLINK("https://youtube.com/watch?v=-suVDuFFP4I", "粵語詞彙研究所 - 風爐")</f>
        <v>粵語詞彙研究所 - 風爐</v>
      </c>
      <c r="E181" s="82">
        <v>44525.0</v>
      </c>
      <c r="F181" s="80">
        <v>64.0</v>
      </c>
      <c r="G181" s="80" t="s">
        <v>63</v>
      </c>
      <c r="I181" s="80" t="s">
        <v>63</v>
      </c>
      <c r="J181" s="80">
        <v>211.0</v>
      </c>
      <c r="K181" s="80">
        <v>0.96788990825688</v>
      </c>
      <c r="L181" s="80" t="s">
        <v>102</v>
      </c>
    </row>
    <row r="182">
      <c r="A182" s="80" t="s">
        <v>306</v>
      </c>
      <c r="B182" s="81" t="str">
        <f t="shared" si="11"/>
        <v>Yuet Lab 粵語詞𢑥研究所</v>
      </c>
      <c r="C182" s="80" t="s">
        <v>310</v>
      </c>
      <c r="D182" s="81" t="str">
        <f>HYPERLINK("https://youtube.com/watch?v=MQYuGSYN53I", "粵語詞彙研究所 - 除")</f>
        <v>粵語詞彙研究所 - 除</v>
      </c>
      <c r="E182" s="82">
        <v>44518.0</v>
      </c>
      <c r="F182" s="80">
        <v>102.0</v>
      </c>
      <c r="G182" s="80" t="s">
        <v>63</v>
      </c>
      <c r="I182" s="80" t="s">
        <v>63</v>
      </c>
      <c r="J182" s="80">
        <v>308.0</v>
      </c>
      <c r="K182" s="80">
        <v>0.968553459119496</v>
      </c>
      <c r="L182" s="80" t="s">
        <v>102</v>
      </c>
    </row>
    <row r="183">
      <c r="A183" s="80" t="s">
        <v>306</v>
      </c>
      <c r="B183" s="81" t="str">
        <f t="shared" si="11"/>
        <v>Yuet Lab 粵語詞𢑥研究所</v>
      </c>
      <c r="C183" s="80" t="s">
        <v>311</v>
      </c>
      <c r="D183" s="81" t="str">
        <f>HYPERLINK("https://youtube.com/watch?v=kVusAQynSww", "粵語詞彙研究所 - 無面")</f>
        <v>粵語詞彙研究所 - 無面</v>
      </c>
      <c r="E183" s="82">
        <v>44420.0</v>
      </c>
      <c r="F183" s="80">
        <v>122.0</v>
      </c>
      <c r="G183" s="80" t="s">
        <v>63</v>
      </c>
      <c r="I183" s="80" t="s">
        <v>63</v>
      </c>
      <c r="J183" s="80">
        <v>374.0</v>
      </c>
      <c r="K183" s="80">
        <v>0.932668329177057</v>
      </c>
      <c r="L183" s="80" t="s">
        <v>102</v>
      </c>
    </row>
    <row r="184">
      <c r="A184" s="80" t="s">
        <v>306</v>
      </c>
      <c r="B184" s="81" t="str">
        <f t="shared" si="11"/>
        <v>Yuet Lab 粵語詞𢑥研究所</v>
      </c>
      <c r="C184" s="80" t="s">
        <v>312</v>
      </c>
      <c r="D184" s="81" t="str">
        <f>HYPERLINK("https://youtube.com/watch?v=5-NbHkNfR4Q", "粵語詞彙研究所- 反歸")</f>
        <v>粵語詞彙研究所- 反歸</v>
      </c>
      <c r="E184" s="82">
        <v>44392.0</v>
      </c>
      <c r="F184" s="80">
        <v>178.0</v>
      </c>
      <c r="G184" s="80" t="s">
        <v>63</v>
      </c>
      <c r="I184" s="80" t="s">
        <v>63</v>
      </c>
      <c r="J184" s="80">
        <v>654.0</v>
      </c>
      <c r="K184" s="80">
        <v>0.915966386554621</v>
      </c>
      <c r="L184" s="80" t="s">
        <v>102</v>
      </c>
    </row>
    <row r="185">
      <c r="A185" s="80" t="s">
        <v>306</v>
      </c>
      <c r="B185" s="81" t="str">
        <f t="shared" si="11"/>
        <v>Yuet Lab 粵語詞𢑥研究所</v>
      </c>
      <c r="C185" s="80" t="s">
        <v>313</v>
      </c>
      <c r="D185" s="81" t="str">
        <f>HYPERLINK("https://youtube.com/watch?v=c7vG83nQoRc", "粵語詞彙研究所 𢃤")</f>
        <v>粵語詞彙研究所 𢃤</v>
      </c>
      <c r="E185" s="82">
        <v>44385.0</v>
      </c>
      <c r="F185" s="80">
        <v>206.0</v>
      </c>
      <c r="G185" s="80" t="s">
        <v>63</v>
      </c>
      <c r="I185" s="80" t="s">
        <v>63</v>
      </c>
      <c r="J185" s="80">
        <v>649.0</v>
      </c>
      <c r="K185" s="80">
        <v>0.819444444444444</v>
      </c>
      <c r="L185" s="80" t="s">
        <v>102</v>
      </c>
    </row>
    <row r="186">
      <c r="A186" s="80" t="s">
        <v>306</v>
      </c>
      <c r="B186" s="81" t="str">
        <f t="shared" si="11"/>
        <v>Yuet Lab 粵語詞𢑥研究所</v>
      </c>
      <c r="C186" s="80" t="s">
        <v>314</v>
      </c>
      <c r="D186" s="81" t="str">
        <f>HYPERLINK("https://youtube.com/watch?v=_i0IuG_g7Ok", "粵語詞彙研究所 - 飽飯")</f>
        <v>粵語詞彙研究所 - 飽飯</v>
      </c>
      <c r="E186" s="82">
        <v>44292.0</v>
      </c>
      <c r="F186" s="80">
        <v>157.0</v>
      </c>
      <c r="G186" s="80" t="s">
        <v>63</v>
      </c>
      <c r="I186" s="80" t="s">
        <v>63</v>
      </c>
      <c r="J186" s="80">
        <v>540.0</v>
      </c>
      <c r="K186" s="80">
        <v>0.976491862567812</v>
      </c>
      <c r="L186" s="80" t="s">
        <v>102</v>
      </c>
    </row>
    <row r="187">
      <c r="A187" s="80" t="s">
        <v>306</v>
      </c>
      <c r="B187" s="81" t="str">
        <f t="shared" si="11"/>
        <v>Yuet Lab 粵語詞𢑥研究所</v>
      </c>
      <c r="C187" s="80" t="s">
        <v>315</v>
      </c>
      <c r="D187" s="81" t="str">
        <f>HYPERLINK("https://youtube.com/watch?v=kt8bECQWvMU", "粵語詞彙研究所  - 說")</f>
        <v>粵語詞彙研究所  - 說</v>
      </c>
      <c r="E187" s="82">
        <v>44285.0</v>
      </c>
      <c r="F187" s="80">
        <v>142.0</v>
      </c>
      <c r="G187" s="80" t="s">
        <v>63</v>
      </c>
      <c r="I187" s="80" t="s">
        <v>63</v>
      </c>
      <c r="J187" s="80">
        <v>487.0</v>
      </c>
      <c r="K187" s="80">
        <v>0.960552268244576</v>
      </c>
      <c r="L187" s="80" t="s">
        <v>102</v>
      </c>
    </row>
    <row r="188">
      <c r="A188" s="80" t="s">
        <v>306</v>
      </c>
      <c r="B188" s="81" t="str">
        <f t="shared" si="11"/>
        <v>Yuet Lab 粵語詞𢑥研究所</v>
      </c>
      <c r="C188" s="80" t="s">
        <v>316</v>
      </c>
      <c r="D188" s="81" t="str">
        <f>HYPERLINK("https://youtube.com/watch?v=NJs0NomBwa0", "粵語詞彙研究所 - 蓼")</f>
        <v>粵語詞彙研究所 - 蓼</v>
      </c>
      <c r="E188" s="82">
        <v>44279.0</v>
      </c>
      <c r="F188" s="80">
        <v>314.0</v>
      </c>
      <c r="G188" s="80" t="s">
        <v>63</v>
      </c>
      <c r="I188" s="80" t="s">
        <v>63</v>
      </c>
      <c r="J188" s="80">
        <v>1098.0</v>
      </c>
      <c r="K188" s="80">
        <v>0.948186528497409</v>
      </c>
      <c r="L188" s="80" t="s">
        <v>102</v>
      </c>
    </row>
    <row r="189">
      <c r="A189" s="80" t="s">
        <v>306</v>
      </c>
      <c r="B189" s="81" t="str">
        <f t="shared" si="11"/>
        <v>Yuet Lab 粵語詞𢑥研究所</v>
      </c>
      <c r="C189" s="80" t="s">
        <v>317</v>
      </c>
      <c r="D189" s="81" t="str">
        <f>HYPERLINK("https://youtube.com/watch?v=qP8jvoUQxLE", "粵語詞彙研究所 - 鬧")</f>
        <v>粵語詞彙研究所 - 鬧</v>
      </c>
      <c r="E189" s="82">
        <v>44271.0</v>
      </c>
      <c r="F189" s="80">
        <v>100.0</v>
      </c>
      <c r="G189" s="80" t="s">
        <v>63</v>
      </c>
      <c r="I189" s="80" t="s">
        <v>63</v>
      </c>
      <c r="J189" s="80">
        <v>316.0</v>
      </c>
      <c r="K189" s="80">
        <v>0.966360856269113</v>
      </c>
      <c r="L189" s="80" t="s">
        <v>102</v>
      </c>
    </row>
    <row r="190">
      <c r="A190" s="80" t="s">
        <v>306</v>
      </c>
      <c r="B190" s="81" t="str">
        <f t="shared" si="11"/>
        <v>Yuet Lab 粵語詞𢑥研究所</v>
      </c>
      <c r="C190" s="80" t="s">
        <v>318</v>
      </c>
      <c r="D190" s="81" t="str">
        <f>HYPERLINK("https://youtube.com/watch?v=vu5QVB8T2FM", "粵語詞彙研究所 - 黐")</f>
        <v>粵語詞彙研究所 - 黐</v>
      </c>
      <c r="E190" s="82">
        <v>44264.0</v>
      </c>
      <c r="F190" s="80">
        <v>155.0</v>
      </c>
      <c r="G190" s="80" t="s">
        <v>63</v>
      </c>
      <c r="I190" s="80" t="s">
        <v>63</v>
      </c>
      <c r="J190" s="80">
        <v>540.0</v>
      </c>
      <c r="K190" s="80">
        <v>0.954063604240282</v>
      </c>
      <c r="L190" s="80" t="s">
        <v>102</v>
      </c>
    </row>
    <row r="191">
      <c r="A191" s="80" t="s">
        <v>306</v>
      </c>
      <c r="B191" s="81" t="str">
        <f t="shared" si="11"/>
        <v>Yuet Lab 粵語詞𢑥研究所</v>
      </c>
      <c r="C191" s="80" t="s">
        <v>319</v>
      </c>
      <c r="D191" s="81" t="str">
        <f>HYPERLINK("https://youtube.com/watch?v=eRcBGDmUBNM", "粵語詞彙研究所 - 齊戢戢")</f>
        <v>粵語詞彙研究所 - 齊戢戢</v>
      </c>
      <c r="E191" s="82">
        <v>44257.0</v>
      </c>
      <c r="F191" s="80">
        <v>156.0</v>
      </c>
      <c r="G191" s="80" t="s">
        <v>63</v>
      </c>
      <c r="I191" s="80" t="s">
        <v>63</v>
      </c>
      <c r="J191" s="80">
        <v>484.0</v>
      </c>
      <c r="K191" s="80">
        <v>0.975806451612903</v>
      </c>
      <c r="L191" s="80" t="s">
        <v>102</v>
      </c>
    </row>
    <row r="192">
      <c r="A192" s="80" t="s">
        <v>306</v>
      </c>
      <c r="B192" s="81" t="str">
        <f t="shared" si="11"/>
        <v>Yuet Lab 粵語詞𢑥研究所</v>
      </c>
      <c r="C192" s="80" t="s">
        <v>320</v>
      </c>
      <c r="D192" s="81" t="str">
        <f>HYPERLINK("https://youtube.com/watch?v=85wneumc2_c", "粵語詞彙研究所 - 鎖匙")</f>
        <v>粵語詞彙研究所 - 鎖匙</v>
      </c>
      <c r="E192" s="82">
        <v>44251.0</v>
      </c>
      <c r="F192" s="80">
        <v>126.0</v>
      </c>
      <c r="G192" s="80" t="s">
        <v>63</v>
      </c>
      <c r="I192" s="80" t="s">
        <v>63</v>
      </c>
      <c r="J192" s="80">
        <v>396.0</v>
      </c>
      <c r="K192" s="80">
        <v>0.963503649635036</v>
      </c>
      <c r="L192" s="80" t="s">
        <v>102</v>
      </c>
    </row>
    <row r="193">
      <c r="A193" s="80" t="s">
        <v>306</v>
      </c>
      <c r="B193" s="81" t="str">
        <f t="shared" si="11"/>
        <v>Yuet Lab 粵語詞𢑥研究所</v>
      </c>
      <c r="C193" s="80" t="s">
        <v>321</v>
      </c>
      <c r="D193" s="81" t="str">
        <f>HYPERLINK("https://youtube.com/watch?v=DM-5VRh3ACg", "粵語詞彙研究所 - 太公 (二)")</f>
        <v>粵語詞彙研究所 - 太公 (二)</v>
      </c>
      <c r="E193" s="82">
        <v>44229.0</v>
      </c>
      <c r="F193" s="80">
        <v>48.0</v>
      </c>
      <c r="G193" s="80" t="s">
        <v>63</v>
      </c>
      <c r="I193" s="80" t="s">
        <v>63</v>
      </c>
      <c r="J193" s="80">
        <v>145.0</v>
      </c>
      <c r="K193" s="80">
        <v>0.960264900662251</v>
      </c>
      <c r="L193" s="80" t="s">
        <v>102</v>
      </c>
    </row>
    <row r="194">
      <c r="A194" s="80" t="s">
        <v>306</v>
      </c>
      <c r="B194" s="81" t="str">
        <f t="shared" si="11"/>
        <v>Yuet Lab 粵語詞𢑥研究所</v>
      </c>
      <c r="C194" s="80" t="s">
        <v>322</v>
      </c>
      <c r="D194" s="81" t="str">
        <f>HYPERLINK("https://youtube.com/watch?v=VOf6291UMyI", "粵語詞彙研究所 - 采")</f>
        <v>粵語詞彙研究所 - 采</v>
      </c>
      <c r="E194" s="82">
        <v>44223.0</v>
      </c>
      <c r="F194" s="80">
        <v>190.0</v>
      </c>
      <c r="G194" s="80" t="s">
        <v>63</v>
      </c>
      <c r="I194" s="80" t="s">
        <v>63</v>
      </c>
      <c r="J194" s="80">
        <v>691.0</v>
      </c>
      <c r="K194" s="80">
        <v>0.963737796373779</v>
      </c>
      <c r="L194" s="80" t="s">
        <v>102</v>
      </c>
    </row>
    <row r="195">
      <c r="A195" s="80" t="s">
        <v>306</v>
      </c>
      <c r="B195" s="81" t="str">
        <f t="shared" si="11"/>
        <v>Yuet Lab 粵語詞𢑥研究所</v>
      </c>
      <c r="C195" s="80" t="s">
        <v>323</v>
      </c>
      <c r="D195" s="81" t="str">
        <f>HYPERLINK("https://youtube.com/watch?v=tfZIU-p_Fes", "粵語詞彙研究所 - 銀包")</f>
        <v>粵語詞彙研究所 - 銀包</v>
      </c>
      <c r="E195" s="82">
        <v>44215.0</v>
      </c>
      <c r="F195" s="80">
        <v>184.0</v>
      </c>
      <c r="G195" s="80" t="s">
        <v>63</v>
      </c>
      <c r="I195" s="80" t="s">
        <v>63</v>
      </c>
      <c r="J195" s="80">
        <v>573.0</v>
      </c>
      <c r="K195" s="80">
        <v>0.969543147208121</v>
      </c>
      <c r="L195" s="80" t="s">
        <v>102</v>
      </c>
    </row>
    <row r="196">
      <c r="A196" s="80" t="s">
        <v>306</v>
      </c>
      <c r="B196" s="81" t="str">
        <f t="shared" si="11"/>
        <v>Yuet Lab 粵語詞𢑥研究所</v>
      </c>
      <c r="C196" s="80" t="s">
        <v>324</v>
      </c>
      <c r="D196" s="81" t="str">
        <f>HYPERLINK("https://youtube.com/watch?v=GM_6BxX_feo", "粵語詞彙研究所 - 笮")</f>
        <v>粵語詞彙研究所 - 笮</v>
      </c>
      <c r="E196" s="82">
        <v>44215.0</v>
      </c>
      <c r="F196" s="80">
        <v>178.0</v>
      </c>
      <c r="G196" s="80" t="s">
        <v>63</v>
      </c>
      <c r="I196" s="80" t="s">
        <v>63</v>
      </c>
      <c r="J196" s="80">
        <v>605.0</v>
      </c>
      <c r="K196" s="80">
        <v>0.963375796178343</v>
      </c>
      <c r="L196" s="80" t="s">
        <v>102</v>
      </c>
    </row>
    <row r="197">
      <c r="A197" s="80" t="s">
        <v>306</v>
      </c>
      <c r="B197" s="81" t="str">
        <f t="shared" si="11"/>
        <v>Yuet Lab 粵語詞𢑥研究所</v>
      </c>
      <c r="C197" s="80" t="s">
        <v>325</v>
      </c>
      <c r="D197" s="81" t="str">
        <f>HYPERLINK("https://youtube.com/watch?v=05YtH5jhtto", "粵語詞彙研究所 - 學")</f>
        <v>粵語詞彙研究所 - 學</v>
      </c>
      <c r="E197" s="82">
        <v>44109.0</v>
      </c>
      <c r="F197" s="80">
        <v>101.0</v>
      </c>
      <c r="G197" s="80" t="s">
        <v>63</v>
      </c>
      <c r="I197" s="80" t="s">
        <v>63</v>
      </c>
      <c r="J197" s="80">
        <v>304.0</v>
      </c>
      <c r="K197" s="80">
        <v>0.980645161290322</v>
      </c>
      <c r="L197" s="80" t="s">
        <v>102</v>
      </c>
    </row>
    <row r="198">
      <c r="A198" s="80" t="s">
        <v>306</v>
      </c>
      <c r="B198" s="81" t="str">
        <f t="shared" si="11"/>
        <v>Yuet Lab 粵語詞𢑥研究所</v>
      </c>
      <c r="C198" s="80" t="s">
        <v>326</v>
      </c>
      <c r="D198" s="81" t="str">
        <f>HYPERLINK("https://youtube.com/watch?v=KqsHPJCU7B0", "粵語詞彙研究所 - 收科")</f>
        <v>粵語詞彙研究所 - 收科</v>
      </c>
      <c r="E198" s="82">
        <v>44104.0</v>
      </c>
      <c r="F198" s="80">
        <v>74.0</v>
      </c>
      <c r="G198" s="80" t="s">
        <v>63</v>
      </c>
      <c r="I198" s="80" t="s">
        <v>63</v>
      </c>
      <c r="J198" s="80">
        <v>216.0</v>
      </c>
      <c r="K198" s="80">
        <v>0.986301369863013</v>
      </c>
      <c r="L198" s="80" t="s">
        <v>102</v>
      </c>
    </row>
    <row r="199">
      <c r="A199" s="80" t="s">
        <v>306</v>
      </c>
      <c r="B199" s="81" t="str">
        <f t="shared" si="11"/>
        <v>Yuet Lab 粵語詞𢑥研究所</v>
      </c>
      <c r="C199" s="80" t="s">
        <v>327</v>
      </c>
      <c r="D199" s="81" t="str">
        <f>HYPERLINK("https://youtube.com/watch?v=mHby4ZK0fJg", "粵語詞彙研究所  - 醜樣")</f>
        <v>粵語詞彙研究所  - 醜樣</v>
      </c>
      <c r="E199" s="82">
        <v>44094.0</v>
      </c>
      <c r="F199" s="80">
        <v>161.0</v>
      </c>
      <c r="G199" s="80" t="s">
        <v>63</v>
      </c>
      <c r="I199" s="80" t="s">
        <v>63</v>
      </c>
      <c r="J199" s="80">
        <v>507.0</v>
      </c>
      <c r="K199" s="80">
        <v>0.967557251908396</v>
      </c>
      <c r="L199" s="80" t="s">
        <v>102</v>
      </c>
    </row>
    <row r="200">
      <c r="A200" s="80" t="s">
        <v>306</v>
      </c>
      <c r="B200" s="81" t="str">
        <f t="shared" si="11"/>
        <v>Yuet Lab 粵語詞𢑥研究所</v>
      </c>
      <c r="C200" s="80" t="s">
        <v>328</v>
      </c>
      <c r="D200" s="81" t="str">
        <f>HYPERLINK("https://youtube.com/watch?v=KKmy0pb6uvk", "粵語詞彙研究所 - 軟熟")</f>
        <v>粵語詞彙研究所 - 軟熟</v>
      </c>
      <c r="E200" s="82">
        <v>44082.0</v>
      </c>
      <c r="F200" s="80">
        <v>103.0</v>
      </c>
      <c r="G200" s="80" t="s">
        <v>63</v>
      </c>
      <c r="I200" s="80" t="s">
        <v>63</v>
      </c>
      <c r="J200" s="80">
        <v>289.0</v>
      </c>
      <c r="K200" s="80">
        <v>0.979661016949152</v>
      </c>
      <c r="L200" s="80" t="s">
        <v>102</v>
      </c>
    </row>
    <row r="201">
      <c r="A201" s="80" t="s">
        <v>306</v>
      </c>
      <c r="B201" s="81" t="str">
        <f t="shared" si="11"/>
        <v>Yuet Lab 粵語詞𢑥研究所</v>
      </c>
      <c r="C201" s="80" t="s">
        <v>329</v>
      </c>
      <c r="D201" s="81" t="str">
        <f>HYPERLINK("https://youtube.com/watch?v=cbphwmDmJIY", "粵語詞彙研究所 - 煠")</f>
        <v>粵語詞彙研究所 - 煠</v>
      </c>
      <c r="E201" s="82">
        <v>44080.0</v>
      </c>
      <c r="F201" s="80">
        <v>195.0</v>
      </c>
      <c r="G201" s="80" t="s">
        <v>63</v>
      </c>
      <c r="I201" s="80" t="s">
        <v>63</v>
      </c>
      <c r="J201" s="80">
        <v>734.0</v>
      </c>
      <c r="K201" s="80">
        <v>0.950777202072538</v>
      </c>
      <c r="L201" s="80" t="s">
        <v>102</v>
      </c>
    </row>
    <row r="202">
      <c r="A202" s="80" t="s">
        <v>306</v>
      </c>
      <c r="B202" s="81" t="str">
        <f t="shared" si="11"/>
        <v>Yuet Lab 粵語詞𢑥研究所</v>
      </c>
      <c r="C202" s="80" t="s">
        <v>330</v>
      </c>
      <c r="D202" s="81" t="str">
        <f>HYPERLINK("https://youtube.com/watch?v=NL0ou30ie-g", "粵語詞彙研究所 終須")</f>
        <v>粵語詞彙研究所 終須</v>
      </c>
      <c r="E202" s="82">
        <v>44066.0</v>
      </c>
      <c r="F202" s="80">
        <v>192.0</v>
      </c>
      <c r="G202" s="80" t="s">
        <v>63</v>
      </c>
      <c r="I202" s="80" t="s">
        <v>63</v>
      </c>
      <c r="J202" s="80">
        <v>779.0</v>
      </c>
      <c r="K202" s="80">
        <v>0.981108312342569</v>
      </c>
      <c r="L202" s="80" t="s">
        <v>102</v>
      </c>
    </row>
    <row r="203">
      <c r="A203" s="80" t="s">
        <v>306</v>
      </c>
      <c r="B203" s="81" t="str">
        <f t="shared" si="11"/>
        <v>Yuet Lab 粵語詞𢑥研究所</v>
      </c>
      <c r="C203" s="80" t="s">
        <v>331</v>
      </c>
      <c r="D203" s="81" t="str">
        <f>HYPERLINK("https://youtube.com/watch?v=_oxNXH6_CF8", "粵語詞彙研究所 - 箾")</f>
        <v>粵語詞彙研究所 - 箾</v>
      </c>
      <c r="E203" s="82">
        <v>44059.0</v>
      </c>
      <c r="F203" s="80">
        <v>151.0</v>
      </c>
      <c r="G203" s="80" t="s">
        <v>63</v>
      </c>
      <c r="I203" s="80" t="s">
        <v>63</v>
      </c>
      <c r="J203" s="80">
        <v>560.0</v>
      </c>
      <c r="K203" s="80">
        <v>0.949152542372881</v>
      </c>
      <c r="L203" s="80" t="s">
        <v>102</v>
      </c>
    </row>
    <row r="204">
      <c r="A204" s="80" t="s">
        <v>306</v>
      </c>
      <c r="B204" s="81" t="str">
        <f t="shared" si="11"/>
        <v>Yuet Lab 粵語詞𢑥研究所</v>
      </c>
      <c r="C204" s="80" t="s">
        <v>332</v>
      </c>
      <c r="D204" s="81" t="str">
        <f>HYPERLINK("https://youtube.com/watch?v=12zJeOvlDVQ", "粵語詞彙研究所 - 咄")</f>
        <v>粵語詞彙研究所 - 咄</v>
      </c>
      <c r="E204" s="82">
        <v>44053.0</v>
      </c>
      <c r="F204" s="80">
        <v>93.0</v>
      </c>
      <c r="G204" s="80" t="s">
        <v>63</v>
      </c>
      <c r="I204" s="80" t="s">
        <v>63</v>
      </c>
      <c r="J204" s="80">
        <v>349.0</v>
      </c>
      <c r="K204" s="80">
        <v>0.892583120204603</v>
      </c>
      <c r="L204" s="80" t="s">
        <v>102</v>
      </c>
    </row>
    <row r="205">
      <c r="A205" s="80" t="s">
        <v>306</v>
      </c>
      <c r="B205" s="81" t="str">
        <f t="shared" si="11"/>
        <v>Yuet Lab 粵語詞𢑥研究所</v>
      </c>
      <c r="C205" s="80" t="s">
        <v>333</v>
      </c>
      <c r="D205" s="81" t="str">
        <f>HYPERLINK("https://youtube.com/watch?v=fTu4TBQUYcQ", "粵語詞彙研究所 - 摥")</f>
        <v>粵語詞彙研究所 - 摥</v>
      </c>
      <c r="E205" s="82">
        <v>44052.0</v>
      </c>
      <c r="F205" s="80">
        <v>129.0</v>
      </c>
      <c r="G205" s="80" t="s">
        <v>63</v>
      </c>
      <c r="I205" s="80" t="s">
        <v>63</v>
      </c>
      <c r="J205" s="80">
        <v>416.0</v>
      </c>
      <c r="K205" s="80">
        <v>0.894623655913978</v>
      </c>
      <c r="L205" s="80" t="s">
        <v>102</v>
      </c>
    </row>
    <row r="206">
      <c r="A206" s="80" t="s">
        <v>306</v>
      </c>
      <c r="B206" s="81" t="str">
        <f t="shared" si="11"/>
        <v>Yuet Lab 粵語詞𢑥研究所</v>
      </c>
      <c r="C206" s="80" t="s">
        <v>334</v>
      </c>
      <c r="D206" s="81" t="str">
        <f>HYPERLINK("https://youtube.com/watch?v=sMRVjTVRJMk", "粵語詞彙研究所 - 訍")</f>
        <v>粵語詞彙研究所 - 訍</v>
      </c>
      <c r="E206" s="82">
        <v>44039.0</v>
      </c>
      <c r="F206" s="80">
        <v>137.0</v>
      </c>
      <c r="G206" s="80" t="s">
        <v>63</v>
      </c>
      <c r="I206" s="80" t="s">
        <v>63</v>
      </c>
      <c r="J206" s="80">
        <v>561.0</v>
      </c>
      <c r="K206" s="80">
        <v>0.916666666666666</v>
      </c>
      <c r="L206" s="80" t="s">
        <v>102</v>
      </c>
    </row>
    <row r="207">
      <c r="A207" s="80" t="s">
        <v>306</v>
      </c>
      <c r="B207" s="81" t="str">
        <f t="shared" si="11"/>
        <v>Yuet Lab 粵語詞𢑥研究所</v>
      </c>
      <c r="C207" s="80" t="s">
        <v>335</v>
      </c>
      <c r="D207" s="81" t="str">
        <f>HYPERLINK("https://youtube.com/watch?v=dmc8fk6aPss", "粵語詞彙研究所 -  多得")</f>
        <v>粵語詞彙研究所 -  多得</v>
      </c>
      <c r="E207" s="82">
        <v>44032.0</v>
      </c>
      <c r="F207" s="80">
        <v>96.0</v>
      </c>
      <c r="G207" s="80" t="s">
        <v>63</v>
      </c>
      <c r="I207" s="80" t="s">
        <v>63</v>
      </c>
      <c r="J207" s="80">
        <v>315.0</v>
      </c>
      <c r="K207" s="80">
        <v>0.969230769230769</v>
      </c>
      <c r="L207" s="80" t="s">
        <v>102</v>
      </c>
    </row>
    <row r="208">
      <c r="A208" s="80" t="s">
        <v>306</v>
      </c>
      <c r="B208" s="81" t="str">
        <f t="shared" si="11"/>
        <v>Yuet Lab 粵語詞𢑥研究所</v>
      </c>
      <c r="C208" s="80" t="s">
        <v>336</v>
      </c>
      <c r="D208" s="81" t="str">
        <f>HYPERLINK("https://youtube.com/watch?v=MEHjxjZp2o0", "粵語詞彙研究所 - 詏")</f>
        <v>粵語詞彙研究所 - 詏</v>
      </c>
      <c r="E208" s="82">
        <v>44025.0</v>
      </c>
      <c r="F208" s="80">
        <v>107.0</v>
      </c>
      <c r="G208" s="80" t="s">
        <v>63</v>
      </c>
      <c r="I208" s="80" t="s">
        <v>63</v>
      </c>
      <c r="J208" s="80">
        <v>332.0</v>
      </c>
      <c r="K208" s="80">
        <v>0.945868945868945</v>
      </c>
      <c r="L208" s="80" t="s">
        <v>102</v>
      </c>
    </row>
    <row r="209">
      <c r="A209" s="80" t="s">
        <v>306</v>
      </c>
      <c r="B209" s="81" t="str">
        <f t="shared" si="11"/>
        <v>Yuet Lab 粵語詞𢑥研究所</v>
      </c>
      <c r="C209" s="80" t="s">
        <v>337</v>
      </c>
      <c r="D209" s="81" t="str">
        <f>HYPERLINK("https://youtube.com/watch?v=YYoyqkx0UQU", "粵語詞彙研究所 - 𦜖膪")</f>
        <v>粵語詞彙研究所 - 𦜖膪</v>
      </c>
      <c r="E209" s="82">
        <v>44018.0</v>
      </c>
      <c r="F209" s="80">
        <v>178.0</v>
      </c>
      <c r="G209" s="80" t="s">
        <v>63</v>
      </c>
      <c r="I209" s="80" t="s">
        <v>63</v>
      </c>
      <c r="J209" s="80">
        <v>675.0</v>
      </c>
      <c r="K209" s="80">
        <v>0.953389830508474</v>
      </c>
      <c r="L209" s="80" t="s">
        <v>102</v>
      </c>
    </row>
    <row r="210">
      <c r="A210" s="80" t="s">
        <v>306</v>
      </c>
      <c r="B210" s="81" t="str">
        <f t="shared" si="11"/>
        <v>Yuet Lab 粵語詞𢑥研究所</v>
      </c>
      <c r="C210" s="80" t="s">
        <v>338</v>
      </c>
      <c r="D210" s="81" t="str">
        <f>HYPERLINK("https://youtube.com/watch?v=Npux7nTxY-M", "粵語詞彙研究所 - 撈")</f>
        <v>粵語詞彙研究所 - 撈</v>
      </c>
      <c r="E210" s="82">
        <v>44010.0</v>
      </c>
      <c r="F210" s="80">
        <v>303.0</v>
      </c>
      <c r="G210" s="80" t="s">
        <v>63</v>
      </c>
      <c r="I210" s="80" t="s">
        <v>63</v>
      </c>
      <c r="J210" s="80">
        <v>1215.0</v>
      </c>
      <c r="K210" s="80">
        <v>0.938223938223938</v>
      </c>
      <c r="L210" s="80" t="s">
        <v>102</v>
      </c>
    </row>
    <row r="211">
      <c r="A211" s="80" t="s">
        <v>306</v>
      </c>
      <c r="B211" s="81" t="str">
        <f t="shared" si="11"/>
        <v>Yuet Lab 粵語詞𢑥研究所</v>
      </c>
      <c r="C211" s="80" t="s">
        <v>339</v>
      </c>
      <c r="D211" s="81" t="str">
        <f>HYPERLINK("https://youtube.com/watch?v=A03xliwualQ", "粵語詞彙研究所 - 陰陰")</f>
        <v>粵語詞彙研究所 - 陰陰</v>
      </c>
      <c r="E211" s="82">
        <v>44003.0</v>
      </c>
      <c r="F211" s="80">
        <v>76.0</v>
      </c>
      <c r="G211" s="80" t="s">
        <v>63</v>
      </c>
      <c r="I211" s="80" t="s">
        <v>63</v>
      </c>
      <c r="J211" s="80">
        <v>249.0</v>
      </c>
      <c r="K211" s="80">
        <v>0.932584269662921</v>
      </c>
      <c r="L211" s="80" t="s">
        <v>102</v>
      </c>
    </row>
    <row r="212">
      <c r="A212" s="80" t="s">
        <v>306</v>
      </c>
      <c r="B212" s="81" t="str">
        <f t="shared" si="11"/>
        <v>Yuet Lab 粵語詞𢑥研究所</v>
      </c>
      <c r="C212" s="80" t="s">
        <v>340</v>
      </c>
      <c r="D212" s="81" t="str">
        <f>HYPERLINK("https://youtube.com/watch?v=ROIb3IVfmKY", "粵語詞彙研究所 - 淘")</f>
        <v>粵語詞彙研究所 - 淘</v>
      </c>
      <c r="E212" s="82">
        <v>43997.0</v>
      </c>
      <c r="F212" s="80">
        <v>62.0</v>
      </c>
      <c r="G212" s="80" t="s">
        <v>63</v>
      </c>
      <c r="I212" s="80" t="s">
        <v>63</v>
      </c>
      <c r="J212" s="80">
        <v>189.0</v>
      </c>
      <c r="K212" s="80">
        <v>0.959390862944162</v>
      </c>
      <c r="L212" s="80" t="s">
        <v>102</v>
      </c>
    </row>
    <row r="213">
      <c r="A213" s="80" t="s">
        <v>306</v>
      </c>
      <c r="B213" s="81" t="str">
        <f t="shared" si="11"/>
        <v>Yuet Lab 粵語詞𢑥研究所</v>
      </c>
      <c r="C213" s="80" t="s">
        <v>341</v>
      </c>
      <c r="D213" s="81" t="str">
        <f>HYPERLINK("https://youtube.com/watch?v=E2o2g3wHP-0", "粵語詞彙研究所 -  返")</f>
        <v>粵語詞彙研究所 -  返</v>
      </c>
      <c r="E213" s="82">
        <v>43990.0</v>
      </c>
      <c r="F213" s="80">
        <v>283.0</v>
      </c>
      <c r="G213" s="80" t="s">
        <v>63</v>
      </c>
      <c r="I213" s="80" t="s">
        <v>63</v>
      </c>
      <c r="J213" s="80">
        <v>1123.0</v>
      </c>
      <c r="K213" s="80">
        <v>0.968938740293356</v>
      </c>
      <c r="L213" s="80" t="s">
        <v>102</v>
      </c>
    </row>
    <row r="214">
      <c r="A214" s="80" t="s">
        <v>306</v>
      </c>
      <c r="B214" s="81" t="str">
        <f t="shared" si="11"/>
        <v>Yuet Lab 粵語詞𢑥研究所</v>
      </c>
      <c r="C214" s="80" t="s">
        <v>342</v>
      </c>
      <c r="D214" s="81" t="str">
        <f>HYPERLINK("https://youtube.com/watch?v=Z-v4-0Q6_2U", "粵語詞彙研究所 - 岋")</f>
        <v>粵語詞彙研究所 - 岋</v>
      </c>
      <c r="E214" s="82">
        <v>43986.0</v>
      </c>
      <c r="F214" s="80">
        <v>98.0</v>
      </c>
      <c r="G214" s="80" t="s">
        <v>63</v>
      </c>
      <c r="I214" s="80" t="s">
        <v>63</v>
      </c>
      <c r="J214" s="80">
        <v>366.0</v>
      </c>
      <c r="K214" s="80">
        <v>0.886198547215496</v>
      </c>
      <c r="L214" s="80" t="s">
        <v>102</v>
      </c>
    </row>
    <row r="215">
      <c r="A215" s="80" t="s">
        <v>306</v>
      </c>
      <c r="B215" s="81" t="str">
        <f t="shared" si="11"/>
        <v>Yuet Lab 粵語詞𢑥研究所</v>
      </c>
      <c r="C215" s="80" t="s">
        <v>343</v>
      </c>
      <c r="D215" s="81" t="str">
        <f>HYPERLINK("https://youtube.com/watch?v=f7MIapnARiM", "粵語詞彙研究所 - 岋")</f>
        <v>粵語詞彙研究所 - 岋</v>
      </c>
      <c r="E215" s="82">
        <v>43982.0</v>
      </c>
      <c r="F215" s="80">
        <v>100.0</v>
      </c>
      <c r="G215" s="80" t="s">
        <v>63</v>
      </c>
      <c r="I215" s="80" t="s">
        <v>63</v>
      </c>
      <c r="J215" s="80">
        <v>366.0</v>
      </c>
      <c r="K215" s="80">
        <v>0.886198547215496</v>
      </c>
      <c r="L215" s="80" t="s">
        <v>102</v>
      </c>
    </row>
    <row r="216">
      <c r="A216" s="80" t="s">
        <v>306</v>
      </c>
      <c r="B216" s="81" t="str">
        <f t="shared" si="11"/>
        <v>Yuet Lab 粵語詞𢑥研究所</v>
      </c>
      <c r="C216" s="80" t="s">
        <v>344</v>
      </c>
      <c r="D216" s="81" t="str">
        <f>HYPERLINK("https://youtube.com/watch?v=AIrOcFy1rKM", "粵語詞彙研究所 - 藤條")</f>
        <v>粵語詞彙研究所 - 藤條</v>
      </c>
      <c r="E216" s="82">
        <v>43975.0</v>
      </c>
      <c r="F216" s="80">
        <v>61.0</v>
      </c>
      <c r="G216" s="80" t="s">
        <v>63</v>
      </c>
      <c r="I216" s="80" t="s">
        <v>63</v>
      </c>
      <c r="J216" s="80">
        <v>176.0</v>
      </c>
      <c r="K216" s="80">
        <v>0.967032967032967</v>
      </c>
      <c r="L216" s="80" t="s">
        <v>102</v>
      </c>
    </row>
    <row r="217">
      <c r="A217" s="80" t="s">
        <v>306</v>
      </c>
      <c r="B217" s="81" t="str">
        <f t="shared" si="11"/>
        <v>Yuet Lab 粵語詞𢑥研究所</v>
      </c>
      <c r="C217" s="80" t="s">
        <v>345</v>
      </c>
      <c r="D217" s="81" t="str">
        <f>HYPERLINK("https://youtube.com/watch?v=tFJRkGZ9hwg", "粵語詞彙研究所 - 涼㓎㓎")</f>
        <v>粵語詞彙研究所 - 涼㓎㓎</v>
      </c>
      <c r="E217" s="82">
        <v>43968.0</v>
      </c>
      <c r="F217" s="80">
        <v>53.0</v>
      </c>
      <c r="G217" s="80" t="s">
        <v>63</v>
      </c>
      <c r="I217" s="80" t="s">
        <v>63</v>
      </c>
      <c r="J217" s="80">
        <v>168.0</v>
      </c>
      <c r="K217" s="80">
        <v>0.938547486033519</v>
      </c>
      <c r="L217" s="80" t="s">
        <v>102</v>
      </c>
    </row>
    <row r="218">
      <c r="A218" s="80" t="s">
        <v>306</v>
      </c>
      <c r="B218" s="81" t="str">
        <f t="shared" si="11"/>
        <v>Yuet Lab 粵語詞𢑥研究所</v>
      </c>
      <c r="C218" s="80" t="s">
        <v>346</v>
      </c>
      <c r="D218" s="81" t="str">
        <f>HYPERLINK("https://youtube.com/watch?v=4fcHktuvnKA", "粵語詞彙研究所 - 㗦嘈")</f>
        <v>粵語詞彙研究所 - 㗦嘈</v>
      </c>
      <c r="E218" s="82">
        <v>43964.0</v>
      </c>
      <c r="F218" s="80">
        <v>92.0</v>
      </c>
      <c r="G218" s="80" t="s">
        <v>63</v>
      </c>
      <c r="I218" s="80" t="s">
        <v>63</v>
      </c>
      <c r="J218" s="80">
        <v>325.0</v>
      </c>
      <c r="K218" s="80">
        <v>0.915492957746478</v>
      </c>
      <c r="L218" s="80" t="s">
        <v>102</v>
      </c>
    </row>
    <row r="219">
      <c r="A219" s="80" t="s">
        <v>306</v>
      </c>
      <c r="B219" s="81" t="str">
        <f t="shared" si="11"/>
        <v>Yuet Lab 粵語詞𢑥研究所</v>
      </c>
      <c r="C219" s="80" t="s">
        <v>347</v>
      </c>
      <c r="D219" s="81" t="str">
        <f>HYPERLINK("https://youtube.com/watch?v=dmL_Fmqa9Wc", "粵語詞彙研究所 - 扻")</f>
        <v>粵語詞彙研究所 - 扻</v>
      </c>
      <c r="E219" s="82">
        <v>43954.0</v>
      </c>
      <c r="F219" s="80">
        <v>128.0</v>
      </c>
      <c r="G219" s="80" t="s">
        <v>63</v>
      </c>
      <c r="I219" s="80" t="s">
        <v>63</v>
      </c>
      <c r="J219" s="80">
        <v>452.0</v>
      </c>
      <c r="K219" s="80">
        <v>0.953586497890295</v>
      </c>
      <c r="L219" s="80" t="s">
        <v>102</v>
      </c>
    </row>
    <row r="220">
      <c r="A220" s="80" t="s">
        <v>306</v>
      </c>
      <c r="B220" s="81" t="str">
        <f t="shared" si="11"/>
        <v>Yuet Lab 粵語詞𢑥研究所</v>
      </c>
      <c r="C220" s="80" t="s">
        <v>348</v>
      </c>
      <c r="D220" s="81" t="str">
        <f>HYPERLINK("https://youtube.com/watch?v=uHrFui_k494", "語詞彙研究所 - 屟")</f>
        <v>語詞彙研究所 - 屟</v>
      </c>
      <c r="E220" s="82">
        <v>43948.0</v>
      </c>
      <c r="F220" s="80">
        <v>61.0</v>
      </c>
      <c r="G220" s="80" t="s">
        <v>63</v>
      </c>
      <c r="I220" s="80" t="s">
        <v>63</v>
      </c>
      <c r="J220" s="80">
        <v>227.0</v>
      </c>
      <c r="K220" s="80">
        <v>0.90079365079365</v>
      </c>
      <c r="L220" s="80" t="s">
        <v>102</v>
      </c>
    </row>
    <row r="221">
      <c r="A221" s="80" t="s">
        <v>306</v>
      </c>
      <c r="B221" s="81" t="str">
        <f t="shared" si="11"/>
        <v>Yuet Lab 粵語詞𢑥研究所</v>
      </c>
      <c r="C221" s="80" t="s">
        <v>349</v>
      </c>
      <c r="D221" s="81" t="str">
        <f>HYPERLINK("https://youtube.com/watch?v=nNxCO35n980", "粵語詞彙研究所 - 惜")</f>
        <v>粵語詞彙研究所 - 惜</v>
      </c>
      <c r="E221" s="82">
        <v>43941.0</v>
      </c>
      <c r="F221" s="80">
        <v>151.0</v>
      </c>
      <c r="G221" s="80" t="s">
        <v>63</v>
      </c>
      <c r="I221" s="80" t="s">
        <v>63</v>
      </c>
      <c r="J221" s="80">
        <v>541.0</v>
      </c>
      <c r="K221" s="80">
        <v>0.940869565217391</v>
      </c>
      <c r="L221" s="80" t="s">
        <v>102</v>
      </c>
    </row>
    <row r="222">
      <c r="A222" s="80" t="s">
        <v>306</v>
      </c>
      <c r="B222" s="81" t="str">
        <f t="shared" si="11"/>
        <v>Yuet Lab 粵語詞𢑥研究所</v>
      </c>
      <c r="C222" s="80" t="s">
        <v>350</v>
      </c>
      <c r="D222" s="81" t="str">
        <f>HYPERLINK("https://youtube.com/watch?v=7fr3_LyV6lY", "粵語詞彙研究所 - 幾多")</f>
        <v>粵語詞彙研究所 - 幾多</v>
      </c>
      <c r="E222" s="82">
        <v>43934.0</v>
      </c>
      <c r="F222" s="80">
        <v>93.0</v>
      </c>
      <c r="G222" s="80" t="s">
        <v>63</v>
      </c>
      <c r="I222" s="80" t="s">
        <v>63</v>
      </c>
      <c r="J222" s="80">
        <v>276.0</v>
      </c>
      <c r="K222" s="80">
        <v>0.98220640569395</v>
      </c>
      <c r="L222" s="80" t="s">
        <v>102</v>
      </c>
    </row>
    <row r="223">
      <c r="A223" s="80" t="s">
        <v>306</v>
      </c>
      <c r="B223" s="81" t="str">
        <f t="shared" si="11"/>
        <v>Yuet Lab 粵語詞𢑥研究所</v>
      </c>
      <c r="C223" s="80" t="s">
        <v>351</v>
      </c>
      <c r="D223" s="81" t="str">
        <f>HYPERLINK("https://youtube.com/watch?v=j8wNwG-auFo", "粵語詞彙研究所 - 㤢")</f>
        <v>粵語詞彙研究所 - 㤢</v>
      </c>
      <c r="E223" s="82">
        <v>43925.0</v>
      </c>
      <c r="F223" s="80">
        <v>129.0</v>
      </c>
      <c r="G223" s="80" t="s">
        <v>63</v>
      </c>
      <c r="I223" s="80" t="s">
        <v>63</v>
      </c>
      <c r="J223" s="80">
        <v>459.0</v>
      </c>
      <c r="K223" s="80">
        <v>0.938650306748466</v>
      </c>
      <c r="L223" s="80" t="s">
        <v>102</v>
      </c>
    </row>
    <row r="224">
      <c r="A224" s="80" t="s">
        <v>306</v>
      </c>
      <c r="B224" s="81" t="str">
        <f t="shared" si="11"/>
        <v>Yuet Lab 粵語詞𢑥研究所</v>
      </c>
      <c r="C224" s="80" t="s">
        <v>352</v>
      </c>
      <c r="D224" s="81" t="str">
        <f>HYPERLINK("https://youtube.com/watch?v=ZKq91ILbD5I", "粵語詞彙研究所 - 𢔋")</f>
        <v>粵語詞彙研究所 - 𢔋</v>
      </c>
      <c r="E224" s="82">
        <v>43919.0</v>
      </c>
      <c r="F224" s="80">
        <v>103.0</v>
      </c>
      <c r="G224" s="80" t="s">
        <v>63</v>
      </c>
      <c r="I224" s="80" t="s">
        <v>63</v>
      </c>
      <c r="J224" s="80">
        <v>372.0</v>
      </c>
      <c r="K224" s="80">
        <v>0.918518518518518</v>
      </c>
      <c r="L224" s="80" t="s">
        <v>102</v>
      </c>
    </row>
    <row r="225">
      <c r="A225" s="80" t="s">
        <v>306</v>
      </c>
      <c r="B225" s="81" t="str">
        <f t="shared" si="11"/>
        <v>Yuet Lab 粵語詞𢑥研究所</v>
      </c>
      <c r="C225" s="80" t="s">
        <v>353</v>
      </c>
      <c r="D225" s="81" t="str">
        <f>HYPERLINK("https://youtube.com/watch?v=T2q1EfHPp-k", "粵語詞彙研究所 - 抖")</f>
        <v>粵語詞彙研究所 - 抖</v>
      </c>
      <c r="E225" s="82">
        <v>43914.0</v>
      </c>
      <c r="F225" s="80">
        <v>151.0</v>
      </c>
      <c r="G225" s="80" t="s">
        <v>63</v>
      </c>
      <c r="I225" s="80" t="s">
        <v>63</v>
      </c>
      <c r="J225" s="80">
        <v>534.0</v>
      </c>
      <c r="K225" s="80">
        <v>0.969147005444646</v>
      </c>
      <c r="L225" s="80" t="s">
        <v>102</v>
      </c>
    </row>
    <row r="226">
      <c r="A226" s="80" t="s">
        <v>306</v>
      </c>
      <c r="B226" s="81" t="str">
        <f t="shared" si="11"/>
        <v>Yuet Lab 粵語詞𢑥研究所</v>
      </c>
      <c r="C226" s="80" t="s">
        <v>354</v>
      </c>
      <c r="D226" s="81" t="str">
        <f>HYPERLINK("https://youtube.com/watch?v=Gjcaoe6LgZM", "粵語詞彙研究所 - 猋")</f>
        <v>粵語詞彙研究所 - 猋</v>
      </c>
      <c r="E226" s="82">
        <v>43904.0</v>
      </c>
      <c r="F226" s="80">
        <v>119.0</v>
      </c>
      <c r="G226" s="80" t="s">
        <v>63</v>
      </c>
      <c r="I226" s="80" t="s">
        <v>63</v>
      </c>
      <c r="J226" s="80">
        <v>491.0</v>
      </c>
      <c r="K226" s="80">
        <v>0.962745098039215</v>
      </c>
      <c r="L226" s="80" t="s">
        <v>102</v>
      </c>
    </row>
    <row r="227">
      <c r="A227" s="80" t="s">
        <v>306</v>
      </c>
      <c r="B227" s="81" t="str">
        <f t="shared" si="11"/>
        <v>Yuet Lab 粵語詞𢑥研究所</v>
      </c>
      <c r="C227" s="80" t="s">
        <v>355</v>
      </c>
      <c r="D227" s="81" t="str">
        <f>HYPERLINK("https://youtube.com/watch?v=_UjGj6iAVX0", "粵語詞彙研究所 - 好")</f>
        <v>粵語詞彙研究所 - 好</v>
      </c>
      <c r="E227" s="82">
        <v>43895.0</v>
      </c>
      <c r="F227" s="80">
        <v>120.0</v>
      </c>
      <c r="G227" s="80" t="s">
        <v>63</v>
      </c>
      <c r="I227" s="80" t="s">
        <v>63</v>
      </c>
      <c r="J227" s="80">
        <v>368.0</v>
      </c>
      <c r="K227" s="80">
        <v>0.978723404255319</v>
      </c>
      <c r="L227" s="80" t="s">
        <v>102</v>
      </c>
    </row>
    <row r="228">
      <c r="A228" s="80" t="s">
        <v>306</v>
      </c>
      <c r="B228" s="81" t="str">
        <f t="shared" si="11"/>
        <v>Yuet Lab 粵語詞𢑥研究所</v>
      </c>
      <c r="C228" s="80" t="s">
        <v>356</v>
      </c>
      <c r="D228" s="81" t="str">
        <f>HYPERLINK("https://youtube.com/watch?v=e_Z1ve5RdQA", "粵語詞彙研究所 - 未")</f>
        <v>粵語詞彙研究所 - 未</v>
      </c>
      <c r="E228" s="82">
        <v>43894.0</v>
      </c>
      <c r="F228" s="80">
        <v>116.0</v>
      </c>
      <c r="G228" s="80" t="s">
        <v>63</v>
      </c>
      <c r="I228" s="80" t="s">
        <v>63</v>
      </c>
      <c r="J228" s="80">
        <v>345.0</v>
      </c>
      <c r="K228" s="80">
        <v>0.971830985915493</v>
      </c>
      <c r="L228" s="80" t="s">
        <v>102</v>
      </c>
    </row>
    <row r="229">
      <c r="A229" s="80" t="s">
        <v>306</v>
      </c>
      <c r="B229" s="81" t="str">
        <f t="shared" si="11"/>
        <v>Yuet Lab 粵語詞𢑥研究所</v>
      </c>
      <c r="C229" s="80" t="s">
        <v>357</v>
      </c>
      <c r="D229" s="81" t="str">
        <f>HYPERLINK("https://youtube.com/watch?v=PpionLTO0wg", "粵語詞彙研究所 - 晏")</f>
        <v>粵語詞彙研究所 - 晏</v>
      </c>
      <c r="E229" s="82">
        <v>43881.0</v>
      </c>
      <c r="F229" s="80">
        <v>82.0</v>
      </c>
      <c r="G229" s="80" t="s">
        <v>63</v>
      </c>
      <c r="I229" s="80" t="s">
        <v>63</v>
      </c>
      <c r="J229" s="80">
        <v>282.0</v>
      </c>
      <c r="K229" s="80">
        <v>0.952702702702702</v>
      </c>
      <c r="L229" s="80" t="s">
        <v>102</v>
      </c>
    </row>
    <row r="230">
      <c r="A230" s="80" t="s">
        <v>306</v>
      </c>
      <c r="B230" s="81" t="str">
        <f t="shared" si="11"/>
        <v>Yuet Lab 粵語詞𢑥研究所</v>
      </c>
      <c r="C230" s="80" t="s">
        <v>358</v>
      </c>
      <c r="D230" s="81" t="str">
        <f>HYPERLINK("https://youtube.com/watch?v=IXmXz4KqOpk", "粵語詞彙研究所 - 是必")</f>
        <v>粵語詞彙研究所 - 是必</v>
      </c>
      <c r="E230" s="82">
        <v>43874.0</v>
      </c>
      <c r="F230" s="80">
        <v>70.0</v>
      </c>
      <c r="G230" s="80" t="s">
        <v>63</v>
      </c>
      <c r="I230" s="80" t="s">
        <v>63</v>
      </c>
      <c r="J230" s="80">
        <v>236.0</v>
      </c>
      <c r="K230" s="80">
        <v>0.975206611570247</v>
      </c>
      <c r="L230" s="80" t="s">
        <v>102</v>
      </c>
    </row>
    <row r="231">
      <c r="A231" s="80" t="s">
        <v>306</v>
      </c>
      <c r="B231" s="81" t="str">
        <f t="shared" si="11"/>
        <v>Yuet Lab 粵語詞𢑥研究所</v>
      </c>
      <c r="C231" s="80" t="s">
        <v>359</v>
      </c>
      <c r="D231" s="81" t="str">
        <f>HYPERLINK("https://youtube.com/watch?v=MXFSKJWvpTo", "粵語詞彙研究所 - 火滾")</f>
        <v>粵語詞彙研究所 - 火滾</v>
      </c>
      <c r="E231" s="82">
        <v>43866.0</v>
      </c>
      <c r="F231" s="80">
        <v>71.0</v>
      </c>
      <c r="G231" s="80" t="s">
        <v>63</v>
      </c>
      <c r="I231" s="80" t="s">
        <v>63</v>
      </c>
      <c r="J231" s="80">
        <v>213.0</v>
      </c>
      <c r="K231" s="80">
        <v>0.963800904977375</v>
      </c>
      <c r="L231" s="80" t="s">
        <v>102</v>
      </c>
    </row>
    <row r="232">
      <c r="A232" s="80" t="s">
        <v>306</v>
      </c>
      <c r="B232" s="81" t="str">
        <f t="shared" si="11"/>
        <v>Yuet Lab 粵語詞𢑥研究所</v>
      </c>
      <c r="C232" s="80" t="s">
        <v>360</v>
      </c>
      <c r="D232" s="81" t="str">
        <f>HYPERLINK("https://youtube.com/watch?v=gpzcIdmtxUY", "粵語詞彙研究所 - 後生(二)")</f>
        <v>粵語詞彙研究所 - 後生(二)</v>
      </c>
      <c r="E232" s="82">
        <v>43865.0</v>
      </c>
      <c r="F232" s="80">
        <v>68.0</v>
      </c>
      <c r="G232" s="80" t="s">
        <v>63</v>
      </c>
      <c r="I232" s="80" t="s">
        <v>63</v>
      </c>
      <c r="J232" s="80">
        <v>208.0</v>
      </c>
      <c r="K232" s="80">
        <v>0.976525821596244</v>
      </c>
      <c r="L232" s="80" t="s">
        <v>102</v>
      </c>
    </row>
    <row r="233">
      <c r="A233" s="80" t="s">
        <v>306</v>
      </c>
      <c r="B233" s="81" t="str">
        <f t="shared" si="11"/>
        <v>Yuet Lab 粵語詞𢑥研究所</v>
      </c>
      <c r="C233" s="80" t="s">
        <v>361</v>
      </c>
      <c r="D233" s="81" t="str">
        <f>HYPERLINK("https://youtube.com/watch?v=Ra9JyN4La6U", "粵語詞彙研究所 -  後生 (一)")</f>
        <v>粵語詞彙研究所 -  後生 (一)</v>
      </c>
      <c r="E233" s="82">
        <v>43843.0</v>
      </c>
      <c r="F233" s="80">
        <v>77.0</v>
      </c>
      <c r="G233" s="80" t="s">
        <v>63</v>
      </c>
      <c r="I233" s="80" t="s">
        <v>63</v>
      </c>
      <c r="J233" s="80">
        <v>253.0</v>
      </c>
      <c r="K233" s="80">
        <v>0.965648854961832</v>
      </c>
      <c r="L233" s="80" t="s">
        <v>102</v>
      </c>
    </row>
    <row r="234">
      <c r="A234" s="80" t="s">
        <v>306</v>
      </c>
      <c r="B234" s="81" t="str">
        <f t="shared" si="11"/>
        <v>Yuet Lab 粵語詞𢑥研究所</v>
      </c>
      <c r="C234" s="80" t="s">
        <v>362</v>
      </c>
      <c r="D234" s="81" t="str">
        <f>HYPERLINK("https://youtube.com/watch?v=zs2Q4HG7JUU", "粵語詞彙研究所 - 啞")</f>
        <v>粵語詞彙研究所 - 啞</v>
      </c>
      <c r="E234" s="82">
        <v>43835.0</v>
      </c>
      <c r="F234" s="80">
        <v>63.0</v>
      </c>
      <c r="G234" s="80" t="s">
        <v>63</v>
      </c>
      <c r="I234" s="80" t="s">
        <v>63</v>
      </c>
      <c r="J234" s="80">
        <v>206.0</v>
      </c>
      <c r="K234" s="80">
        <v>0.958139534883721</v>
      </c>
      <c r="L234" s="80" t="s">
        <v>102</v>
      </c>
    </row>
    <row r="235">
      <c r="A235" s="80" t="s">
        <v>306</v>
      </c>
      <c r="B235" s="81" t="str">
        <f t="shared" si="11"/>
        <v>Yuet Lab 粵語詞𢑥研究所</v>
      </c>
      <c r="C235" s="80" t="s">
        <v>363</v>
      </c>
      <c r="D235" s="81" t="str">
        <f>HYPERLINK("https://youtube.com/watch?v=ah6v5JDTuHE", "粵語詞彙研究所 - 共")</f>
        <v>粵語詞彙研究所 - 共</v>
      </c>
      <c r="E235" s="82">
        <v>43828.0</v>
      </c>
      <c r="F235" s="80">
        <v>136.0</v>
      </c>
      <c r="G235" s="80" t="s">
        <v>63</v>
      </c>
      <c r="I235" s="80" t="s">
        <v>63</v>
      </c>
      <c r="J235" s="80">
        <v>430.0</v>
      </c>
      <c r="K235" s="80">
        <v>0.979498861047836</v>
      </c>
      <c r="L235" s="80" t="s">
        <v>102</v>
      </c>
    </row>
    <row r="236">
      <c r="A236" s="80" t="s">
        <v>306</v>
      </c>
      <c r="B236" s="81" t="str">
        <f t="shared" si="11"/>
        <v>Yuet Lab 粵語詞𢑥研究所</v>
      </c>
      <c r="C236" s="80" t="s">
        <v>364</v>
      </c>
      <c r="D236" s="81" t="str">
        <f>HYPERLINK("https://youtube.com/watch?v=ubFkO_j8AZM", "粵語詞彙研究所 -上晝、下晝")</f>
        <v>粵語詞彙研究所 -上晝、下晝</v>
      </c>
      <c r="E236" s="82">
        <v>43816.0</v>
      </c>
      <c r="F236" s="80">
        <v>56.0</v>
      </c>
      <c r="G236" s="80" t="s">
        <v>63</v>
      </c>
      <c r="I236" s="80" t="s">
        <v>63</v>
      </c>
      <c r="J236" s="80">
        <v>160.0</v>
      </c>
      <c r="K236" s="80">
        <v>0.975609756097561</v>
      </c>
      <c r="L236" s="80" t="s">
        <v>102</v>
      </c>
    </row>
    <row r="237">
      <c r="A237" s="80" t="s">
        <v>306</v>
      </c>
      <c r="B237" s="81" t="str">
        <f t="shared" si="11"/>
        <v>Yuet Lab 粵語詞𢑥研究所</v>
      </c>
      <c r="C237" s="80" t="s">
        <v>365</v>
      </c>
      <c r="D237" s="81" t="str">
        <f>HYPERLINK("https://youtube.com/watch?v=muxTNslbh74", "粵語詞彙研究所 - 喉急")</f>
        <v>粵語詞彙研究所 - 喉急</v>
      </c>
      <c r="E237" s="82">
        <v>43809.0</v>
      </c>
      <c r="F237" s="80">
        <v>55.0</v>
      </c>
      <c r="G237" s="80" t="s">
        <v>63</v>
      </c>
      <c r="I237" s="80" t="s">
        <v>63</v>
      </c>
      <c r="J237" s="80">
        <v>140.0</v>
      </c>
      <c r="K237" s="80">
        <v>0.972222222222222</v>
      </c>
      <c r="L237" s="80" t="s">
        <v>102</v>
      </c>
    </row>
    <row r="238">
      <c r="A238" s="80" t="s">
        <v>306</v>
      </c>
      <c r="B238" s="81" t="str">
        <f t="shared" si="11"/>
        <v>Yuet Lab 粵語詞𢑥研究所</v>
      </c>
      <c r="C238" s="80" t="s">
        <v>366</v>
      </c>
      <c r="D238" s="81" t="str">
        <f>HYPERLINK("https://youtube.com/watch?v=ffDVMqVD69U", "粵語詞彙研究所 - 合")</f>
        <v>粵語詞彙研究所 - 合</v>
      </c>
      <c r="E238" s="82">
        <v>43802.0</v>
      </c>
      <c r="F238" s="80">
        <v>192.0</v>
      </c>
      <c r="G238" s="80" t="s">
        <v>63</v>
      </c>
      <c r="I238" s="80" t="s">
        <v>63</v>
      </c>
      <c r="J238" s="80">
        <v>773.0</v>
      </c>
      <c r="K238" s="80">
        <v>0.967459324155194</v>
      </c>
      <c r="L238" s="80" t="s">
        <v>102</v>
      </c>
    </row>
    <row r="239">
      <c r="A239" s="80" t="s">
        <v>306</v>
      </c>
      <c r="B239" s="81" t="str">
        <f t="shared" si="11"/>
        <v>Yuet Lab 粵語詞𢑥研究所</v>
      </c>
      <c r="C239" s="80" t="s">
        <v>367</v>
      </c>
      <c r="D239" s="81" t="str">
        <f>HYPERLINK("https://youtube.com/watch?v=rUTbnhukuFQ", "粵語詞彙研究所 - 使錢")</f>
        <v>粵語詞彙研究所 - 使錢</v>
      </c>
      <c r="E239" s="82">
        <v>43797.0</v>
      </c>
      <c r="F239" s="80">
        <v>62.0</v>
      </c>
      <c r="G239" s="80" t="s">
        <v>63</v>
      </c>
      <c r="I239" s="80" t="s">
        <v>63</v>
      </c>
      <c r="J239" s="80">
        <v>235.0</v>
      </c>
      <c r="K239" s="80">
        <v>0.955284552845528</v>
      </c>
      <c r="L239" s="80" t="s">
        <v>102</v>
      </c>
    </row>
    <row r="240">
      <c r="A240" s="80" t="s">
        <v>306</v>
      </c>
      <c r="B240" s="81" t="str">
        <f t="shared" si="11"/>
        <v>Yuet Lab 粵語詞𢑥研究所</v>
      </c>
      <c r="C240" s="80" t="s">
        <v>368</v>
      </c>
      <c r="D240" s="81" t="str">
        <f>HYPERLINK("https://youtube.com/watch?v=XcZuEpy0P3s", "粵語詞彙研究所 - 嗒")</f>
        <v>粵語詞彙研究所 - 嗒</v>
      </c>
      <c r="E240" s="82">
        <v>43797.0</v>
      </c>
      <c r="F240" s="80">
        <v>65.0</v>
      </c>
      <c r="G240" s="80" t="s">
        <v>63</v>
      </c>
      <c r="I240" s="80" t="s">
        <v>63</v>
      </c>
      <c r="J240" s="80">
        <v>267.0</v>
      </c>
      <c r="K240" s="80">
        <v>0.978021978021978</v>
      </c>
      <c r="L240" s="80" t="s">
        <v>102</v>
      </c>
    </row>
    <row r="241">
      <c r="A241" s="80" t="s">
        <v>306</v>
      </c>
      <c r="B241" s="81" t="str">
        <f t="shared" si="11"/>
        <v>Yuet Lab 粵語詞𢑥研究所</v>
      </c>
      <c r="C241" s="80" t="s">
        <v>369</v>
      </c>
      <c r="D241" s="81" t="str">
        <f>HYPERLINK("https://youtube.com/watch?v=1e2F5DIrqs4", "粵語詞彙研究所 - 嘈")</f>
        <v>粵語詞彙研究所 - 嘈</v>
      </c>
      <c r="E241" s="82">
        <v>43797.0</v>
      </c>
      <c r="F241" s="80">
        <v>34.0</v>
      </c>
      <c r="G241" s="80" t="s">
        <v>63</v>
      </c>
      <c r="I241" s="80" t="s">
        <v>63</v>
      </c>
      <c r="J241" s="80">
        <v>100.0</v>
      </c>
      <c r="K241" s="80">
        <v>0.970873786407767</v>
      </c>
      <c r="L241" s="80" t="s">
        <v>102</v>
      </c>
    </row>
    <row r="242">
      <c r="A242" s="80" t="s">
        <v>306</v>
      </c>
      <c r="B242" s="81" t="str">
        <f t="shared" si="11"/>
        <v>Yuet Lab 粵語詞𢑥研究所</v>
      </c>
      <c r="C242" s="80" t="s">
        <v>370</v>
      </c>
      <c r="D242" s="81" t="str">
        <f>HYPERLINK("https://youtube.com/watch?v=McZwvNIrWuk", "粵語詞彙研究所 - 師姑")</f>
        <v>粵語詞彙研究所 - 師姑</v>
      </c>
      <c r="E242" s="82">
        <v>43797.0</v>
      </c>
      <c r="F242" s="80">
        <v>46.0</v>
      </c>
      <c r="G242" s="80" t="s">
        <v>63</v>
      </c>
      <c r="I242" s="80" t="s">
        <v>63</v>
      </c>
      <c r="J242" s="80">
        <v>125.0</v>
      </c>
      <c r="K242" s="80">
        <v>0.968992248062015</v>
      </c>
      <c r="L242" s="80" t="s">
        <v>102</v>
      </c>
    </row>
    <row r="243">
      <c r="A243" s="80" t="s">
        <v>306</v>
      </c>
      <c r="B243" s="81" t="str">
        <f t="shared" si="11"/>
        <v>Yuet Lab 粵語詞𢑥研究所</v>
      </c>
      <c r="C243" s="80" t="s">
        <v>371</v>
      </c>
      <c r="D243" s="81" t="str">
        <f>HYPERLINK("https://youtube.com/watch?v=KM9Lr66wkX4", "粵語詞彙研究所 - 太公 (一)")</f>
        <v>粵語詞彙研究所 - 太公 (一)</v>
      </c>
      <c r="E243" s="82">
        <v>43760.0</v>
      </c>
      <c r="F243" s="80">
        <v>60.0</v>
      </c>
      <c r="G243" s="80" t="s">
        <v>63</v>
      </c>
      <c r="I243" s="80" t="s">
        <v>63</v>
      </c>
      <c r="J243" s="80">
        <v>196.0</v>
      </c>
      <c r="K243" s="80">
        <v>0.956097560975609</v>
      </c>
      <c r="L243" s="80" t="s">
        <v>102</v>
      </c>
    </row>
    <row r="244">
      <c r="A244" s="80" t="s">
        <v>306</v>
      </c>
      <c r="B244" s="81" t="str">
        <f t="shared" si="11"/>
        <v>Yuet Lab 粵語詞𢑥研究所</v>
      </c>
      <c r="C244" s="80" t="s">
        <v>372</v>
      </c>
      <c r="D244" s="81" t="str">
        <f>HYPERLINK("https://youtube.com/watch?v=mjbEEJn9fZ4", "黃樹堅老師-粵語30秒教識大家認""入聲""字")</f>
        <v>黃樹堅老師-粵語30秒教識大家認"入聲"字</v>
      </c>
      <c r="E244" s="82">
        <v>43755.0</v>
      </c>
      <c r="F244" s="80">
        <v>48.0</v>
      </c>
      <c r="G244" s="80" t="s">
        <v>63</v>
      </c>
      <c r="I244" s="80" t="s">
        <v>63</v>
      </c>
      <c r="J244" s="80">
        <v>103.0</v>
      </c>
      <c r="K244" s="80">
        <v>0.911504424778761</v>
      </c>
      <c r="L244" s="80" t="s">
        <v>102</v>
      </c>
    </row>
    <row r="245">
      <c r="A245" s="80" t="s">
        <v>306</v>
      </c>
      <c r="B245" s="81" t="str">
        <f t="shared" si="11"/>
        <v>Yuet Lab 粵語詞𢑥研究所</v>
      </c>
      <c r="C245" s="80" t="s">
        <v>373</v>
      </c>
      <c r="D245" s="81" t="str">
        <f>HYPERLINK("https://youtube.com/watch?v=XqSdKp1XJPQ", "粵語詞彙研究所 - 屈")</f>
        <v>粵語詞彙研究所 - 屈</v>
      </c>
      <c r="E245" s="82">
        <v>43748.0</v>
      </c>
      <c r="F245" s="80">
        <v>240.0</v>
      </c>
      <c r="G245" s="80" t="s">
        <v>63</v>
      </c>
      <c r="I245" s="80" t="s">
        <v>63</v>
      </c>
      <c r="J245" s="80">
        <v>980.0</v>
      </c>
      <c r="K245" s="80">
        <v>0.966469428007889</v>
      </c>
      <c r="L245" s="80" t="s">
        <v>102</v>
      </c>
    </row>
    <row r="246">
      <c r="A246" s="80" t="s">
        <v>306</v>
      </c>
      <c r="B246" s="81" t="str">
        <f t="shared" si="11"/>
        <v>Yuet Lab 粵語詞𢑥研究所</v>
      </c>
      <c r="C246" s="80" t="s">
        <v>374</v>
      </c>
      <c r="D246" s="81" t="str">
        <f>HYPERLINK("https://youtube.com/watch?v=0SvQ3k_F9To", "粵語詞彙研究所 - 嗰")</f>
        <v>粵語詞彙研究所 - 嗰</v>
      </c>
      <c r="E246" s="82">
        <v>43739.0</v>
      </c>
      <c r="F246" s="80">
        <v>170.0</v>
      </c>
      <c r="G246" s="80" t="s">
        <v>63</v>
      </c>
      <c r="I246" s="80" t="s">
        <v>63</v>
      </c>
      <c r="J246" s="80">
        <v>724.0</v>
      </c>
      <c r="K246" s="80">
        <v>0.960212201591511</v>
      </c>
      <c r="L246" s="80" t="s">
        <v>102</v>
      </c>
    </row>
    <row r="247">
      <c r="A247" s="80" t="s">
        <v>306</v>
      </c>
      <c r="B247" s="81" t="str">
        <f t="shared" si="11"/>
        <v>Yuet Lab 粵語詞𢑥研究所</v>
      </c>
      <c r="C247" s="80" t="s">
        <v>375</v>
      </c>
      <c r="D247" s="81" t="str">
        <f>HYPERLINK("https://youtube.com/watch?v=ajPWHLvMmlE", "粵語詞彙研究所 - 仆")</f>
        <v>粵語詞彙研究所 - 仆</v>
      </c>
      <c r="E247" s="82">
        <v>43732.0</v>
      </c>
      <c r="F247" s="80">
        <v>130.0</v>
      </c>
      <c r="G247" s="80" t="s">
        <v>63</v>
      </c>
      <c r="I247" s="80" t="s">
        <v>63</v>
      </c>
      <c r="J247" s="80">
        <v>521.0</v>
      </c>
      <c r="K247" s="80">
        <v>0.955963302752293</v>
      </c>
      <c r="L247" s="80" t="s">
        <v>102</v>
      </c>
    </row>
    <row r="248">
      <c r="A248" s="80" t="s">
        <v>306</v>
      </c>
      <c r="B248" s="81" t="str">
        <f t="shared" si="11"/>
        <v>Yuet Lab 粵語詞𢑥研究所</v>
      </c>
      <c r="C248" s="80" t="s">
        <v>376</v>
      </c>
      <c r="D248" s="81" t="str">
        <f>HYPERLINK("https://youtube.com/watch?v=MXEU3AARX6k", "粵語詞彙研究所  - 下下")</f>
        <v>粵語詞彙研究所  - 下下</v>
      </c>
      <c r="E248" s="82">
        <v>43723.0</v>
      </c>
      <c r="F248" s="80">
        <v>91.0</v>
      </c>
      <c r="G248" s="80" t="s">
        <v>63</v>
      </c>
      <c r="I248" s="80" t="s">
        <v>63</v>
      </c>
      <c r="J248" s="80">
        <v>342.0</v>
      </c>
      <c r="K248" s="80">
        <v>0.971590909090909</v>
      </c>
      <c r="L248" s="80" t="s">
        <v>102</v>
      </c>
    </row>
    <row r="249">
      <c r="A249" s="80" t="s">
        <v>306</v>
      </c>
      <c r="B249" s="81" t="str">
        <f t="shared" si="11"/>
        <v>Yuet Lab 粵語詞𢑥研究所</v>
      </c>
      <c r="C249" s="80" t="s">
        <v>377</v>
      </c>
      <c r="D249" s="81" t="str">
        <f>HYPERLINK("https://youtube.com/watch?v=AwhrgtSO-xg", "粵語詞彙研究所 - 出年")</f>
        <v>粵語詞彙研究所 - 出年</v>
      </c>
      <c r="E249" s="82">
        <v>43720.0</v>
      </c>
      <c r="F249" s="80">
        <v>72.0</v>
      </c>
      <c r="G249" s="80" t="s">
        <v>63</v>
      </c>
      <c r="I249" s="80" t="s">
        <v>63</v>
      </c>
      <c r="J249" s="80">
        <v>255.0</v>
      </c>
      <c r="K249" s="80">
        <v>0.962264150943396</v>
      </c>
      <c r="L249" s="80" t="s">
        <v>102</v>
      </c>
    </row>
    <row r="250">
      <c r="A250" s="80" t="s">
        <v>306</v>
      </c>
      <c r="B250" s="81" t="str">
        <f t="shared" si="11"/>
        <v>Yuet Lab 粵語詞𢑥研究所</v>
      </c>
      <c r="C250" s="80" t="s">
        <v>378</v>
      </c>
      <c r="D250" s="81" t="str">
        <f>HYPERLINK("https://youtube.com/watch?v=0Vzo9ozmQLs", "粵語詞彙研究所 - 一日 , 日日")</f>
        <v>粵語詞彙研究所 - 一日 , 日日</v>
      </c>
      <c r="E250" s="82">
        <v>43711.0</v>
      </c>
      <c r="F250" s="80">
        <v>193.0</v>
      </c>
      <c r="G250" s="80" t="s">
        <v>63</v>
      </c>
      <c r="I250" s="80" t="s">
        <v>63</v>
      </c>
      <c r="J250" s="80">
        <v>720.0</v>
      </c>
      <c r="K250" s="80">
        <v>0.965147453083109</v>
      </c>
      <c r="L250" s="80" t="s">
        <v>102</v>
      </c>
    </row>
    <row r="251">
      <c r="A251" s="80" t="s">
        <v>306</v>
      </c>
      <c r="B251" s="81" t="str">
        <f t="shared" si="11"/>
        <v>Yuet Lab 粵語詞𢑥研究所</v>
      </c>
      <c r="C251" s="80" t="s">
        <v>379</v>
      </c>
      <c r="D251" s="81" t="str">
        <f>HYPERLINK("https://youtube.com/watch?v=drenPD3tjTI", "粵語詞彙研究所 - 屙")</f>
        <v>粵語詞彙研究所 - 屙</v>
      </c>
      <c r="E251" s="82">
        <v>43704.0</v>
      </c>
      <c r="F251" s="80">
        <v>82.0</v>
      </c>
      <c r="G251" s="80" t="s">
        <v>63</v>
      </c>
      <c r="I251" s="80" t="s">
        <v>63</v>
      </c>
      <c r="J251" s="80">
        <v>212.0</v>
      </c>
      <c r="K251" s="80">
        <v>0.972477064220183</v>
      </c>
      <c r="L251" s="80" t="s">
        <v>102</v>
      </c>
    </row>
    <row r="252">
      <c r="A252" s="80" t="s">
        <v>306</v>
      </c>
      <c r="B252" s="81" t="str">
        <f t="shared" si="11"/>
        <v>Yuet Lab 粵語詞𢑥研究所</v>
      </c>
      <c r="C252" s="80" t="s">
        <v>380</v>
      </c>
      <c r="D252" s="81" t="str">
        <f>HYPERLINK("https://youtube.com/watch?v=n_BJoF64UhQ", "粵語詞彙研究所 - 今日")</f>
        <v>粵語詞彙研究所 - 今日</v>
      </c>
      <c r="E252" s="82">
        <v>43703.0</v>
      </c>
      <c r="F252" s="80">
        <v>158.0</v>
      </c>
      <c r="G252" s="80" t="s">
        <v>63</v>
      </c>
      <c r="I252" s="80" t="s">
        <v>63</v>
      </c>
      <c r="J252" s="80">
        <v>475.0</v>
      </c>
      <c r="K252" s="80">
        <v>0.955734406438631</v>
      </c>
      <c r="L252" s="80" t="s">
        <v>102</v>
      </c>
    </row>
    <row r="253">
      <c r="A253" s="80" t="s">
        <v>306</v>
      </c>
      <c r="B253" s="81" t="str">
        <f t="shared" si="11"/>
        <v>Yuet Lab 粵語詞𢑥研究所</v>
      </c>
      <c r="C253" s="80" t="s">
        <v>381</v>
      </c>
      <c r="D253" s="81" t="str">
        <f>HYPERLINK("https://youtube.com/watch?v=lX9v-WE6SjE", "粵語詞彙研究所 - 有時 到時")</f>
        <v>粵語詞彙研究所 - 有時 到時</v>
      </c>
      <c r="E253" s="82">
        <v>43695.0</v>
      </c>
      <c r="F253" s="80">
        <v>347.0</v>
      </c>
      <c r="G253" s="80" t="s">
        <v>63</v>
      </c>
      <c r="I253" s="80" t="s">
        <v>63</v>
      </c>
      <c r="J253" s="80">
        <v>1206.0</v>
      </c>
      <c r="K253" s="80">
        <v>0.967897271268057</v>
      </c>
      <c r="L253" s="80" t="s">
        <v>102</v>
      </c>
    </row>
    <row r="254">
      <c r="A254" s="80" t="s">
        <v>306</v>
      </c>
      <c r="B254" s="81" t="str">
        <f t="shared" si="11"/>
        <v>Yuet Lab 粵語詞𢑥研究所</v>
      </c>
      <c r="C254" s="80" t="s">
        <v>382</v>
      </c>
      <c r="D254" s="81" t="str">
        <f>HYPERLINK("https://youtube.com/watch?v=eUyxiKK0hx8", "粵語詞彙研究所 - 咄")</f>
        <v>粵語詞彙研究所 - 咄</v>
      </c>
      <c r="E254" s="82">
        <v>43685.0</v>
      </c>
      <c r="F254" s="80">
        <v>132.0</v>
      </c>
      <c r="G254" s="80" t="s">
        <v>63</v>
      </c>
      <c r="I254" s="80" t="s">
        <v>63</v>
      </c>
      <c r="J254" s="80">
        <v>547.0</v>
      </c>
      <c r="K254" s="80">
        <v>0.961335676625659</v>
      </c>
      <c r="L254" s="80" t="s">
        <v>102</v>
      </c>
    </row>
    <row r="255">
      <c r="A255" s="80" t="s">
        <v>306</v>
      </c>
      <c r="B255" s="81" t="str">
        <f t="shared" si="11"/>
        <v>Yuet Lab 粵語詞𢑥研究所</v>
      </c>
      <c r="C255" s="80" t="s">
        <v>383</v>
      </c>
      <c r="D255" s="81" t="str">
        <f>HYPERLINK("https://youtube.com/watch?v=Oj7de9W3Xjc", "粵語詞彙研究所 - 埝")</f>
        <v>粵語詞彙研究所 - 埝</v>
      </c>
      <c r="E255" s="82">
        <v>43685.0</v>
      </c>
      <c r="F255" s="80">
        <v>92.0</v>
      </c>
      <c r="G255" s="80" t="s">
        <v>63</v>
      </c>
      <c r="I255" s="80" t="s">
        <v>63</v>
      </c>
      <c r="J255" s="80">
        <v>280.0</v>
      </c>
      <c r="K255" s="80">
        <v>0.936454849498327</v>
      </c>
      <c r="L255" s="80" t="s">
        <v>102</v>
      </c>
    </row>
    <row r="256">
      <c r="A256" s="80" t="s">
        <v>306</v>
      </c>
      <c r="B256" s="81" t="str">
        <f t="shared" si="11"/>
        <v>Yuet Lab 粵語詞𢑥研究所</v>
      </c>
      <c r="C256" s="80" t="s">
        <v>384</v>
      </c>
      <c r="D256" s="81" t="str">
        <f>HYPERLINK("https://youtube.com/watch?v=FtIZKkWZdi4", "粵語詞彙研究所 - 丩")</f>
        <v>粵語詞彙研究所 - 丩</v>
      </c>
      <c r="E256" s="82">
        <v>43685.0</v>
      </c>
      <c r="F256" s="80">
        <v>298.0</v>
      </c>
      <c r="G256" s="80" t="s">
        <v>63</v>
      </c>
      <c r="I256" s="80" t="s">
        <v>63</v>
      </c>
      <c r="J256" s="80">
        <v>1084.0</v>
      </c>
      <c r="K256" s="80">
        <v>0.960992907801418</v>
      </c>
      <c r="L256" s="80" t="s">
        <v>102</v>
      </c>
    </row>
    <row r="257">
      <c r="A257" s="80" t="s">
        <v>306</v>
      </c>
      <c r="B257" s="81" t="str">
        <f t="shared" si="11"/>
        <v>Yuet Lab 粵語詞𢑥研究所</v>
      </c>
      <c r="C257" s="80" t="s">
        <v>385</v>
      </c>
      <c r="D257" s="81" t="str">
        <f>HYPERLINK("https://youtube.com/watch?v=h_KoYqOVn2M", "粵語詞彙研究所 - 㓢")</f>
        <v>粵語詞彙研究所 - 㓢</v>
      </c>
      <c r="E257" s="82">
        <v>43685.0</v>
      </c>
      <c r="F257" s="80">
        <v>137.0</v>
      </c>
      <c r="G257" s="80" t="s">
        <v>63</v>
      </c>
      <c r="I257" s="80" t="s">
        <v>63</v>
      </c>
      <c r="J257" s="80">
        <v>531.0</v>
      </c>
      <c r="K257" s="80">
        <v>0.918685121107266</v>
      </c>
      <c r="L257" s="80" t="s">
        <v>102</v>
      </c>
    </row>
    <row r="258">
      <c r="A258" s="80" t="s">
        <v>306</v>
      </c>
      <c r="B258" s="81" t="str">
        <f t="shared" si="11"/>
        <v>Yuet Lab 粵語詞𢑥研究所</v>
      </c>
      <c r="C258" s="80" t="s">
        <v>386</v>
      </c>
      <c r="D258" s="81" t="str">
        <f>HYPERLINK("https://youtube.com/watch?v=wRnM94EJIK0", "粵語詞彙研究所- 憎")</f>
        <v>粵語詞彙研究所- 憎</v>
      </c>
      <c r="E258" s="82">
        <v>43685.0</v>
      </c>
      <c r="F258" s="80">
        <v>106.0</v>
      </c>
      <c r="G258" s="80" t="s">
        <v>63</v>
      </c>
      <c r="I258" s="80" t="s">
        <v>63</v>
      </c>
      <c r="J258" s="80">
        <v>367.0</v>
      </c>
      <c r="K258" s="80">
        <v>0.96578947368421</v>
      </c>
      <c r="L258" s="80" t="s">
        <v>102</v>
      </c>
    </row>
    <row r="259">
      <c r="A259" s="80" t="s">
        <v>306</v>
      </c>
      <c r="B259" s="81" t="str">
        <f t="shared" si="11"/>
        <v>Yuet Lab 粵語詞𢑥研究所</v>
      </c>
      <c r="C259" s="80" t="s">
        <v>387</v>
      </c>
      <c r="D259" s="81" t="str">
        <f>HYPERLINK("https://youtube.com/watch?v=_-UiMtMqtgk", "粵語詞彙研究所 - 過龍")</f>
        <v>粵語詞彙研究所 - 過龍</v>
      </c>
      <c r="E259" s="82">
        <v>43685.0</v>
      </c>
      <c r="F259" s="80">
        <v>192.0</v>
      </c>
      <c r="G259" s="80" t="s">
        <v>63</v>
      </c>
      <c r="I259" s="80" t="s">
        <v>63</v>
      </c>
      <c r="J259" s="80">
        <v>706.0</v>
      </c>
      <c r="K259" s="80">
        <v>0.961852861035422</v>
      </c>
      <c r="L259" s="80" t="s">
        <v>102</v>
      </c>
    </row>
    <row r="260">
      <c r="A260" s="80" t="s">
        <v>306</v>
      </c>
      <c r="B260" s="81" t="str">
        <f t="shared" si="11"/>
        <v>Yuet Lab 粵語詞𢑥研究所</v>
      </c>
      <c r="C260" s="80" t="s">
        <v>388</v>
      </c>
      <c r="D260" s="81" t="str">
        <f>HYPERLINK("https://youtube.com/watch?v=YJP_cmZ2WhQ", "粵語詞彙研究所 - 數")</f>
        <v>粵語詞彙研究所 - 數</v>
      </c>
      <c r="E260" s="82">
        <v>43604.0</v>
      </c>
      <c r="F260" s="80">
        <v>154.0</v>
      </c>
      <c r="G260" s="80" t="s">
        <v>63</v>
      </c>
      <c r="I260" s="80" t="s">
        <v>63</v>
      </c>
      <c r="J260" s="80">
        <v>623.0</v>
      </c>
      <c r="K260" s="80">
        <v>0.9629057187017</v>
      </c>
      <c r="L260" s="80" t="s">
        <v>102</v>
      </c>
    </row>
    <row r="261">
      <c r="A261" s="80" t="s">
        <v>306</v>
      </c>
      <c r="B261" s="81" t="str">
        <f t="shared" si="11"/>
        <v>Yuet Lab 粵語詞𢑥研究所</v>
      </c>
      <c r="C261" s="80" t="s">
        <v>389</v>
      </c>
      <c r="D261" s="81" t="str">
        <f>HYPERLINK("https://youtube.com/watch?v=4jgPHOye60g", "粵語詞彙研究所 - 生人")</f>
        <v>粵語詞彙研究所 - 生人</v>
      </c>
      <c r="E261" s="82">
        <v>43578.0</v>
      </c>
      <c r="F261" s="80">
        <v>165.0</v>
      </c>
      <c r="G261" s="80" t="s">
        <v>63</v>
      </c>
      <c r="I261" s="80" t="s">
        <v>63</v>
      </c>
      <c r="J261" s="80">
        <v>647.0</v>
      </c>
      <c r="K261" s="80">
        <v>0.95007342143906</v>
      </c>
      <c r="L261" s="80" t="s">
        <v>102</v>
      </c>
    </row>
    <row r="262">
      <c r="A262" s="80" t="s">
        <v>306</v>
      </c>
      <c r="B262" s="81" t="str">
        <f t="shared" si="11"/>
        <v>Yuet Lab 粵語詞𢑥研究所</v>
      </c>
      <c r="C262" s="80" t="s">
        <v>390</v>
      </c>
      <c r="D262" s="81" t="str">
        <f>HYPERLINK("https://youtube.com/watch?v=NhuA3wiisWE", "粵語詞彙研究所 - 欶")</f>
        <v>粵語詞彙研究所 - 欶</v>
      </c>
      <c r="E262" s="82">
        <v>43578.0</v>
      </c>
      <c r="F262" s="80">
        <v>90.0</v>
      </c>
      <c r="G262" s="80" t="s">
        <v>63</v>
      </c>
      <c r="I262" s="80" t="s">
        <v>63</v>
      </c>
      <c r="J262" s="80">
        <v>370.0</v>
      </c>
      <c r="K262" s="80">
        <v>0.958549222797927</v>
      </c>
      <c r="L262" s="80" t="s">
        <v>102</v>
      </c>
    </row>
    <row r="263">
      <c r="A263" s="80" t="s">
        <v>306</v>
      </c>
      <c r="B263" s="81" t="str">
        <f t="shared" si="11"/>
        <v>Yuet Lab 粵語詞𢑥研究所</v>
      </c>
      <c r="C263" s="80" t="s">
        <v>391</v>
      </c>
      <c r="D263" s="81" t="str">
        <f>HYPERLINK("https://youtube.com/watch?v=r2__qC152SE", "粵語詞彙研究所 - 生仔")</f>
        <v>粵語詞彙研究所 - 生仔</v>
      </c>
      <c r="E263" s="82">
        <v>43578.0</v>
      </c>
      <c r="F263" s="80">
        <v>134.0</v>
      </c>
      <c r="G263" s="80" t="s">
        <v>63</v>
      </c>
      <c r="I263" s="80" t="s">
        <v>63</v>
      </c>
      <c r="J263" s="80">
        <v>464.0</v>
      </c>
      <c r="K263" s="80">
        <v>0.966666666666666</v>
      </c>
      <c r="L263" s="80" t="s">
        <v>102</v>
      </c>
    </row>
    <row r="264">
      <c r="A264" s="80" t="s">
        <v>306</v>
      </c>
      <c r="B264" s="81" t="str">
        <f t="shared" si="11"/>
        <v>Yuet Lab 粵語詞𢑥研究所</v>
      </c>
      <c r="C264" s="80" t="s">
        <v>392</v>
      </c>
      <c r="D264" s="81" t="str">
        <f>HYPERLINK("https://youtube.com/watch?v=bpcNBnqt8DM", "粵語詞彙研究所 - 白雪雪")</f>
        <v>粵語詞彙研究所 - 白雪雪</v>
      </c>
      <c r="E264" s="82">
        <v>43578.0</v>
      </c>
      <c r="F264" s="80">
        <v>72.0</v>
      </c>
      <c r="G264" s="80" t="s">
        <v>63</v>
      </c>
      <c r="I264" s="80" t="s">
        <v>63</v>
      </c>
      <c r="J264" s="80">
        <v>196.0</v>
      </c>
      <c r="K264" s="80">
        <v>0.975124378109452</v>
      </c>
      <c r="L264" s="80" t="s">
        <v>102</v>
      </c>
    </row>
    <row r="265">
      <c r="A265" s="80" t="s">
        <v>306</v>
      </c>
      <c r="B265" s="81" t="str">
        <f t="shared" si="11"/>
        <v>Yuet Lab 粵語詞𢑥研究所</v>
      </c>
      <c r="C265" s="80" t="s">
        <v>393</v>
      </c>
      <c r="D265" s="81" t="str">
        <f>HYPERLINK("https://youtube.com/watch?v=xdePbAyTDGQ", "粵語詞彙研究所 - 摼")</f>
        <v>粵語詞彙研究所 - 摼</v>
      </c>
      <c r="E265" s="82">
        <v>43578.0</v>
      </c>
      <c r="F265" s="80">
        <v>100.0</v>
      </c>
      <c r="G265" s="80" t="s">
        <v>63</v>
      </c>
      <c r="I265" s="80" t="s">
        <v>63</v>
      </c>
      <c r="J265" s="80">
        <v>373.0</v>
      </c>
      <c r="K265" s="80">
        <v>0.956410256410256</v>
      </c>
      <c r="L265" s="80" t="s">
        <v>102</v>
      </c>
    </row>
    <row r="266">
      <c r="A266" s="80" t="s">
        <v>306</v>
      </c>
      <c r="B266" s="81" t="str">
        <f t="shared" si="11"/>
        <v>Yuet Lab 粵語詞𢑥研究所</v>
      </c>
      <c r="C266" s="80" t="s">
        <v>394</v>
      </c>
      <c r="D266" s="81" t="str">
        <f>HYPERLINK("https://youtube.com/watch?v=C9VwlbtQBCE", "粵語詞彙研究所 - 爭")</f>
        <v>粵語詞彙研究所 - 爭</v>
      </c>
      <c r="E266" s="82">
        <v>43578.0</v>
      </c>
      <c r="F266" s="80">
        <v>121.0</v>
      </c>
      <c r="G266" s="80" t="s">
        <v>63</v>
      </c>
      <c r="I266" s="80" t="s">
        <v>63</v>
      </c>
      <c r="J266" s="80">
        <v>433.0</v>
      </c>
      <c r="K266" s="80">
        <v>0.962222222222222</v>
      </c>
      <c r="L266" s="80" t="s">
        <v>102</v>
      </c>
    </row>
    <row r="267">
      <c r="A267" s="80" t="s">
        <v>306</v>
      </c>
      <c r="B267" s="81" t="str">
        <f t="shared" si="11"/>
        <v>Yuet Lab 粵語詞𢑥研究所</v>
      </c>
      <c r="C267" s="80" t="s">
        <v>395</v>
      </c>
      <c r="D267" s="81" t="str">
        <f>HYPERLINK("https://youtube.com/watch?v=fyP0x8Yygdg", "粵語詞彙研究所 - 少少")</f>
        <v>粵語詞彙研究所 - 少少</v>
      </c>
      <c r="E267" s="82">
        <v>43578.0</v>
      </c>
      <c r="F267" s="80">
        <v>112.0</v>
      </c>
      <c r="G267" s="80" t="s">
        <v>63</v>
      </c>
      <c r="I267" s="80" t="s">
        <v>63</v>
      </c>
      <c r="J267" s="80">
        <v>591.0</v>
      </c>
      <c r="K267" s="80">
        <v>0.957860615883306</v>
      </c>
      <c r="L267" s="80" t="s">
        <v>102</v>
      </c>
    </row>
    <row r="268">
      <c r="A268" s="80" t="s">
        <v>306</v>
      </c>
      <c r="B268" s="81" t="str">
        <f t="shared" si="11"/>
        <v>Yuet Lab 粵語詞𢑥研究所</v>
      </c>
      <c r="C268" s="80" t="s">
        <v>396</v>
      </c>
      <c r="D268" s="81" t="str">
        <f>HYPERLINK("https://youtube.com/watch?v=ZU90DsWLYAo", "粵語詞彙研究所 - 畀")</f>
        <v>粵語詞彙研究所 - 畀</v>
      </c>
      <c r="E268" s="82">
        <v>43578.0</v>
      </c>
      <c r="F268" s="80">
        <v>191.0</v>
      </c>
      <c r="G268" s="80" t="s">
        <v>63</v>
      </c>
      <c r="I268" s="80" t="s">
        <v>63</v>
      </c>
      <c r="J268" s="80">
        <v>736.0</v>
      </c>
      <c r="K268" s="80">
        <v>1.0</v>
      </c>
      <c r="L268" s="80" t="s">
        <v>240</v>
      </c>
    </row>
    <row r="269">
      <c r="A269" s="80" t="s">
        <v>397</v>
      </c>
      <c r="B269" s="81" t="str">
        <f t="shared" ref="B269:B277" si="12">HYPERLINK("https://www.youtube.com/channel/UCJapEUO27oP6sOVIZ8Ul1tw", "안물안궁車厘🐢仙人")</f>
        <v>안물안궁車厘🐢仙人</v>
      </c>
      <c r="C269" s="80" t="s">
        <v>398</v>
      </c>
      <c r="D269" s="81" t="str">
        <f>HYPERLINK("https://youtube.com/watch?v=Hi6adGbKCpA", "【廣東話字幕】嗰陣嗰段時期沉迷喺 'Cyworld'嘅嗰班女亻子...")</f>
        <v>【廣東話字幕】嗰陣嗰段時期沉迷喺 'Cyworld'嘅嗰班女亻子...</v>
      </c>
      <c r="E269" s="82">
        <v>44296.0</v>
      </c>
      <c r="F269" s="80">
        <v>529.0</v>
      </c>
      <c r="G269" s="80" t="s">
        <v>63</v>
      </c>
      <c r="I269" s="80" t="s">
        <v>63</v>
      </c>
      <c r="J269" s="80">
        <v>2846.0</v>
      </c>
      <c r="K269" s="80">
        <v>0.68910411622276</v>
      </c>
      <c r="L269" s="80" t="s">
        <v>64</v>
      </c>
    </row>
    <row r="270">
      <c r="A270" s="80" t="s">
        <v>397</v>
      </c>
      <c r="B270" s="81" t="str">
        <f t="shared" si="12"/>
        <v>안물안궁車厘🐢仙人</v>
      </c>
      <c r="C270" s="80" t="s">
        <v>399</v>
      </c>
      <c r="D270" s="81" t="str">
        <f>HYPERLINK("https://youtube.com/watch?v=WVfGgEsKhVk", "【廣東話字幕】就噉Interview啦 朴素丹ㅣ寄生蟲, 連呢個都會嚇親?")</f>
        <v>【廣東話字幕】就噉Interview啦 朴素丹ㅣ寄生蟲, 連呢個都會嚇親?</v>
      </c>
      <c r="E270" s="82">
        <v>44222.0</v>
      </c>
      <c r="F270" s="80">
        <v>969.0</v>
      </c>
      <c r="G270" s="80" t="s">
        <v>63</v>
      </c>
      <c r="I270" s="80" t="s">
        <v>63</v>
      </c>
      <c r="J270" s="80">
        <v>5134.0</v>
      </c>
      <c r="K270" s="80">
        <v>0.782383419689119</v>
      </c>
      <c r="L270" s="80" t="s">
        <v>64</v>
      </c>
    </row>
    <row r="271">
      <c r="A271" s="80" t="s">
        <v>397</v>
      </c>
      <c r="B271" s="81" t="str">
        <f t="shared" si="12"/>
        <v>안물안궁車厘🐢仙人</v>
      </c>
      <c r="C271" s="80" t="s">
        <v>400</v>
      </c>
      <c r="D271" s="81" t="str">
        <f>HYPERLINK("https://youtube.com/watch?v=RQnle2we5eU", "【廣東話字幕】就噉Interview啦 Henryㅣ錯過咗人生中得一次機會嘅故事係?")</f>
        <v>【廣東話字幕】就噉Interview啦 Henryㅣ錯過咗人生中得一次機會嘅故事係?</v>
      </c>
      <c r="E271" s="82">
        <v>44187.0</v>
      </c>
      <c r="F271" s="80">
        <v>619.0</v>
      </c>
      <c r="G271" s="80" t="s">
        <v>63</v>
      </c>
      <c r="I271" s="80" t="s">
        <v>63</v>
      </c>
      <c r="J271" s="80">
        <v>3089.0</v>
      </c>
      <c r="K271" s="80">
        <v>0.712243486280839</v>
      </c>
      <c r="L271" s="80" t="s">
        <v>64</v>
      </c>
    </row>
    <row r="272">
      <c r="A272" s="80" t="s">
        <v>397</v>
      </c>
      <c r="B272" s="81" t="str">
        <f t="shared" si="12"/>
        <v>안물안궁車厘🐢仙人</v>
      </c>
      <c r="C272" s="80" t="s">
        <v>401</v>
      </c>
      <c r="D272" s="81" t="str">
        <f>HYPERLINK("https://youtube.com/watch?v=VuptlP7NN7A", "【廣東話字幕】2020 MAMA 由準備到攞獎...")</f>
        <v>【廣東話字幕】2020 MAMA 由準備到攞獎...</v>
      </c>
      <c r="E272" s="82">
        <v>44179.0</v>
      </c>
      <c r="F272" s="80">
        <v>457.0</v>
      </c>
      <c r="G272" s="80" t="s">
        <v>63</v>
      </c>
      <c r="I272" s="80" t="s">
        <v>63</v>
      </c>
      <c r="J272" s="80">
        <v>1611.0</v>
      </c>
      <c r="K272" s="80">
        <v>0.682916490038151</v>
      </c>
      <c r="L272" s="80" t="s">
        <v>64</v>
      </c>
    </row>
    <row r="273">
      <c r="A273" s="80" t="s">
        <v>397</v>
      </c>
      <c r="B273" s="81" t="str">
        <f t="shared" si="12"/>
        <v>안물안궁車厘🐢仙人</v>
      </c>
      <c r="C273" s="80" t="s">
        <v>402</v>
      </c>
      <c r="D273" s="81" t="str">
        <f>HYPERLINK("https://youtube.com/watch?v=1uF5_QGzhrM", "【廣東話字幕】就噉Interview啦 朴初瓏ㅣ最近喊到飛哩啡呢嘅故事係?")</f>
        <v>【廣東話字幕】就噉Interview啦 朴初瓏ㅣ最近喊到飛哩啡呢嘅故事係?</v>
      </c>
      <c r="E273" s="82">
        <v>44161.0</v>
      </c>
      <c r="F273" s="80">
        <v>838.0</v>
      </c>
      <c r="G273" s="80" t="s">
        <v>63</v>
      </c>
      <c r="I273" s="80" t="s">
        <v>63</v>
      </c>
      <c r="J273" s="80">
        <v>4326.0</v>
      </c>
      <c r="K273" s="80">
        <v>0.768929968005687</v>
      </c>
      <c r="L273" s="80" t="s">
        <v>64</v>
      </c>
    </row>
    <row r="274">
      <c r="A274" s="80" t="s">
        <v>397</v>
      </c>
      <c r="B274" s="81" t="str">
        <f t="shared" si="12"/>
        <v>안물안궁車厘🐢仙人</v>
      </c>
      <c r="C274" s="80" t="s">
        <v>403</v>
      </c>
      <c r="D274" s="81" t="str">
        <f>HYPERLINK("https://youtube.com/watch?v=uif-pVCQIPA", "【廣東話字幕】文明特急MMTG第152集 比格豆 MAMAMOO🐶")</f>
        <v>【廣東話字幕】文明特急MMTG第152集 比格豆 MAMAMOO🐶</v>
      </c>
      <c r="E274" s="82">
        <v>44145.0</v>
      </c>
      <c r="F274" s="80">
        <v>609.0</v>
      </c>
      <c r="G274" s="80" t="s">
        <v>63</v>
      </c>
      <c r="I274" s="80" t="s">
        <v>63</v>
      </c>
      <c r="J274" s="80">
        <v>2877.0</v>
      </c>
      <c r="K274" s="80">
        <v>0.606322444678609</v>
      </c>
      <c r="L274" s="80" t="s">
        <v>64</v>
      </c>
    </row>
    <row r="275">
      <c r="A275" s="80" t="s">
        <v>397</v>
      </c>
      <c r="B275" s="81" t="str">
        <f t="shared" si="12"/>
        <v>안물안궁車厘🐢仙人</v>
      </c>
      <c r="C275" s="80" t="s">
        <v>404</v>
      </c>
      <c r="D275" s="81" t="str">
        <f>HYPERLINK("https://youtube.com/watch?v=sB4hEdDrh1E", "【廣東話字幕】唔識心肺復甦法嘅人一定要睇!!!!")</f>
        <v>【廣東話字幕】唔識心肺復甦法嘅人一定要睇!!!!</v>
      </c>
      <c r="E275" s="82">
        <v>44144.0</v>
      </c>
      <c r="F275" s="80">
        <v>523.0</v>
      </c>
      <c r="G275" s="80" t="s">
        <v>63</v>
      </c>
      <c r="I275" s="80" t="s">
        <v>63</v>
      </c>
      <c r="J275" s="80">
        <v>3566.0</v>
      </c>
      <c r="K275" s="80">
        <v>0.859691417550626</v>
      </c>
      <c r="L275" s="80" t="s">
        <v>64</v>
      </c>
    </row>
    <row r="276">
      <c r="A276" s="80" t="s">
        <v>397</v>
      </c>
      <c r="B276" s="81" t="str">
        <f t="shared" si="12"/>
        <v>안물안궁車厘🐢仙人</v>
      </c>
      <c r="C276" s="80" t="s">
        <v>405</v>
      </c>
      <c r="D276" s="81" t="str">
        <f>HYPERLINK("https://youtube.com/watch?v=f6wohSzjxRk", "【廣東話字幕】MAMAMOO成員佢哋各自嘅妝! 到底佢哋係變出嚟㗎?")</f>
        <v>【廣東話字幕】MAMAMOO成員佢哋各自嘅妝! 到底佢哋係變出嚟㗎?</v>
      </c>
      <c r="E276" s="82">
        <v>44121.0</v>
      </c>
      <c r="F276" s="80">
        <v>563.0</v>
      </c>
      <c r="G276" s="80" t="s">
        <v>63</v>
      </c>
      <c r="I276" s="80" t="s">
        <v>63</v>
      </c>
      <c r="J276" s="80">
        <v>2467.0</v>
      </c>
      <c r="K276" s="80">
        <v>0.781438074121001</v>
      </c>
      <c r="L276" s="80" t="s">
        <v>64</v>
      </c>
    </row>
    <row r="277">
      <c r="A277" s="80" t="s">
        <v>397</v>
      </c>
      <c r="B277" s="81" t="str">
        <f t="shared" si="12"/>
        <v>안물안궁車厘🐢仙人</v>
      </c>
      <c r="C277" s="80" t="s">
        <v>406</v>
      </c>
      <c r="D277" s="81" t="str">
        <f>HYPERLINK("https://youtube.com/watch?v=xybdgiqUjbE", "【廣東話字幕】喺呢個世界只有一千零一個! 平平無奇嘅口罩變到噉!!")</f>
        <v>【廣東話字幕】喺呢個世界只有一千零一個! 平平無奇嘅口罩變到噉!!</v>
      </c>
      <c r="E277" s="82">
        <v>44111.0</v>
      </c>
      <c r="F277" s="80">
        <v>503.0</v>
      </c>
      <c r="G277" s="80" t="s">
        <v>63</v>
      </c>
      <c r="I277" s="80" t="s">
        <v>63</v>
      </c>
      <c r="J277" s="80">
        <v>2299.0</v>
      </c>
      <c r="K277" s="80">
        <v>0.837827988338192</v>
      </c>
      <c r="L277" s="80" t="s">
        <v>64</v>
      </c>
    </row>
    <row r="278">
      <c r="A278" s="80" t="s">
        <v>407</v>
      </c>
      <c r="B278" s="81" t="str">
        <f t="shared" ref="B278:B279" si="13">HYPERLINK("https://www.youtube.com/channel/UCJl_JouBw2qG7vbFGlKjQgA", "伯賴")</f>
        <v>伯賴</v>
      </c>
      <c r="C278" s="80" t="s">
        <v>408</v>
      </c>
      <c r="D278" s="81" t="str">
        <f>HYPERLINK("https://youtube.com/watch?v=3rOzFUtxOHw", "EP. 35【伯賴】搵鬼 吸煙")</f>
        <v>EP. 35【伯賴】搵鬼 吸煙</v>
      </c>
      <c r="E278" s="82">
        <v>42907.0</v>
      </c>
      <c r="F278" s="80">
        <v>216.0</v>
      </c>
      <c r="G278" s="80" t="s">
        <v>63</v>
      </c>
      <c r="I278" s="80" t="s">
        <v>63</v>
      </c>
      <c r="J278" s="80">
        <v>932.0</v>
      </c>
      <c r="K278" s="80">
        <v>0.971845672575599</v>
      </c>
      <c r="L278" s="80" t="s">
        <v>64</v>
      </c>
    </row>
    <row r="279">
      <c r="A279" s="80" t="s">
        <v>407</v>
      </c>
      <c r="B279" s="81" t="str">
        <f t="shared" si="13"/>
        <v>伯賴</v>
      </c>
      <c r="C279" s="80" t="s">
        <v>409</v>
      </c>
      <c r="D279" s="81" t="str">
        <f>HYPERLINK("https://youtube.com/watch?v=W1fER0fAQP8", "【伯賴】人生中最忍痛苦的一篤尿")</f>
        <v>【伯賴】人生中最忍痛苦的一篤尿</v>
      </c>
      <c r="E279" s="82">
        <v>42755.0</v>
      </c>
      <c r="F279" s="80">
        <v>236.0</v>
      </c>
      <c r="G279" s="80" t="s">
        <v>63</v>
      </c>
      <c r="I279" s="80" t="s">
        <v>63</v>
      </c>
      <c r="J279" s="80">
        <v>802.0</v>
      </c>
      <c r="K279" s="80">
        <v>0.979242979242979</v>
      </c>
      <c r="L279" s="80" t="s">
        <v>64</v>
      </c>
    </row>
    <row r="280">
      <c r="A280" s="80" t="s">
        <v>410</v>
      </c>
      <c r="B280" s="81" t="str">
        <f t="shared" ref="B280:B281" si="14">HYPERLINK("https://www.youtube.com/channel/UCGjN2_gFjUMQP7Ukq2U2Dkg", "AUMAN")</f>
        <v>AUMAN</v>
      </c>
      <c r="C280" s="80" t="s">
        <v>411</v>
      </c>
      <c r="D280" s="81" t="str">
        <f>HYPERLINK("https://youtube.com/watch?v=WE9ZbetKL8o", "AIA歐陸嘉年華 | BALU X AUMAN試玩！")</f>
        <v>AIA歐陸嘉年華 | BALU X AUMAN試玩！</v>
      </c>
      <c r="E280" s="82">
        <v>42746.0</v>
      </c>
      <c r="F280" s="80">
        <v>325.0</v>
      </c>
      <c r="G280" s="80" t="s">
        <v>63</v>
      </c>
      <c r="I280" s="80" t="s">
        <v>63</v>
      </c>
      <c r="J280" s="80">
        <v>502.0</v>
      </c>
      <c r="K280" s="80">
        <v>0.914389799635701</v>
      </c>
      <c r="L280" s="80" t="s">
        <v>86</v>
      </c>
    </row>
    <row r="281">
      <c r="A281" s="80" t="s">
        <v>410</v>
      </c>
      <c r="B281" s="81" t="str">
        <f t="shared" si="14"/>
        <v>AUMAN</v>
      </c>
      <c r="C281" s="80" t="s">
        <v>412</v>
      </c>
      <c r="D281" s="81" t="str">
        <f>HYPERLINK("https://youtube.com/watch?v=7meO9HK4AcQ", "PEWDIEPIE：YOUTUBE病了！？【近期熱話 #1】")</f>
        <v>PEWDIEPIE：YOUTUBE病了！？【近期熱話 #1】</v>
      </c>
      <c r="E281" s="82">
        <v>42719.0</v>
      </c>
      <c r="F281" s="80">
        <v>590.0</v>
      </c>
      <c r="G281" s="80" t="s">
        <v>63</v>
      </c>
      <c r="H281" s="80" t="s">
        <v>63</v>
      </c>
      <c r="I281" s="80" t="s">
        <v>63</v>
      </c>
      <c r="J281" s="80">
        <v>2003.0</v>
      </c>
      <c r="K281" s="80">
        <v>0.826661163846471</v>
      </c>
      <c r="L281" s="80" t="s">
        <v>413</v>
      </c>
    </row>
    <row r="282">
      <c r="A282" s="80" t="s">
        <v>414</v>
      </c>
      <c r="B282" s="81" t="str">
        <f t="shared" ref="B282:B329" si="15">HYPERLINK("https://www.youtube.com/channel/UCCVn38j5xSJZN-II-TeyomA", "Uncle Calvin Cantonese Class")</f>
        <v>Uncle Calvin Cantonese Class</v>
      </c>
      <c r="C282" s="80" t="s">
        <v>415</v>
      </c>
      <c r="D282" s="81" t="str">
        <f>HYPERLINK("https://youtube.com/watch?v=5xQFxQU9338", "【5個元旦小知識】5 things about New Year in Cantonese I 兒童 節日 for Family I 廣東話教室 I 字幕")</f>
        <v>【5個元旦小知識】5 things about New Year in Cantonese I 兒童 節日 for Family I 廣東話教室 I 字幕</v>
      </c>
      <c r="E282" s="82">
        <v>44555.0</v>
      </c>
      <c r="F282" s="80">
        <v>400.0</v>
      </c>
      <c r="G282" s="80" t="s">
        <v>63</v>
      </c>
      <c r="H282" s="80" t="s">
        <v>63</v>
      </c>
      <c r="I282" s="80" t="s">
        <v>63</v>
      </c>
      <c r="J282" s="80">
        <v>884.0</v>
      </c>
      <c r="K282" s="80">
        <v>0.854932301740812</v>
      </c>
      <c r="L282" s="80" t="s">
        <v>240</v>
      </c>
    </row>
    <row r="283">
      <c r="A283" s="80" t="s">
        <v>414</v>
      </c>
      <c r="B283" s="81" t="str">
        <f t="shared" si="15"/>
        <v>Uncle Calvin Cantonese Class</v>
      </c>
      <c r="C283" s="80" t="s">
        <v>416</v>
      </c>
      <c r="D283" s="81" t="str">
        <f>HYPERLINK("https://youtube.com/watch?v=ek9idNTOCdc", "【5個聖誕節小知識】5 things about Christmas in Cantonese I 兒童 節日 for Family I 廣東話教室 I 字幕")</f>
        <v>【5個聖誕節小知識】5 things about Christmas in Cantonese I 兒童 節日 for Family I 廣東話教室 I 字幕</v>
      </c>
      <c r="E283" s="82">
        <v>44548.0</v>
      </c>
      <c r="F283" s="80">
        <v>455.0</v>
      </c>
      <c r="G283" s="80" t="s">
        <v>63</v>
      </c>
      <c r="H283" s="80" t="s">
        <v>63</v>
      </c>
      <c r="I283" s="80" t="s">
        <v>63</v>
      </c>
      <c r="J283" s="80">
        <v>1061.0</v>
      </c>
      <c r="K283" s="80">
        <v>0.873134328358208</v>
      </c>
      <c r="L283" s="80" t="s">
        <v>240</v>
      </c>
    </row>
    <row r="284">
      <c r="A284" s="80" t="s">
        <v>414</v>
      </c>
      <c r="B284" s="81" t="str">
        <f t="shared" si="15"/>
        <v>Uncle Calvin Cantonese Class</v>
      </c>
      <c r="C284" s="80" t="s">
        <v>417</v>
      </c>
      <c r="D284" s="81" t="str">
        <f>HYPERLINK("https://youtube.com/watch?v=VnAkXbWRrug", "【UncleCalvin廣東話教室 1週年生日會】1st Anniversary Party in Cantonese I 廣東話教室 I 字幕")</f>
        <v>【UncleCalvin廣東話教室 1週年生日會】1st Anniversary Party in Cantonese I 廣東話教室 I 字幕</v>
      </c>
      <c r="E284" s="82">
        <v>44543.0</v>
      </c>
      <c r="F284" s="80">
        <v>346.0</v>
      </c>
      <c r="G284" s="80" t="s">
        <v>63</v>
      </c>
      <c r="H284" s="80" t="s">
        <v>63</v>
      </c>
      <c r="I284" s="80" t="s">
        <v>63</v>
      </c>
      <c r="J284" s="80">
        <v>797.0</v>
      </c>
      <c r="K284" s="80">
        <v>0.774538386783284</v>
      </c>
      <c r="L284" s="80" t="s">
        <v>240</v>
      </c>
    </row>
    <row r="285">
      <c r="A285" s="80" t="s">
        <v>414</v>
      </c>
      <c r="B285" s="81" t="str">
        <f t="shared" si="15"/>
        <v>Uncle Calvin Cantonese Class</v>
      </c>
      <c r="C285" s="80" t="s">
        <v>418</v>
      </c>
      <c r="D285" s="81" t="str">
        <f>HYPERLINK("https://youtube.com/watch?v=GlUdiVgikyM", "【認識牙齒．換牙．學刷牙(兒童版)】Tooth &amp; Brushing in Cantonese I 兒童健康 for Child I 廣東話教室 I 字幕")</f>
        <v>【認識牙齒．換牙．學刷牙(兒童版)】Tooth &amp; Brushing in Cantonese I 兒童健康 for Child I 廣東話教室 I 字幕</v>
      </c>
      <c r="E285" s="82">
        <v>44535.0</v>
      </c>
      <c r="F285" s="80">
        <v>618.0</v>
      </c>
      <c r="G285" s="80" t="s">
        <v>63</v>
      </c>
      <c r="H285" s="80" t="s">
        <v>63</v>
      </c>
      <c r="I285" s="80" t="s">
        <v>63</v>
      </c>
      <c r="J285" s="80">
        <v>1451.0</v>
      </c>
      <c r="K285" s="80">
        <v>0.865235539654144</v>
      </c>
      <c r="L285" s="80" t="s">
        <v>240</v>
      </c>
    </row>
    <row r="286">
      <c r="A286" s="80" t="s">
        <v>414</v>
      </c>
      <c r="B286" s="81" t="str">
        <f t="shared" si="15"/>
        <v>Uncle Calvin Cantonese Class</v>
      </c>
      <c r="C286" s="80" t="s">
        <v>419</v>
      </c>
      <c r="D286" s="81" t="str">
        <f>HYPERLINK("https://youtube.com/watch?v=K1_iJG1yYOs", "【認識牙齒學刷牙(幼童版)】Tooth &amp; Brushing in Cantonese I 幼童健康 for Toddlers I 廣東話教室 I 字幕")</f>
        <v>【認識牙齒學刷牙(幼童版)】Tooth &amp; Brushing in Cantonese I 幼童健康 for Toddlers I 廣東話教室 I 字幕</v>
      </c>
      <c r="E286" s="82">
        <v>44526.0</v>
      </c>
      <c r="F286" s="80">
        <v>416.0</v>
      </c>
      <c r="G286" s="80" t="s">
        <v>63</v>
      </c>
      <c r="H286" s="80" t="s">
        <v>63</v>
      </c>
      <c r="I286" s="80" t="s">
        <v>63</v>
      </c>
      <c r="J286" s="80">
        <v>970.0</v>
      </c>
      <c r="K286" s="80">
        <v>0.852372583479789</v>
      </c>
      <c r="L286" s="80" t="s">
        <v>240</v>
      </c>
    </row>
    <row r="287">
      <c r="A287" s="80" t="s">
        <v>414</v>
      </c>
      <c r="B287" s="81" t="str">
        <f t="shared" si="15"/>
        <v>Uncle Calvin Cantonese Class</v>
      </c>
      <c r="C287" s="80" t="s">
        <v>420</v>
      </c>
      <c r="D287" s="81" t="str">
        <f>HYPERLINK("https://youtube.com/watch?v=wtGcu7FlOk0", "【四季與南北半球(兒童版)】4 Seasons in Northern / Southern Hemisphere Cantonese I 兒童科學 for Child I 廣東話教室 I 字幕")</f>
        <v>【四季與南北半球(兒童版)】4 Seasons in Northern / Southern Hemisphere Cantonese I 兒童科學 for Child I 廣東話教室 I 字幕</v>
      </c>
      <c r="E287" s="82">
        <v>44512.0</v>
      </c>
      <c r="F287" s="80">
        <v>821.0</v>
      </c>
      <c r="G287" s="80" t="s">
        <v>63</v>
      </c>
      <c r="H287" s="80" t="s">
        <v>63</v>
      </c>
      <c r="I287" s="80" t="s">
        <v>63</v>
      </c>
      <c r="J287" s="80">
        <v>1878.0</v>
      </c>
      <c r="K287" s="80">
        <v>0.864375290292615</v>
      </c>
      <c r="L287" s="80" t="s">
        <v>240</v>
      </c>
    </row>
    <row r="288">
      <c r="A288" s="80" t="s">
        <v>414</v>
      </c>
      <c r="B288" s="81" t="str">
        <f t="shared" si="15"/>
        <v>Uncle Calvin Cantonese Class</v>
      </c>
      <c r="C288" s="80" t="s">
        <v>421</v>
      </c>
      <c r="D288" s="81" t="str">
        <f>HYPERLINK("https://youtube.com/watch?v=bamG1hCt4R8", "【四季(幼童版)】4 Seasons in Cantonese I 幼童科學 for Toddlers I 廣東話教室 I 字幕")</f>
        <v>【四季(幼童版)】4 Seasons in Cantonese I 幼童科學 for Toddlers I 廣東話教室 I 字幕</v>
      </c>
      <c r="E288" s="82">
        <v>44509.0</v>
      </c>
      <c r="F288" s="80">
        <v>581.0</v>
      </c>
      <c r="G288" s="80" t="s">
        <v>63</v>
      </c>
      <c r="H288" s="80" t="s">
        <v>63</v>
      </c>
      <c r="I288" s="80" t="s">
        <v>63</v>
      </c>
      <c r="J288" s="80">
        <v>1294.0</v>
      </c>
      <c r="K288" s="80">
        <v>0.849405548216644</v>
      </c>
      <c r="L288" s="80" t="s">
        <v>240</v>
      </c>
    </row>
    <row r="289">
      <c r="A289" s="80" t="s">
        <v>414</v>
      </c>
      <c r="B289" s="81" t="str">
        <f t="shared" si="15"/>
        <v>Uncle Calvin Cantonese Class</v>
      </c>
      <c r="C289" s="80" t="s">
        <v>422</v>
      </c>
      <c r="D289" s="81" t="str">
        <f>HYPERLINK("https://youtube.com/watch?v=liPPVOEtKBg", "＊非兒童影片＊【12鏡仔】12 members' name of MIRROR in Cantonese I 廣東話教室 I 字幕")</f>
        <v>＊非兒童影片＊【12鏡仔】12 members' name of MIRROR in Cantonese I 廣東話教室 I 字幕</v>
      </c>
      <c r="E289" s="82">
        <v>44493.0</v>
      </c>
      <c r="F289" s="80">
        <v>167.0</v>
      </c>
      <c r="G289" s="80" t="s">
        <v>63</v>
      </c>
      <c r="H289" s="80" t="s">
        <v>63</v>
      </c>
      <c r="I289" s="80" t="s">
        <v>63</v>
      </c>
      <c r="J289" s="80">
        <v>330.0</v>
      </c>
      <c r="K289" s="80">
        <v>0.548172757475083</v>
      </c>
      <c r="L289" s="80" t="s">
        <v>240</v>
      </c>
    </row>
    <row r="290">
      <c r="A290" s="80" t="s">
        <v>414</v>
      </c>
      <c r="B290" s="81" t="str">
        <f t="shared" si="15"/>
        <v>Uncle Calvin Cantonese Class</v>
      </c>
      <c r="C290" s="80" t="s">
        <v>423</v>
      </c>
      <c r="D290" s="81" t="str">
        <f>HYPERLINK("https://youtube.com/watch?v=aTj4Qs6M8V4", "【5個萬聖節小知識】5 things about Halloween in Cantonese I 兒童 節日 for Family I 廣東話教室 I 字幕")</f>
        <v>【5個萬聖節小知識】5 things about Halloween in Cantonese I 兒童 節日 for Family I 廣東話教室 I 字幕</v>
      </c>
      <c r="E290" s="82">
        <v>44492.0</v>
      </c>
      <c r="F290" s="80">
        <v>490.0</v>
      </c>
      <c r="G290" s="80" t="s">
        <v>63</v>
      </c>
      <c r="H290" s="80" t="s">
        <v>63</v>
      </c>
      <c r="I290" s="80" t="s">
        <v>63</v>
      </c>
      <c r="J290" s="80">
        <v>1204.0</v>
      </c>
      <c r="K290" s="80">
        <v>0.899020346646571</v>
      </c>
      <c r="L290" s="80" t="s">
        <v>240</v>
      </c>
    </row>
    <row r="291">
      <c r="A291" s="80" t="s">
        <v>414</v>
      </c>
      <c r="B291" s="81" t="str">
        <f t="shared" si="15"/>
        <v>Uncle Calvin Cantonese Class</v>
      </c>
      <c r="C291" s="80" t="s">
        <v>424</v>
      </c>
      <c r="D291" s="81" t="str">
        <f>HYPERLINK("https://youtube.com/watch?v=dMpG4TVvMEs", "【12個天氣字詞】12 Weather Terms in Cantonese I 幼童科學 for Toddlers I 廣東話教室 I 字幕")</f>
        <v>【12個天氣字詞】12 Weather Terms in Cantonese I 幼童科學 for Toddlers I 廣東話教室 I 字幕</v>
      </c>
      <c r="E291" s="82">
        <v>44457.0</v>
      </c>
      <c r="F291" s="80">
        <v>627.0</v>
      </c>
      <c r="G291" s="80" t="s">
        <v>63</v>
      </c>
      <c r="H291" s="80" t="s">
        <v>63</v>
      </c>
      <c r="I291" s="80" t="s">
        <v>63</v>
      </c>
      <c r="J291" s="80">
        <v>1202.0</v>
      </c>
      <c r="K291" s="80">
        <v>0.887740029542097</v>
      </c>
      <c r="L291" s="80" t="s">
        <v>240</v>
      </c>
    </row>
    <row r="292">
      <c r="A292" s="80" t="s">
        <v>414</v>
      </c>
      <c r="B292" s="81" t="str">
        <f t="shared" si="15"/>
        <v>Uncle Calvin Cantonese Class</v>
      </c>
      <c r="C292" s="80" t="s">
        <v>425</v>
      </c>
      <c r="D292" s="81" t="str">
        <f>HYPERLINK("https://youtube.com/watch?v=qO9qOOYrJgA", "【5個中秋節小知識】5 things about Mid-Autumn Festival in Cantonese I 兒童節日 for Family I 廣東話教室 I 字幕/Subtitles")</f>
        <v>【5個中秋節小知識】5 things about Mid-Autumn Festival in Cantonese I 兒童節日 for Family I 廣東話教室 I 字幕/Subtitles</v>
      </c>
      <c r="E292" s="82">
        <v>44447.0</v>
      </c>
      <c r="F292" s="80">
        <v>539.0</v>
      </c>
      <c r="G292" s="80" t="s">
        <v>63</v>
      </c>
      <c r="H292" s="80" t="s">
        <v>63</v>
      </c>
      <c r="I292" s="80" t="s">
        <v>63</v>
      </c>
      <c r="J292" s="80">
        <v>1285.0</v>
      </c>
      <c r="K292" s="80">
        <v>0.871144619602467</v>
      </c>
      <c r="L292" s="80" t="s">
        <v>426</v>
      </c>
    </row>
    <row r="293">
      <c r="A293" s="80" t="s">
        <v>414</v>
      </c>
      <c r="B293" s="81" t="str">
        <f t="shared" si="15"/>
        <v>Uncle Calvin Cantonese Class</v>
      </c>
      <c r="C293" s="80" t="s">
        <v>427</v>
      </c>
      <c r="D293" s="81" t="str">
        <f>HYPERLINK("https://youtube.com/watch?v=TCd22AZsy8M", "【大陽系8大行星】Solar System in Cantonese I 幼童科學 for Toddlers I 廣東話教室  I 字幕")</f>
        <v>【大陽系8大行星】Solar System in Cantonese I 幼童科學 for Toddlers I 廣東話教室  I 字幕</v>
      </c>
      <c r="E293" s="82">
        <v>44436.0</v>
      </c>
      <c r="F293" s="80">
        <v>447.0</v>
      </c>
      <c r="G293" s="80" t="s">
        <v>63</v>
      </c>
      <c r="H293" s="80" t="s">
        <v>63</v>
      </c>
      <c r="I293" s="80" t="s">
        <v>63</v>
      </c>
      <c r="J293" s="80">
        <v>876.0</v>
      </c>
      <c r="K293" s="80">
        <v>0.812615955473098</v>
      </c>
      <c r="L293" s="80" t="s">
        <v>240</v>
      </c>
    </row>
    <row r="294">
      <c r="A294" s="80" t="s">
        <v>414</v>
      </c>
      <c r="B294" s="81" t="str">
        <f t="shared" si="15"/>
        <v>Uncle Calvin Cantonese Class</v>
      </c>
      <c r="C294" s="80" t="s">
        <v>428</v>
      </c>
      <c r="D294" s="81" t="str">
        <f>HYPERLINK("https://youtube.com/watch?v=okh13IG9a1U", "【19個東鐵+機場快綫鐵路站】MTR East Rail &amp; Airport Express Line I 兒童常識 for Children I 廣東話教室 I 字幕")</f>
        <v>【19個東鐵+機場快綫鐵路站】MTR East Rail &amp; Airport Express Line I 兒童常識 for Children I 廣東話教室 I 字幕</v>
      </c>
      <c r="E294" s="82">
        <v>44423.0</v>
      </c>
      <c r="F294" s="80">
        <v>754.0</v>
      </c>
      <c r="G294" s="80" t="s">
        <v>63</v>
      </c>
      <c r="H294" s="80" t="s">
        <v>63</v>
      </c>
      <c r="I294" s="80" t="s">
        <v>63</v>
      </c>
      <c r="J294" s="80">
        <v>1539.0</v>
      </c>
      <c r="K294" s="80">
        <v>0.783604887983706</v>
      </c>
      <c r="L294" s="80" t="s">
        <v>240</v>
      </c>
    </row>
    <row r="295">
      <c r="A295" s="80" t="s">
        <v>414</v>
      </c>
      <c r="B295" s="81" t="str">
        <f t="shared" si="15"/>
        <v>Uncle Calvin Cantonese Class</v>
      </c>
      <c r="C295" s="80" t="s">
        <v>429</v>
      </c>
      <c r="D295" s="81" t="str">
        <f>HYPERLINK("https://youtube.com/watch?v=tPG2n1NPXOQ", "【22個港島+南港島綫鐵路站】MTR Island &amp; South Island Line I 兒童常識 for Children I 廣東話教室 I 字幕")</f>
        <v>【22個港島+南港島綫鐵路站】MTR Island &amp; South Island Line I 兒童常識 for Children I 廣東話教室 I 字幕</v>
      </c>
      <c r="E295" s="82">
        <v>44416.0</v>
      </c>
      <c r="F295" s="80">
        <v>669.0</v>
      </c>
      <c r="G295" s="80" t="s">
        <v>63</v>
      </c>
      <c r="H295" s="80" t="s">
        <v>63</v>
      </c>
      <c r="I295" s="80" t="s">
        <v>63</v>
      </c>
      <c r="J295" s="80">
        <v>1112.0</v>
      </c>
      <c r="K295" s="80">
        <v>0.699811202013845</v>
      </c>
      <c r="L295" s="80" t="s">
        <v>240</v>
      </c>
    </row>
    <row r="296">
      <c r="A296" s="80" t="s">
        <v>414</v>
      </c>
      <c r="B296" s="81" t="str">
        <f t="shared" si="15"/>
        <v>Uncle Calvin Cantonese Class</v>
      </c>
      <c r="C296" s="80" t="s">
        <v>430</v>
      </c>
      <c r="D296" s="81" t="str">
        <f>HYPERLINK("https://youtube.com/watch?v=RdGEFqRe5gg", "【24個荃灣+東涌+迪士尼綫鐵路站】MTR TsuenWan, TungChung &amp; DisneylandResort Line I 兒童常識 for Children I 廣東話教室 I 字幕")</f>
        <v>【24個荃灣+東涌+迪士尼綫鐵路站】MTR TsuenWan, TungChung &amp; DisneylandResort Line I 兒童常識 for Children I 廣東話教室 I 字幕</v>
      </c>
      <c r="E296" s="82">
        <v>44407.0</v>
      </c>
      <c r="F296" s="80">
        <v>779.0</v>
      </c>
      <c r="G296" s="80" t="s">
        <v>63</v>
      </c>
      <c r="H296" s="80" t="s">
        <v>63</v>
      </c>
      <c r="I296" s="80" t="s">
        <v>63</v>
      </c>
      <c r="J296" s="80">
        <v>1395.0</v>
      </c>
      <c r="K296" s="80">
        <v>0.724675324675324</v>
      </c>
      <c r="L296" s="80" t="s">
        <v>240</v>
      </c>
    </row>
    <row r="297">
      <c r="A297" s="80" t="s">
        <v>414</v>
      </c>
      <c r="B297" s="81" t="str">
        <f t="shared" si="15"/>
        <v>Uncle Calvin Cantonese Class</v>
      </c>
      <c r="C297" s="80" t="s">
        <v>431</v>
      </c>
      <c r="D297" s="81" t="str">
        <f>HYPERLINK("https://youtube.com/watch?v=A9ZRVvLLMq4", "【23個觀塘+將軍澳綫鐵路站】MTR KwunTong &amp; TseungKwanO Line I 兒童常識 for Children I 廣東話教室 I 字幕")</f>
        <v>【23個觀塘+將軍澳綫鐵路站】MTR KwunTong &amp; TseungKwanO Line I 兒童常識 for Children I 廣東話教室 I 字幕</v>
      </c>
      <c r="E297" s="82">
        <v>44401.0</v>
      </c>
      <c r="F297" s="80">
        <v>799.0</v>
      </c>
      <c r="G297" s="80" t="s">
        <v>63</v>
      </c>
      <c r="H297" s="80" t="s">
        <v>63</v>
      </c>
      <c r="I297" s="80" t="s">
        <v>63</v>
      </c>
      <c r="J297" s="80">
        <v>1464.0</v>
      </c>
      <c r="K297" s="80">
        <v>0.735308890005022</v>
      </c>
      <c r="L297" s="80" t="s">
        <v>240</v>
      </c>
    </row>
    <row r="298">
      <c r="A298" s="80" t="s">
        <v>414</v>
      </c>
      <c r="B298" s="81" t="str">
        <f t="shared" si="15"/>
        <v>Uncle Calvin Cantonese Class</v>
      </c>
      <c r="C298" s="80" t="s">
        <v>432</v>
      </c>
      <c r="D298" s="81" t="str">
        <f>HYPERLINK("https://youtube.com/watch?v=F1koylxVOxY", "【27個屯馬綫鐵路站】MTR Tuen Ma Line in Cantonese I 兒童常識 for Children I 廣東話教室 I 字幕")</f>
        <v>【27個屯馬綫鐵路站】MTR Tuen Ma Line in Cantonese I 兒童常識 for Children I 廣東話教室 I 字幕</v>
      </c>
      <c r="E298" s="82">
        <v>44394.0</v>
      </c>
      <c r="F298" s="80">
        <v>691.0</v>
      </c>
      <c r="G298" s="80" t="s">
        <v>63</v>
      </c>
      <c r="H298" s="80" t="s">
        <v>63</v>
      </c>
      <c r="I298" s="80" t="s">
        <v>63</v>
      </c>
      <c r="J298" s="80">
        <v>1143.0</v>
      </c>
      <c r="K298" s="80">
        <v>0.673541543901001</v>
      </c>
      <c r="L298" s="80" t="s">
        <v>240</v>
      </c>
    </row>
    <row r="299">
      <c r="A299" s="80" t="s">
        <v>414</v>
      </c>
      <c r="B299" s="81" t="str">
        <f t="shared" si="15"/>
        <v>Uncle Calvin Cantonese Class</v>
      </c>
      <c r="C299" s="80" t="s">
        <v>433</v>
      </c>
      <c r="D299" s="81" t="str">
        <f>HYPERLINK("https://youtube.com/watch?v=CNLnPHP1WJ8", "【1-50 數數字】Count 1-50 in Cantonese I 幼童數字 for Toddlers I 廣東話教室")</f>
        <v>【1-50 數數字】Count 1-50 in Cantonese I 幼童數字 for Toddlers I 廣東話教室</v>
      </c>
      <c r="E299" s="82">
        <v>44387.0</v>
      </c>
      <c r="F299" s="80">
        <v>321.0</v>
      </c>
      <c r="G299" s="80" t="s">
        <v>63</v>
      </c>
      <c r="H299" s="80" t="s">
        <v>63</v>
      </c>
      <c r="I299" s="80" t="s">
        <v>63</v>
      </c>
      <c r="J299" s="80">
        <v>469.0</v>
      </c>
      <c r="K299" s="80">
        <v>0.888257575757575</v>
      </c>
      <c r="L299" s="80" t="s">
        <v>434</v>
      </c>
    </row>
    <row r="300">
      <c r="A300" s="80" t="s">
        <v>414</v>
      </c>
      <c r="B300" s="81" t="str">
        <f t="shared" si="15"/>
        <v>Uncle Calvin Cantonese Class</v>
      </c>
      <c r="C300" s="80" t="s">
        <v>435</v>
      </c>
      <c r="D300" s="81" t="str">
        <f>HYPERLINK("https://youtube.com/watch?v=hNE8pdQQ_3c", "【6個日常禮貌語】6 words of Politeness in Cantonese I 幼童品行 for Toddlers I 廣東話教室 I 字幕")</f>
        <v>【6個日常禮貌語】6 words of Politeness in Cantonese I 幼童品行 for Toddlers I 廣東話教室 I 字幕</v>
      </c>
      <c r="E300" s="82">
        <v>44379.0</v>
      </c>
      <c r="F300" s="80">
        <v>477.0</v>
      </c>
      <c r="G300" s="80" t="s">
        <v>63</v>
      </c>
      <c r="I300" s="80" t="s">
        <v>63</v>
      </c>
      <c r="J300" s="80">
        <v>1141.0</v>
      </c>
      <c r="K300" s="80">
        <v>0.844559585492228</v>
      </c>
      <c r="L300" s="80" t="s">
        <v>240</v>
      </c>
    </row>
    <row r="301">
      <c r="A301" s="80" t="s">
        <v>414</v>
      </c>
      <c r="B301" s="81" t="str">
        <f t="shared" si="15"/>
        <v>Uncle Calvin Cantonese Class</v>
      </c>
      <c r="C301" s="80" t="s">
        <v>436</v>
      </c>
      <c r="D301" s="81" t="str">
        <f>HYPERLINK("https://youtube.com/watch?v=kD_4KzmhlkI", "【報紙是甚麼】What is Newspaper? in Cantonese I 兒童常識 for Children I 廣東話教室 I 字幕")</f>
        <v>【報紙是甚麼】What is Newspaper? in Cantonese I 兒童常識 for Children I 廣東話教室 I 字幕</v>
      </c>
      <c r="E301" s="82">
        <v>44370.0</v>
      </c>
      <c r="F301" s="80">
        <v>384.0</v>
      </c>
      <c r="G301" s="80" t="s">
        <v>63</v>
      </c>
      <c r="H301" s="80" t="s">
        <v>63</v>
      </c>
      <c r="I301" s="80" t="s">
        <v>63</v>
      </c>
      <c r="J301" s="80">
        <v>815.0</v>
      </c>
      <c r="K301" s="80">
        <v>0.811811811811811</v>
      </c>
      <c r="L301" s="80" t="s">
        <v>434</v>
      </c>
    </row>
    <row r="302">
      <c r="A302" s="80" t="s">
        <v>414</v>
      </c>
      <c r="B302" s="81" t="str">
        <f t="shared" si="15"/>
        <v>Uncle Calvin Cantonese Class</v>
      </c>
      <c r="C302" s="80" t="s">
        <v>437</v>
      </c>
      <c r="D302" s="81" t="str">
        <f>HYPERLINK("https://youtube.com/watch?v=WuAPvuO5U0s", "【6個日常問候語】6 Daily Greetings in Cantonese I 幼童品行 for Toddlers I 廣東話教室 I 字幕")</f>
        <v>【6個日常問候語】6 Daily Greetings in Cantonese I 幼童品行 for Toddlers I 廣東話教室 I 字幕</v>
      </c>
      <c r="E302" s="82">
        <v>44365.0</v>
      </c>
      <c r="F302" s="80">
        <v>457.0</v>
      </c>
      <c r="G302" s="80" t="s">
        <v>63</v>
      </c>
      <c r="H302" s="80" t="s">
        <v>63</v>
      </c>
      <c r="I302" s="80" t="s">
        <v>63</v>
      </c>
      <c r="J302" s="80">
        <v>1088.0</v>
      </c>
      <c r="K302" s="80">
        <v>0.81578947368421</v>
      </c>
      <c r="L302" s="80" t="s">
        <v>434</v>
      </c>
    </row>
    <row r="303">
      <c r="A303" s="80" t="s">
        <v>414</v>
      </c>
      <c r="B303" s="81" t="str">
        <f t="shared" si="15"/>
        <v>Uncle Calvin Cantonese Class</v>
      </c>
      <c r="C303" s="80" t="s">
        <v>438</v>
      </c>
      <c r="D303" s="81" t="str">
        <f>HYPERLINK("https://youtube.com/watch?v=8XOImPQDkFc", "【5個父親節小知識】5 things about Father's Day in Cantonese I 兒童節日 for Family I 廣東話教室 I 字幕/Subtitles")</f>
        <v>【5個父親節小知識】5 things about Father's Day in Cantonese I 兒童節日 for Family I 廣東話教室 I 字幕/Subtitles</v>
      </c>
      <c r="E303" s="82">
        <v>44358.0</v>
      </c>
      <c r="F303" s="80">
        <v>394.0</v>
      </c>
      <c r="G303" s="80" t="s">
        <v>63</v>
      </c>
      <c r="H303" s="80" t="s">
        <v>63</v>
      </c>
      <c r="I303" s="80" t="s">
        <v>63</v>
      </c>
      <c r="J303" s="80">
        <v>932.0</v>
      </c>
      <c r="K303" s="80">
        <v>0.887608069164265</v>
      </c>
      <c r="L303" s="80" t="s">
        <v>439</v>
      </c>
    </row>
    <row r="304">
      <c r="A304" s="80" t="s">
        <v>414</v>
      </c>
      <c r="B304" s="81" t="str">
        <f t="shared" si="15"/>
        <v>Uncle Calvin Cantonese Class</v>
      </c>
      <c r="C304" s="80" t="s">
        <v>440</v>
      </c>
      <c r="D304" s="81" t="str">
        <f>HYPERLINK("https://youtube.com/watch?v=zvIPLWwXr6Q", "【5個端午節小知識】5 things about Dragon Boat Festival in Cantonese I 兒童節日 for Family I 廣東話教室 I 字幕/Subtitles")</f>
        <v>【5個端午節小知識】5 things about Dragon Boat Festival in Cantonese I 兒童節日 for Family I 廣東話教室 I 字幕/Subtitles</v>
      </c>
      <c r="E304" s="82">
        <v>44349.0</v>
      </c>
      <c r="F304" s="80">
        <v>402.0</v>
      </c>
      <c r="G304" s="80" t="s">
        <v>63</v>
      </c>
      <c r="H304" s="80" t="s">
        <v>63</v>
      </c>
      <c r="I304" s="80" t="s">
        <v>63</v>
      </c>
      <c r="J304" s="80">
        <v>980.0</v>
      </c>
      <c r="K304" s="80">
        <v>0.877938517179023</v>
      </c>
      <c r="L304" s="80" t="s">
        <v>439</v>
      </c>
    </row>
    <row r="305">
      <c r="A305" s="80" t="s">
        <v>414</v>
      </c>
      <c r="B305" s="81" t="str">
        <f t="shared" si="15"/>
        <v>Uncle Calvin Cantonese Class</v>
      </c>
      <c r="C305" s="80" t="s">
        <v>441</v>
      </c>
      <c r="D305" s="81" t="str">
        <f>HYPERLINK("https://youtube.com/watch?v=IbkLWvwrEpY", "【1-100 數數字】Count 1-100 in Cantonese I 幼童數字 for Toddlers I 廣東話教室 I 字幕/Subtitles")</f>
        <v>【1-100 數數字】Count 1-100 in Cantonese I 幼童數字 for Toddlers I 廣東話教室 I 字幕/Subtitles</v>
      </c>
      <c r="E305" s="82">
        <v>44344.0</v>
      </c>
      <c r="F305" s="80">
        <v>370.0</v>
      </c>
      <c r="G305" s="80" t="s">
        <v>63</v>
      </c>
      <c r="H305" s="80" t="s">
        <v>63</v>
      </c>
      <c r="I305" s="80" t="s">
        <v>63</v>
      </c>
      <c r="J305" s="80">
        <v>298.0</v>
      </c>
      <c r="K305" s="80">
        <v>0.868804664723032</v>
      </c>
      <c r="L305" s="80" t="s">
        <v>439</v>
      </c>
    </row>
    <row r="306">
      <c r="A306" s="80" t="s">
        <v>414</v>
      </c>
      <c r="B306" s="81" t="str">
        <f t="shared" si="15"/>
        <v>Uncle Calvin Cantonese Class</v>
      </c>
      <c r="C306" s="80" t="s">
        <v>442</v>
      </c>
      <c r="D306" s="81" t="str">
        <f>HYPERLINK("https://youtube.com/watch?v=aqdQIu7Tl0Q", "【10個身體單字】10 words about BODY in Cantonese I 幼兒認字 for Toddlers I 廣東話教室 I 字幕/Subtitles")</f>
        <v>【10個身體單字】10 words about BODY in Cantonese I 幼兒認字 for Toddlers I 廣東話教室 I 字幕/Subtitles</v>
      </c>
      <c r="E306" s="82">
        <v>44323.0</v>
      </c>
      <c r="F306" s="80">
        <v>1000.0</v>
      </c>
      <c r="G306" s="80" t="s">
        <v>63</v>
      </c>
      <c r="H306" s="80" t="s">
        <v>63</v>
      </c>
      <c r="I306" s="80" t="s">
        <v>63</v>
      </c>
      <c r="J306" s="80">
        <v>2083.0</v>
      </c>
      <c r="K306" s="80">
        <v>0.81351888667992</v>
      </c>
      <c r="L306" s="80" t="s">
        <v>439</v>
      </c>
    </row>
    <row r="307">
      <c r="A307" s="80" t="s">
        <v>414</v>
      </c>
      <c r="B307" s="81" t="str">
        <f t="shared" si="15"/>
        <v>Uncle Calvin Cantonese Class</v>
      </c>
      <c r="C307" s="80" t="s">
        <v>443</v>
      </c>
      <c r="D307" s="81" t="str">
        <f>HYPERLINK("https://youtube.com/watch?v=ZYnop48Tprk", "【5個母親節小知識】5 things about Mother's Day in Cantonese I 兒童節日 for Family I 廣東話教室 I 字幕/Subtitles")</f>
        <v>【5個母親節小知識】5 things about Mother's Day in Cantonese I 兒童節日 for Family I 廣東話教室 I 字幕/Subtitles</v>
      </c>
      <c r="E307" s="82">
        <v>44316.0</v>
      </c>
      <c r="F307" s="80">
        <v>518.0</v>
      </c>
      <c r="G307" s="80" t="s">
        <v>63</v>
      </c>
      <c r="H307" s="80" t="s">
        <v>63</v>
      </c>
      <c r="I307" s="80" t="s">
        <v>63</v>
      </c>
      <c r="J307" s="80">
        <v>1265.0</v>
      </c>
      <c r="K307" s="80">
        <v>0.860544217687074</v>
      </c>
      <c r="L307" s="80" t="s">
        <v>444</v>
      </c>
    </row>
    <row r="308">
      <c r="A308" s="80" t="s">
        <v>414</v>
      </c>
      <c r="B308" s="81" t="str">
        <f t="shared" si="15"/>
        <v>Uncle Calvin Cantonese Class</v>
      </c>
      <c r="C308" s="80" t="s">
        <v>445</v>
      </c>
      <c r="D308" s="81" t="str">
        <f>HYPERLINK("https://youtube.com/watch?v=_PCJ3LfRoRQ", "【12個頭部字詞】12 words about HEAD in Cantonese I 幼兒認字 for Toddlers I 廣東話教室 I 字幕/Subtitles")</f>
        <v>【12個頭部字詞】12 words about HEAD in Cantonese I 幼兒認字 for Toddlers I 廣東話教室 I 字幕/Subtitles</v>
      </c>
      <c r="E308" s="82">
        <v>44309.0</v>
      </c>
      <c r="F308" s="80">
        <v>811.0</v>
      </c>
      <c r="G308" s="80" t="s">
        <v>63</v>
      </c>
      <c r="H308" s="80" t="s">
        <v>63</v>
      </c>
      <c r="I308" s="80" t="s">
        <v>63</v>
      </c>
      <c r="J308" s="80">
        <v>1409.0</v>
      </c>
      <c r="K308" s="80">
        <v>0.817759721416134</v>
      </c>
      <c r="L308" s="80" t="s">
        <v>444</v>
      </c>
    </row>
    <row r="309">
      <c r="A309" s="80" t="s">
        <v>414</v>
      </c>
      <c r="B309" s="81" t="str">
        <f t="shared" si="15"/>
        <v>Uncle Calvin Cantonese Class</v>
      </c>
      <c r="C309" s="80" t="s">
        <v>446</v>
      </c>
      <c r="D309" s="81" t="str">
        <f>HYPERLINK("https://youtube.com/watch?v=xH8me1xhfJU", "【1-20數數字】Count 1-20 in Cantonese I 幼兒數字 for Toddlers I 廣東話教室 I 字幕/Subtitles")</f>
        <v>【1-20數數字】Count 1-20 in Cantonese I 幼兒數字 for Toddlers I 廣東話教室 I 字幕/Subtitles</v>
      </c>
      <c r="E309" s="82">
        <v>44303.0</v>
      </c>
      <c r="F309" s="80">
        <v>350.0</v>
      </c>
      <c r="G309" s="80" t="s">
        <v>63</v>
      </c>
      <c r="H309" s="80" t="s">
        <v>63</v>
      </c>
      <c r="I309" s="80" t="s">
        <v>63</v>
      </c>
      <c r="J309" s="80">
        <v>564.0</v>
      </c>
      <c r="K309" s="80">
        <v>0.626666666666666</v>
      </c>
      <c r="L309" s="80" t="s">
        <v>444</v>
      </c>
    </row>
    <row r="310">
      <c r="A310" s="80" t="s">
        <v>414</v>
      </c>
      <c r="B310" s="81" t="str">
        <f t="shared" si="15"/>
        <v>Uncle Calvin Cantonese Class</v>
      </c>
      <c r="C310" s="80" t="s">
        <v>447</v>
      </c>
      <c r="D310" s="81" t="str">
        <f>HYPERLINK("https://youtube.com/watch?v=t6vNahXG-Lc", "【5個兒童節小知識】5 things about Children's Day in Cantonese I 兒童節日 for Family I 廣東話教室 I 字幕/Subtitles")</f>
        <v>【5個兒童節小知識】5 things about Children's Day in Cantonese I 兒童節日 for Family I 廣東話教室 I 字幕/Subtitles</v>
      </c>
      <c r="E310" s="82">
        <v>44288.0</v>
      </c>
      <c r="F310" s="80">
        <v>463.0</v>
      </c>
      <c r="G310" s="80" t="s">
        <v>63</v>
      </c>
      <c r="H310" s="80" t="s">
        <v>63</v>
      </c>
      <c r="I310" s="80" t="s">
        <v>63</v>
      </c>
      <c r="J310" s="80">
        <v>1043.0</v>
      </c>
      <c r="K310" s="80">
        <v>0.884812286689419</v>
      </c>
      <c r="L310" s="80" t="s">
        <v>444</v>
      </c>
    </row>
    <row r="311">
      <c r="A311" s="80" t="s">
        <v>414</v>
      </c>
      <c r="B311" s="81" t="str">
        <f t="shared" si="15"/>
        <v>Uncle Calvin Cantonese Class</v>
      </c>
      <c r="C311" s="80" t="s">
        <v>448</v>
      </c>
      <c r="D311" s="81" t="str">
        <f>HYPERLINK("https://youtube.com/watch?v=4rZ5vl8t5w8", "【5個清明節小知識】5 things about Ching Ming Festival in Cantonese I 兒童節日 for Family I 廣東話教室 I 字幕/Subtitles")</f>
        <v>【5個清明節小知識】5 things about Ching Ming Festival in Cantonese I 兒童節日 for Family I 廣東話教室 I 字幕/Subtitles</v>
      </c>
      <c r="E311" s="82">
        <v>44287.0</v>
      </c>
      <c r="F311" s="80">
        <v>428.0</v>
      </c>
      <c r="G311" s="80" t="s">
        <v>63</v>
      </c>
      <c r="H311" s="80" t="s">
        <v>63</v>
      </c>
      <c r="I311" s="80" t="s">
        <v>63</v>
      </c>
      <c r="J311" s="80">
        <v>896.0</v>
      </c>
      <c r="K311" s="80">
        <v>0.846736045411542</v>
      </c>
      <c r="L311" s="80" t="s">
        <v>444</v>
      </c>
    </row>
    <row r="312">
      <c r="A312" s="80" t="s">
        <v>414</v>
      </c>
      <c r="B312" s="81" t="str">
        <f t="shared" si="15"/>
        <v>Uncle Calvin Cantonese Class</v>
      </c>
      <c r="C312" s="80" t="s">
        <v>449</v>
      </c>
      <c r="D312" s="81" t="str">
        <f>HYPERLINK("https://youtube.com/watch?v=MEx4e3vXUos", "【5個復活節小知識】5 things about Easter in Cantonese I 兒童節日 for Family I 廣東話教室 I 字幕/Subtitles")</f>
        <v>【5個復活節小知識】5 things about Easter in Cantonese I 兒童節日 for Family I 廣東話教室 I 字幕/Subtitles</v>
      </c>
      <c r="E312" s="82">
        <v>44287.0</v>
      </c>
      <c r="F312" s="80">
        <v>429.0</v>
      </c>
      <c r="G312" s="80" t="s">
        <v>63</v>
      </c>
      <c r="H312" s="80" t="s">
        <v>63</v>
      </c>
      <c r="I312" s="80" t="s">
        <v>63</v>
      </c>
      <c r="J312" s="80">
        <v>994.0</v>
      </c>
      <c r="K312" s="80">
        <v>0.869641294838145</v>
      </c>
      <c r="L312" s="80" t="s">
        <v>444</v>
      </c>
    </row>
    <row r="313">
      <c r="A313" s="80" t="s">
        <v>414</v>
      </c>
      <c r="B313" s="81" t="str">
        <f t="shared" si="15"/>
        <v>Uncle Calvin Cantonese Class</v>
      </c>
      <c r="C313" s="80" t="s">
        <v>450</v>
      </c>
      <c r="D313" s="81" t="str">
        <f>HYPERLINK("https://youtube.com/watch?v=X7bwx3JUS1U", "【60分鐘】60 minutes in Cantonese I 幼童數字 for Toddlers I 廣東話教室 I 字幕/Subtitles")</f>
        <v>【60分鐘】60 minutes in Cantonese I 幼童數字 for Toddlers I 廣東話教室 I 字幕/Subtitles</v>
      </c>
      <c r="E313" s="82">
        <v>44282.0</v>
      </c>
      <c r="F313" s="80">
        <v>863.0</v>
      </c>
      <c r="G313" s="80" t="s">
        <v>63</v>
      </c>
      <c r="H313" s="80" t="s">
        <v>63</v>
      </c>
      <c r="I313" s="80" t="s">
        <v>63</v>
      </c>
      <c r="J313" s="80">
        <v>1484.0</v>
      </c>
      <c r="K313" s="80">
        <v>0.95048231511254</v>
      </c>
      <c r="L313" s="80" t="s">
        <v>120</v>
      </c>
    </row>
    <row r="314">
      <c r="A314" s="80" t="s">
        <v>414</v>
      </c>
      <c r="B314" s="81" t="str">
        <f t="shared" si="15"/>
        <v>Uncle Calvin Cantonese Class</v>
      </c>
      <c r="C314" s="80" t="s">
        <v>451</v>
      </c>
      <c r="D314" s="81" t="str">
        <f>HYPERLINK("https://youtube.com/watch?v=BAMMT13liDo", "【12小時】12 Hours in Cantonese I 幼童數字 for Toddlers I 廣東話教室 I 字幕/Subtitles")</f>
        <v>【12小時】12 Hours in Cantonese I 幼童數字 for Toddlers I 廣東話教室 I 字幕/Subtitles</v>
      </c>
      <c r="E314" s="82">
        <v>44274.0</v>
      </c>
      <c r="F314" s="80">
        <v>777.0</v>
      </c>
      <c r="G314" s="80" t="s">
        <v>63</v>
      </c>
      <c r="H314" s="80" t="s">
        <v>63</v>
      </c>
      <c r="I314" s="80" t="s">
        <v>63</v>
      </c>
      <c r="J314" s="80">
        <v>1039.0</v>
      </c>
      <c r="K314" s="80">
        <v>0.752539912917271</v>
      </c>
      <c r="L314" s="80" t="s">
        <v>120</v>
      </c>
    </row>
    <row r="315">
      <c r="A315" s="80" t="s">
        <v>414</v>
      </c>
      <c r="B315" s="81" t="str">
        <f t="shared" si="15"/>
        <v>Uncle Calvin Cantonese Class</v>
      </c>
      <c r="C315" s="80" t="s">
        <v>452</v>
      </c>
      <c r="D315" s="81" t="str">
        <f>HYPERLINK("https://youtube.com/watch?v=av9DhzZmfPA", "【一星期七日】Monday to Sunday in Cantonese I 幼童認字 for Toddlers I 廣東話教室 I 字幕/Sub")</f>
        <v>【一星期七日】Monday to Sunday in Cantonese I 幼童認字 for Toddlers I 廣東話教室 I 字幕/Sub</v>
      </c>
      <c r="E315" s="82">
        <v>44268.0</v>
      </c>
      <c r="F315" s="80">
        <v>560.0</v>
      </c>
      <c r="G315" s="80" t="s">
        <v>63</v>
      </c>
      <c r="H315" s="80" t="s">
        <v>63</v>
      </c>
      <c r="I315" s="80" t="s">
        <v>63</v>
      </c>
      <c r="J315" s="80">
        <v>1075.0</v>
      </c>
      <c r="K315" s="80">
        <v>0.802238805970149</v>
      </c>
      <c r="L315" s="80" t="s">
        <v>120</v>
      </c>
    </row>
    <row r="316">
      <c r="A316" s="80" t="s">
        <v>414</v>
      </c>
      <c r="B316" s="81" t="str">
        <f t="shared" si="15"/>
        <v>Uncle Calvin Cantonese Class</v>
      </c>
      <c r="C316" s="80" t="s">
        <v>453</v>
      </c>
      <c r="D316" s="81" t="str">
        <f>HYPERLINK("https://youtube.com/watch?v=UwuAZRBpm5s", "【10個公園單字】10 words about PARK in Cantonese I 幼兒認字 for Toddlers I 廣東話教室 I 字幕/Sub")</f>
        <v>【10個公園單字】10 words about PARK in Cantonese I 幼兒認字 for Toddlers I 廣東話教室 I 字幕/Sub</v>
      </c>
      <c r="E316" s="82">
        <v>44259.0</v>
      </c>
      <c r="F316" s="80">
        <v>609.0</v>
      </c>
      <c r="G316" s="80" t="s">
        <v>63</v>
      </c>
      <c r="H316" s="80" t="s">
        <v>63</v>
      </c>
      <c r="I316" s="80" t="s">
        <v>63</v>
      </c>
      <c r="J316" s="80">
        <v>1335.0</v>
      </c>
      <c r="K316" s="80">
        <v>0.909215955983493</v>
      </c>
      <c r="L316" s="80" t="s">
        <v>120</v>
      </c>
    </row>
    <row r="317">
      <c r="A317" s="80" t="s">
        <v>414</v>
      </c>
      <c r="B317" s="81" t="str">
        <f t="shared" si="15"/>
        <v>Uncle Calvin Cantonese Class</v>
      </c>
      <c r="C317" s="80" t="s">
        <v>454</v>
      </c>
      <c r="D317" s="81" t="str">
        <f>HYPERLINK("https://youtube.com/watch?v=cUr0clbTvrM", "【7個基本方向】7 Basic Directions in Cantonese I 幼兒認知 for Toddlers I 廣東話教室 I 字幕")</f>
        <v>【7個基本方向】7 Basic Directions in Cantonese I 幼兒認知 for Toddlers I 廣東話教室 I 字幕</v>
      </c>
      <c r="E317" s="82">
        <v>44253.0</v>
      </c>
      <c r="F317" s="80">
        <v>455.0</v>
      </c>
      <c r="G317" s="80" t="s">
        <v>63</v>
      </c>
      <c r="H317" s="80" t="s">
        <v>63</v>
      </c>
      <c r="I317" s="80" t="s">
        <v>63</v>
      </c>
      <c r="J317" s="80">
        <v>772.0</v>
      </c>
      <c r="K317" s="80">
        <v>0.762845849802371</v>
      </c>
      <c r="L317" s="80" t="s">
        <v>86</v>
      </c>
    </row>
    <row r="318">
      <c r="A318" s="80" t="s">
        <v>414</v>
      </c>
      <c r="B318" s="81" t="str">
        <f t="shared" si="15"/>
        <v>Uncle Calvin Cantonese Class</v>
      </c>
      <c r="C318" s="80" t="s">
        <v>455</v>
      </c>
      <c r="D318" s="81" t="str">
        <f>HYPERLINK("https://youtube.com/watch?v=y55IPxP8LLI", "【中文數字一至十】Chinese Numbers 1-10 in Cantonese I 幼兒認字 for Toddlers I 廣東話教室 I 字幕")</f>
        <v>【中文數字一至十】Chinese Numbers 1-10 in Cantonese I 幼兒認字 for Toddlers I 廣東話教室 I 字幕</v>
      </c>
      <c r="E318" s="82">
        <v>44247.0</v>
      </c>
      <c r="F318" s="80">
        <v>594.0</v>
      </c>
      <c r="G318" s="80" t="s">
        <v>63</v>
      </c>
      <c r="H318" s="80" t="s">
        <v>63</v>
      </c>
      <c r="I318" s="80" t="s">
        <v>63</v>
      </c>
      <c r="J318" s="80">
        <v>958.0</v>
      </c>
      <c r="K318" s="80">
        <v>0.883763837638376</v>
      </c>
      <c r="L318" s="80" t="s">
        <v>86</v>
      </c>
    </row>
    <row r="319">
      <c r="A319" s="80" t="s">
        <v>414</v>
      </c>
      <c r="B319" s="81" t="str">
        <f t="shared" si="15"/>
        <v>Uncle Calvin Cantonese Class</v>
      </c>
      <c r="C319" s="80" t="s">
        <v>456</v>
      </c>
      <c r="D319" s="81" t="str">
        <f>HYPERLINK("https://youtube.com/watch?v=N882mxjPvFc", "【最新頻道介紹】Channel Preview I Uncle Calvin 廣東話教室 I 廣東話 I 字幕")</f>
        <v>【最新頻道介紹】Channel Preview I Uncle Calvin 廣東話教室 I 廣東話 I 字幕</v>
      </c>
      <c r="E319" s="82">
        <v>44244.0</v>
      </c>
      <c r="F319" s="80">
        <v>116.0</v>
      </c>
      <c r="G319" s="80" t="s">
        <v>63</v>
      </c>
      <c r="H319" s="80" t="s">
        <v>63</v>
      </c>
      <c r="I319" s="80" t="s">
        <v>63</v>
      </c>
      <c r="J319" s="80">
        <v>312.0</v>
      </c>
      <c r="K319" s="80">
        <v>0.751807228915662</v>
      </c>
      <c r="L319" s="80" t="s">
        <v>86</v>
      </c>
    </row>
    <row r="320">
      <c r="A320" s="80" t="s">
        <v>414</v>
      </c>
      <c r="B320" s="81" t="str">
        <f t="shared" si="15"/>
        <v>Uncle Calvin Cantonese Class</v>
      </c>
      <c r="C320" s="80" t="s">
        <v>457</v>
      </c>
      <c r="D320" s="81" t="str">
        <f>HYPERLINK("https://youtube.com/watch?v=a3UrbUKg4bY", "【10種常見年花】10 CNY Auspicious Flowers in Cantonese I 幼童認知 for Toddlers I 廣東話教室 I 字幕")</f>
        <v>【10種常見年花】10 CNY Auspicious Flowers in Cantonese I 幼童認知 for Toddlers I 廣東話教室 I 字幕</v>
      </c>
      <c r="E320" s="82">
        <v>44237.0</v>
      </c>
      <c r="F320" s="80">
        <v>667.0</v>
      </c>
      <c r="G320" s="80" t="s">
        <v>63</v>
      </c>
      <c r="H320" s="80" t="s">
        <v>63</v>
      </c>
      <c r="I320" s="80" t="s">
        <v>63</v>
      </c>
      <c r="J320" s="80">
        <v>1031.0</v>
      </c>
      <c r="K320" s="80">
        <v>0.803585346843335</v>
      </c>
      <c r="L320" s="80" t="s">
        <v>86</v>
      </c>
    </row>
    <row r="321">
      <c r="A321" s="80" t="s">
        <v>414</v>
      </c>
      <c r="B321" s="81" t="str">
        <f t="shared" si="15"/>
        <v>Uncle Calvin Cantonese Class</v>
      </c>
      <c r="C321" s="80" t="s">
        <v>458</v>
      </c>
      <c r="D321" s="81" t="str">
        <f>HYPERLINK("https://youtube.com/watch?v=if1QE9bpTiM", "【12生肖】12-Chinese Zodiac in Cantonese I 幼童認知 for Toddlers I 廣東話教室 I 字幕")</f>
        <v>【12生肖】12-Chinese Zodiac in Cantonese I 幼童認知 for Toddlers I 廣東話教室 I 字幕</v>
      </c>
      <c r="E321" s="82">
        <v>44229.0</v>
      </c>
      <c r="F321" s="80">
        <v>712.0</v>
      </c>
      <c r="G321" s="80" t="s">
        <v>63</v>
      </c>
      <c r="H321" s="80" t="s">
        <v>63</v>
      </c>
      <c r="I321" s="80" t="s">
        <v>63</v>
      </c>
      <c r="J321" s="80">
        <v>1338.0</v>
      </c>
      <c r="K321" s="80">
        <v>0.886092715231788</v>
      </c>
      <c r="L321" s="80" t="s">
        <v>86</v>
      </c>
    </row>
    <row r="322">
      <c r="A322" s="80" t="s">
        <v>414</v>
      </c>
      <c r="B322" s="81" t="str">
        <f t="shared" si="15"/>
        <v>Uncle Calvin Cantonese Class</v>
      </c>
      <c r="C322" s="80" t="s">
        <v>459</v>
      </c>
      <c r="D322" s="81" t="str">
        <f>HYPERLINK("https://youtube.com/watch?v=5NvNxVfB9oQ", "【8個農曆新年祝福語】8 CNY Greetings in Cantonese I 親子 for Family I 廣東話教室 I 字幕")</f>
        <v>【8個農曆新年祝福語】8 CNY Greetings in Cantonese I 親子 for Family I 廣東話教室 I 字幕</v>
      </c>
      <c r="E322" s="82">
        <v>44223.0</v>
      </c>
      <c r="F322" s="80">
        <v>550.0</v>
      </c>
      <c r="G322" s="80" t="s">
        <v>63</v>
      </c>
      <c r="H322" s="80" t="s">
        <v>63</v>
      </c>
      <c r="I322" s="80" t="s">
        <v>63</v>
      </c>
      <c r="J322" s="80">
        <v>1109.0</v>
      </c>
      <c r="K322" s="80">
        <v>0.745295698924731</v>
      </c>
      <c r="L322" s="80" t="s">
        <v>86</v>
      </c>
    </row>
    <row r="323">
      <c r="A323" s="80" t="s">
        <v>414</v>
      </c>
      <c r="B323" s="81" t="str">
        <f t="shared" si="15"/>
        <v>Uncle Calvin Cantonese Class</v>
      </c>
      <c r="C323" s="80" t="s">
        <v>460</v>
      </c>
      <c r="D323" s="81" t="str">
        <f>HYPERLINK("https://youtube.com/watch?v=exooiR6OWfw", "【12個常用親友稱呼】12 Relatives in Cantonese I 親子 for Family I 廣東話教室 I 字幕")</f>
        <v>【12個常用親友稱呼】12 Relatives in Cantonese I 親子 for Family I 廣東話教室 I 字幕</v>
      </c>
      <c r="E323" s="82">
        <v>44219.0</v>
      </c>
      <c r="F323" s="80">
        <v>573.0</v>
      </c>
      <c r="G323" s="80" t="s">
        <v>63</v>
      </c>
      <c r="H323" s="80" t="s">
        <v>63</v>
      </c>
      <c r="I323" s="80" t="s">
        <v>63</v>
      </c>
      <c r="J323" s="80">
        <v>913.0</v>
      </c>
      <c r="K323" s="80">
        <v>0.746524938675388</v>
      </c>
      <c r="L323" s="80" t="s">
        <v>86</v>
      </c>
    </row>
    <row r="324">
      <c r="A324" s="80" t="s">
        <v>414</v>
      </c>
      <c r="B324" s="81" t="str">
        <f t="shared" si="15"/>
        <v>Uncle Calvin Cantonese Class</v>
      </c>
      <c r="C324" s="80" t="s">
        <v>461</v>
      </c>
      <c r="D324" s="81" t="str">
        <f>HYPERLINK("https://youtube.com/watch?v=tPFJJbabo0E", "【10個常用家人稱呼】10 Family Members in CantoneseI 親子 for Family I 廣東話教室 I 字幕")</f>
        <v>【10個常用家人稱呼】10 Family Members in CantoneseI 親子 for Family I 廣東話教室 I 字幕</v>
      </c>
      <c r="E324" s="82">
        <v>44216.0</v>
      </c>
      <c r="F324" s="80">
        <v>458.0</v>
      </c>
      <c r="G324" s="80" t="s">
        <v>63</v>
      </c>
      <c r="H324" s="80" t="s">
        <v>63</v>
      </c>
      <c r="I324" s="80" t="s">
        <v>63</v>
      </c>
      <c r="J324" s="80">
        <v>830.0</v>
      </c>
      <c r="K324" s="80">
        <v>0.769944341372912</v>
      </c>
      <c r="L324" s="80" t="s">
        <v>86</v>
      </c>
    </row>
    <row r="325">
      <c r="A325" s="80" t="s">
        <v>414</v>
      </c>
      <c r="B325" s="81" t="str">
        <f t="shared" si="15"/>
        <v>Uncle Calvin Cantonese Class</v>
      </c>
      <c r="C325" s="80" t="s">
        <v>462</v>
      </c>
      <c r="D325" s="81" t="str">
        <f>HYPERLINK("https://youtube.com/watch?v=vikWFLZLd4E", "【8種常見形狀】8 Shapes in Cantonese I 幼兒美學 for Toddlers I 廣東話教室 I 字幕")</f>
        <v>【8種常見形狀】8 Shapes in Cantonese I 幼兒美學 for Toddlers I 廣東話教室 I 字幕</v>
      </c>
      <c r="E325" s="82">
        <v>44212.0</v>
      </c>
      <c r="F325" s="80">
        <v>710.0</v>
      </c>
      <c r="G325" s="80" t="s">
        <v>63</v>
      </c>
      <c r="H325" s="80" t="s">
        <v>63</v>
      </c>
      <c r="I325" s="80" t="s">
        <v>63</v>
      </c>
      <c r="J325" s="80">
        <v>1333.0</v>
      </c>
      <c r="K325" s="80">
        <v>0.956586826347305</v>
      </c>
      <c r="L325" s="80" t="s">
        <v>86</v>
      </c>
    </row>
    <row r="326">
      <c r="A326" s="80" t="s">
        <v>414</v>
      </c>
      <c r="B326" s="81" t="str">
        <f t="shared" si="15"/>
        <v>Uncle Calvin Cantonese Class</v>
      </c>
      <c r="C326" s="80" t="s">
        <v>463</v>
      </c>
      <c r="D326" s="81" t="str">
        <f>HYPERLINK("https://youtube.com/watch?v=30IMcj1W0yg", "【10以內倒數練習】Countdown from 10 in Cantonese I 幼童數字 for Toddlers I 廣東話教室 I 字幕")</f>
        <v>【10以內倒數練習】Countdown from 10 in Cantonese I 幼童數字 for Toddlers I 廣東話教室 I 字幕</v>
      </c>
      <c r="E326" s="82">
        <v>44203.0</v>
      </c>
      <c r="F326" s="80">
        <v>477.0</v>
      </c>
      <c r="G326" s="80" t="s">
        <v>63</v>
      </c>
      <c r="H326" s="80" t="s">
        <v>63</v>
      </c>
      <c r="I326" s="80" t="s">
        <v>63</v>
      </c>
      <c r="J326" s="80">
        <v>806.0</v>
      </c>
      <c r="K326" s="80">
        <v>0.893095768374164</v>
      </c>
      <c r="L326" s="80" t="s">
        <v>86</v>
      </c>
    </row>
    <row r="327">
      <c r="A327" s="80" t="s">
        <v>414</v>
      </c>
      <c r="B327" s="81" t="str">
        <f t="shared" si="15"/>
        <v>Uncle Calvin Cantonese Class</v>
      </c>
      <c r="C327" s="80" t="s">
        <v>464</v>
      </c>
      <c r="D327" s="81" t="str">
        <f>HYPERLINK("https://youtube.com/watch?v=jK2yVtYT9zA", "【1-10讀數字】Numbers 1-10 in Cantonese I 幼兒數字 for Toddlers I 廣東話教室 I 字幕")</f>
        <v>【1-10讀數字】Numbers 1-10 in Cantonese I 幼兒數字 for Toddlers I 廣東話教室 I 字幕</v>
      </c>
      <c r="E327" s="82">
        <v>44195.0</v>
      </c>
      <c r="F327" s="80">
        <v>672.0</v>
      </c>
      <c r="G327" s="80" t="s">
        <v>63</v>
      </c>
      <c r="H327" s="80" t="s">
        <v>63</v>
      </c>
      <c r="I327" s="80" t="s">
        <v>63</v>
      </c>
      <c r="J327" s="80">
        <v>941.0</v>
      </c>
      <c r="K327" s="80">
        <v>0.847272727272727</v>
      </c>
      <c r="L327" s="80" t="s">
        <v>86</v>
      </c>
    </row>
    <row r="328">
      <c r="A328" s="80" t="s">
        <v>414</v>
      </c>
      <c r="B328" s="81" t="str">
        <f t="shared" si="15"/>
        <v>Uncle Calvin Cantonese Class</v>
      </c>
      <c r="C328" s="80" t="s">
        <v>465</v>
      </c>
      <c r="D328" s="81" t="str">
        <f>HYPERLINK("https://youtube.com/watch?v=Pq_HmKfChNo", "【10種常見顏色】10 Colors in Cantonese I 幼兒美學 for Toddlers I 廣東話教室 I 字幕")</f>
        <v>【10種常見顏色】10 Colors in Cantonese I 幼兒美學 for Toddlers I 廣東話教室 I 字幕</v>
      </c>
      <c r="E328" s="82">
        <v>44189.0</v>
      </c>
      <c r="F328" s="80">
        <v>656.0</v>
      </c>
      <c r="G328" s="80" t="s">
        <v>63</v>
      </c>
      <c r="H328" s="80" t="s">
        <v>63</v>
      </c>
      <c r="I328" s="80" t="s">
        <v>63</v>
      </c>
      <c r="J328" s="80">
        <v>1027.0</v>
      </c>
      <c r="K328" s="80">
        <v>0.862424763542562</v>
      </c>
      <c r="L328" s="80" t="s">
        <v>86</v>
      </c>
    </row>
    <row r="329">
      <c r="A329" s="80" t="s">
        <v>414</v>
      </c>
      <c r="B329" s="81" t="str">
        <f t="shared" si="15"/>
        <v>Uncle Calvin Cantonese Class</v>
      </c>
      <c r="C329" s="80" t="s">
        <v>466</v>
      </c>
      <c r="D329" s="81" t="str">
        <f>HYPERLINK("https://youtube.com/watch?v=rqljWNwejc4", "【頻道介紹】Channel Preview I Uncle Calvin 廣東話教室 I 廣東話 I 字幕")</f>
        <v>【頻道介紹】Channel Preview I Uncle Calvin 廣東話教室 I 廣東話 I 字幕</v>
      </c>
      <c r="E329" s="82">
        <v>44180.0</v>
      </c>
      <c r="F329" s="80">
        <v>68.0</v>
      </c>
      <c r="G329" s="80" t="s">
        <v>63</v>
      </c>
      <c r="H329" s="80" t="s">
        <v>63</v>
      </c>
      <c r="I329" s="80" t="s">
        <v>63</v>
      </c>
      <c r="J329" s="80">
        <v>188.0</v>
      </c>
      <c r="K329" s="80">
        <v>0.783333333333333</v>
      </c>
      <c r="L329" s="80" t="s">
        <v>86</v>
      </c>
    </row>
    <row r="330">
      <c r="A330" s="80" t="s">
        <v>467</v>
      </c>
      <c r="B330" s="81" t="str">
        <f t="shared" ref="B330:B362" si="16">HYPERLINK("https://www.youtube.com/channel/UCaEa-LjV-VwFJ3Flc0ndcWg", "Ca HK")</f>
        <v>Ca HK</v>
      </c>
      <c r="C330" s="80" t="s">
        <v>468</v>
      </c>
      <c r="D330" s="81" t="str">
        <f>HYPERLINK("https://youtube.com/watch?v=n4ddRhggvnM", "【手語】最後醫生話……")</f>
        <v>【手語】最後醫生話……</v>
      </c>
      <c r="E330" s="82">
        <v>44071.0</v>
      </c>
      <c r="F330" s="80">
        <v>62.0</v>
      </c>
      <c r="G330" s="80" t="s">
        <v>63</v>
      </c>
      <c r="I330" s="80" t="s">
        <v>63</v>
      </c>
      <c r="J330" s="80">
        <v>109.0</v>
      </c>
      <c r="K330" s="80">
        <v>0.879032258064516</v>
      </c>
      <c r="L330" s="80" t="s">
        <v>102</v>
      </c>
    </row>
    <row r="331">
      <c r="A331" s="80" t="s">
        <v>467</v>
      </c>
      <c r="B331" s="81" t="str">
        <f t="shared" si="16"/>
        <v>Ca HK</v>
      </c>
      <c r="C331" s="80" t="s">
        <v>469</v>
      </c>
      <c r="D331" s="81" t="str">
        <f>HYPERLINK("https://youtube.com/watch?v=FemA7HFLY5c", "【手語】耳仔情況UPDATE")</f>
        <v>【手語】耳仔情況UPDATE</v>
      </c>
      <c r="E331" s="82">
        <v>44062.0</v>
      </c>
      <c r="F331" s="80">
        <v>61.0</v>
      </c>
      <c r="G331" s="80" t="s">
        <v>63</v>
      </c>
      <c r="I331" s="80" t="s">
        <v>63</v>
      </c>
      <c r="J331" s="80">
        <v>100.0</v>
      </c>
      <c r="K331" s="80">
        <v>0.840336134453781</v>
      </c>
      <c r="L331" s="80" t="s">
        <v>102</v>
      </c>
    </row>
    <row r="332">
      <c r="A332" s="80" t="s">
        <v>467</v>
      </c>
      <c r="B332" s="81" t="str">
        <f t="shared" si="16"/>
        <v>Ca HK</v>
      </c>
      <c r="C332" s="80" t="s">
        <v>470</v>
      </c>
      <c r="D332" s="81" t="str">
        <f>HYPERLINK("https://youtube.com/watch?v=Ui_OQaWWY8k", "【手語】真的嚴重了")</f>
        <v>【手語】真的嚴重了</v>
      </c>
      <c r="E332" s="82">
        <v>44047.0</v>
      </c>
      <c r="F332" s="80">
        <v>66.0</v>
      </c>
      <c r="G332" s="80" t="s">
        <v>63</v>
      </c>
      <c r="I332" s="80" t="s">
        <v>63</v>
      </c>
      <c r="J332" s="80">
        <v>110.0</v>
      </c>
      <c r="K332" s="80">
        <v>0.982142857142857</v>
      </c>
      <c r="L332" s="80" t="s">
        <v>102</v>
      </c>
    </row>
    <row r="333">
      <c r="A333" s="80" t="s">
        <v>467</v>
      </c>
      <c r="B333" s="81" t="str">
        <f t="shared" si="16"/>
        <v>Ca HK</v>
      </c>
      <c r="C333" s="80" t="s">
        <v>471</v>
      </c>
      <c r="D333" s="81" t="str">
        <f>HYPERLINK("https://youtube.com/watch?v=Pqy8Jkmig9A", "【手語】荃灣不是垃圾站")</f>
        <v>【手語】荃灣不是垃圾站</v>
      </c>
      <c r="E333" s="82">
        <v>43560.0</v>
      </c>
      <c r="F333" s="80">
        <v>122.0</v>
      </c>
      <c r="G333" s="80" t="s">
        <v>63</v>
      </c>
      <c r="I333" s="80" t="s">
        <v>63</v>
      </c>
      <c r="J333" s="80">
        <v>124.0</v>
      </c>
      <c r="K333" s="80">
        <v>0.96875</v>
      </c>
      <c r="L333" s="80" t="s">
        <v>102</v>
      </c>
    </row>
    <row r="334">
      <c r="A334" s="80" t="s">
        <v>467</v>
      </c>
      <c r="B334" s="81" t="str">
        <f t="shared" si="16"/>
        <v>Ca HK</v>
      </c>
      <c r="C334" s="80" t="s">
        <v>472</v>
      </c>
      <c r="D334" s="81" t="str">
        <f>HYPERLINK("https://youtube.com/watch?v=7VLbIdPz2Y8", "【手語】步行籌款")</f>
        <v>【手語】步行籌款</v>
      </c>
      <c r="E334" s="82">
        <v>43526.0</v>
      </c>
      <c r="F334" s="80">
        <v>54.0</v>
      </c>
      <c r="G334" s="80" t="s">
        <v>63</v>
      </c>
      <c r="I334" s="80" t="s">
        <v>63</v>
      </c>
      <c r="J334" s="80">
        <v>86.0</v>
      </c>
      <c r="K334" s="80">
        <v>0.977272727272727</v>
      </c>
      <c r="L334" s="80" t="s">
        <v>102</v>
      </c>
    </row>
    <row r="335">
      <c r="A335" s="80" t="s">
        <v>467</v>
      </c>
      <c r="B335" s="81" t="str">
        <f t="shared" si="16"/>
        <v>Ca HK</v>
      </c>
      <c r="C335" s="80" t="s">
        <v>473</v>
      </c>
      <c r="D335" s="81" t="str">
        <f>HYPERLINK("https://youtube.com/watch?v=jLncmnLxw4g", "【手語】恭祝大家豬年快樂")</f>
        <v>【手語】恭祝大家豬年快樂</v>
      </c>
      <c r="E335" s="82">
        <v>43501.0</v>
      </c>
      <c r="F335" s="80">
        <v>62.0</v>
      </c>
      <c r="G335" s="80" t="s">
        <v>63</v>
      </c>
      <c r="I335" s="80" t="s">
        <v>63</v>
      </c>
      <c r="J335" s="80">
        <v>114.0</v>
      </c>
      <c r="K335" s="80">
        <v>0.982758620689655</v>
      </c>
      <c r="L335" s="80" t="s">
        <v>102</v>
      </c>
    </row>
    <row r="336">
      <c r="A336" s="80" t="s">
        <v>467</v>
      </c>
      <c r="B336" s="81" t="str">
        <f t="shared" si="16"/>
        <v>Ca HK</v>
      </c>
      <c r="C336" s="80" t="s">
        <v>474</v>
      </c>
      <c r="D336" s="81" t="str">
        <f>HYPERLINK("https://youtube.com/watch?v=CEAXi6ahVVs", "【手語】聖誕快樂")</f>
        <v>【手語】聖誕快樂</v>
      </c>
      <c r="E336" s="82">
        <v>43457.0</v>
      </c>
      <c r="F336" s="80">
        <v>49.0</v>
      </c>
      <c r="G336" s="80" t="s">
        <v>63</v>
      </c>
      <c r="I336" s="80" t="s">
        <v>63</v>
      </c>
      <c r="J336" s="80">
        <v>83.0</v>
      </c>
      <c r="K336" s="80">
        <v>0.976470588235294</v>
      </c>
      <c r="L336" s="80" t="s">
        <v>64</v>
      </c>
    </row>
    <row r="337">
      <c r="A337" s="80" t="s">
        <v>467</v>
      </c>
      <c r="B337" s="81" t="str">
        <f t="shared" si="16"/>
        <v>Ca HK</v>
      </c>
      <c r="C337" s="80" t="s">
        <v>475</v>
      </c>
      <c r="D337" s="81" t="str">
        <f>HYPERLINK("https://youtube.com/watch?v=mj6yDPrQPLs", "【手語】聾有聾福")</f>
        <v>【手語】聾有聾福</v>
      </c>
      <c r="E337" s="82">
        <v>43424.0</v>
      </c>
      <c r="F337" s="80">
        <v>80.0</v>
      </c>
      <c r="G337" s="80" t="s">
        <v>63</v>
      </c>
      <c r="I337" s="80" t="s">
        <v>63</v>
      </c>
      <c r="J337" s="80">
        <v>153.0</v>
      </c>
      <c r="K337" s="80">
        <v>0.987096774193548</v>
      </c>
      <c r="L337" s="80" t="s">
        <v>64</v>
      </c>
    </row>
    <row r="338">
      <c r="A338" s="80" t="s">
        <v>467</v>
      </c>
      <c r="B338" s="81" t="str">
        <f t="shared" si="16"/>
        <v>Ca HK</v>
      </c>
      <c r="C338" s="80" t="s">
        <v>476</v>
      </c>
      <c r="D338" s="81" t="str">
        <f>HYPERLINK("https://youtube.com/watch?v=YS3dZ3ljU0U", "【手語】生日禮物")</f>
        <v>【手語】生日禮物</v>
      </c>
      <c r="E338" s="82">
        <v>43391.0</v>
      </c>
      <c r="F338" s="80">
        <v>126.0</v>
      </c>
      <c r="G338" s="80" t="s">
        <v>63</v>
      </c>
      <c r="I338" s="80" t="s">
        <v>63</v>
      </c>
      <c r="J338" s="80">
        <v>140.0</v>
      </c>
      <c r="K338" s="80">
        <v>0.933333333333333</v>
      </c>
      <c r="L338" s="80" t="s">
        <v>64</v>
      </c>
    </row>
    <row r="339">
      <c r="A339" s="80" t="s">
        <v>467</v>
      </c>
      <c r="B339" s="81" t="str">
        <f t="shared" si="16"/>
        <v>Ca HK</v>
      </c>
      <c r="C339" s="80" t="s">
        <v>477</v>
      </c>
      <c r="D339" s="81" t="str">
        <f>HYPERLINK("https://youtube.com/watch?v=JqglfSVDRaY", "【手語】奴才你幾多歲？")</f>
        <v>【手語】奴才你幾多歲？</v>
      </c>
      <c r="E339" s="82">
        <v>43360.0</v>
      </c>
      <c r="F339" s="80">
        <v>63.0</v>
      </c>
      <c r="G339" s="80" t="s">
        <v>63</v>
      </c>
      <c r="I339" s="80" t="s">
        <v>63</v>
      </c>
      <c r="J339" s="80">
        <v>117.0</v>
      </c>
      <c r="K339" s="80">
        <v>0.983193277310924</v>
      </c>
      <c r="L339" s="80" t="s">
        <v>64</v>
      </c>
    </row>
    <row r="340">
      <c r="A340" s="80" t="s">
        <v>467</v>
      </c>
      <c r="B340" s="81" t="str">
        <f t="shared" si="16"/>
        <v>Ca HK</v>
      </c>
      <c r="C340" s="80" t="s">
        <v>478</v>
      </c>
      <c r="D340" s="81" t="str">
        <f>HYPERLINK("https://youtube.com/watch?v=7nyur45pt1I", "【手語】學海無涯")</f>
        <v>【手語】學海無涯</v>
      </c>
      <c r="E340" s="82">
        <v>43330.0</v>
      </c>
      <c r="F340" s="80">
        <v>98.0</v>
      </c>
      <c r="G340" s="80" t="s">
        <v>63</v>
      </c>
      <c r="I340" s="80" t="s">
        <v>63</v>
      </c>
      <c r="J340" s="80">
        <v>166.0</v>
      </c>
      <c r="K340" s="80">
        <v>0.851282051282051</v>
      </c>
      <c r="L340" s="80" t="s">
        <v>64</v>
      </c>
    </row>
    <row r="341">
      <c r="A341" s="80" t="s">
        <v>467</v>
      </c>
      <c r="B341" s="81" t="str">
        <f t="shared" si="16"/>
        <v>Ca HK</v>
      </c>
      <c r="C341" s="80" t="s">
        <v>479</v>
      </c>
      <c r="D341" s="81" t="str">
        <f>HYPERLINK("https://youtube.com/watch?v=8uXLDz84bd4", "【手語】險過剃頭")</f>
        <v>【手語】險過剃頭</v>
      </c>
      <c r="E341" s="82">
        <v>43318.0</v>
      </c>
      <c r="F341" s="80">
        <v>80.0</v>
      </c>
      <c r="G341" s="80" t="s">
        <v>63</v>
      </c>
      <c r="I341" s="80" t="s">
        <v>63</v>
      </c>
      <c r="J341" s="80">
        <v>138.0</v>
      </c>
      <c r="K341" s="80">
        <v>0.873417721518987</v>
      </c>
      <c r="L341" s="80" t="s">
        <v>64</v>
      </c>
    </row>
    <row r="342">
      <c r="A342" s="80" t="s">
        <v>467</v>
      </c>
      <c r="B342" s="81" t="str">
        <f t="shared" si="16"/>
        <v>Ca HK</v>
      </c>
      <c r="C342" s="80" t="s">
        <v>480</v>
      </c>
      <c r="D342" s="81" t="str">
        <f>HYPERLINK("https://youtube.com/watch?v=1NRObANJ2lw", "【手語】誰是捉蟲高手")</f>
        <v>【手語】誰是捉蟲高手</v>
      </c>
      <c r="E342" s="82">
        <v>43301.0</v>
      </c>
      <c r="F342" s="80">
        <v>66.0</v>
      </c>
      <c r="G342" s="80" t="s">
        <v>63</v>
      </c>
      <c r="I342" s="80" t="s">
        <v>63</v>
      </c>
      <c r="J342" s="80">
        <v>105.0</v>
      </c>
      <c r="K342" s="80">
        <v>0.875</v>
      </c>
      <c r="L342" s="80" t="s">
        <v>64</v>
      </c>
    </row>
    <row r="343">
      <c r="A343" s="80" t="s">
        <v>467</v>
      </c>
      <c r="B343" s="81" t="str">
        <f t="shared" si="16"/>
        <v>Ca HK</v>
      </c>
      <c r="C343" s="80" t="s">
        <v>481</v>
      </c>
      <c r="D343" s="81" t="str">
        <f>HYPERLINK("https://youtube.com/watch?v=HscU0e7vELM", "【手語】旅行")</f>
        <v>【手語】旅行</v>
      </c>
      <c r="E343" s="82">
        <v>43275.0</v>
      </c>
      <c r="F343" s="80">
        <v>80.0</v>
      </c>
      <c r="G343" s="80" t="s">
        <v>63</v>
      </c>
      <c r="I343" s="80" t="s">
        <v>63</v>
      </c>
      <c r="J343" s="80">
        <v>128.0</v>
      </c>
      <c r="K343" s="80">
        <v>0.723163841807909</v>
      </c>
      <c r="L343" s="80" t="s">
        <v>64</v>
      </c>
    </row>
    <row r="344">
      <c r="A344" s="80" t="s">
        <v>467</v>
      </c>
      <c r="B344" s="81" t="str">
        <f t="shared" si="16"/>
        <v>Ca HK</v>
      </c>
      <c r="C344" s="80" t="s">
        <v>482</v>
      </c>
      <c r="D344" s="81" t="str">
        <f>HYPERLINK("https://youtube.com/watch?v=pmArHoPE-jY", "【手語】曬爆假期")</f>
        <v>【手語】曬爆假期</v>
      </c>
      <c r="E344" s="82">
        <v>43245.0</v>
      </c>
      <c r="F344" s="80">
        <v>94.0</v>
      </c>
      <c r="G344" s="80" t="s">
        <v>63</v>
      </c>
      <c r="I344" s="80" t="s">
        <v>63</v>
      </c>
      <c r="J344" s="80">
        <v>116.0</v>
      </c>
      <c r="K344" s="80">
        <v>0.913385826771653</v>
      </c>
      <c r="L344" s="80" t="s">
        <v>64</v>
      </c>
    </row>
    <row r="345">
      <c r="A345" s="80" t="s">
        <v>467</v>
      </c>
      <c r="B345" s="81" t="str">
        <f t="shared" si="16"/>
        <v>Ca HK</v>
      </c>
      <c r="C345" s="80" t="s">
        <v>483</v>
      </c>
      <c r="D345" s="81" t="str">
        <f>HYPERLINK("https://youtube.com/watch?v=muBLZCI5jwQ", "【手語】良心 Coffee House")</f>
        <v>【手語】良心 Coffee House</v>
      </c>
      <c r="E345" s="82">
        <v>43232.0</v>
      </c>
      <c r="F345" s="80">
        <v>99.0</v>
      </c>
      <c r="G345" s="80" t="s">
        <v>63</v>
      </c>
      <c r="I345" s="80" t="s">
        <v>63</v>
      </c>
      <c r="J345" s="80">
        <v>147.0</v>
      </c>
      <c r="K345" s="80">
        <v>0.930379746835443</v>
      </c>
      <c r="L345" s="80" t="s">
        <v>64</v>
      </c>
    </row>
    <row r="346">
      <c r="A346" s="80" t="s">
        <v>467</v>
      </c>
      <c r="B346" s="81" t="str">
        <f t="shared" si="16"/>
        <v>Ca HK</v>
      </c>
      <c r="C346" s="80" t="s">
        <v>484</v>
      </c>
      <c r="D346" s="81" t="str">
        <f>HYPERLINK("https://youtube.com/watch?v=fU4GSavJdrA", "【手語】安靜")</f>
        <v>【手語】安靜</v>
      </c>
      <c r="E346" s="82">
        <v>43219.0</v>
      </c>
      <c r="F346" s="80">
        <v>89.0</v>
      </c>
      <c r="G346" s="80" t="s">
        <v>63</v>
      </c>
      <c r="I346" s="80" t="s">
        <v>63</v>
      </c>
      <c r="J346" s="80">
        <v>135.0</v>
      </c>
      <c r="K346" s="80">
        <v>0.758426966292134</v>
      </c>
      <c r="L346" s="80" t="s">
        <v>64</v>
      </c>
    </row>
    <row r="347">
      <c r="A347" s="80" t="s">
        <v>467</v>
      </c>
      <c r="B347" s="81" t="str">
        <f t="shared" si="16"/>
        <v>Ca HK</v>
      </c>
      <c r="C347" s="80" t="s">
        <v>485</v>
      </c>
      <c r="D347" s="81" t="str">
        <f>HYPERLINK("https://youtube.com/watch?v=Cobsu03p5vk", "【手語】手語好易學？！")</f>
        <v>【手語】手語好易學？！</v>
      </c>
      <c r="E347" s="82">
        <v>43212.0</v>
      </c>
      <c r="F347" s="80">
        <v>121.0</v>
      </c>
      <c r="G347" s="80" t="s">
        <v>63</v>
      </c>
      <c r="I347" s="80" t="s">
        <v>63</v>
      </c>
      <c r="J347" s="80">
        <v>194.0</v>
      </c>
      <c r="K347" s="80">
        <v>0.850877192982456</v>
      </c>
      <c r="L347" s="80" t="s">
        <v>64</v>
      </c>
    </row>
    <row r="348">
      <c r="A348" s="80" t="s">
        <v>467</v>
      </c>
      <c r="B348" s="81" t="str">
        <f t="shared" si="16"/>
        <v>Ca HK</v>
      </c>
      <c r="C348" s="80" t="s">
        <v>486</v>
      </c>
      <c r="D348" s="81" t="str">
        <f>HYPERLINK("https://youtube.com/watch?v=3T9YKA3270Y", "【手語】手語四級考試成績…")</f>
        <v>【手語】手語四級考試成績…</v>
      </c>
      <c r="E348" s="82">
        <v>43205.0</v>
      </c>
      <c r="F348" s="80">
        <v>109.0</v>
      </c>
      <c r="G348" s="80" t="s">
        <v>63</v>
      </c>
      <c r="I348" s="80" t="s">
        <v>63</v>
      </c>
      <c r="J348" s="80">
        <v>162.0</v>
      </c>
      <c r="K348" s="80">
        <v>0.915254237288135</v>
      </c>
      <c r="L348" s="80" t="s">
        <v>64</v>
      </c>
    </row>
    <row r="349">
      <c r="A349" s="80" t="s">
        <v>467</v>
      </c>
      <c r="B349" s="81" t="str">
        <f t="shared" si="16"/>
        <v>Ca HK</v>
      </c>
      <c r="C349" s="80" t="s">
        <v>487</v>
      </c>
      <c r="D349" s="81" t="str">
        <f>HYPERLINK("https://youtube.com/watch?v=1YTQL96dKNM", "【手語】有貓到訪")</f>
        <v>【手語】有貓到訪</v>
      </c>
      <c r="E349" s="82">
        <v>43197.0</v>
      </c>
      <c r="F349" s="80">
        <v>90.0</v>
      </c>
      <c r="G349" s="80" t="s">
        <v>63</v>
      </c>
      <c r="I349" s="80" t="s">
        <v>63</v>
      </c>
      <c r="J349" s="80">
        <v>130.0</v>
      </c>
      <c r="K349" s="80">
        <v>0.890410958904109</v>
      </c>
      <c r="L349" s="80" t="s">
        <v>64</v>
      </c>
    </row>
    <row r="350">
      <c r="A350" s="80" t="s">
        <v>467</v>
      </c>
      <c r="B350" s="81" t="str">
        <f t="shared" si="16"/>
        <v>Ca HK</v>
      </c>
      <c r="C350" s="80" t="s">
        <v>488</v>
      </c>
      <c r="D350" s="81" t="str">
        <f>HYPERLINK("https://youtube.com/watch?v=-fkxwIjFLdo", "【手語】Level 4 升級準備中")</f>
        <v>【手語】Level 4 升級準備中</v>
      </c>
      <c r="E350" s="82">
        <v>43180.0</v>
      </c>
      <c r="F350" s="80">
        <v>156.0</v>
      </c>
      <c r="G350" s="80" t="s">
        <v>63</v>
      </c>
      <c r="I350" s="80" t="s">
        <v>63</v>
      </c>
      <c r="J350" s="80">
        <v>228.0</v>
      </c>
      <c r="K350" s="80">
        <v>0.77815699658703</v>
      </c>
      <c r="L350" s="80" t="s">
        <v>64</v>
      </c>
    </row>
    <row r="351">
      <c r="A351" s="80" t="s">
        <v>467</v>
      </c>
      <c r="B351" s="81" t="str">
        <f t="shared" si="16"/>
        <v>Ca HK</v>
      </c>
      <c r="C351" s="80" t="s">
        <v>489</v>
      </c>
      <c r="D351" s="81" t="str">
        <f>HYPERLINK("https://youtube.com/watch?v=Sr9shihxQIs", "【手語】天下萬務都有定時")</f>
        <v>【手語】天下萬務都有定時</v>
      </c>
      <c r="E351" s="82">
        <v>43169.0</v>
      </c>
      <c r="F351" s="80">
        <v>80.0</v>
      </c>
      <c r="G351" s="80" t="s">
        <v>63</v>
      </c>
      <c r="I351" s="80" t="s">
        <v>63</v>
      </c>
      <c r="J351" s="80">
        <v>115.0</v>
      </c>
      <c r="K351" s="80">
        <v>0.982905982905982</v>
      </c>
      <c r="L351" s="80" t="s">
        <v>64</v>
      </c>
    </row>
    <row r="352">
      <c r="A352" s="80" t="s">
        <v>467</v>
      </c>
      <c r="B352" s="81" t="str">
        <f t="shared" si="16"/>
        <v>Ca HK</v>
      </c>
      <c r="C352" s="80" t="s">
        <v>490</v>
      </c>
      <c r="D352" s="81" t="str">
        <f>HYPERLINK("https://youtube.com/watch?v=loK_pX72bOc", "【手語】話咁快 Level 4")</f>
        <v>【手語】話咁快 Level 4</v>
      </c>
      <c r="E352" s="82">
        <v>43166.0</v>
      </c>
      <c r="F352" s="80">
        <v>146.0</v>
      </c>
      <c r="G352" s="80" t="s">
        <v>63</v>
      </c>
      <c r="I352" s="80" t="s">
        <v>63</v>
      </c>
      <c r="J352" s="80">
        <v>211.0</v>
      </c>
      <c r="K352" s="80">
        <v>0.82421875</v>
      </c>
      <c r="L352" s="80" t="s">
        <v>64</v>
      </c>
    </row>
    <row r="353">
      <c r="A353" s="80" t="s">
        <v>467</v>
      </c>
      <c r="B353" s="81" t="str">
        <f t="shared" si="16"/>
        <v>Ca HK</v>
      </c>
      <c r="C353" s="80" t="s">
        <v>491</v>
      </c>
      <c r="D353" s="81" t="str">
        <f>HYPERLINK("https://youtube.com/watch?v=YN-Te33oaOc", "【手語】歲晚活動巡禮")</f>
        <v>【手語】歲晚活動巡禮</v>
      </c>
      <c r="E353" s="82">
        <v>43146.0</v>
      </c>
      <c r="F353" s="80">
        <v>115.0</v>
      </c>
      <c r="G353" s="80" t="s">
        <v>63</v>
      </c>
      <c r="I353" s="80" t="s">
        <v>63</v>
      </c>
      <c r="J353" s="80">
        <v>176.0</v>
      </c>
      <c r="K353" s="80">
        <v>0.862745098039215</v>
      </c>
      <c r="L353" s="80" t="s">
        <v>64</v>
      </c>
    </row>
    <row r="354">
      <c r="A354" s="80" t="s">
        <v>467</v>
      </c>
      <c r="B354" s="81" t="str">
        <f t="shared" si="16"/>
        <v>Ca HK</v>
      </c>
      <c r="C354" s="80" t="s">
        <v>492</v>
      </c>
      <c r="D354" s="81" t="str">
        <f>HYPERLINK("https://youtube.com/watch?v=edF5axLbk7U", "【手語】寒冷X儲脂肪")</f>
        <v>【手語】寒冷X儲脂肪</v>
      </c>
      <c r="E354" s="82">
        <v>43138.0</v>
      </c>
      <c r="F354" s="80">
        <v>105.0</v>
      </c>
      <c r="G354" s="80" t="s">
        <v>63</v>
      </c>
      <c r="I354" s="80" t="s">
        <v>63</v>
      </c>
      <c r="J354" s="80">
        <v>138.0</v>
      </c>
      <c r="K354" s="80">
        <v>0.811764705882352</v>
      </c>
      <c r="L354" s="80" t="s">
        <v>64</v>
      </c>
    </row>
    <row r="355">
      <c r="A355" s="80" t="s">
        <v>467</v>
      </c>
      <c r="B355" s="81" t="str">
        <f t="shared" si="16"/>
        <v>Ca HK</v>
      </c>
      <c r="C355" s="80" t="s">
        <v>493</v>
      </c>
      <c r="D355" s="81" t="str">
        <f>HYPERLINK("https://youtube.com/watch?v=vM-7UHH7xAo", "【手語】生活輕談")</f>
        <v>【手語】生活輕談</v>
      </c>
      <c r="E355" s="82">
        <v>43128.0</v>
      </c>
      <c r="F355" s="80">
        <v>90.0</v>
      </c>
      <c r="G355" s="80" t="s">
        <v>63</v>
      </c>
      <c r="I355" s="80" t="s">
        <v>63</v>
      </c>
      <c r="J355" s="80">
        <v>177.0</v>
      </c>
      <c r="K355" s="80">
        <v>0.903061224489795</v>
      </c>
      <c r="L355" s="80" t="s">
        <v>64</v>
      </c>
    </row>
    <row r="356">
      <c r="A356" s="80" t="s">
        <v>467</v>
      </c>
      <c r="B356" s="81" t="str">
        <f t="shared" si="16"/>
        <v>Ca HK</v>
      </c>
      <c r="C356" s="80" t="s">
        <v>494</v>
      </c>
      <c r="D356" s="81" t="str">
        <f>HYPERLINK("https://youtube.com/watch?v=RQdSXnEL1SI", "【手語】陪少爺兵去行山")</f>
        <v>【手語】陪少爺兵去行山</v>
      </c>
      <c r="E356" s="82">
        <v>43120.0</v>
      </c>
      <c r="F356" s="80">
        <v>114.0</v>
      </c>
      <c r="G356" s="80" t="s">
        <v>63</v>
      </c>
      <c r="I356" s="80" t="s">
        <v>63</v>
      </c>
      <c r="J356" s="80">
        <v>187.0</v>
      </c>
      <c r="K356" s="80">
        <v>0.912195121951219</v>
      </c>
      <c r="L356" s="80" t="s">
        <v>64</v>
      </c>
    </row>
    <row r="357">
      <c r="A357" s="80" t="s">
        <v>467</v>
      </c>
      <c r="B357" s="81" t="str">
        <f t="shared" si="16"/>
        <v>Ca HK</v>
      </c>
      <c r="C357" s="80" t="s">
        <v>495</v>
      </c>
      <c r="D357" s="81" t="str">
        <f>HYPERLINK("https://youtube.com/watch?v=3u8WdpSvn2Q", "【手語】2018年 新年大計")</f>
        <v>【手語】2018年 新年大計</v>
      </c>
      <c r="E357" s="82">
        <v>43116.0</v>
      </c>
      <c r="F357" s="80">
        <v>58.0</v>
      </c>
      <c r="G357" s="80" t="s">
        <v>63</v>
      </c>
      <c r="I357" s="80" t="s">
        <v>63</v>
      </c>
      <c r="J357" s="80">
        <v>120.0</v>
      </c>
      <c r="K357" s="80">
        <v>0.983606557377049</v>
      </c>
      <c r="L357" s="80" t="s">
        <v>64</v>
      </c>
    </row>
    <row r="358">
      <c r="A358" s="80" t="s">
        <v>467</v>
      </c>
      <c r="B358" s="81" t="str">
        <f t="shared" si="16"/>
        <v>Ca HK</v>
      </c>
      <c r="C358" s="80" t="s">
        <v>496</v>
      </c>
      <c r="D358" s="81" t="str">
        <f>HYPERLINK("https://youtube.com/watch?v=bsMfTBa3nVk", "【手語】My Favours、My Pets")</f>
        <v>【手語】My Favours、My Pets</v>
      </c>
      <c r="E358" s="82">
        <v>43106.0</v>
      </c>
      <c r="F358" s="80">
        <v>87.0</v>
      </c>
      <c r="G358" s="80" t="s">
        <v>63</v>
      </c>
      <c r="I358" s="80" t="s">
        <v>63</v>
      </c>
      <c r="J358" s="80">
        <v>113.0</v>
      </c>
      <c r="K358" s="80">
        <v>0.982608695652173</v>
      </c>
      <c r="L358" s="80" t="s">
        <v>64</v>
      </c>
    </row>
    <row r="359">
      <c r="A359" s="80" t="s">
        <v>467</v>
      </c>
      <c r="B359" s="81" t="str">
        <f t="shared" si="16"/>
        <v>Ca HK</v>
      </c>
      <c r="C359" s="80" t="s">
        <v>497</v>
      </c>
      <c r="D359" s="81" t="str">
        <f>HYPERLINK("https://youtube.com/watch?v=gOv5xU_YBmE", "【手語】2017 聖誕節")</f>
        <v>【手語】2017 聖誕節</v>
      </c>
      <c r="E359" s="82">
        <v>43095.0</v>
      </c>
      <c r="F359" s="80">
        <v>139.0</v>
      </c>
      <c r="G359" s="80" t="s">
        <v>63</v>
      </c>
      <c r="I359" s="80" t="s">
        <v>63</v>
      </c>
      <c r="J359" s="80">
        <v>195.0</v>
      </c>
      <c r="K359" s="80">
        <v>0.890410958904109</v>
      </c>
      <c r="L359" s="80" t="s">
        <v>64</v>
      </c>
    </row>
    <row r="360">
      <c r="A360" s="80" t="s">
        <v>467</v>
      </c>
      <c r="B360" s="81" t="str">
        <f t="shared" si="16"/>
        <v>Ca HK</v>
      </c>
      <c r="C360" s="80" t="s">
        <v>498</v>
      </c>
      <c r="D360" s="81" t="str">
        <f>HYPERLINK("https://youtube.com/watch?v=WoEI6rc4q8I", "【手語】點解學手語")</f>
        <v>【手語】點解學手語</v>
      </c>
      <c r="E360" s="82">
        <v>43087.0</v>
      </c>
      <c r="F360" s="80">
        <v>39.0</v>
      </c>
      <c r="G360" s="80" t="s">
        <v>63</v>
      </c>
      <c r="I360" s="80" t="s">
        <v>63</v>
      </c>
      <c r="J360" s="80">
        <v>79.0</v>
      </c>
      <c r="K360" s="80">
        <v>0.975308641975308</v>
      </c>
      <c r="L360" s="80" t="s">
        <v>64</v>
      </c>
    </row>
    <row r="361">
      <c r="A361" s="80" t="s">
        <v>467</v>
      </c>
      <c r="B361" s="81" t="str">
        <f t="shared" si="16"/>
        <v>Ca HK</v>
      </c>
      <c r="C361" s="80" t="s">
        <v>499</v>
      </c>
      <c r="D361" s="81" t="str">
        <f>HYPERLINK("https://youtube.com/watch?v=UL8ZNID_Nb8", "【手語】工作")</f>
        <v>【手語】工作</v>
      </c>
      <c r="E361" s="82">
        <v>43082.0</v>
      </c>
      <c r="F361" s="80">
        <v>47.0</v>
      </c>
      <c r="G361" s="80" t="s">
        <v>63</v>
      </c>
      <c r="I361" s="80" t="s">
        <v>63</v>
      </c>
      <c r="J361" s="80">
        <v>76.0</v>
      </c>
      <c r="K361" s="80">
        <v>1.0</v>
      </c>
      <c r="L361" s="80" t="s">
        <v>64</v>
      </c>
    </row>
    <row r="362">
      <c r="A362" s="80" t="s">
        <v>467</v>
      </c>
      <c r="B362" s="81" t="str">
        <f t="shared" si="16"/>
        <v>Ca HK</v>
      </c>
      <c r="C362" s="80" t="s">
        <v>500</v>
      </c>
      <c r="D362" s="81" t="str">
        <f>HYPERLINK("https://youtube.com/watch?v=PNeJ8ePedv0", "【手語】 Level 2 第一課 之後")</f>
        <v>【手語】 Level 2 第一課 之後</v>
      </c>
      <c r="E362" s="82">
        <v>43082.0</v>
      </c>
      <c r="F362" s="80">
        <v>17.0</v>
      </c>
      <c r="G362" s="80" t="s">
        <v>63</v>
      </c>
      <c r="I362" s="80" t="s">
        <v>63</v>
      </c>
      <c r="J362" s="80">
        <v>36.0</v>
      </c>
      <c r="K362" s="80">
        <v>0.878048780487804</v>
      </c>
      <c r="L362" s="80" t="s">
        <v>64</v>
      </c>
    </row>
    <row r="363">
      <c r="A363" s="80" t="s">
        <v>501</v>
      </c>
      <c r="B363" s="81" t="str">
        <f t="shared" ref="B363:B386" si="17">HYPERLINK("https://www.youtube.com/channel/UCYzXNN_GZMEbcTGx7ZBA_PA", "Miss K")</f>
        <v>Miss K</v>
      </c>
      <c r="C363" s="80" t="s">
        <v>502</v>
      </c>
      <c r="D363" s="81" t="str">
        <f>HYPERLINK("https://youtube.com/watch?v=Rs5BJ0b8dZM", "廣東話ASMR | 家姐喺你眼瞓時視訊同你講生日快樂")</f>
        <v>廣東話ASMR | 家姐喺你眼瞓時視訊同你講生日快樂</v>
      </c>
      <c r="E363" s="82">
        <v>44309.0</v>
      </c>
      <c r="F363" s="80">
        <v>649.0</v>
      </c>
      <c r="G363" s="80" t="s">
        <v>63</v>
      </c>
      <c r="I363" s="80" t="s">
        <v>63</v>
      </c>
      <c r="J363" s="80">
        <v>720.0</v>
      </c>
      <c r="K363" s="80">
        <v>0.943643512450851</v>
      </c>
      <c r="L363" s="80" t="s">
        <v>102</v>
      </c>
    </row>
    <row r="364">
      <c r="A364" s="80" t="s">
        <v>501</v>
      </c>
      <c r="B364" s="81" t="str">
        <f t="shared" si="17"/>
        <v>Miss K</v>
      </c>
      <c r="C364" s="80" t="s">
        <v>503</v>
      </c>
      <c r="D364" s="81" t="str">
        <f>HYPERLINK("https://youtube.com/watch?v=6lW-suszZQk", "廣東話ASMR | 爆笑Asmr With Friends系列 | 互相催眠")</f>
        <v>廣東話ASMR | 爆笑Asmr With Friends系列 | 互相催眠</v>
      </c>
      <c r="E364" s="82">
        <v>44298.0</v>
      </c>
      <c r="F364" s="80">
        <v>1157.0</v>
      </c>
      <c r="G364" s="80" t="s">
        <v>63</v>
      </c>
      <c r="I364" s="80" t="s">
        <v>63</v>
      </c>
      <c r="J364" s="80">
        <v>60.0</v>
      </c>
      <c r="K364" s="80">
        <v>0.952380952380952</v>
      </c>
      <c r="L364" s="80" t="s">
        <v>102</v>
      </c>
    </row>
    <row r="365">
      <c r="A365" s="80" t="s">
        <v>501</v>
      </c>
      <c r="B365" s="81" t="str">
        <f t="shared" si="17"/>
        <v>Miss K</v>
      </c>
      <c r="C365" s="80" t="s">
        <v>504</v>
      </c>
      <c r="D365" s="81" t="str">
        <f>HYPERLINK("https://youtube.com/watch?v=Mi5A6ipz1fM", "[SUB]廣東話ASMR | 理髮店飛髮鋪 BARBER SHOP (剪髮/剃鬚/剷髮）")</f>
        <v>[SUB]廣東話ASMR | 理髮店飛髮鋪 BARBER SHOP (剪髮/剃鬚/剷髮）</v>
      </c>
      <c r="E365" s="82">
        <v>44268.0</v>
      </c>
      <c r="F365" s="80">
        <v>1009.0</v>
      </c>
      <c r="G365" s="80" t="s">
        <v>63</v>
      </c>
      <c r="I365" s="80" t="s">
        <v>63</v>
      </c>
      <c r="J365" s="80">
        <v>453.0</v>
      </c>
      <c r="K365" s="80">
        <v>0.955696202531645</v>
      </c>
      <c r="L365" s="80" t="s">
        <v>287</v>
      </c>
    </row>
    <row r="366">
      <c r="A366" s="80" t="s">
        <v>501</v>
      </c>
      <c r="B366" s="81" t="str">
        <f t="shared" si="17"/>
        <v>Miss K</v>
      </c>
      <c r="C366" s="80" t="s">
        <v>505</v>
      </c>
      <c r="D366" s="81" t="str">
        <f>HYPERLINK("https://youtube.com/watch?v=Zw9hJ6102R4", "[SUB]廣東話ASMR | 皮膚科診所 SKIN CLINIC ( Face Touching, Latex Gloves, Cream Application )")</f>
        <v>[SUB]廣東話ASMR | 皮膚科診所 SKIN CLINIC ( Face Touching, Latex Gloves, Cream Application )</v>
      </c>
      <c r="E366" s="82">
        <v>44234.0</v>
      </c>
      <c r="F366" s="80">
        <v>1194.0</v>
      </c>
      <c r="G366" s="80" t="s">
        <v>63</v>
      </c>
      <c r="I366" s="80" t="s">
        <v>63</v>
      </c>
      <c r="J366" s="80">
        <v>1386.0</v>
      </c>
      <c r="K366" s="80">
        <v>0.981586402266288</v>
      </c>
      <c r="L366" s="80" t="s">
        <v>287</v>
      </c>
    </row>
    <row r="367">
      <c r="A367" s="80" t="s">
        <v>501</v>
      </c>
      <c r="B367" s="81" t="str">
        <f t="shared" si="17"/>
        <v>Miss K</v>
      </c>
      <c r="C367" s="80" t="s">
        <v>506</v>
      </c>
      <c r="D367" s="81" t="str">
        <f>HYPERLINK("https://youtube.com/watch?v=6kAjdVKza9U", "[SUB]廣東話ASMR | SIS CALMS YOU DOWN家姐陪伴唔開心嘅你 (Personal Attention, Tissue Paper, Writing)")</f>
        <v>[SUB]廣東話ASMR | SIS CALMS YOU DOWN家姐陪伴唔開心嘅你 (Personal Attention, Tissue Paper, Writing)</v>
      </c>
      <c r="E367" s="82">
        <v>44218.0</v>
      </c>
      <c r="F367" s="80">
        <v>901.0</v>
      </c>
      <c r="G367" s="80" t="s">
        <v>63</v>
      </c>
      <c r="I367" s="80" t="s">
        <v>63</v>
      </c>
      <c r="J367" s="80">
        <v>925.0</v>
      </c>
      <c r="K367" s="80">
        <v>0.973684210526315</v>
      </c>
      <c r="L367" s="80" t="s">
        <v>287</v>
      </c>
    </row>
    <row r="368">
      <c r="A368" s="80" t="s">
        <v>501</v>
      </c>
      <c r="B368" s="81" t="str">
        <f t="shared" si="17"/>
        <v>Miss K</v>
      </c>
      <c r="C368" s="80" t="s">
        <v>507</v>
      </c>
      <c r="D368" s="81" t="str">
        <f>HYPERLINK("https://youtube.com/watch?v=RBMyKfitOCA", "廣東話ASMR | 新年祝福 回音催眠 PART 3 (Echo sktkbk, Mouth Sound, Feather, New Year )")</f>
        <v>廣東話ASMR | 新年祝福 回音催眠 PART 3 (Echo sktkbk, Mouth Sound, Feather, New Year )</v>
      </c>
      <c r="E368" s="82">
        <v>44209.0</v>
      </c>
      <c r="F368" s="80">
        <v>1148.0</v>
      </c>
      <c r="G368" s="80" t="s">
        <v>63</v>
      </c>
      <c r="I368" s="80" t="s">
        <v>63</v>
      </c>
      <c r="J368" s="80">
        <v>201.0</v>
      </c>
      <c r="K368" s="80">
        <v>0.893333333333333</v>
      </c>
      <c r="L368" s="80" t="s">
        <v>287</v>
      </c>
    </row>
    <row r="369">
      <c r="A369" s="80" t="s">
        <v>501</v>
      </c>
      <c r="B369" s="81" t="str">
        <f t="shared" si="17"/>
        <v>Miss K</v>
      </c>
      <c r="C369" s="80" t="s">
        <v>508</v>
      </c>
      <c r="D369" s="81" t="str">
        <f>HYPERLINK("https://youtube.com/watch?v=ils-AfcLMmo", "[SUB]廣東話ASMR | 聖誕節祝福&amp;分享聖誕卡 (Christmas Blessing, Comforting, Christmas Card)")</f>
        <v>[SUB]廣東話ASMR | 聖誕節祝福&amp;分享聖誕卡 (Christmas Blessing, Comforting, Christmas Card)</v>
      </c>
      <c r="E369" s="82">
        <v>44190.0</v>
      </c>
      <c r="F369" s="80">
        <v>900.0</v>
      </c>
      <c r="G369" s="80" t="s">
        <v>63</v>
      </c>
      <c r="I369" s="80" t="s">
        <v>63</v>
      </c>
      <c r="J369" s="80">
        <v>1376.0</v>
      </c>
      <c r="K369" s="80">
        <v>0.970380818053596</v>
      </c>
      <c r="L369" s="80" t="s">
        <v>287</v>
      </c>
    </row>
    <row r="370">
      <c r="A370" s="80" t="s">
        <v>501</v>
      </c>
      <c r="B370" s="81" t="str">
        <f t="shared" si="17"/>
        <v>Miss K</v>
      </c>
      <c r="C370" s="80" t="s">
        <v>509</v>
      </c>
      <c r="D370" s="81" t="str">
        <f>HYPERLINK("https://youtube.com/watch?v=aPIs42Y_HqQ", "[SUB]廣東話ASMR | ACCESSORIES HAUL飾物介紹 (Soft Spoken, Crinkling, Chain Sound)")</f>
        <v>[SUB]廣東話ASMR | ACCESSORIES HAUL飾物介紹 (Soft Spoken, Crinkling, Chain Sound)</v>
      </c>
      <c r="E370" s="82">
        <v>44176.0</v>
      </c>
      <c r="F370" s="80">
        <v>1077.0</v>
      </c>
      <c r="G370" s="80" t="s">
        <v>63</v>
      </c>
      <c r="I370" s="80" t="s">
        <v>63</v>
      </c>
      <c r="J370" s="80">
        <v>2001.0</v>
      </c>
      <c r="K370" s="80">
        <v>0.924249422632794</v>
      </c>
      <c r="L370" s="80" t="s">
        <v>287</v>
      </c>
    </row>
    <row r="371">
      <c r="A371" s="80" t="s">
        <v>501</v>
      </c>
      <c r="B371" s="81" t="str">
        <f t="shared" si="17"/>
        <v>Miss K</v>
      </c>
      <c r="C371" s="80" t="s">
        <v>510</v>
      </c>
      <c r="D371" s="81" t="str">
        <f>HYPERLINK("https://youtube.com/watch?v=79bP0nRC03w", "[SUB]廣東話ASMR | SIS COMFORTS YOU AFTER NIGHTMARE家姐安慰發惡夢的你 (Blanket Sound, Face Touch, Hair Brush)")</f>
        <v>[SUB]廣東話ASMR | SIS COMFORTS YOU AFTER NIGHTMARE家姐安慰發惡夢的你 (Blanket Sound, Face Touch, Hair Brush)</v>
      </c>
      <c r="E371" s="82">
        <v>44168.0</v>
      </c>
      <c r="F371" s="80">
        <v>780.0</v>
      </c>
      <c r="G371" s="80" t="s">
        <v>63</v>
      </c>
      <c r="I371" s="80" t="s">
        <v>63</v>
      </c>
      <c r="J371" s="80">
        <v>635.0</v>
      </c>
      <c r="K371" s="80">
        <v>0.990639625585023</v>
      </c>
      <c r="L371" s="80" t="s">
        <v>287</v>
      </c>
    </row>
    <row r="372">
      <c r="A372" s="80" t="s">
        <v>501</v>
      </c>
      <c r="B372" s="81" t="str">
        <f t="shared" si="17"/>
        <v>Miss K</v>
      </c>
      <c r="C372" s="80" t="s">
        <v>511</v>
      </c>
      <c r="D372" s="81" t="str">
        <f>HYPERLINK("https://youtube.com/watch?v=Nh93mbUvgL0", "[SUB]廣東話ASMR | 催眠診所2複診SLEEP CLINIC ROLEPLAY (Trigger Test, Ear Picking, Lid, Latex Gloves, Humming)")</f>
        <v>[SUB]廣東話ASMR | 催眠診所2複診SLEEP CLINIC ROLEPLAY (Trigger Test, Ear Picking, Lid, Latex Gloves, Humming)</v>
      </c>
      <c r="E372" s="82">
        <v>44131.0</v>
      </c>
      <c r="F372" s="80">
        <v>1011.0</v>
      </c>
      <c r="G372" s="80" t="s">
        <v>63</v>
      </c>
      <c r="I372" s="80" t="s">
        <v>63</v>
      </c>
      <c r="J372" s="80">
        <v>1187.0</v>
      </c>
      <c r="K372" s="80">
        <v>0.834739803094233</v>
      </c>
      <c r="L372" s="80" t="s">
        <v>287</v>
      </c>
    </row>
    <row r="373">
      <c r="A373" s="80" t="s">
        <v>501</v>
      </c>
      <c r="B373" s="81" t="str">
        <f t="shared" si="17"/>
        <v>Miss K</v>
      </c>
      <c r="C373" s="80" t="s">
        <v>512</v>
      </c>
      <c r="D373" s="81" t="str">
        <f>HYPERLINK("https://youtube.com/watch?v=Gi9xivl9-Rs", "[SUB]廣東話ASMR | SIS APPLYING LENS + MAKEUP FOR YOU ROLEPLAY家姐幫你戴con化眼妝 (Lens, Makeup, Soft Spoken)")</f>
        <v>[SUB]廣東話ASMR | SIS APPLYING LENS + MAKEUP FOR YOU ROLEPLAY家姐幫你戴con化眼妝 (Lens, Makeup, Soft Spoken)</v>
      </c>
      <c r="E373" s="82">
        <v>44124.0</v>
      </c>
      <c r="F373" s="80">
        <v>1102.0</v>
      </c>
      <c r="G373" s="80" t="s">
        <v>63</v>
      </c>
      <c r="I373" s="80" t="s">
        <v>63</v>
      </c>
      <c r="J373" s="80">
        <v>1066.0</v>
      </c>
      <c r="K373" s="80">
        <v>0.962962962962962</v>
      </c>
      <c r="L373" s="80" t="s">
        <v>287</v>
      </c>
    </row>
    <row r="374">
      <c r="A374" s="80" t="s">
        <v>501</v>
      </c>
      <c r="B374" s="81" t="str">
        <f t="shared" si="17"/>
        <v>Miss K</v>
      </c>
      <c r="C374" s="80" t="s">
        <v>513</v>
      </c>
      <c r="D374" s="81" t="str">
        <f>HYPERLINK("https://youtube.com/watch?v=N-mqZ1Mv190", "[SUB]廣東話ASMR | CANTONESE LESSON PART2 廣東話教室2 (Soft Spoken, Chalk, Writing On Blackboard)")</f>
        <v>[SUB]廣東話ASMR | CANTONESE LESSON PART2 廣東話教室2 (Soft Spoken, Chalk, Writing On Blackboard)</v>
      </c>
      <c r="E374" s="82">
        <v>44113.0</v>
      </c>
      <c r="F374" s="80">
        <v>849.0</v>
      </c>
      <c r="G374" s="80" t="s">
        <v>63</v>
      </c>
      <c r="I374" s="80" t="s">
        <v>63</v>
      </c>
      <c r="J374" s="80">
        <v>1426.0</v>
      </c>
      <c r="K374" s="80">
        <v>0.995810055865921</v>
      </c>
      <c r="L374" s="80" t="s">
        <v>287</v>
      </c>
    </row>
    <row r="375">
      <c r="A375" s="80" t="s">
        <v>501</v>
      </c>
      <c r="B375" s="81" t="str">
        <f t="shared" si="17"/>
        <v>Miss K</v>
      </c>
      <c r="C375" s="80" t="s">
        <v>514</v>
      </c>
      <c r="D375" s="81" t="str">
        <f>HYPERLINK("https://youtube.com/watch?v=R1I_ecuAjSI", "[SUB]廣東話ASMR | CANTONESE LESSON 廣東話教室 PART1 (Soft Spoken, Chalk, Writing On Blackboard)")</f>
        <v>[SUB]廣東話ASMR | CANTONESE LESSON 廣東話教室 PART1 (Soft Spoken, Chalk, Writing On Blackboard)</v>
      </c>
      <c r="E375" s="82">
        <v>44106.0</v>
      </c>
      <c r="F375" s="80">
        <v>811.0</v>
      </c>
      <c r="G375" s="80" t="s">
        <v>63</v>
      </c>
      <c r="I375" s="80" t="s">
        <v>63</v>
      </c>
      <c r="J375" s="80">
        <v>1027.0</v>
      </c>
      <c r="K375" s="80">
        <v>0.977164605137963</v>
      </c>
      <c r="L375" s="80" t="s">
        <v>287</v>
      </c>
    </row>
    <row r="376">
      <c r="A376" s="80" t="s">
        <v>501</v>
      </c>
      <c r="B376" s="81" t="str">
        <f t="shared" si="17"/>
        <v>Miss K</v>
      </c>
      <c r="C376" s="80" t="s">
        <v>515</v>
      </c>
      <c r="D376" s="81" t="str">
        <f>HYPERLINK("https://youtube.com/watch?v=UK9mEDQSHSA", "[SUB]廣東話ASMR|香港美食回音催眠CLASSIC HONG KONG FOOD TRIGGER WORDS | (Echo, Mouth Sound, Hand movement)")</f>
        <v>[SUB]廣東話ASMR|香港美食回音催眠CLASSIC HONG KONG FOOD TRIGGER WORDS | (Echo, Mouth Sound, Hand movement)</v>
      </c>
      <c r="E376" s="82">
        <v>44074.0</v>
      </c>
      <c r="F376" s="80">
        <v>756.0</v>
      </c>
      <c r="G376" s="80" t="s">
        <v>63</v>
      </c>
      <c r="I376" s="80" t="s">
        <v>63</v>
      </c>
      <c r="J376" s="80">
        <v>219.0</v>
      </c>
      <c r="K376" s="80">
        <v>0.890243902439024</v>
      </c>
      <c r="L376" s="80" t="s">
        <v>287</v>
      </c>
    </row>
    <row r="377">
      <c r="A377" s="80" t="s">
        <v>501</v>
      </c>
      <c r="B377" s="81" t="str">
        <f t="shared" si="17"/>
        <v>Miss K</v>
      </c>
      <c r="C377" s="80" t="s">
        <v>516</v>
      </c>
      <c r="D377" s="81" t="str">
        <f>HYPERLINK("https://youtube.com/watch?v=tlrlJFmimco", "[SUB]廣東話ASMR | SLEEP CLINIC ROLEPLAY | 催眠診所  ( Trigger Test, Tapping, Reading, Hypnotising )")</f>
        <v>[SUB]廣東話ASMR | SLEEP CLINIC ROLEPLAY | 催眠診所  ( Trigger Test, Tapping, Reading, Hypnotising )</v>
      </c>
      <c r="E377" s="82">
        <v>44067.0</v>
      </c>
      <c r="F377" s="80">
        <v>1320.0</v>
      </c>
      <c r="G377" s="80" t="s">
        <v>63</v>
      </c>
      <c r="I377" s="80" t="s">
        <v>63</v>
      </c>
      <c r="J377" s="80">
        <v>1326.0</v>
      </c>
      <c r="K377" s="80">
        <v>0.894736842105263</v>
      </c>
      <c r="L377" s="80" t="s">
        <v>287</v>
      </c>
    </row>
    <row r="378">
      <c r="A378" s="80" t="s">
        <v>501</v>
      </c>
      <c r="B378" s="81" t="str">
        <f t="shared" si="17"/>
        <v>Miss K</v>
      </c>
      <c r="C378" s="80" t="s">
        <v>517</v>
      </c>
      <c r="D378" s="81" t="str">
        <f>HYPERLINK("https://youtube.com/watch?v=e4B7_0nPi8I", "[SUB]廣東話ASMR | CHITCHAT AND DO MAKEUP Part 2 聊天化妝2  (Personal Attention, Makeup Sound, Chatting)")</f>
        <v>[SUB]廣東話ASMR | CHITCHAT AND DO MAKEUP Part 2 聊天化妝2  (Personal Attention, Makeup Sound, Chatting)</v>
      </c>
      <c r="E378" s="82">
        <v>44052.0</v>
      </c>
      <c r="F378" s="80">
        <v>807.0</v>
      </c>
      <c r="G378" s="80" t="s">
        <v>63</v>
      </c>
      <c r="I378" s="80" t="s">
        <v>63</v>
      </c>
      <c r="J378" s="80">
        <v>997.0</v>
      </c>
      <c r="K378" s="80">
        <v>0.908014571948998</v>
      </c>
      <c r="L378" s="80" t="s">
        <v>287</v>
      </c>
    </row>
    <row r="379">
      <c r="A379" s="80" t="s">
        <v>501</v>
      </c>
      <c r="B379" s="81" t="str">
        <f t="shared" si="17"/>
        <v>Miss K</v>
      </c>
      <c r="C379" s="80" t="s">
        <v>518</v>
      </c>
      <c r="D379" s="81" t="str">
        <f>HYPERLINK("https://youtube.com/watch?v=GnVlbwRi9Nk", "[SUB]廣東話ASMR | PICNIC ROLEPLAY同你去野餐 | OUTDOOR 戶外ASMR ( Nature Sounds, Soft Spoken+,Hand movement )")</f>
        <v>[SUB]廣東話ASMR | PICNIC ROLEPLAY同你去野餐 | OUTDOOR 戶外ASMR ( Nature Sounds, Soft Spoken+,Hand movement )</v>
      </c>
      <c r="E379" s="82">
        <v>44037.0</v>
      </c>
      <c r="F379" s="80">
        <v>729.0</v>
      </c>
      <c r="G379" s="80" t="s">
        <v>63</v>
      </c>
      <c r="I379" s="80" t="s">
        <v>63</v>
      </c>
      <c r="J379" s="80">
        <v>916.0</v>
      </c>
      <c r="K379" s="80">
        <v>0.950207468879668</v>
      </c>
      <c r="L379" s="80" t="s">
        <v>287</v>
      </c>
    </row>
    <row r="380">
      <c r="A380" s="80" t="s">
        <v>501</v>
      </c>
      <c r="B380" s="81" t="str">
        <f t="shared" si="17"/>
        <v>Miss K</v>
      </c>
      <c r="C380" s="80" t="s">
        <v>519</v>
      </c>
      <c r="D380" s="81" t="str">
        <f>HYPERLINK("https://youtube.com/watch?v=LsM-I-5vQHE", "[SUB]廣東話ASMR | SIS TAKES CARE OF YOU家姐照顧你 (Cooking, Whispering, Feeding)")</f>
        <v>[SUB]廣東話ASMR | SIS TAKES CARE OF YOU家姐照顧你 (Cooking, Whispering, Feeding)</v>
      </c>
      <c r="E380" s="82">
        <v>44011.0</v>
      </c>
      <c r="F380" s="80">
        <v>1147.0</v>
      </c>
      <c r="G380" s="80" t="s">
        <v>63</v>
      </c>
      <c r="I380" s="80" t="s">
        <v>63</v>
      </c>
      <c r="J380" s="80">
        <v>593.0</v>
      </c>
      <c r="K380" s="80">
        <v>0.959546925566343</v>
      </c>
      <c r="L380" s="80" t="s">
        <v>287</v>
      </c>
    </row>
    <row r="381">
      <c r="A381" s="80" t="s">
        <v>501</v>
      </c>
      <c r="B381" s="81" t="str">
        <f t="shared" si="17"/>
        <v>Miss K</v>
      </c>
      <c r="C381" s="80" t="s">
        <v>520</v>
      </c>
      <c r="D381" s="81" t="str">
        <f>HYPERLINK("https://youtube.com/watch?v=JF1d3xWehGk", "[SUB]廣東話ASMR | LAYERED TAPPING + WHISPERING ( Cardboard, Plastic Boxes, Phone Tapping )")</f>
        <v>[SUB]廣東話ASMR | LAYERED TAPPING + WHISPERING ( Cardboard, Plastic Boxes, Phone Tapping )</v>
      </c>
      <c r="E381" s="82">
        <v>44005.0</v>
      </c>
      <c r="F381" s="80">
        <v>822.0</v>
      </c>
      <c r="G381" s="80" t="s">
        <v>63</v>
      </c>
      <c r="I381" s="80" t="s">
        <v>63</v>
      </c>
      <c r="J381" s="80">
        <v>320.0</v>
      </c>
      <c r="K381" s="80">
        <v>0.767386091127098</v>
      </c>
      <c r="L381" s="80" t="s">
        <v>521</v>
      </c>
    </row>
    <row r="382">
      <c r="A382" s="80" t="s">
        <v>501</v>
      </c>
      <c r="B382" s="81" t="str">
        <f t="shared" si="17"/>
        <v>Miss K</v>
      </c>
      <c r="C382" s="80" t="s">
        <v>522</v>
      </c>
      <c r="D382" s="81" t="str">
        <f>HYPERLINK("https://youtube.com/watch?v=OgBPo7D9Z1o", "[SUB]廣東話ASMR | SIS CLEANS YOUR EAR家姐幫你採耳 (Ear Cleaning, Chatting)")</f>
        <v>[SUB]廣東話ASMR | SIS CLEANS YOUR EAR家姐幫你採耳 (Ear Cleaning, Chatting)</v>
      </c>
      <c r="E382" s="82">
        <v>43999.0</v>
      </c>
      <c r="F382" s="80">
        <v>818.0</v>
      </c>
      <c r="G382" s="80" t="s">
        <v>63</v>
      </c>
      <c r="I382" s="80" t="s">
        <v>63</v>
      </c>
      <c r="J382" s="80">
        <v>725.0</v>
      </c>
      <c r="K382" s="80">
        <v>0.873493975903614</v>
      </c>
      <c r="L382" s="80" t="s">
        <v>521</v>
      </c>
    </row>
    <row r="383">
      <c r="A383" s="80" t="s">
        <v>501</v>
      </c>
      <c r="B383" s="81" t="str">
        <f t="shared" si="17"/>
        <v>Miss K</v>
      </c>
      <c r="C383" s="80" t="s">
        <v>523</v>
      </c>
      <c r="D383" s="81" t="str">
        <f>HYPERLINK("https://youtube.com/watch?v=veNSiZm9DnQ", "[SUB]廣東話ASMR | SIS DOES YOUR HAIR ROLEPLAY BINAURAL 家姐幫你整頭 (Scalp Massage, Hair Brushing, Hair Cut)")</f>
        <v>[SUB]廣東話ASMR | SIS DOES YOUR HAIR ROLEPLAY BINAURAL 家姐幫你整頭 (Scalp Massage, Hair Brushing, Hair Cut)</v>
      </c>
      <c r="E383" s="82">
        <v>43994.0</v>
      </c>
      <c r="F383" s="80">
        <v>894.0</v>
      </c>
      <c r="G383" s="80" t="s">
        <v>63</v>
      </c>
      <c r="I383" s="80" t="s">
        <v>63</v>
      </c>
      <c r="J383" s="80">
        <v>479.0</v>
      </c>
      <c r="K383" s="80">
        <v>0.971602434077079</v>
      </c>
      <c r="L383" s="80" t="s">
        <v>287</v>
      </c>
    </row>
    <row r="384">
      <c r="A384" s="80" t="s">
        <v>501</v>
      </c>
      <c r="B384" s="81" t="str">
        <f t="shared" si="17"/>
        <v>Miss K</v>
      </c>
      <c r="C384" s="80" t="s">
        <v>524</v>
      </c>
      <c r="D384" s="81" t="str">
        <f>HYPERLINK("https://youtube.com/watch?v=_TsORyMlbE4", "[SUB] 廣東話ASMR | SIS REMOVES YOUR MAKEUP ROLEPLAY 家姐幫你卸妝 (Makeup Removal, Mask, page flipping)")</f>
        <v>[SUB] 廣東話ASMR | SIS REMOVES YOUR MAKEUP ROLEPLAY 家姐幫你卸妝 (Makeup Removal, Mask, page flipping)</v>
      </c>
      <c r="E384" s="82">
        <v>43983.0</v>
      </c>
      <c r="F384" s="80">
        <v>1210.0</v>
      </c>
      <c r="G384" s="80" t="s">
        <v>63</v>
      </c>
      <c r="I384" s="80" t="s">
        <v>63</v>
      </c>
      <c r="J384" s="80">
        <v>762.0</v>
      </c>
      <c r="K384" s="80">
        <v>0.924757281553398</v>
      </c>
      <c r="L384" s="80" t="s">
        <v>521</v>
      </c>
    </row>
    <row r="385">
      <c r="A385" s="80" t="s">
        <v>501</v>
      </c>
      <c r="B385" s="81" t="str">
        <f t="shared" si="17"/>
        <v>Miss K</v>
      </c>
      <c r="C385" s="80" t="s">
        <v>525</v>
      </c>
      <c r="D385" s="81" t="str">
        <f>HYPERLINK("https://youtube.com/watch?v=S1MBLXaeeUY", "[SUB]廣東話ASMR | 免疫患者專用 回音催眠 (Echo sksksk, Mouth Sound, Hand movement, Breathing)")</f>
        <v>[SUB]廣東話ASMR | 免疫患者專用 回音催眠 (Echo sksksk, Mouth Sound, Hand movement, Breathing)</v>
      </c>
      <c r="E385" s="82">
        <v>43978.0</v>
      </c>
      <c r="F385" s="80">
        <v>861.0</v>
      </c>
      <c r="G385" s="80" t="s">
        <v>63</v>
      </c>
      <c r="I385" s="80" t="s">
        <v>63</v>
      </c>
      <c r="J385" s="80">
        <v>190.0</v>
      </c>
      <c r="K385" s="80">
        <v>0.840707964601769</v>
      </c>
      <c r="L385" s="80" t="s">
        <v>287</v>
      </c>
    </row>
    <row r="386">
      <c r="A386" s="80" t="s">
        <v>501</v>
      </c>
      <c r="B386" s="81" t="str">
        <f t="shared" si="17"/>
        <v>Miss K</v>
      </c>
      <c r="C386" s="80" t="s">
        <v>526</v>
      </c>
      <c r="D386" s="81" t="str">
        <f>HYPERLINK("https://youtube.com/watch?v=SiumlSjlgsU", "[SUB]廣東話ASMR | SIS WASHES YOUR HAIR ROLEPLAY BINAURAL 家姐幫你洗頭 ( Shampoo, Rinse, Blow dry)")</f>
        <v>[SUB]廣東話ASMR | SIS WASHES YOUR HAIR ROLEPLAY BINAURAL 家姐幫你洗頭 ( Shampoo, Rinse, Blow dry)</v>
      </c>
      <c r="E386" s="82">
        <v>43974.0</v>
      </c>
      <c r="F386" s="80">
        <v>1103.0</v>
      </c>
      <c r="G386" s="80" t="s">
        <v>63</v>
      </c>
      <c r="I386" s="80" t="s">
        <v>63</v>
      </c>
      <c r="J386" s="80">
        <v>419.0</v>
      </c>
      <c r="K386" s="80">
        <v>0.978971962616822</v>
      </c>
      <c r="L386" s="80" t="s">
        <v>287</v>
      </c>
    </row>
    <row r="387">
      <c r="A387" s="80" t="s">
        <v>527</v>
      </c>
      <c r="B387" s="81" t="str">
        <f t="shared" ref="B387:B421" si="18">HYPERLINK("https://www.youtube.com/channel/UC7knZNnVYcw_9_zQ3PGOoGw", "ようき楽園 / 玉其樂園")</f>
        <v>ようき楽園 / 玉其樂園</v>
      </c>
      <c r="C387" s="80" t="s">
        <v>528</v>
      </c>
      <c r="D387" s="81" t="str">
        <f>HYPERLINK("https://youtube.com/watch?v=KY-iNwOJhHs", "この曲は何？｜估歌仔（中日字幕）【ft. 殿下 &amp; Tomokelly】")</f>
        <v>この曲は何？｜估歌仔（中日字幕）【ft. 殿下 &amp; Tomokelly】</v>
      </c>
      <c r="E387" s="82">
        <v>43409.0</v>
      </c>
      <c r="F387" s="80">
        <v>577.0</v>
      </c>
      <c r="G387" s="80" t="s">
        <v>63</v>
      </c>
      <c r="I387" s="80" t="s">
        <v>63</v>
      </c>
      <c r="J387" s="80">
        <v>1185.0</v>
      </c>
      <c r="K387" s="80">
        <v>0.856213872832369</v>
      </c>
      <c r="L387" s="80" t="s">
        <v>64</v>
      </c>
    </row>
    <row r="388">
      <c r="A388" s="80" t="s">
        <v>527</v>
      </c>
      <c r="B388" s="81" t="str">
        <f t="shared" si="18"/>
        <v>ようき楽園 / 玉其樂園</v>
      </c>
      <c r="C388" s="80" t="s">
        <v>529</v>
      </c>
      <c r="D388" s="81" t="str">
        <f>HYPERLINK("https://youtube.com/watch?v=YosXwYjJ_s4", "【2000人達成】Youtube を始めたきっかけ｜我開始YouTube的契機（中日字幕）")</f>
        <v>【2000人達成】Youtube を始めたきっかけ｜我開始YouTube的契機（中日字幕）</v>
      </c>
      <c r="E388" s="82">
        <v>43379.0</v>
      </c>
      <c r="F388" s="80">
        <v>146.0</v>
      </c>
      <c r="G388" s="80" t="s">
        <v>63</v>
      </c>
      <c r="I388" s="80" t="s">
        <v>63</v>
      </c>
      <c r="J388" s="80">
        <v>571.0</v>
      </c>
      <c r="K388" s="80">
        <v>0.900630914826498</v>
      </c>
      <c r="L388" s="80" t="s">
        <v>64</v>
      </c>
    </row>
    <row r="389">
      <c r="A389" s="80" t="s">
        <v>527</v>
      </c>
      <c r="B389" s="81" t="str">
        <f t="shared" si="18"/>
        <v>ようき楽園 / 玉其樂園</v>
      </c>
      <c r="C389" s="80" t="s">
        <v>530</v>
      </c>
      <c r="D389" s="81" t="str">
        <f>HYPERLINK("https://youtube.com/watch?v=HMuQk56GxGA", "【港澳】入力システム大対決｜打字大對決（中日字幕）")</f>
        <v>【港澳】入力システム大対決｜打字大對決（中日字幕）</v>
      </c>
      <c r="E389" s="82">
        <v>43330.0</v>
      </c>
      <c r="F389" s="80">
        <v>188.0</v>
      </c>
      <c r="G389" s="80" t="s">
        <v>63</v>
      </c>
      <c r="I389" s="80" t="s">
        <v>63</v>
      </c>
      <c r="J389" s="80">
        <v>670.0</v>
      </c>
      <c r="K389" s="80">
        <v>0.946327683615819</v>
      </c>
      <c r="L389" s="80" t="s">
        <v>64</v>
      </c>
    </row>
    <row r="390">
      <c r="A390" s="80" t="s">
        <v>527</v>
      </c>
      <c r="B390" s="81" t="str">
        <f t="shared" si="18"/>
        <v>ようき楽園 / 玉其樂園</v>
      </c>
      <c r="C390" s="80" t="s">
        <v>531</v>
      </c>
      <c r="D390" s="81" t="str">
        <f>HYPERLINK("https://youtube.com/watch?v=-fWcgSvjlLg", "【澳門】Line Friends in Macau!（中日字幕）")</f>
        <v>【澳門】Line Friends in Macau!（中日字幕）</v>
      </c>
      <c r="E390" s="82">
        <v>43317.0</v>
      </c>
      <c r="F390" s="80">
        <v>99.0</v>
      </c>
      <c r="G390" s="80" t="s">
        <v>63</v>
      </c>
      <c r="I390" s="80" t="s">
        <v>63</v>
      </c>
      <c r="J390" s="80">
        <v>197.0</v>
      </c>
      <c r="K390" s="80">
        <v>0.696113074204947</v>
      </c>
      <c r="L390" s="80" t="s">
        <v>64</v>
      </c>
    </row>
    <row r="391">
      <c r="A391" s="80" t="s">
        <v>527</v>
      </c>
      <c r="B391" s="81" t="str">
        <f t="shared" si="18"/>
        <v>ようき楽園 / 玉其樂園</v>
      </c>
      <c r="C391" s="80" t="s">
        <v>532</v>
      </c>
      <c r="D391" s="81" t="str">
        <f>HYPERLINK("https://youtube.com/watch?v=lZt4x0fDxyA", "【澳門】文哥咖啡美食 超美味しい！（中日字幕）")</f>
        <v>【澳門】文哥咖啡美食 超美味しい！（中日字幕）</v>
      </c>
      <c r="E391" s="82">
        <v>43309.0</v>
      </c>
      <c r="F391" s="80">
        <v>162.0</v>
      </c>
      <c r="G391" s="80" t="s">
        <v>63</v>
      </c>
      <c r="I391" s="80" t="s">
        <v>63</v>
      </c>
      <c r="J391" s="80">
        <v>448.0</v>
      </c>
      <c r="K391" s="80">
        <v>0.919917864476386</v>
      </c>
      <c r="L391" s="80" t="s">
        <v>64</v>
      </c>
    </row>
    <row r="392">
      <c r="A392" s="80" t="s">
        <v>527</v>
      </c>
      <c r="B392" s="81" t="str">
        <f t="shared" si="18"/>
        <v>ようき楽園 / 玉其樂園</v>
      </c>
      <c r="C392" s="80" t="s">
        <v>533</v>
      </c>
      <c r="D392" s="81" t="str">
        <f>HYPERLINK("https://youtube.com/watch?v=C7TbZlhwP38", "【広東語教室#12】広東語で注文をします｜用廣東話點餐｜茶餐廳篇（中日字幕）")</f>
        <v>【広東語教室#12】広東語で注文をします｜用廣東話點餐｜茶餐廳篇（中日字幕）</v>
      </c>
      <c r="E392" s="82">
        <v>43232.0</v>
      </c>
      <c r="F392" s="80">
        <v>382.0</v>
      </c>
      <c r="G392" s="80" t="s">
        <v>63</v>
      </c>
      <c r="I392" s="80" t="s">
        <v>63</v>
      </c>
      <c r="J392" s="80">
        <v>748.0</v>
      </c>
      <c r="K392" s="80">
        <v>0.940880503144654</v>
      </c>
      <c r="L392" s="80" t="s">
        <v>64</v>
      </c>
    </row>
    <row r="393">
      <c r="A393" s="80" t="s">
        <v>527</v>
      </c>
      <c r="B393" s="81" t="str">
        <f t="shared" si="18"/>
        <v>ようき楽園 / 玉其樂園</v>
      </c>
      <c r="C393" s="80" t="s">
        <v>534</v>
      </c>
      <c r="D393" s="81" t="str">
        <f>HYPERLINK("https://youtube.com/watch?v=3kJL6WIj-dQ", "【澳牛＋餵羊】違う香港を感じる〜｜感受不一樣的香港（中日字幕）")</f>
        <v>【澳牛＋餵羊】違う香港を感じる〜｜感受不一樣的香港（中日字幕）</v>
      </c>
      <c r="E393" s="82">
        <v>43210.0</v>
      </c>
      <c r="F393" s="80">
        <v>234.0</v>
      </c>
      <c r="G393" s="80" t="s">
        <v>63</v>
      </c>
      <c r="I393" s="80" t="s">
        <v>63</v>
      </c>
      <c r="J393" s="80">
        <v>453.0</v>
      </c>
      <c r="K393" s="80">
        <v>0.93595041322314</v>
      </c>
      <c r="L393" s="80" t="s">
        <v>64</v>
      </c>
    </row>
    <row r="394">
      <c r="A394" s="80" t="s">
        <v>527</v>
      </c>
      <c r="B394" s="81" t="str">
        <f t="shared" si="18"/>
        <v>ようき楽園 / 玉其樂園</v>
      </c>
      <c r="C394" s="80" t="s">
        <v>535</v>
      </c>
      <c r="D394" s="81" t="str">
        <f>HYPERLINK("https://youtube.com/watch?v=QlVVzuiN3-s", "【東京】浴槽で友たちと飲む！？｜在浴缸和朋友喝酒！？（中日字幕）")</f>
        <v>【東京】浴槽で友たちと飲む！？｜在浴缸和朋友喝酒！？（中日字幕）</v>
      </c>
      <c r="E394" s="82">
        <v>43204.0</v>
      </c>
      <c r="F394" s="80">
        <v>119.0</v>
      </c>
      <c r="G394" s="80" t="s">
        <v>63</v>
      </c>
      <c r="I394" s="80" t="s">
        <v>63</v>
      </c>
      <c r="J394" s="80">
        <v>293.0</v>
      </c>
      <c r="K394" s="80">
        <v>0.837142857142857</v>
      </c>
      <c r="L394" s="80" t="s">
        <v>64</v>
      </c>
    </row>
    <row r="395">
      <c r="A395" s="80" t="s">
        <v>527</v>
      </c>
      <c r="B395" s="81" t="str">
        <f t="shared" si="18"/>
        <v>ようき楽園 / 玉其樂園</v>
      </c>
      <c r="C395" s="80" t="s">
        <v>536</v>
      </c>
      <c r="D395" s="81" t="str">
        <f>HYPERLINK("https://youtube.com/watch?v=OcYMVR8w4Wk", "オーストラリアのお土産｜澳洲戰利品（中日字幕）")</f>
        <v>オーストラリアのお土産｜澳洲戰利品（中日字幕）</v>
      </c>
      <c r="E395" s="82">
        <v>43191.0</v>
      </c>
      <c r="F395" s="80">
        <v>335.0</v>
      </c>
      <c r="G395" s="80" t="s">
        <v>63</v>
      </c>
      <c r="I395" s="80" t="s">
        <v>63</v>
      </c>
      <c r="J395" s="80">
        <v>1365.0</v>
      </c>
      <c r="K395" s="80">
        <v>0.965346534653465</v>
      </c>
      <c r="L395" s="80" t="s">
        <v>64</v>
      </c>
    </row>
    <row r="396">
      <c r="A396" s="80" t="s">
        <v>527</v>
      </c>
      <c r="B396" s="81" t="str">
        <f t="shared" si="18"/>
        <v>ようき楽園 / 玉其樂園</v>
      </c>
      <c r="C396" s="80" t="s">
        <v>537</v>
      </c>
      <c r="D396" s="81" t="str">
        <f>HYPERLINK("https://youtube.com/watch?v=13NOGrujWCc", "瀧波ユカリさんが好きな麻辣鮮露でチャーハンを作ります！｜用傳說中的麻辣鮮露炒飯！（中日字幕）")</f>
        <v>瀧波ユカリさんが好きな麻辣鮮露でチャーハンを作ります！｜用傳說中的麻辣鮮露炒飯！（中日字幕）</v>
      </c>
      <c r="E396" s="82">
        <v>43168.0</v>
      </c>
      <c r="F396" s="80">
        <v>130.0</v>
      </c>
      <c r="G396" s="80" t="s">
        <v>63</v>
      </c>
      <c r="I396" s="80" t="s">
        <v>63</v>
      </c>
      <c r="J396" s="80">
        <v>256.0</v>
      </c>
      <c r="K396" s="80">
        <v>0.980842911877394</v>
      </c>
      <c r="L396" s="80" t="s">
        <v>64</v>
      </c>
    </row>
    <row r="397">
      <c r="A397" s="80" t="s">
        <v>527</v>
      </c>
      <c r="B397" s="81" t="str">
        <f t="shared" si="18"/>
        <v>ようき楽園 / 玉其樂園</v>
      </c>
      <c r="C397" s="80" t="s">
        <v>538</v>
      </c>
      <c r="D397" s="81" t="str">
        <f>HYPERLINK("https://youtube.com/watch?v=xaEhfjkPFfM", "【試穿淘寶童裝】子供サイズの洋服を着って見る！")</f>
        <v>【試穿淘寶童裝】子供サイズの洋服を着って見る！</v>
      </c>
      <c r="E397" s="82">
        <v>43161.0</v>
      </c>
      <c r="F397" s="80">
        <v>352.0</v>
      </c>
      <c r="G397" s="80" t="s">
        <v>63</v>
      </c>
      <c r="I397" s="80" t="s">
        <v>63</v>
      </c>
      <c r="J397" s="80">
        <v>1107.0</v>
      </c>
      <c r="K397" s="80">
        <v>0.955958549222797</v>
      </c>
      <c r="L397" s="80" t="s">
        <v>64</v>
      </c>
    </row>
    <row r="398">
      <c r="A398" s="80" t="s">
        <v>527</v>
      </c>
      <c r="B398" s="81" t="str">
        <f t="shared" si="18"/>
        <v>ようき楽園 / 玉其樂園</v>
      </c>
      <c r="C398" s="80" t="s">
        <v>539</v>
      </c>
      <c r="D398" s="81" t="str">
        <f>HYPERLINK("https://youtube.com/watch?v=dCZVuiYgSLo", "【廣東文化】農暦新年の攢盒にはこんな意味が！｜新年的全盒原來有這樣的含意！ft. Bowie Kou（中日字幕）")</f>
        <v>【廣東文化】農暦新年の攢盒にはこんな意味が！｜新年的全盒原來有這樣的含意！ft. Bowie Kou（中日字幕）</v>
      </c>
      <c r="E398" s="82">
        <v>43150.0</v>
      </c>
      <c r="F398" s="80">
        <v>406.0</v>
      </c>
      <c r="G398" s="80" t="s">
        <v>63</v>
      </c>
      <c r="I398" s="80" t="s">
        <v>63</v>
      </c>
      <c r="J398" s="80">
        <v>1559.0</v>
      </c>
      <c r="K398" s="80">
        <v>0.957616707616707</v>
      </c>
      <c r="L398" s="80" t="s">
        <v>64</v>
      </c>
    </row>
    <row r="399">
      <c r="A399" s="80" t="s">
        <v>527</v>
      </c>
      <c r="B399" s="81" t="str">
        <f t="shared" si="18"/>
        <v>ようき楽園 / 玉其樂園</v>
      </c>
      <c r="C399" s="80" t="s">
        <v>540</v>
      </c>
      <c r="D399" s="81" t="str">
        <f>HYPERLINK("https://youtube.com/watch?v=NRvFjQ4qwPQ", "【澳門】金子半之助超豪華天丼！｜金子半之助の天丼！（中日字幕）")</f>
        <v>【澳門】金子半之助超豪華天丼！｜金子半之助の天丼！（中日字幕）</v>
      </c>
      <c r="E399" s="82">
        <v>43141.0</v>
      </c>
      <c r="F399" s="80">
        <v>142.0</v>
      </c>
      <c r="G399" s="80" t="s">
        <v>63</v>
      </c>
      <c r="I399" s="80" t="s">
        <v>63</v>
      </c>
      <c r="J399" s="80">
        <v>317.0</v>
      </c>
      <c r="K399" s="80">
        <v>0.905714285714285</v>
      </c>
      <c r="L399" s="80" t="s">
        <v>64</v>
      </c>
    </row>
    <row r="400">
      <c r="A400" s="80" t="s">
        <v>527</v>
      </c>
      <c r="B400" s="81" t="str">
        <f t="shared" si="18"/>
        <v>ようき楽園 / 玉其樂園</v>
      </c>
      <c r="C400" s="80" t="s">
        <v>541</v>
      </c>
      <c r="D400" s="81" t="str">
        <f>HYPERLINK("https://youtube.com/watch?v=OyadiCvAxXE", "【澳洲倒數遊 #3】悉尼｜シドニーへ（中日字幕）")</f>
        <v>【澳洲倒數遊 #3】悉尼｜シドニーへ（中日字幕）</v>
      </c>
      <c r="E400" s="82">
        <v>43140.0</v>
      </c>
      <c r="F400" s="80">
        <v>495.0</v>
      </c>
      <c r="G400" s="80" t="s">
        <v>63</v>
      </c>
      <c r="I400" s="80" t="s">
        <v>63</v>
      </c>
      <c r="J400" s="80">
        <v>1062.0</v>
      </c>
      <c r="K400" s="80">
        <v>0.947368421052631</v>
      </c>
      <c r="L400" s="80" t="s">
        <v>64</v>
      </c>
    </row>
    <row r="401">
      <c r="A401" s="80" t="s">
        <v>527</v>
      </c>
      <c r="B401" s="81" t="str">
        <f t="shared" si="18"/>
        <v>ようき楽園 / 玉其樂園</v>
      </c>
      <c r="C401" s="80" t="s">
        <v>542</v>
      </c>
      <c r="D401" s="81" t="str">
        <f>HYPERLINK("https://youtube.com/watch?v=ez193w2RsB8", "【澳洲倒數遊 #2】塔斯曼尼亞｜タスマニアへ（中日字幕）")</f>
        <v>【澳洲倒數遊 #2】塔斯曼尼亞｜タスマニアへ（中日字幕）</v>
      </c>
      <c r="E401" s="82">
        <v>43137.0</v>
      </c>
      <c r="F401" s="80">
        <v>619.0</v>
      </c>
      <c r="G401" s="80" t="s">
        <v>63</v>
      </c>
      <c r="I401" s="80" t="s">
        <v>63</v>
      </c>
      <c r="J401" s="80">
        <v>1476.0</v>
      </c>
      <c r="K401" s="80">
        <v>0.984</v>
      </c>
      <c r="L401" s="80" t="s">
        <v>64</v>
      </c>
    </row>
    <row r="402">
      <c r="A402" s="80" t="s">
        <v>527</v>
      </c>
      <c r="B402" s="81" t="str">
        <f t="shared" si="18"/>
        <v>ようき楽園 / 玉其樂園</v>
      </c>
      <c r="C402" s="80" t="s">
        <v>543</v>
      </c>
      <c r="D402" s="81" t="str">
        <f>HYPERLINK("https://youtube.com/watch?v=Cqmr7orydEk", "【澳洲倒數遊 #1】墨爾本｜メルボルンへ（中日字幕）")</f>
        <v>【澳洲倒數遊 #1】墨爾本｜メルボルンへ（中日字幕）</v>
      </c>
      <c r="E402" s="82">
        <v>43133.0</v>
      </c>
      <c r="F402" s="80">
        <v>470.0</v>
      </c>
      <c r="G402" s="80" t="s">
        <v>63</v>
      </c>
      <c r="I402" s="80" t="s">
        <v>63</v>
      </c>
      <c r="J402" s="80">
        <v>949.0</v>
      </c>
      <c r="K402" s="80">
        <v>0.900379506641366</v>
      </c>
      <c r="L402" s="80" t="s">
        <v>64</v>
      </c>
    </row>
    <row r="403">
      <c r="A403" s="80" t="s">
        <v>527</v>
      </c>
      <c r="B403" s="81" t="str">
        <f t="shared" si="18"/>
        <v>ようき楽園 / 玉其樂園</v>
      </c>
      <c r="C403" s="80" t="s">
        <v>544</v>
      </c>
      <c r="D403" s="81" t="str">
        <f>HYPERLINK("https://youtube.com/watch?v=tVpyAzGOvOg", "【澳門のこと】フードフェスティバルで掃街｜澳門美食節掃街！（中日字幕）")</f>
        <v>【澳門のこと】フードフェスティバルで掃街｜澳門美食節掃街！（中日字幕）</v>
      </c>
      <c r="E403" s="82">
        <v>43119.0</v>
      </c>
      <c r="F403" s="80">
        <v>324.0</v>
      </c>
      <c r="G403" s="80" t="s">
        <v>63</v>
      </c>
      <c r="I403" s="80" t="s">
        <v>63</v>
      </c>
      <c r="J403" s="80">
        <v>76.0</v>
      </c>
      <c r="K403" s="80">
        <v>0.938271604938271</v>
      </c>
      <c r="L403" s="80" t="s">
        <v>64</v>
      </c>
    </row>
    <row r="404">
      <c r="A404" s="80" t="s">
        <v>527</v>
      </c>
      <c r="B404" s="81" t="str">
        <f t="shared" si="18"/>
        <v>ようき楽園 / 玉其樂園</v>
      </c>
      <c r="C404" s="80" t="s">
        <v>545</v>
      </c>
      <c r="D404" s="81" t="str">
        <f>HYPERLINK("https://youtube.com/watch?v=uVfzF2PnIjE", "【澳門】マカオグランプリの核心部分に入ろう！｜進入澳門格蘭披治大賽車的心臟地帶！（中日字幕）")</f>
        <v>【澳門】マカオグランプリの核心部分に入ろう！｜進入澳門格蘭披治大賽車的心臟地帶！（中日字幕）</v>
      </c>
      <c r="E404" s="82">
        <v>43109.0</v>
      </c>
      <c r="F404" s="80">
        <v>320.0</v>
      </c>
      <c r="G404" s="80" t="s">
        <v>63</v>
      </c>
      <c r="I404" s="80" t="s">
        <v>63</v>
      </c>
      <c r="J404" s="80">
        <v>700.0</v>
      </c>
      <c r="K404" s="80">
        <v>0.942126514131897</v>
      </c>
      <c r="L404" s="80" t="s">
        <v>64</v>
      </c>
    </row>
    <row r="405">
      <c r="A405" s="80" t="s">
        <v>527</v>
      </c>
      <c r="B405" s="81" t="str">
        <f t="shared" si="18"/>
        <v>ようき楽園 / 玉其樂園</v>
      </c>
      <c r="C405" s="80" t="s">
        <v>546</v>
      </c>
      <c r="D405" s="81" t="str">
        <f>HYPERLINK("https://youtube.com/watch?v=-AxX7pczB7I", "【ft. 殿下】殿下がマカオの読みにくい街の名前に挑戦 | 殿下挑戰澳門繞口街名！（中日字幕）")</f>
        <v>【ft. 殿下】殿下がマカオの読みにくい街の名前に挑戦 | 殿下挑戰澳門繞口街名！（中日字幕）</v>
      </c>
      <c r="E405" s="82">
        <v>43085.0</v>
      </c>
      <c r="F405" s="80">
        <v>406.0</v>
      </c>
      <c r="G405" s="80" t="s">
        <v>63</v>
      </c>
      <c r="I405" s="80" t="s">
        <v>63</v>
      </c>
      <c r="J405" s="80">
        <v>1407.0</v>
      </c>
      <c r="K405" s="80">
        <v>0.951962110960757</v>
      </c>
      <c r="L405" s="80" t="s">
        <v>64</v>
      </c>
    </row>
    <row r="406">
      <c r="A406" s="80" t="s">
        <v>527</v>
      </c>
      <c r="B406" s="81" t="str">
        <f t="shared" si="18"/>
        <v>ようき楽園 / 玉其樂園</v>
      </c>
      <c r="C406" s="80" t="s">
        <v>547</v>
      </c>
      <c r="D406" s="81" t="str">
        <f>HYPERLINK("https://youtube.com/watch?v=xzCscg5zArE", "【ft. 殿下】香港の人が抱くマカオの人への誤解 | 香港人對澳門的誤解（中日字幕）")</f>
        <v>【ft. 殿下】香港の人が抱くマカオの人への誤解 | 香港人對澳門的誤解（中日字幕）</v>
      </c>
      <c r="E406" s="82">
        <v>43078.0</v>
      </c>
      <c r="F406" s="80">
        <v>352.0</v>
      </c>
      <c r="G406" s="80" t="s">
        <v>63</v>
      </c>
      <c r="I406" s="80" t="s">
        <v>63</v>
      </c>
      <c r="J406" s="80">
        <v>1399.0</v>
      </c>
      <c r="K406" s="80">
        <v>0.942722371967655</v>
      </c>
      <c r="L406" s="80" t="s">
        <v>64</v>
      </c>
    </row>
    <row r="407">
      <c r="A407" s="80" t="s">
        <v>527</v>
      </c>
      <c r="B407" s="81" t="str">
        <f t="shared" si="18"/>
        <v>ようき楽園 / 玉其樂園</v>
      </c>
      <c r="C407" s="80" t="s">
        <v>548</v>
      </c>
      <c r="D407" s="81" t="str">
        <f>HYPERLINK("https://youtube.com/watch?v=74R7TFLiJGo", "【月島文字燒】月島でもんじゃ焼きを食べます！ | 去月島吃文字燒！（中日字幕）")</f>
        <v>【月島文字燒】月島でもんじゃ焼きを食べます！ | 去月島吃文字燒！（中日字幕）</v>
      </c>
      <c r="E407" s="82">
        <v>43064.0</v>
      </c>
      <c r="F407" s="80">
        <v>161.0</v>
      </c>
      <c r="G407" s="80" t="s">
        <v>63</v>
      </c>
      <c r="I407" s="80" t="s">
        <v>63</v>
      </c>
      <c r="J407" s="80">
        <v>298.0</v>
      </c>
      <c r="K407" s="80">
        <v>0.88955223880597</v>
      </c>
      <c r="L407" s="80" t="s">
        <v>64</v>
      </c>
    </row>
    <row r="408">
      <c r="A408" s="80" t="s">
        <v>527</v>
      </c>
      <c r="B408" s="81" t="str">
        <f t="shared" si="18"/>
        <v>ようき楽園 / 玉其樂園</v>
      </c>
      <c r="C408" s="80" t="s">
        <v>549</v>
      </c>
      <c r="D408" s="81" t="str">
        <f>HYPERLINK("https://youtube.com/watch?v=UuYjTOu42XQ", "【澳門】マカオの葡韻フェスティバルに行きます | 去澳門的葡韻嘉年華玩！(中日字幕)")</f>
        <v>【澳門】マカオの葡韻フェスティバルに行きます | 去澳門的葡韻嘉年華玩！(中日字幕)</v>
      </c>
      <c r="E408" s="82">
        <v>43056.0</v>
      </c>
      <c r="F408" s="80">
        <v>353.0</v>
      </c>
      <c r="G408" s="80" t="s">
        <v>63</v>
      </c>
      <c r="I408" s="80" t="s">
        <v>63</v>
      </c>
      <c r="J408" s="80">
        <v>307.0</v>
      </c>
      <c r="K408" s="80">
        <v>0.977707006369426</v>
      </c>
      <c r="L408" s="80" t="s">
        <v>64</v>
      </c>
    </row>
    <row r="409">
      <c r="A409" s="80" t="s">
        <v>527</v>
      </c>
      <c r="B409" s="81" t="str">
        <f t="shared" si="18"/>
        <v>ようき楽園 / 玉其樂園</v>
      </c>
      <c r="C409" s="80" t="s">
        <v>550</v>
      </c>
      <c r="D409" s="81" t="str">
        <f>HYPERLINK("https://youtube.com/watch?v=rmUnezwZF2c", "【澳門】マカオでドリアンの専門店でお茶します | 去澳門的榴槤專門店吃下午茶 (中日字幕)")</f>
        <v>【澳門】マカオでドリアンの専門店でお茶します | 去澳門的榴槤專門店吃下午茶 (中日字幕)</v>
      </c>
      <c r="E409" s="82">
        <v>43049.0</v>
      </c>
      <c r="F409" s="80">
        <v>140.0</v>
      </c>
      <c r="G409" s="80" t="s">
        <v>63</v>
      </c>
      <c r="I409" s="80" t="s">
        <v>63</v>
      </c>
      <c r="J409" s="80">
        <v>371.0</v>
      </c>
      <c r="K409" s="80">
        <v>0.916049382716049</v>
      </c>
      <c r="L409" s="80" t="s">
        <v>64</v>
      </c>
    </row>
    <row r="410">
      <c r="A410" s="80" t="s">
        <v>527</v>
      </c>
      <c r="B410" s="81" t="str">
        <f t="shared" si="18"/>
        <v>ようき楽園 / 玉其樂園</v>
      </c>
      <c r="C410" s="80" t="s">
        <v>551</v>
      </c>
      <c r="D410" s="81" t="str">
        <f>HYPERLINK("https://youtube.com/watch?v=X5JF_hDln8s", "【Youki's Talk】身長大公開！背が低い５つの困り事 | 矮個子的５個困擾 (中日字幕)")</f>
        <v>【Youki's Talk】身長大公開！背が低い５つの困り事 | 矮個子的５個困擾 (中日字幕)</v>
      </c>
      <c r="E410" s="82">
        <v>42965.0</v>
      </c>
      <c r="F410" s="80">
        <v>286.0</v>
      </c>
      <c r="G410" s="80" t="s">
        <v>63</v>
      </c>
      <c r="I410" s="80" t="s">
        <v>63</v>
      </c>
      <c r="J410" s="80">
        <v>1193.0</v>
      </c>
      <c r="K410" s="80">
        <v>0.9597747385358</v>
      </c>
      <c r="L410" s="80" t="s">
        <v>64</v>
      </c>
    </row>
    <row r="411">
      <c r="A411" s="80" t="s">
        <v>527</v>
      </c>
      <c r="B411" s="81" t="str">
        <f t="shared" si="18"/>
        <v>ようき楽園 / 玉其樂園</v>
      </c>
      <c r="C411" s="80" t="s">
        <v>552</v>
      </c>
      <c r="D411" s="81" t="str">
        <f>HYPERLINK("https://youtube.com/watch?v=xIf6yPGARjc", "【香港】オーシャンパークに遊びに行きまう！ | 去海洋公園玩嘍！(中日字幕)")</f>
        <v>【香港】オーシャンパークに遊びに行きまう！ | 去海洋公園玩嘍！(中日字幕)</v>
      </c>
      <c r="E411" s="82">
        <v>42951.0</v>
      </c>
      <c r="F411" s="80">
        <v>492.0</v>
      </c>
      <c r="G411" s="80" t="s">
        <v>63</v>
      </c>
      <c r="I411" s="80" t="s">
        <v>63</v>
      </c>
      <c r="J411" s="80">
        <v>781.0</v>
      </c>
      <c r="K411" s="80">
        <v>0.934210526315789</v>
      </c>
      <c r="L411" s="80" t="s">
        <v>64</v>
      </c>
    </row>
    <row r="412">
      <c r="A412" s="80" t="s">
        <v>527</v>
      </c>
      <c r="B412" s="81" t="str">
        <f t="shared" si="18"/>
        <v>ようき楽園 / 玉其樂園</v>
      </c>
      <c r="C412" s="80" t="s">
        <v>553</v>
      </c>
      <c r="D412" s="81" t="str">
        <f>HYPERLINK("https://youtube.com/watch?v=sTqNXpOnyjI", "【開封｜開箱】コップのフチの？？開封 | 杯緣子抽選開箱（中日字幕）")</f>
        <v>【開封｜開箱】コップのフチの？？開封 | 杯緣子抽選開箱（中日字幕）</v>
      </c>
      <c r="E412" s="82">
        <v>42948.0</v>
      </c>
      <c r="F412" s="80">
        <v>242.0</v>
      </c>
      <c r="G412" s="80" t="s">
        <v>63</v>
      </c>
      <c r="I412" s="80" t="s">
        <v>63</v>
      </c>
      <c r="J412" s="80">
        <v>336.0</v>
      </c>
      <c r="K412" s="80">
        <v>0.930747922437673</v>
      </c>
      <c r="L412" s="80" t="s">
        <v>64</v>
      </c>
    </row>
    <row r="413">
      <c r="A413" s="80" t="s">
        <v>527</v>
      </c>
      <c r="B413" s="81" t="str">
        <f t="shared" si="18"/>
        <v>ようき楽園 / 玉其樂園</v>
      </c>
      <c r="C413" s="80" t="s">
        <v>554</v>
      </c>
      <c r="D413" s="81" t="str">
        <f>HYPERLINK("https://youtube.com/watch?v=h0ZrGWTcU4Q", "【香港吉野家限定】あさりトマト鍋を食べて見た | 試吃海蜆番茄鍋（中日字幕）")</f>
        <v>【香港吉野家限定】あさりトマト鍋を食べて見た | 試吃海蜆番茄鍋（中日字幕）</v>
      </c>
      <c r="E413" s="82">
        <v>42944.0</v>
      </c>
      <c r="F413" s="80">
        <v>218.0</v>
      </c>
      <c r="G413" s="80" t="s">
        <v>63</v>
      </c>
      <c r="I413" s="80" t="s">
        <v>63</v>
      </c>
      <c r="J413" s="80">
        <v>237.0</v>
      </c>
      <c r="K413" s="80">
        <v>0.904580152671755</v>
      </c>
      <c r="L413" s="80" t="s">
        <v>64</v>
      </c>
    </row>
    <row r="414">
      <c r="A414" s="80" t="s">
        <v>527</v>
      </c>
      <c r="B414" s="81" t="str">
        <f t="shared" si="18"/>
        <v>ようき楽園 / 玉其樂園</v>
      </c>
      <c r="C414" s="80" t="s">
        <v>555</v>
      </c>
      <c r="D414" s="81" t="str">
        <f>HYPERLINK("https://youtube.com/watch?v=vZWQi_a_vwQ", "【澳門】マカオの食材でスライムカレーを作る！ | 用港澳食材做藍色咖喱！(中日字幕)")</f>
        <v>【澳門】マカオの食材でスライムカレーを作る！ | 用港澳食材做藍色咖喱！(中日字幕)</v>
      </c>
      <c r="E414" s="82">
        <v>42942.0</v>
      </c>
      <c r="F414" s="80">
        <v>288.0</v>
      </c>
      <c r="G414" s="80" t="s">
        <v>63</v>
      </c>
      <c r="I414" s="80" t="s">
        <v>63</v>
      </c>
      <c r="J414" s="80">
        <v>617.0</v>
      </c>
      <c r="K414" s="80">
        <v>0.904692082111436</v>
      </c>
      <c r="L414" s="80" t="s">
        <v>64</v>
      </c>
    </row>
    <row r="415">
      <c r="A415" s="80" t="s">
        <v>527</v>
      </c>
      <c r="B415" s="81" t="str">
        <f t="shared" si="18"/>
        <v>ようき楽園 / 玉其樂園</v>
      </c>
      <c r="C415" s="80" t="s">
        <v>556</v>
      </c>
      <c r="D415" s="81" t="str">
        <f>HYPERLINK("https://youtube.com/watch?v=WmolZ_rGA3s", "【東京 富士五湖の旅#最終回】綺麗な川越橫丁 | 漂亮的川越懷舊步行街 (中日字幕)")</f>
        <v>【東京 富士五湖の旅#最終回】綺麗な川越橫丁 | 漂亮的川越懷舊步行街 (中日字幕)</v>
      </c>
      <c r="E415" s="82">
        <v>42937.0</v>
      </c>
      <c r="F415" s="80">
        <v>281.0</v>
      </c>
      <c r="G415" s="80" t="s">
        <v>63</v>
      </c>
      <c r="I415" s="80" t="s">
        <v>63</v>
      </c>
      <c r="J415" s="80">
        <v>514.0</v>
      </c>
      <c r="K415" s="80">
        <v>0.919499105545617</v>
      </c>
      <c r="L415" s="80" t="s">
        <v>64</v>
      </c>
    </row>
    <row r="416">
      <c r="A416" s="80" t="s">
        <v>527</v>
      </c>
      <c r="B416" s="81" t="str">
        <f t="shared" si="18"/>
        <v>ようき楽園 / 玉其樂園</v>
      </c>
      <c r="C416" s="80" t="s">
        <v>557</v>
      </c>
      <c r="D416" s="81" t="str">
        <f>HYPERLINK("https://youtube.com/watch?v=hGHQHx_l2zA", "【東京 富士五湖の旅#6】私は 御宅族！？&amp; ユフォーキャッチャーの再挑戦 | 我是 御宅族！？＆再挑戰夾娃娃 (中日字幕)")</f>
        <v>【東京 富士五湖の旅#6】私は 御宅族！？&amp; ユフォーキャッチャーの再挑戦 | 我是 御宅族！？＆再挑戰夾娃娃 (中日字幕)</v>
      </c>
      <c r="E416" s="82">
        <v>42934.0</v>
      </c>
      <c r="F416" s="80">
        <v>298.0</v>
      </c>
      <c r="G416" s="80" t="s">
        <v>63</v>
      </c>
      <c r="I416" s="80" t="s">
        <v>63</v>
      </c>
      <c r="J416" s="80">
        <v>697.0</v>
      </c>
      <c r="K416" s="80">
        <v>0.884517766497461</v>
      </c>
      <c r="L416" s="80" t="s">
        <v>64</v>
      </c>
    </row>
    <row r="417">
      <c r="A417" s="80" t="s">
        <v>527</v>
      </c>
      <c r="B417" s="81" t="str">
        <f t="shared" si="18"/>
        <v>ようき楽園 / 玉其樂園</v>
      </c>
      <c r="C417" s="80" t="s">
        <v>558</v>
      </c>
      <c r="D417" s="81" t="str">
        <f>HYPERLINK("https://youtube.com/watch?v=nlU_1FRh1c4", "【東京 富士五湖の旅#5】東京大神宮＆UFOキャッチャーの初挑戦！ | 東京大神宮＆首次挑戰夾娃娃 (中日字幕)")</f>
        <v>【東京 富士五湖の旅#5】東京大神宮＆UFOキャッチャーの初挑戦！ | 東京大神宮＆首次挑戰夾娃娃 (中日字幕)</v>
      </c>
      <c r="E417" s="82">
        <v>42929.0</v>
      </c>
      <c r="F417" s="80">
        <v>261.0</v>
      </c>
      <c r="G417" s="80" t="s">
        <v>63</v>
      </c>
      <c r="I417" s="80" t="s">
        <v>63</v>
      </c>
      <c r="J417" s="80">
        <v>374.0</v>
      </c>
      <c r="K417" s="80">
        <v>0.992042440318302</v>
      </c>
      <c r="L417" s="80" t="s">
        <v>64</v>
      </c>
    </row>
    <row r="418">
      <c r="A418" s="80" t="s">
        <v>527</v>
      </c>
      <c r="B418" s="81" t="str">
        <f t="shared" si="18"/>
        <v>ようき楽園 / 玉其樂園</v>
      </c>
      <c r="C418" s="80" t="s">
        <v>559</v>
      </c>
      <c r="D418" s="81" t="str">
        <f>HYPERLINK("https://youtube.com/watch?v=_F72cS6rk_k", "【東京 富士五湖の旅#4】宮崎駿とディスニーの世界に入る | 進入宮崎駿及廸士尼的世界 (中日字幕)")</f>
        <v>【東京 富士五湖の旅#4】宮崎駿とディスニーの世界に入る | 進入宮崎駿及廸士尼的世界 (中日字幕)</v>
      </c>
      <c r="E418" s="82">
        <v>42928.0</v>
      </c>
      <c r="F418" s="80">
        <v>326.0</v>
      </c>
      <c r="G418" s="80" t="s">
        <v>63</v>
      </c>
      <c r="I418" s="80" t="s">
        <v>63</v>
      </c>
      <c r="J418" s="80">
        <v>854.0</v>
      </c>
      <c r="K418" s="80">
        <v>0.974885844748858</v>
      </c>
      <c r="L418" s="80" t="s">
        <v>64</v>
      </c>
    </row>
    <row r="419">
      <c r="A419" s="80" t="s">
        <v>527</v>
      </c>
      <c r="B419" s="81" t="str">
        <f t="shared" si="18"/>
        <v>ようき楽園 / 玉其樂園</v>
      </c>
      <c r="C419" s="80" t="s">
        <v>560</v>
      </c>
      <c r="D419" s="81" t="str">
        <f>HYPERLINK("https://youtube.com/watch?v=ZHA5NdJqXGM", "【東京 富士五湖の旅#3】山中湖で富士山の名水を飲む | 在山中湖喝富士山水 (中日字幕)")</f>
        <v>【東京 富士五湖の旅#3】山中湖で富士山の名水を飲む | 在山中湖喝富士山水 (中日字幕)</v>
      </c>
      <c r="E419" s="82">
        <v>42927.0</v>
      </c>
      <c r="F419" s="80">
        <v>284.0</v>
      </c>
      <c r="G419" s="80" t="s">
        <v>63</v>
      </c>
      <c r="I419" s="80" t="s">
        <v>63</v>
      </c>
      <c r="J419" s="80">
        <v>717.0</v>
      </c>
      <c r="K419" s="80">
        <v>0.991701244813278</v>
      </c>
      <c r="L419" s="80" t="s">
        <v>64</v>
      </c>
    </row>
    <row r="420">
      <c r="A420" s="80" t="s">
        <v>527</v>
      </c>
      <c r="B420" s="81" t="str">
        <f t="shared" si="18"/>
        <v>ようき楽園 / 玉其樂園</v>
      </c>
      <c r="C420" s="80" t="s">
        <v>561</v>
      </c>
      <c r="D420" s="81" t="str">
        <f>HYPERLINK("https://youtube.com/watch?v=GQJYvXA2OVo", "【東京 富士五湖の旅#2】河口湖で富士山を見る | 河口湖看富士山 (中日字幕)")</f>
        <v>【東京 富士五湖の旅#2】河口湖で富士山を見る | 河口湖看富士山 (中日字幕)</v>
      </c>
      <c r="E420" s="82">
        <v>42923.0</v>
      </c>
      <c r="F420" s="80">
        <v>438.0</v>
      </c>
      <c r="G420" s="80" t="s">
        <v>63</v>
      </c>
      <c r="I420" s="80" t="s">
        <v>63</v>
      </c>
      <c r="J420" s="80">
        <v>1300.0</v>
      </c>
      <c r="K420" s="80">
        <v>0.989345509893455</v>
      </c>
      <c r="L420" s="80" t="s">
        <v>64</v>
      </c>
    </row>
    <row r="421">
      <c r="A421" s="80" t="s">
        <v>527</v>
      </c>
      <c r="B421" s="81" t="str">
        <f t="shared" si="18"/>
        <v>ようき楽園 / 玉其樂園</v>
      </c>
      <c r="C421" s="80" t="s">
        <v>562</v>
      </c>
      <c r="D421" s="81" t="str">
        <f>HYPERLINK("https://youtube.com/watch?v=s_R7z4jb5RE", "【東京 富士五湖の旅#1】綺麗な特急で河口湖に行こう！ | 坐超美火車去河口湖 (中日字幕)")</f>
        <v>【東京 富士五湖の旅#1】綺麗な特急で河口湖に行こう！ | 坐超美火車去河口湖 (中日字幕)</v>
      </c>
      <c r="E421" s="82">
        <v>42916.0</v>
      </c>
      <c r="F421" s="80">
        <v>464.0</v>
      </c>
      <c r="G421" s="80" t="s">
        <v>63</v>
      </c>
      <c r="I421" s="80" t="s">
        <v>63</v>
      </c>
      <c r="J421" s="80">
        <v>1308.0</v>
      </c>
      <c r="K421" s="80">
        <v>0.964601769911504</v>
      </c>
      <c r="L421" s="80" t="s">
        <v>64</v>
      </c>
    </row>
    <row r="422">
      <c r="A422" s="80" t="s">
        <v>563</v>
      </c>
      <c r="B422" s="81" t="str">
        <f t="shared" ref="B422:B444" si="19">HYPERLINK("https://www.youtube.com/channel/UCPIFyB-nsGoCtS6cIikPuhA", "Sabi Jay on earth")</f>
        <v>Sabi Jay on earth</v>
      </c>
      <c r="C422" s="80" t="s">
        <v>564</v>
      </c>
      <c r="D422" s="81" t="str">
        <f>HYPERLINK("https://youtube.com/watch?v=nalyUlBrTNg", "【埃及Vlog5】必去！埃及深度遊・一千零一夜之【黑白沙漠】🔮沙漠中的水晶山 EGYPT TRAVEL－Black &amp; White Desert Via ✨Sparkling CRYSTAL Mt.")</f>
        <v>【埃及Vlog5】必去！埃及深度遊・一千零一夜之【黑白沙漠】🔮沙漠中的水晶山 EGYPT TRAVEL－Black &amp; White Desert Via ✨Sparkling CRYSTAL Mt.</v>
      </c>
      <c r="E422" s="82">
        <v>44520.0</v>
      </c>
      <c r="F422" s="80">
        <v>402.0</v>
      </c>
      <c r="G422" s="80" t="s">
        <v>63</v>
      </c>
      <c r="I422" s="80" t="s">
        <v>63</v>
      </c>
      <c r="J422" s="80">
        <v>524.0</v>
      </c>
      <c r="K422" s="80">
        <v>0.930728241563055</v>
      </c>
      <c r="L422" s="80" t="s">
        <v>521</v>
      </c>
    </row>
    <row r="423">
      <c r="A423" s="80" t="s">
        <v>563</v>
      </c>
      <c r="B423" s="81" t="str">
        <f t="shared" si="19"/>
        <v>Sabi Jay on earth</v>
      </c>
      <c r="C423" s="80" t="s">
        <v>565</v>
      </c>
      <c r="D423" s="81" t="str">
        <f>HYPERLINK("https://youtube.com/watch?v=Q8oL01f6U9g", "【埃及Vlog4】埃及必去博物館•圖坦卡門的秘密！開羅最高建築🛕旋轉餐廳🍴EGYPT Must Go! CARIO MUSEUM - The S￼ecret of Tutankhamen🕋")</f>
        <v>【埃及Vlog4】埃及必去博物館•圖坦卡門的秘密！開羅最高建築🛕旋轉餐廳🍴EGYPT Must Go! CARIO MUSEUM - The S￼ecret of Tutankhamen🕋</v>
      </c>
      <c r="E423" s="82">
        <v>44499.0</v>
      </c>
      <c r="F423" s="80">
        <v>356.0</v>
      </c>
      <c r="G423" s="80" t="s">
        <v>63</v>
      </c>
      <c r="I423" s="80" t="s">
        <v>63</v>
      </c>
      <c r="J423" s="80">
        <v>463.0</v>
      </c>
      <c r="K423" s="80">
        <v>0.941056910569105</v>
      </c>
      <c r="L423" s="80" t="s">
        <v>64</v>
      </c>
    </row>
    <row r="424">
      <c r="A424" s="80" t="s">
        <v>563</v>
      </c>
      <c r="B424" s="81" t="str">
        <f t="shared" si="19"/>
        <v>Sabi Jay on earth</v>
      </c>
      <c r="C424" s="80" t="s">
        <v>566</v>
      </c>
      <c r="D424" s="81" t="str">
        <f>HYPERLINK("https://youtube.com/watch?v=knrDUhg3YTE", "【埃及VLOG 3】最遠神廟🤖變形金剛拍攝地！阿布辛貝神廟🙏遊走埃及沿河神廟 🇪🇬 Transformer Filming Site! Abu Simbel⛴Egypt Deep Travel")</f>
        <v>【埃及VLOG 3】最遠神廟🤖變形金剛拍攝地！阿布辛貝神廟🙏遊走埃及沿河神廟 🇪🇬 Transformer Filming Site! Abu Simbel⛴Egypt Deep Travel</v>
      </c>
      <c r="E424" s="82">
        <v>44485.0</v>
      </c>
      <c r="F424" s="80">
        <v>404.0</v>
      </c>
      <c r="G424" s="80" t="s">
        <v>63</v>
      </c>
      <c r="I424" s="80" t="s">
        <v>63</v>
      </c>
      <c r="J424" s="80">
        <v>585.0</v>
      </c>
      <c r="K424" s="80">
        <v>0.811373092926491</v>
      </c>
      <c r="L424" s="80" t="s">
        <v>521</v>
      </c>
    </row>
    <row r="425">
      <c r="A425" s="80" t="s">
        <v>563</v>
      </c>
      <c r="B425" s="81" t="str">
        <f t="shared" si="19"/>
        <v>Sabi Jay on earth</v>
      </c>
      <c r="C425" s="80" t="s">
        <v>567</v>
      </c>
      <c r="D425" s="81" t="str">
        <f>HYPERLINK("https://youtube.com/watch?v=OEOGBFeQQj0", "【埃及VLOG 2】阿斯旺・穿越南尼羅河－拜訪愛神💘河中央的菲萊神廟＋郵輪初體驗⛴Across Nile River🌊 Finding the god of LOVE @PHILAE TEMPLE")</f>
        <v>【埃及VLOG 2】阿斯旺・穿越南尼羅河－拜訪愛神💘河中央的菲萊神廟＋郵輪初體驗⛴Across Nile River🌊 Finding the god of LOVE @PHILAE TEMPLE</v>
      </c>
      <c r="E425" s="82">
        <v>44471.0</v>
      </c>
      <c r="F425" s="80">
        <v>432.0</v>
      </c>
      <c r="G425" s="80" t="s">
        <v>63</v>
      </c>
      <c r="I425" s="80" t="s">
        <v>63</v>
      </c>
      <c r="J425" s="80">
        <v>474.0</v>
      </c>
      <c r="K425" s="80">
        <v>0.884328358208955</v>
      </c>
      <c r="L425" s="80" t="s">
        <v>521</v>
      </c>
    </row>
    <row r="426">
      <c r="A426" s="80" t="s">
        <v>563</v>
      </c>
      <c r="B426" s="81" t="str">
        <f t="shared" si="19"/>
        <v>Sabi Jay on earth</v>
      </c>
      <c r="C426" s="80" t="s">
        <v>568</v>
      </c>
      <c r="D426" s="81" t="str">
        <f>HYPERLINK("https://youtube.com/watch?v=U9s-uQO-qTU", "【埃及VLOG】埃及熱辣辣・開羅 深度遊🇪🇬 胡夫金字塔－騎駱駝－獅身人面像 Once In A Life Time－GIZA, EGYPT🌞🔥The Great Pyramid &amp; Sphinx")</f>
        <v>【埃及VLOG】埃及熱辣辣・開羅 深度遊🇪🇬 胡夫金字塔－騎駱駝－獅身人面像 Once In A Life Time－GIZA, EGYPT🌞🔥The Great Pyramid &amp; Sphinx</v>
      </c>
      <c r="E426" s="82">
        <v>44471.0</v>
      </c>
      <c r="F426" s="80">
        <v>599.0</v>
      </c>
      <c r="G426" s="80" t="s">
        <v>63</v>
      </c>
      <c r="I426" s="80" t="s">
        <v>63</v>
      </c>
      <c r="J426" s="80">
        <v>777.0</v>
      </c>
      <c r="K426" s="80">
        <v>0.884965831435079</v>
      </c>
      <c r="L426" s="80" t="s">
        <v>521</v>
      </c>
    </row>
    <row r="427">
      <c r="A427" s="80" t="s">
        <v>563</v>
      </c>
      <c r="B427" s="81" t="str">
        <f t="shared" si="19"/>
        <v>Sabi Jay on earth</v>
      </c>
      <c r="C427" s="80" t="s">
        <v>569</v>
      </c>
      <c r="D427" s="81" t="str">
        <f>HYPERLINK("https://youtube.com/watch?v=nXpfGrwmU10", "【羅馬VLOG 2】羅馬假期・萬神殿🇮🇹 義大利・最好食PIZZA！一試難忘🔥🍕The Pizza Show Recommended! World Famous Pizza #BOP 😋🍕")</f>
        <v>【羅馬VLOG 2】羅馬假期・萬神殿🇮🇹 義大利・最好食PIZZA！一試難忘🔥🍕The Pizza Show Recommended! World Famous Pizza #BOP 😋🍕</v>
      </c>
      <c r="E427" s="82">
        <v>44457.0</v>
      </c>
      <c r="F427" s="80">
        <v>444.0</v>
      </c>
      <c r="G427" s="80" t="s">
        <v>63</v>
      </c>
      <c r="I427" s="80" t="s">
        <v>63</v>
      </c>
      <c r="J427" s="80">
        <v>552.0</v>
      </c>
      <c r="K427" s="80">
        <v>0.956672443674176</v>
      </c>
      <c r="L427" s="80" t="s">
        <v>521</v>
      </c>
    </row>
    <row r="428">
      <c r="A428" s="80" t="s">
        <v>563</v>
      </c>
      <c r="B428" s="81" t="str">
        <f t="shared" si="19"/>
        <v>Sabi Jay on earth</v>
      </c>
      <c r="C428" s="80" t="s">
        <v>570</v>
      </c>
      <c r="D428" s="81" t="str">
        <f>HYPERLINK("https://youtube.com/watch?v=qIOQkzM6RRg", "【羅馬VLOG】朝聖之旅・梵帝岡 博物館 🇮🇹 ✝聖彼得大教堂 ✝ ROME Travel -Vatican City🌟 St. Peter's Basilica ⛲️ Trevi Fountain")</f>
        <v>【羅馬VLOG】朝聖之旅・梵帝岡 博物館 🇮🇹 ✝聖彼得大教堂 ✝ ROME Travel -Vatican City🌟 St. Peter's Basilica ⛲️ Trevi Fountain</v>
      </c>
      <c r="E428" s="82">
        <v>44443.0</v>
      </c>
      <c r="F428" s="80">
        <v>485.0</v>
      </c>
      <c r="G428" s="80" t="s">
        <v>63</v>
      </c>
      <c r="I428" s="80" t="s">
        <v>63</v>
      </c>
      <c r="J428" s="80">
        <v>649.0</v>
      </c>
      <c r="K428" s="80">
        <v>0.933812949640287</v>
      </c>
      <c r="L428" s="80" t="s">
        <v>521</v>
      </c>
    </row>
    <row r="429">
      <c r="A429" s="80" t="s">
        <v>563</v>
      </c>
      <c r="B429" s="81" t="str">
        <f t="shared" si="19"/>
        <v>Sabi Jay on earth</v>
      </c>
      <c r="C429" s="80" t="s">
        <v>571</v>
      </c>
      <c r="D429" s="81" t="str">
        <f>HYPERLINK("https://youtube.com/watch?v=pv1bK-9fS8s", "【東京VLOG🎌 食好西3】我真係好L掛住日本！築地漁市場 | 人氣① 壽司店 | 街頭美食🍧🍡🍙 TOKYO Best SUSHI🐟💯🇯🇵Tsukiji Fish Market🎏")</f>
        <v>【東京VLOG🎌 食好西3】我真係好L掛住日本！築地漁市場 | 人氣① 壽司店 | 街頭美食🍧🍡🍙 TOKYO Best SUSHI🐟💯🇯🇵Tsukiji Fish Market🎏</v>
      </c>
      <c r="E429" s="82">
        <v>44398.0</v>
      </c>
      <c r="F429" s="80">
        <v>644.0</v>
      </c>
      <c r="G429" s="80" t="s">
        <v>63</v>
      </c>
      <c r="I429" s="80" t="s">
        <v>63</v>
      </c>
      <c r="J429" s="80">
        <v>717.0</v>
      </c>
      <c r="K429" s="80">
        <v>0.90759493670886</v>
      </c>
      <c r="L429" s="80" t="s">
        <v>521</v>
      </c>
    </row>
    <row r="430">
      <c r="A430" s="80" t="s">
        <v>563</v>
      </c>
      <c r="B430" s="81" t="str">
        <f t="shared" si="19"/>
        <v>Sabi Jay on earth</v>
      </c>
      <c r="C430" s="80" t="s">
        <v>572</v>
      </c>
      <c r="D430" s="81" t="str">
        <f>HYPERLINK("https://youtube.com/watch?v=Ks1MjsIgs3M", "【東京VLOG】🎌大男孩旅行必去－ 1：1獨角獸高達 | 📸🛰航拍台場夜景 🤖  Boys Travel－GANDUM STATUE IN TOKYO | DIVER CITY JOYPOLIS 🎮👊")</f>
        <v>【東京VLOG】🎌大男孩旅行必去－ 1：1獨角獸高達 | 📸🛰航拍台場夜景 🤖  Boys Travel－GANDUM STATUE IN TOKYO | DIVER CITY JOYPOLIS 🎮👊</v>
      </c>
      <c r="E430" s="82">
        <v>44387.0</v>
      </c>
      <c r="F430" s="80">
        <v>356.0</v>
      </c>
      <c r="G430" s="80" t="s">
        <v>63</v>
      </c>
      <c r="I430" s="80" t="s">
        <v>63</v>
      </c>
      <c r="J430" s="80">
        <v>385.0</v>
      </c>
      <c r="K430" s="80">
        <v>0.808823529411764</v>
      </c>
      <c r="L430" s="80" t="s">
        <v>521</v>
      </c>
    </row>
    <row r="431">
      <c r="A431" s="80" t="s">
        <v>563</v>
      </c>
      <c r="B431" s="81" t="str">
        <f t="shared" si="19"/>
        <v>Sabi Jay on earth</v>
      </c>
      <c r="C431" s="80" t="s">
        <v>573</v>
      </c>
      <c r="D431" s="81" t="str">
        <f>HYPERLINK("https://youtube.com/watch?v=xdlKEU7rt0s", "【TOYKO VLOG 🇯🇵食好西】東京美食攻略😋👣新宿｜澀谷｜雷門淺草寺⛩👣熱點必食必逛 🗼｜JAPAN Foodie Trip! TOKYO 🎌 SHIBUYA EAT・PLAY・broLOVE💖")</f>
        <v>【TOYKO VLOG 🇯🇵食好西】東京美食攻略😋👣新宿｜澀谷｜雷門淺草寺⛩👣熱點必食必逛 🗼｜JAPAN Foodie Trip! TOKYO 🎌 SHIBUYA EAT・PLAY・broLOVE💖</v>
      </c>
      <c r="E431" s="82">
        <v>44381.0</v>
      </c>
      <c r="F431" s="80">
        <v>464.0</v>
      </c>
      <c r="G431" s="80" t="s">
        <v>63</v>
      </c>
      <c r="I431" s="80" t="s">
        <v>63</v>
      </c>
      <c r="J431" s="80">
        <v>310.0</v>
      </c>
      <c r="K431" s="80">
        <v>0.925373134328358</v>
      </c>
      <c r="L431" s="80" t="s">
        <v>521</v>
      </c>
    </row>
    <row r="432">
      <c r="A432" s="80" t="s">
        <v>563</v>
      </c>
      <c r="B432" s="81" t="str">
        <f t="shared" si="19"/>
        <v>Sabi Jay on earth</v>
      </c>
      <c r="C432" s="80" t="s">
        <v>574</v>
      </c>
      <c r="D432" s="81" t="str">
        <f>HYPERLINK("https://youtube.com/watch?v=K1gqs3ApbEo", "【巴黎Vlog🇫🇷食好西3】最地道體驗❣️1天巴黎人－🍴法式大排檔 x 電動滑板車 | 1Day Parisian🇫🇷Local Fav. Restaurant &amp; Electric Scooter🛴")</f>
        <v>【巴黎Vlog🇫🇷食好西3】最地道體驗❣️1天巴黎人－🍴法式大排檔 x 電動滑板車 | 1Day Parisian🇫🇷Local Fav. Restaurant &amp; Electric Scooter🛴</v>
      </c>
      <c r="E432" s="82">
        <v>44373.0</v>
      </c>
      <c r="F432" s="80">
        <v>579.0</v>
      </c>
      <c r="G432" s="80" t="s">
        <v>63</v>
      </c>
      <c r="I432" s="80" t="s">
        <v>63</v>
      </c>
      <c r="J432" s="80">
        <v>467.0</v>
      </c>
      <c r="K432" s="80">
        <v>0.910331384015594</v>
      </c>
      <c r="L432" s="80" t="s">
        <v>521</v>
      </c>
    </row>
    <row r="433">
      <c r="A433" s="80" t="s">
        <v>563</v>
      </c>
      <c r="B433" s="81" t="str">
        <f t="shared" si="19"/>
        <v>Sabi Jay on earth</v>
      </c>
      <c r="C433" s="80" t="s">
        <v>575</v>
      </c>
      <c r="D433" s="81" t="str">
        <f>HYPERLINK("https://youtube.com/watch?v=YUbgGx-D12U", "【巴黎Vlog🇫🇷食好西2】－金蝸牛🐌 凡賽爾宮 x 免費羅浮宮 | EATING 🇫🇷SNAILS🐌 ＆FREE Entry @Louvre | Palace of Versailles 🏰")</f>
        <v>【巴黎Vlog🇫🇷食好西2】－金蝸牛🐌 凡賽爾宮 x 免費羅浮宮 | EATING 🇫🇷SNAILS🐌 ＆FREE Entry @Louvre | Palace of Versailles 🏰</v>
      </c>
      <c r="E433" s="82">
        <v>44365.0</v>
      </c>
      <c r="F433" s="80">
        <v>569.0</v>
      </c>
      <c r="G433" s="80" t="s">
        <v>63</v>
      </c>
      <c r="I433" s="80" t="s">
        <v>63</v>
      </c>
      <c r="J433" s="80">
        <v>485.0</v>
      </c>
      <c r="K433" s="80">
        <v>0.939922480620155</v>
      </c>
      <c r="L433" s="80" t="s">
        <v>521</v>
      </c>
    </row>
    <row r="434">
      <c r="A434" s="80" t="s">
        <v>563</v>
      </c>
      <c r="B434" s="81" t="str">
        <f t="shared" si="19"/>
        <v>Sabi Jay on earth</v>
      </c>
      <c r="C434" s="80" t="s">
        <v>576</v>
      </c>
      <c r="D434" s="81" t="str">
        <f>HYPERLINK("https://youtube.com/watch?v=mPJ-7uM5W08", "【PARIS Vlog食好西】🇫🇷米芝蓮餐廳推介🇫🇷 Eiffel Tower Light Show✨Notre-Dome pre-fire🙏 巴黎鐵塔幻燈show✨完整的巴黎聖母院🕍")</f>
        <v>【PARIS Vlog食好西】🇫🇷米芝蓮餐廳推介🇫🇷 Eiffel Tower Light Show✨Notre-Dome pre-fire🙏 巴黎鐵塔幻燈show✨完整的巴黎聖母院🕍</v>
      </c>
      <c r="E434" s="82">
        <v>44359.0</v>
      </c>
      <c r="F434" s="80">
        <v>539.0</v>
      </c>
      <c r="G434" s="80" t="s">
        <v>63</v>
      </c>
      <c r="I434" s="80" t="s">
        <v>63</v>
      </c>
      <c r="J434" s="80">
        <v>647.0</v>
      </c>
      <c r="K434" s="80">
        <v>0.959940652818991</v>
      </c>
      <c r="L434" s="80" t="s">
        <v>521</v>
      </c>
    </row>
    <row r="435">
      <c r="A435" s="80" t="s">
        <v>563</v>
      </c>
      <c r="B435" s="81" t="str">
        <f t="shared" si="19"/>
        <v>Sabi Jay on earth</v>
      </c>
      <c r="C435" s="80" t="s">
        <v>577</v>
      </c>
      <c r="D435" s="81" t="str">
        <f>HYPERLINK("https://youtube.com/watch?v=bb-x55FpIGc", "✋⛰【文化大不同🖐🏻用手食飯！世界最高・雲頂賭城 】Eat by HANDS! @Traditonal Indian Restaurant😳Resort World + Highest Casino💰")</f>
        <v>✋⛰【文化大不同🖐🏻用手食飯！世界最高・雲頂賭城 】Eat by HANDS! @Traditonal Indian Restaurant😳Resort World + Highest Casino💰</v>
      </c>
      <c r="E435" s="82">
        <v>44352.0</v>
      </c>
      <c r="F435" s="80">
        <v>329.0</v>
      </c>
      <c r="G435" s="80" t="s">
        <v>63</v>
      </c>
      <c r="I435" s="80" t="s">
        <v>63</v>
      </c>
      <c r="J435" s="80">
        <v>333.0</v>
      </c>
      <c r="K435" s="80">
        <v>0.892761394101876</v>
      </c>
      <c r="L435" s="80" t="s">
        <v>521</v>
      </c>
    </row>
    <row r="436">
      <c r="A436" s="80" t="s">
        <v>563</v>
      </c>
      <c r="B436" s="81" t="str">
        <f t="shared" si="19"/>
        <v>Sabi Jay on earth</v>
      </c>
      <c r="C436" s="80" t="s">
        <v>578</v>
      </c>
      <c r="D436" s="81" t="str">
        <f>HYPERLINK("https://youtube.com/watch?v=BjTXMW_84_U", "✨🕌【吉隆坡・必去洞穴寺廟・黑風洞 x 爆汁椰青 x 雙子塔 】The World Best! 💯 Batu Caves Temple＋World Tallest Twin Towers👀")</f>
        <v>✨🕌【吉隆坡・必去洞穴寺廟・黑風洞 x 爆汁椰青 x 雙子塔 】The World Best! 💯 Batu Caves Temple＋World Tallest Twin Towers👀</v>
      </c>
      <c r="E436" s="82">
        <v>44345.0</v>
      </c>
      <c r="F436" s="80">
        <v>299.0</v>
      </c>
      <c r="G436" s="80" t="s">
        <v>63</v>
      </c>
      <c r="I436" s="80" t="s">
        <v>63</v>
      </c>
      <c r="J436" s="80">
        <v>390.0</v>
      </c>
      <c r="K436" s="80">
        <v>0.924170616113744</v>
      </c>
      <c r="L436" s="80" t="s">
        <v>521</v>
      </c>
    </row>
    <row r="437">
      <c r="A437" s="80" t="s">
        <v>563</v>
      </c>
      <c r="B437" s="81" t="str">
        <f t="shared" si="19"/>
        <v>Sabi Jay on earth</v>
      </c>
      <c r="C437" s="80" t="s">
        <v>579</v>
      </c>
      <c r="D437" s="81" t="str">
        <f>HYPERLINK("https://youtube.com/watch?v=NmAg2sydMQk", "💰 🌊【TRAVEL ASIA】1Day in ""Asia Vegas🇲🇴"" | Kuala Lumpur ALOR Food Street🍗成碟青瓜過大海－亞洲賭城－澳門 ✈吉隆坡自由行－亞羅街夜市")</f>
        <v>💰 🌊【TRAVEL ASIA】1Day in "Asia Vegas🇲🇴" | Kuala Lumpur ALOR Food Street🍗成碟青瓜過大海－亞洲賭城－澳門 ✈吉隆坡自由行－亞羅街夜市</v>
      </c>
      <c r="E437" s="82">
        <v>44338.0</v>
      </c>
      <c r="F437" s="80">
        <v>488.0</v>
      </c>
      <c r="G437" s="80" t="s">
        <v>63</v>
      </c>
      <c r="I437" s="80" t="s">
        <v>63</v>
      </c>
      <c r="J437" s="80">
        <v>556.0</v>
      </c>
      <c r="K437" s="80">
        <v>0.901134521880064</v>
      </c>
      <c r="L437" s="80" t="s">
        <v>521</v>
      </c>
    </row>
    <row r="438">
      <c r="A438" s="80" t="s">
        <v>563</v>
      </c>
      <c r="B438" s="81" t="str">
        <f t="shared" si="19"/>
        <v>Sabi Jay on earth</v>
      </c>
      <c r="C438" s="80" t="s">
        <v>580</v>
      </c>
      <c r="D438" s="81" t="str">
        <f>HYPERLINK("https://youtube.com/watch?v=GdkA0qHibq8", "🇭🇰👣【香港遊2 • 維多利亞港 x 百年渡海小輪⛴ 】HK Fun part✌️100 yrs Ferry Ride x Victoria Harbour &amp; the BEST FOOD in HK")</f>
        <v>🇭🇰👣【香港遊2 • 維多利亞港 x 百年渡海小輪⛴ 】HK Fun part✌️100 yrs Ferry Ride x Victoria Harbour &amp; the BEST FOOD in HK</v>
      </c>
      <c r="E438" s="82">
        <v>44331.0</v>
      </c>
      <c r="F438" s="80">
        <v>270.0</v>
      </c>
      <c r="G438" s="80" t="s">
        <v>63</v>
      </c>
      <c r="I438" s="80" t="s">
        <v>63</v>
      </c>
      <c r="J438" s="80">
        <v>421.0</v>
      </c>
      <c r="K438" s="80">
        <v>0.888185654008438</v>
      </c>
      <c r="L438" s="80" t="s">
        <v>521</v>
      </c>
    </row>
    <row r="439">
      <c r="A439" s="80" t="s">
        <v>563</v>
      </c>
      <c r="B439" s="81" t="str">
        <f t="shared" si="19"/>
        <v>Sabi Jay on earth</v>
      </c>
      <c r="C439" s="80" t="s">
        <v>581</v>
      </c>
      <c r="D439" s="81" t="str">
        <f>HYPERLINK("https://youtube.com/watch?v=OKYuRihOu0Q", "💌❣【香港遊👣 升級商務位!? 母親節特集】Business class✈ Hong Kong🇭🇰! Wong family addition 💑Mother's day special💐")</f>
        <v>💌❣【香港遊👣 升級商務位!? 母親節特集】Business class✈ Hong Kong🇭🇰! Wong family addition 💑Mother's day special💐</v>
      </c>
      <c r="E439" s="82">
        <v>44324.0</v>
      </c>
      <c r="F439" s="80">
        <v>449.0</v>
      </c>
      <c r="G439" s="80" t="s">
        <v>63</v>
      </c>
      <c r="I439" s="80" t="s">
        <v>63</v>
      </c>
      <c r="J439" s="80">
        <v>575.0</v>
      </c>
      <c r="K439" s="80">
        <v>0.877862595419847</v>
      </c>
      <c r="L439" s="80" t="s">
        <v>582</v>
      </c>
    </row>
    <row r="440">
      <c r="A440" s="80" t="s">
        <v>563</v>
      </c>
      <c r="B440" s="81" t="str">
        <f t="shared" si="19"/>
        <v>Sabi Jay on earth</v>
      </c>
      <c r="C440" s="80" t="s">
        <v>583</v>
      </c>
      <c r="D440" s="81" t="str">
        <f>HYPERLINK("https://youtube.com/watch?v=UmKEJLX-VhA", "✨🚩【 土耳其必去景點 • 日落山丘 &amp; 白白☁️棉花堡 】The best in Turkey! 🔥Most popular Sunrise x Sunset places x PUMAKKLAE!")</f>
        <v>✨🚩【 土耳其必去景點 • 日落山丘 &amp; 白白☁️棉花堡 】The best in Turkey! 🔥Most popular Sunrise x Sunset places x PUMAKKLAE!</v>
      </c>
      <c r="E440" s="82">
        <v>44310.0</v>
      </c>
      <c r="F440" s="80">
        <v>479.0</v>
      </c>
      <c r="G440" s="80" t="s">
        <v>63</v>
      </c>
      <c r="I440" s="80" t="s">
        <v>63</v>
      </c>
      <c r="J440" s="80">
        <v>511.0</v>
      </c>
      <c r="K440" s="80">
        <v>0.922382671480144</v>
      </c>
      <c r="L440" s="80" t="s">
        <v>582</v>
      </c>
    </row>
    <row r="441">
      <c r="A441" s="80" t="s">
        <v>563</v>
      </c>
      <c r="B441" s="81" t="str">
        <f t="shared" si="19"/>
        <v>Sabi Jay on earth</v>
      </c>
      <c r="C441" s="80" t="s">
        <v>584</v>
      </c>
      <c r="D441" s="81" t="str">
        <f>HYPERLINK("https://youtube.com/watch?v=AgPdqZReUV8", "🥇✨NO.1 Reason WHY Cappadocia! 4K👓Bird Eye view Göreme Fairy Chimneys🧚‍♀️【2500呎的土耳其🇹🇷卡帕多奇亞❤必去! 🎈升空體驗】")</f>
        <v>🥇✨NO.1 Reason WHY Cappadocia! 4K👓Bird Eye view Göreme Fairy Chimneys🧚‍♀️【2500呎的土耳其🇹🇷卡帕多奇亞❤必去! 🎈升空體驗】</v>
      </c>
      <c r="E441" s="82">
        <v>44300.0</v>
      </c>
      <c r="F441" s="80">
        <v>564.0</v>
      </c>
      <c r="G441" s="80" t="s">
        <v>63</v>
      </c>
      <c r="I441" s="80" t="s">
        <v>63</v>
      </c>
      <c r="J441" s="80">
        <v>242.0</v>
      </c>
      <c r="K441" s="80">
        <v>0.927203065134099</v>
      </c>
      <c r="L441" s="80" t="s">
        <v>582</v>
      </c>
    </row>
    <row r="442">
      <c r="A442" s="80" t="s">
        <v>563</v>
      </c>
      <c r="B442" s="81" t="str">
        <f t="shared" si="19"/>
        <v>Sabi Jay on earth</v>
      </c>
      <c r="C442" s="80" t="s">
        <v>585</v>
      </c>
      <c r="D442" s="81" t="str">
        <f>HYPERLINK("https://youtube.com/watch?v=d4wYkPC4XHk", "👾✨Cappadocia The HIDDEN Underground City Derinkuyu + 🐴Horseback Riding! 【卡帕多奇亞 ‧ 60米地下古城 + ⛺山谷騎馬體驗】")</f>
        <v>👾✨Cappadocia The HIDDEN Underground City Derinkuyu + 🐴Horseback Riding! 【卡帕多奇亞 ‧ 60米地下古城 + ⛺山谷騎馬體驗】</v>
      </c>
      <c r="E442" s="82">
        <v>44289.0</v>
      </c>
      <c r="F442" s="80">
        <v>512.0</v>
      </c>
      <c r="G442" s="80" t="s">
        <v>63</v>
      </c>
      <c r="I442" s="80" t="s">
        <v>63</v>
      </c>
      <c r="J442" s="80">
        <v>432.0</v>
      </c>
      <c r="K442" s="80">
        <v>0.816635160680529</v>
      </c>
      <c r="L442" s="80" t="s">
        <v>582</v>
      </c>
    </row>
    <row r="443">
      <c r="A443" s="80" t="s">
        <v>563</v>
      </c>
      <c r="B443" s="81" t="str">
        <f t="shared" si="19"/>
        <v>Sabi Jay on earth</v>
      </c>
      <c r="C443" s="80" t="s">
        <v>586</v>
      </c>
      <c r="D443" s="81" t="str">
        <f>HYPERLINK("https://youtube.com/watch?v=6kZGXu4Ci10", "🚢🌊Exploring the Asian side of Istanbul 🇹🇷 TURKEY Trip【!!5分鐘 橫跨歐亞大陸 @土耳其 ‧ 伊斯坦堡 🇹🇷 】")</f>
        <v>🚢🌊Exploring the Asian side of Istanbul 🇹🇷 TURKEY Trip【!!5分鐘 橫跨歐亞大陸 @土耳其 ‧ 伊斯坦堡 🇹🇷 】</v>
      </c>
      <c r="E443" s="82">
        <v>44282.0</v>
      </c>
      <c r="F443" s="80">
        <v>321.0</v>
      </c>
      <c r="G443" s="80" t="s">
        <v>63</v>
      </c>
      <c r="I443" s="80" t="s">
        <v>63</v>
      </c>
      <c r="J443" s="80">
        <v>327.0</v>
      </c>
      <c r="K443" s="80">
        <v>0.75</v>
      </c>
      <c r="L443" s="80" t="s">
        <v>64</v>
      </c>
    </row>
    <row r="444">
      <c r="A444" s="80" t="s">
        <v>563</v>
      </c>
      <c r="B444" s="81" t="str">
        <f t="shared" si="19"/>
        <v>Sabi Jay on earth</v>
      </c>
      <c r="C444" s="80" t="s">
        <v>587</v>
      </c>
      <c r="D444" s="81" t="str">
        <f>HYPERLINK("https://youtube.com/watch?v=s_sgo3osuhc", "🥘🍷 9GAG BEST RESTURANT IN ISTANBUL TURKEY【土耳其 ‧ 伊斯坦堡 💁‍♀️ 9gag推薦 必試餐廳 🇹🇷🇹🇷|】")</f>
        <v>🥘🍷 9GAG BEST RESTURANT IN ISTANBUL TURKEY【土耳其 ‧ 伊斯坦堡 💁‍♀️ 9gag推薦 必試餐廳 🇹🇷🇹🇷|】</v>
      </c>
      <c r="E444" s="82">
        <v>44275.0</v>
      </c>
      <c r="F444" s="80">
        <v>414.0</v>
      </c>
      <c r="G444" s="80" t="s">
        <v>63</v>
      </c>
      <c r="I444" s="80" t="s">
        <v>63</v>
      </c>
      <c r="J444" s="80">
        <v>368.0</v>
      </c>
      <c r="K444" s="80">
        <v>0.834467120181405</v>
      </c>
      <c r="L444" s="80" t="s">
        <v>64</v>
      </c>
    </row>
    <row r="445">
      <c r="A445" s="80" t="s">
        <v>588</v>
      </c>
      <c r="B445" s="81" t="str">
        <f t="shared" ref="B445:B448" si="20">HYPERLINK("https://www.youtube.com/channel/UCaJ77iWZ8galtePlS_BtEKw", "西DorSi偽中產生活態度")</f>
        <v>西DorSi偽中產生活態度</v>
      </c>
      <c r="C445" s="80" t="s">
        <v>589</v>
      </c>
      <c r="D445" s="81" t="str">
        <f>HYPERLINK("https://youtube.com/watch?v=BZxCoxa8hMM", "[窮L遊記·期間限定篇] #39 點解咁失敗？！同啤Bear一齊去睇失敗展？！（絕密ng彩蛋）")</f>
        <v>[窮L遊記·期間限定篇] #39 點解咁失敗？！同啤Bear一齊去睇失敗展？！（絕密ng彩蛋）</v>
      </c>
      <c r="E445" s="82">
        <v>43490.0</v>
      </c>
      <c r="F445" s="80">
        <v>350.0</v>
      </c>
      <c r="G445" s="80" t="s">
        <v>63</v>
      </c>
      <c r="I445" s="80" t="s">
        <v>63</v>
      </c>
      <c r="J445" s="80">
        <v>1367.0</v>
      </c>
      <c r="K445" s="80">
        <v>0.95394277739009</v>
      </c>
      <c r="L445" s="80" t="s">
        <v>64</v>
      </c>
    </row>
    <row r="446">
      <c r="A446" s="80" t="s">
        <v>588</v>
      </c>
      <c r="B446" s="81" t="str">
        <f t="shared" si="20"/>
        <v>西DorSi偽中產生活態度</v>
      </c>
      <c r="C446" s="80" t="s">
        <v>590</v>
      </c>
      <c r="D446" s="81" t="str">
        <f>HYPERLINK("https://youtube.com/watch?v=sKudZekDN8g", "[窮L遊記‧酒店篇] #14 M Hotel 木雅酒店｜海岸城附近$700型格情侶酒店！")</f>
        <v>[窮L遊記‧酒店篇] #14 M Hotel 木雅酒店｜海岸城附近$700型格情侶酒店！</v>
      </c>
      <c r="E446" s="82">
        <v>43464.0</v>
      </c>
      <c r="F446" s="80">
        <v>1079.0</v>
      </c>
      <c r="G446" s="80" t="s">
        <v>63</v>
      </c>
      <c r="I446" s="80" t="s">
        <v>63</v>
      </c>
      <c r="J446" s="80">
        <v>2956.0</v>
      </c>
      <c r="K446" s="80">
        <v>0.939008894536213</v>
      </c>
      <c r="L446" s="80" t="s">
        <v>64</v>
      </c>
    </row>
    <row r="447">
      <c r="A447" s="80" t="s">
        <v>588</v>
      </c>
      <c r="B447" s="81" t="str">
        <f t="shared" si="20"/>
        <v>西DorSi偽中產生活態度</v>
      </c>
      <c r="C447" s="80" t="s">
        <v>591</v>
      </c>
      <c r="D447" s="81" t="str">
        <f>HYPERLINK("https://youtube.com/watch?v=CxEYRjr9SC4", "[窮L遊記·深圳篇] #80 Spacelab失重餐廳｜用過山車嚟送野食嘅餐廳！")</f>
        <v>[窮L遊記·深圳篇] #80 Spacelab失重餐廳｜用過山車嚟送野食嘅餐廳！</v>
      </c>
      <c r="E447" s="82">
        <v>43462.0</v>
      </c>
      <c r="F447" s="80">
        <v>1068.0</v>
      </c>
      <c r="G447" s="80" t="s">
        <v>63</v>
      </c>
      <c r="H447" s="80" t="s">
        <v>63</v>
      </c>
      <c r="I447" s="80" t="s">
        <v>63</v>
      </c>
      <c r="J447" s="80">
        <v>2922.0</v>
      </c>
      <c r="K447" s="80">
        <v>0.986150568181818</v>
      </c>
      <c r="L447" s="80" t="s">
        <v>271</v>
      </c>
    </row>
    <row r="448">
      <c r="A448" s="80" t="s">
        <v>588</v>
      </c>
      <c r="B448" s="81" t="str">
        <f t="shared" si="20"/>
        <v>西DorSi偽中產生活態度</v>
      </c>
      <c r="C448" s="80" t="s">
        <v>592</v>
      </c>
      <c r="D448" s="81" t="str">
        <f>HYPERLINK("https://youtube.com/watch?v=BMfpJ4OlkCc", "[窮L遊記·香港篇] #35-2 喜茶 要排5個鍾嘅香港喜茶分店 水準及唔及得住大陸分店？")</f>
        <v>[窮L遊記·香港篇] #35-2 喜茶 要排5個鍾嘅香港喜茶分店 水準及唔及得住大陸分店？</v>
      </c>
      <c r="E448" s="82">
        <v>43459.0</v>
      </c>
      <c r="F448" s="80">
        <v>1012.0</v>
      </c>
      <c r="G448" s="80" t="s">
        <v>63</v>
      </c>
      <c r="I448" s="80" t="s">
        <v>63</v>
      </c>
      <c r="J448" s="80">
        <v>3431.0</v>
      </c>
      <c r="K448" s="80">
        <v>0.958379888268156</v>
      </c>
      <c r="L448" s="80" t="s">
        <v>64</v>
      </c>
    </row>
    <row r="449">
      <c r="A449" s="80" t="s">
        <v>593</v>
      </c>
      <c r="B449" s="81" t="str">
        <f t="shared" ref="B449:B595" si="21">HYPERLINK("https://www.youtube.com/channel/UCsSO44XVYhs_fQU2zDR82CA", "餓底男女")</f>
        <v>餓底男女</v>
      </c>
      <c r="C449" s="80" t="s">
        <v>594</v>
      </c>
      <c r="D449" s="81" t="str">
        <f>HYPERLINK("https://youtube.com/watch?v=QFRZ4x65ORQ", "📵打唔通直接Walk-in‼ 伏唔伏? 台灣過江龍 無老鍋香港開業🆕 | 餓遊･香港 #83 [4K]")</f>
        <v>📵打唔通直接Walk-in‼ 伏唔伏? 台灣過江龍 無老鍋香港開業🆕 | 餓遊･香港 #83 [4K]</v>
      </c>
      <c r="E449" s="82">
        <v>44556.0</v>
      </c>
      <c r="F449" s="80">
        <v>616.0</v>
      </c>
      <c r="G449" s="80" t="s">
        <v>63</v>
      </c>
      <c r="I449" s="80" t="s">
        <v>63</v>
      </c>
      <c r="J449" s="80">
        <v>2396.0</v>
      </c>
      <c r="K449" s="80">
        <v>0.988856789104416</v>
      </c>
      <c r="L449" s="80" t="s">
        <v>64</v>
      </c>
    </row>
    <row r="450">
      <c r="A450" s="80" t="s">
        <v>593</v>
      </c>
      <c r="B450" s="81" t="str">
        <f t="shared" si="21"/>
        <v>餓底男女</v>
      </c>
      <c r="C450" s="80" t="s">
        <v>595</v>
      </c>
      <c r="D450" s="81" t="str">
        <f>HYPERLINK("https://youtube.com/watch?v=kYJkstvIqdw", "#米線關注組 不再隱世的圍村米線 | 餓遊･香港 #82 [4K]")</f>
        <v>#米線關注組 不再隱世的圍村米線 | 餓遊･香港 #82 [4K]</v>
      </c>
      <c r="E450" s="82">
        <v>44547.0</v>
      </c>
      <c r="F450" s="80">
        <v>223.0</v>
      </c>
      <c r="G450" s="80" t="s">
        <v>63</v>
      </c>
      <c r="I450" s="80" t="s">
        <v>63</v>
      </c>
      <c r="J450" s="80">
        <v>635.0</v>
      </c>
      <c r="K450" s="80">
        <v>0.98755832037325</v>
      </c>
      <c r="L450" s="80" t="s">
        <v>64</v>
      </c>
    </row>
    <row r="451">
      <c r="A451" s="80" t="s">
        <v>593</v>
      </c>
      <c r="B451" s="81" t="str">
        <f t="shared" si="21"/>
        <v>餓底男女</v>
      </c>
      <c r="C451" s="80" t="s">
        <v>596</v>
      </c>
      <c r="D451" s="81" t="str">
        <f>HYPERLINK("https://youtube.com/watch?v=e9ybm1VC0sM", "唔好咁悲傷啦😏 牛肉麵 🍜| 餓遊･香港 #81 [4K]")</f>
        <v>唔好咁悲傷啦😏 牛肉麵 🍜| 餓遊･香港 #81 [4K]</v>
      </c>
      <c r="E451" s="82">
        <v>44537.0</v>
      </c>
      <c r="F451" s="80">
        <v>194.0</v>
      </c>
      <c r="G451" s="80" t="s">
        <v>63</v>
      </c>
      <c r="I451" s="80" t="s">
        <v>63</v>
      </c>
      <c r="J451" s="80">
        <v>670.0</v>
      </c>
      <c r="K451" s="80">
        <v>0.989660265878877</v>
      </c>
      <c r="L451" s="80" t="s">
        <v>102</v>
      </c>
    </row>
    <row r="452">
      <c r="A452" s="80" t="s">
        <v>593</v>
      </c>
      <c r="B452" s="81" t="str">
        <f t="shared" si="21"/>
        <v>餓底男女</v>
      </c>
      <c r="C452" s="80" t="s">
        <v>597</v>
      </c>
      <c r="D452" s="81" t="str">
        <f>HYPERLINK("https://youtube.com/watch?v=uaMa0vcNvyU", "性價比2小時任食海鮮放題 | 餓遊･香港 #80 [4K]")</f>
        <v>性價比2小時任食海鮮放題 | 餓遊･香港 #80 [4K]</v>
      </c>
      <c r="E452" s="82">
        <v>44524.0</v>
      </c>
      <c r="F452" s="80">
        <v>338.0</v>
      </c>
      <c r="G452" s="80" t="s">
        <v>63</v>
      </c>
      <c r="I452" s="80" t="s">
        <v>63</v>
      </c>
      <c r="J452" s="80">
        <v>1088.0</v>
      </c>
      <c r="K452" s="80">
        <v>0.929120409906063</v>
      </c>
      <c r="L452" s="80" t="s">
        <v>102</v>
      </c>
    </row>
    <row r="453">
      <c r="A453" s="80" t="s">
        <v>593</v>
      </c>
      <c r="B453" s="81" t="str">
        <f t="shared" si="21"/>
        <v>餓底男女</v>
      </c>
      <c r="C453" s="80" t="s">
        <v>598</v>
      </c>
      <c r="D453" s="81" t="str">
        <f>HYPERLINK("https://youtube.com/watch?v=at9qHbVUYv8", "[巨大化迎戰!!] 壽司郎大反擊! | 餓遊･香港 #79 [4K]")</f>
        <v>[巨大化迎戰!!] 壽司郎大反擊! | 餓遊･香港 #79 [4K]</v>
      </c>
      <c r="E453" s="82">
        <v>44508.0</v>
      </c>
      <c r="F453" s="80">
        <v>334.0</v>
      </c>
      <c r="G453" s="80" t="s">
        <v>63</v>
      </c>
      <c r="I453" s="80" t="s">
        <v>63</v>
      </c>
      <c r="J453" s="80">
        <v>941.0</v>
      </c>
      <c r="K453" s="80">
        <v>0.958248472505091</v>
      </c>
      <c r="L453" s="80" t="s">
        <v>102</v>
      </c>
    </row>
    <row r="454">
      <c r="A454" s="80" t="s">
        <v>593</v>
      </c>
      <c r="B454" s="81" t="str">
        <f t="shared" si="21"/>
        <v>餓底男女</v>
      </c>
      <c r="C454" s="80" t="s">
        <v>599</v>
      </c>
      <c r="D454" s="81" t="str">
        <f>HYPERLINK("https://youtube.com/watch?v=rbvA56mZx4E", "排3個鐘值咩? 🤨 DONKI 全球第一間回転寿司 🍣 鮮選壽司 | 餓遊･香港 #78 [4K]")</f>
        <v>排3個鐘值咩? 🤨 DONKI 全球第一間回転寿司 🍣 鮮選壽司 | 餓遊･香港 #78 [4K]</v>
      </c>
      <c r="E454" s="82">
        <v>44500.0</v>
      </c>
      <c r="F454" s="80">
        <v>651.0</v>
      </c>
      <c r="G454" s="80" t="s">
        <v>63</v>
      </c>
      <c r="I454" s="80" t="s">
        <v>63</v>
      </c>
      <c r="J454" s="80">
        <v>2012.0</v>
      </c>
      <c r="K454" s="80">
        <v>0.932344763670064</v>
      </c>
      <c r="L454" s="80" t="s">
        <v>102</v>
      </c>
    </row>
    <row r="455">
      <c r="A455" s="80" t="s">
        <v>593</v>
      </c>
      <c r="B455" s="81" t="str">
        <f t="shared" si="21"/>
        <v>餓底男女</v>
      </c>
      <c r="C455" s="80" t="s">
        <v>600</v>
      </c>
      <c r="D455" s="81" t="str">
        <f>HYPERLINK("https://youtube.com/watch?v=crKLFgK8DnI", "真係1蚊落樓⁉️🙀 $1羊腩煲🐑 自費實測 | 餓遊･香港 #77 [4K]")</f>
        <v>真係1蚊落樓⁉️🙀 $1羊腩煲🐑 自費實測 | 餓遊･香港 #77 [4K]</v>
      </c>
      <c r="E455" s="82">
        <v>44497.0</v>
      </c>
      <c r="F455" s="80">
        <v>152.0</v>
      </c>
      <c r="G455" s="80" t="s">
        <v>63</v>
      </c>
      <c r="I455" s="80" t="s">
        <v>63</v>
      </c>
      <c r="J455" s="80">
        <v>561.0</v>
      </c>
      <c r="K455" s="80">
        <v>0.963917525773195</v>
      </c>
      <c r="L455" s="80" t="s">
        <v>102</v>
      </c>
    </row>
    <row r="456">
      <c r="A456" s="80" t="s">
        <v>593</v>
      </c>
      <c r="B456" s="81" t="str">
        <f t="shared" si="21"/>
        <v>餓底男女</v>
      </c>
      <c r="C456" s="80" t="s">
        <v>601</v>
      </c>
      <c r="D456" s="81" t="str">
        <f>HYPERLINK("https://youtube.com/watch?v=dq4HnHf5jt8", "🥘 $239食足10個鐘🕛高CP值食材📈不過衛生有待改進😰| 餓遊･香港 #76 [4K]")</f>
        <v>🥘 $239食足10個鐘🕛高CP值食材📈不過衛生有待改進😰| 餓遊･香港 #76 [4K]</v>
      </c>
      <c r="E456" s="82">
        <v>44488.0</v>
      </c>
      <c r="F456" s="80">
        <v>754.0</v>
      </c>
      <c r="G456" s="80" t="s">
        <v>63</v>
      </c>
      <c r="I456" s="80" t="s">
        <v>63</v>
      </c>
      <c r="J456" s="80">
        <v>2712.0</v>
      </c>
      <c r="K456" s="80">
        <v>0.95864262990456</v>
      </c>
      <c r="L456" s="80" t="s">
        <v>102</v>
      </c>
    </row>
    <row r="457">
      <c r="A457" s="80" t="s">
        <v>593</v>
      </c>
      <c r="B457" s="81" t="str">
        <f t="shared" si="21"/>
        <v>餓底男女</v>
      </c>
      <c r="C457" s="80" t="s">
        <v>602</v>
      </c>
      <c r="D457" s="81" t="str">
        <f>HYPERLINK("https://youtube.com/watch?v=-zRQYAPLSK8", "唔伏唔食🤮 平民壽司🍣鮮味定鯹味? 😓 誠實測試3間爭鮮 | 餓遊･香港 #75 [4K]")</f>
        <v>唔伏唔食🤮 平民壽司🍣鮮味定鯹味? 😓 誠實測試3間爭鮮 | 餓遊･香港 #75 [4K]</v>
      </c>
      <c r="E457" s="82">
        <v>44480.0</v>
      </c>
      <c r="F457" s="80">
        <v>447.0</v>
      </c>
      <c r="G457" s="80" t="s">
        <v>63</v>
      </c>
      <c r="I457" s="80" t="s">
        <v>63</v>
      </c>
      <c r="J457" s="80">
        <v>1731.0</v>
      </c>
      <c r="K457" s="80">
        <v>0.983522727272727</v>
      </c>
      <c r="L457" s="80" t="s">
        <v>102</v>
      </c>
    </row>
    <row r="458">
      <c r="A458" s="80" t="s">
        <v>593</v>
      </c>
      <c r="B458" s="81" t="str">
        <f t="shared" si="21"/>
        <v>餓底男女</v>
      </c>
      <c r="C458" s="80" t="s">
        <v>603</v>
      </c>
      <c r="D458" s="81" t="str">
        <f>HYPERLINK("https://youtube.com/watch?v=rEwyhuwSGhg", "[開箱實測] 真係無煙? 疑心大試下自己燒！2021新款無煙燒烤爐 | 餓遊･香港 #74 [4K]")</f>
        <v>[開箱實測] 真係無煙? 疑心大試下自己燒！2021新款無煙燒烤爐 | 餓遊･香港 #74 [4K]</v>
      </c>
      <c r="E458" s="82">
        <v>44472.0</v>
      </c>
      <c r="F458" s="80">
        <v>298.0</v>
      </c>
      <c r="G458" s="80" t="s">
        <v>63</v>
      </c>
      <c r="I458" s="80" t="s">
        <v>63</v>
      </c>
      <c r="J458" s="80">
        <v>833.0</v>
      </c>
      <c r="K458" s="80">
        <v>0.96300578034682</v>
      </c>
      <c r="L458" s="80" t="s">
        <v>102</v>
      </c>
    </row>
    <row r="459">
      <c r="A459" s="80" t="s">
        <v>593</v>
      </c>
      <c r="B459" s="81" t="str">
        <f t="shared" si="21"/>
        <v>餓底男女</v>
      </c>
      <c r="C459" s="80" t="s">
        <v>604</v>
      </c>
      <c r="D459" s="81" t="str">
        <f>HYPERLINK("https://youtube.com/watch?v=OdwyBkE1R40", "[中秋好去處] 小白鷺的八月十五 歐陸風湖景抵食西餐 | 餓遊･香港 #74 [4K]")</f>
        <v>[中秋好去處] 小白鷺的八月十五 歐陸風湖景抵食西餐 | 餓遊･香港 #74 [4K]</v>
      </c>
      <c r="E459" s="82">
        <v>44458.0</v>
      </c>
      <c r="F459" s="80">
        <v>320.0</v>
      </c>
      <c r="G459" s="80" t="s">
        <v>63</v>
      </c>
      <c r="I459" s="80" t="s">
        <v>63</v>
      </c>
      <c r="J459" s="80">
        <v>1065.0</v>
      </c>
      <c r="K459" s="80">
        <v>0.959459459459459</v>
      </c>
      <c r="L459" s="80" t="s">
        <v>64</v>
      </c>
    </row>
    <row r="460">
      <c r="A460" s="80" t="s">
        <v>593</v>
      </c>
      <c r="B460" s="81" t="str">
        <f t="shared" si="21"/>
        <v>餓底男女</v>
      </c>
      <c r="C460" s="80" t="s">
        <v>605</v>
      </c>
      <c r="D460" s="81" t="str">
        <f>HYPERLINK("https://youtube.com/watch?v=U9ko0bt2eLQ", "唔伏唔食🚁 人氣過江龍?!「上次真係好食架」😭🤮 | 餓遊･香港 #73 [4K]")</f>
        <v>唔伏唔食🚁 人氣過江龍?!「上次真係好食架」😭🤮 | 餓遊･香港 #73 [4K]</v>
      </c>
      <c r="E460" s="82">
        <v>44447.0</v>
      </c>
      <c r="F460" s="80">
        <v>485.0</v>
      </c>
      <c r="G460" s="80" t="s">
        <v>63</v>
      </c>
      <c r="I460" s="80" t="s">
        <v>63</v>
      </c>
      <c r="J460" s="80">
        <v>1674.0</v>
      </c>
      <c r="K460" s="80">
        <v>0.974388824214202</v>
      </c>
      <c r="L460" s="80" t="s">
        <v>64</v>
      </c>
    </row>
    <row r="461">
      <c r="A461" s="80" t="s">
        <v>593</v>
      </c>
      <c r="B461" s="81" t="str">
        <f t="shared" si="21"/>
        <v>餓底男女</v>
      </c>
      <c r="C461" s="80" t="s">
        <v>606</v>
      </c>
      <c r="D461" s="81" t="str">
        <f>HYPERLINK("https://youtube.com/watch?v=6OZ3qbwmC6Y", "【食冰氷】華麗打卡冰火鍋 滿滿台灣風味 無意發現紅燒牛肉麵也很讚! | 餓遊･香港 #72 [4K]")</f>
        <v>【食冰氷】華麗打卡冰火鍋 滿滿台灣風味 無意發現紅燒牛肉麵也很讚! | 餓遊･香港 #72 [4K]</v>
      </c>
      <c r="E461" s="82">
        <v>44433.0</v>
      </c>
      <c r="F461" s="80">
        <v>363.0</v>
      </c>
      <c r="G461" s="80" t="s">
        <v>63</v>
      </c>
      <c r="I461" s="80" t="s">
        <v>63</v>
      </c>
      <c r="J461" s="80">
        <v>1552.0</v>
      </c>
      <c r="K461" s="80">
        <v>0.983523447401774</v>
      </c>
      <c r="L461" s="80" t="s">
        <v>64</v>
      </c>
    </row>
    <row r="462">
      <c r="A462" s="80" t="s">
        <v>593</v>
      </c>
      <c r="B462" s="81" t="str">
        <f t="shared" si="21"/>
        <v>餓底男女</v>
      </c>
      <c r="C462" s="80" t="s">
        <v>607</v>
      </c>
      <c r="D462" s="81" t="str">
        <f>HYPERLINK("https://youtube.com/watch?v=cU-xHxjrVI4", "二週年創業祭食唔食得過? 邊款encore3次咁多? 大埔壽司郎實測 | 餓遊･香港 #71 [4K]")</f>
        <v>二週年創業祭食唔食得過? 邊款encore3次咁多? 大埔壽司郎實測 | 餓遊･香港 #71 [4K]</v>
      </c>
      <c r="E462" s="82">
        <v>44427.0</v>
      </c>
      <c r="F462" s="80">
        <v>273.0</v>
      </c>
      <c r="G462" s="80" t="s">
        <v>63</v>
      </c>
      <c r="I462" s="80" t="s">
        <v>63</v>
      </c>
      <c r="J462" s="80">
        <v>751.0</v>
      </c>
      <c r="K462" s="80">
        <v>0.990765171503957</v>
      </c>
      <c r="L462" s="80" t="s">
        <v>64</v>
      </c>
    </row>
    <row r="463">
      <c r="A463" s="80" t="s">
        <v>593</v>
      </c>
      <c r="B463" s="81" t="str">
        <f t="shared" si="21"/>
        <v>餓底男女</v>
      </c>
      <c r="C463" s="80" t="s">
        <v>608</v>
      </c>
      <c r="D463" s="81" t="str">
        <f>HYPERLINK("https://youtube.com/watch?v=vHFiLnagEuA", "1️⃣片混亂的旗艦店🚩 平食豬牛羊🐷🐮🐑定量放題 🍦軟雪糕任擳 | 餓遊･香港 #70 [4K]")</f>
        <v>1️⃣片混亂的旗艦店🚩 平食豬牛羊🐷🐮🐑定量放題 🍦軟雪糕任擳 | 餓遊･香港 #70 [4K]</v>
      </c>
      <c r="E463" s="82">
        <v>44417.0</v>
      </c>
      <c r="F463" s="80">
        <v>369.0</v>
      </c>
      <c r="G463" s="80" t="s">
        <v>63</v>
      </c>
      <c r="I463" s="80" t="s">
        <v>63</v>
      </c>
      <c r="J463" s="80">
        <v>1371.0</v>
      </c>
      <c r="K463" s="80">
        <v>0.989177489177489</v>
      </c>
      <c r="L463" s="80" t="s">
        <v>102</v>
      </c>
    </row>
    <row r="464">
      <c r="A464" s="80" t="s">
        <v>593</v>
      </c>
      <c r="B464" s="81" t="str">
        <f t="shared" si="21"/>
        <v>餓底男女</v>
      </c>
      <c r="C464" s="80" t="s">
        <v>609</v>
      </c>
      <c r="D464" s="81" t="str">
        <f>HYPERLINK("https://youtube.com/watch?v=UplvXthVMMg", "全港最大DONKI! 最貴才是最伏🚁 🎊冷氣排隊區❄ 愛媛縣柚子麵🍋 蜜柑麵🍊 一人前流水麵機🍜 速食鮮魚料理🐟 | 餓遊･香港 #69 [4K]")</f>
        <v>全港最大DONKI! 最貴才是最伏🚁 🎊冷氣排隊區❄ 愛媛縣柚子麵🍋 蜜柑麵🍊 一人前流水麵機🍜 速食鮮魚料理🐟 | 餓遊･香港 #69 [4K]</v>
      </c>
      <c r="E464" s="82">
        <v>44409.0</v>
      </c>
      <c r="F464" s="80">
        <v>640.0</v>
      </c>
      <c r="G464" s="80" t="s">
        <v>63</v>
      </c>
      <c r="I464" s="80" t="s">
        <v>63</v>
      </c>
      <c r="J464" s="80">
        <v>1903.0</v>
      </c>
      <c r="K464" s="80">
        <v>0.947237431557989</v>
      </c>
      <c r="L464" s="80" t="s">
        <v>102</v>
      </c>
    </row>
    <row r="465">
      <c r="A465" s="80" t="s">
        <v>593</v>
      </c>
      <c r="B465" s="81" t="str">
        <f t="shared" si="21"/>
        <v>餓底男女</v>
      </c>
      <c r="C465" s="80" t="s">
        <v>610</v>
      </c>
      <c r="D465" s="81" t="str">
        <f>HYPERLINK("https://youtube.com/watch?v=sSNbaVPGYcM", "🤮唔伏唔食🤢會食到乾塘的🈳任食流水蝦🦐⁉ 150分鐘「任食」海鮮燒烤「放題」 | 餓遊･香港 #68 [4K]")</f>
        <v>🤮唔伏唔食🤢會食到乾塘的🈳任食流水蝦🦐⁉ 150分鐘「任食」海鮮燒烤「放題」 | 餓遊･香港 #68 [4K]</v>
      </c>
      <c r="E465" s="82">
        <v>44382.0</v>
      </c>
      <c r="F465" s="80">
        <v>535.0</v>
      </c>
      <c r="G465" s="80" t="s">
        <v>63</v>
      </c>
      <c r="H465" s="80" t="s">
        <v>63</v>
      </c>
      <c r="I465" s="80" t="s">
        <v>63</v>
      </c>
      <c r="J465" s="80">
        <v>1486.0</v>
      </c>
      <c r="K465" s="80">
        <v>0.990006662225183</v>
      </c>
      <c r="L465" s="80" t="s">
        <v>66</v>
      </c>
    </row>
    <row r="466">
      <c r="A466" s="80" t="s">
        <v>593</v>
      </c>
      <c r="B466" s="81" t="str">
        <f t="shared" si="21"/>
        <v>餓底男女</v>
      </c>
      <c r="C466" s="80" t="s">
        <v>611</v>
      </c>
      <c r="D466" s="81" t="str">
        <f>HYPERLINK("https://youtube.com/watch?v=YwKxXhfdQZc", "【小伏】同一個腦細 天與地的距離 | 餓遊･香港 #67 [4K]")</f>
        <v>【小伏】同一個腦細 天與地的距離 | 餓遊･香港 #67 [4K]</v>
      </c>
      <c r="E466" s="82">
        <v>44372.0</v>
      </c>
      <c r="F466" s="80">
        <v>330.0</v>
      </c>
      <c r="G466" s="80" t="s">
        <v>63</v>
      </c>
      <c r="I466" s="80" t="s">
        <v>63</v>
      </c>
      <c r="J466" s="80">
        <v>992.0</v>
      </c>
      <c r="K466" s="80">
        <v>0.986083499005964</v>
      </c>
      <c r="L466" s="80" t="s">
        <v>64</v>
      </c>
    </row>
    <row r="467">
      <c r="A467" s="80" t="s">
        <v>593</v>
      </c>
      <c r="B467" s="81" t="str">
        <f t="shared" si="21"/>
        <v>餓底男女</v>
      </c>
      <c r="C467" s="80" t="s">
        <v>612</v>
      </c>
      <c r="D467" s="81" t="str">
        <f>HYPERLINK("https://youtube.com/watch?v=TbHcYsqKLoc", "高性價比!! 人氣千層流心蛋糕 | 抹茶流心 朱古力流心 伯爵茶 美綠脆脆 巴斯克 抹茶巴斯克 玫瑰 海鹽 藍莓 香芋 檸檬 | 餓遊･香港 #66 [4K]")</f>
        <v>高性價比!! 人氣千層流心蛋糕 | 抹茶流心 朱古力流心 伯爵茶 美綠脆脆 巴斯克 抹茶巴斯克 玫瑰 海鹽 藍莓 香芋 檸檬 | 餓遊･香港 #66 [4K]</v>
      </c>
      <c r="E467" s="82">
        <v>44359.0</v>
      </c>
      <c r="F467" s="80">
        <v>354.0</v>
      </c>
      <c r="G467" s="80" t="s">
        <v>63</v>
      </c>
      <c r="I467" s="80" t="s">
        <v>63</v>
      </c>
      <c r="J467" s="80">
        <v>933.0</v>
      </c>
      <c r="K467" s="80">
        <v>0.977987421383647</v>
      </c>
      <c r="L467" s="80" t="s">
        <v>64</v>
      </c>
    </row>
    <row r="468">
      <c r="A468" s="80" t="s">
        <v>593</v>
      </c>
      <c r="B468" s="81" t="str">
        <f t="shared" si="21"/>
        <v>餓底男女</v>
      </c>
      <c r="C468" s="80" t="s">
        <v>613</v>
      </c>
      <c r="D468" s="81" t="str">
        <f>HYPERLINK("https://youtube.com/watch?v=nRkblo6pG_Q", "又係紗織? 舊區日系文青小店 | 十常八九 | 餓遊･香港 #65 [4K]")</f>
        <v>又係紗織? 舊區日系文青小店 | 十常八九 | 餓遊･香港 #65 [4K]</v>
      </c>
      <c r="E468" s="82">
        <v>44349.0</v>
      </c>
      <c r="F468" s="80">
        <v>407.0</v>
      </c>
      <c r="G468" s="80" t="s">
        <v>63</v>
      </c>
      <c r="I468" s="80" t="s">
        <v>63</v>
      </c>
      <c r="J468" s="80">
        <v>1118.0</v>
      </c>
      <c r="K468" s="80">
        <v>0.992014196983141</v>
      </c>
      <c r="L468" s="80" t="s">
        <v>64</v>
      </c>
    </row>
    <row r="469">
      <c r="A469" s="80" t="s">
        <v>593</v>
      </c>
      <c r="B469" s="81" t="str">
        <f t="shared" si="21"/>
        <v>餓底男女</v>
      </c>
      <c r="C469" s="80" t="s">
        <v>614</v>
      </c>
      <c r="D469" s="81" t="str">
        <f>HYPERLINK("https://youtube.com/watch?v=BEWqWoQNDb0", "消暑！港口味日式刨冰！ | 甜姨姨私房甜品【餓遊･香港】#64  [4K]")</f>
        <v>消暑！港口味日式刨冰！ | 甜姨姨私房甜品【餓遊･香港】#64  [4K]</v>
      </c>
      <c r="E469" s="82">
        <v>44342.0</v>
      </c>
      <c r="F469" s="80">
        <v>230.0</v>
      </c>
      <c r="G469" s="80" t="s">
        <v>63</v>
      </c>
      <c r="I469" s="80" t="s">
        <v>63</v>
      </c>
      <c r="J469" s="80">
        <v>606.0</v>
      </c>
      <c r="K469" s="80">
        <v>0.9696</v>
      </c>
      <c r="L469" s="80" t="s">
        <v>102</v>
      </c>
    </row>
    <row r="470">
      <c r="A470" s="80" t="s">
        <v>593</v>
      </c>
      <c r="B470" s="81" t="str">
        <f t="shared" si="21"/>
        <v>餓底男女</v>
      </c>
      <c r="C470" s="80" t="s">
        <v>615</v>
      </c>
      <c r="D470" s="81" t="str">
        <f>HYPERLINK("https://youtube.com/watch?v=MrQOYkzJMtk", "【餓遊･香港】#63 試伏 | 比卡﹗超＿食 [4K]")</f>
        <v>【餓遊･香港】#63 試伏 | 比卡﹗超＿食 [4K]</v>
      </c>
      <c r="E470" s="82">
        <v>44330.0</v>
      </c>
      <c r="F470" s="80">
        <v>263.0</v>
      </c>
      <c r="G470" s="80" t="s">
        <v>63</v>
      </c>
      <c r="I470" s="80" t="s">
        <v>63</v>
      </c>
      <c r="J470" s="80">
        <v>790.0</v>
      </c>
      <c r="K470" s="80">
        <v>0.94047619047619</v>
      </c>
      <c r="L470" s="80" t="s">
        <v>102</v>
      </c>
    </row>
    <row r="471">
      <c r="A471" s="80" t="s">
        <v>593</v>
      </c>
      <c r="B471" s="81" t="str">
        <f t="shared" si="21"/>
        <v>餓底男女</v>
      </c>
      <c r="C471" s="80" t="s">
        <v>616</v>
      </c>
      <c r="D471" s="81" t="str">
        <f>HYPERLINK("https://youtube.com/watch?v=X9cfcBZduWw", "【餓遊･香港】#62 荃灣HoiHoi咗喇! [4K]")</f>
        <v>【餓遊･香港】#62 荃灣HoiHoi咗喇! [4K]</v>
      </c>
      <c r="E471" s="82">
        <v>44310.0</v>
      </c>
      <c r="F471" s="80">
        <v>339.0</v>
      </c>
      <c r="G471" s="80" t="s">
        <v>63</v>
      </c>
      <c r="I471" s="80" t="s">
        <v>63</v>
      </c>
      <c r="J471" s="80">
        <v>970.0</v>
      </c>
      <c r="K471" s="80">
        <v>0.964214711729622</v>
      </c>
      <c r="L471" s="80" t="s">
        <v>64</v>
      </c>
    </row>
    <row r="472">
      <c r="A472" s="80" t="s">
        <v>593</v>
      </c>
      <c r="B472" s="81" t="str">
        <f t="shared" si="21"/>
        <v>餓底男女</v>
      </c>
      <c r="C472" s="80" t="s">
        <v>617</v>
      </c>
      <c r="D472" s="81" t="str">
        <f>HYPERLINK("https://youtube.com/watch?v=BUDTPjUN070", "【餓遊･香港】#61 譚仔米線芫茜山 #芫茜控 [4K]")</f>
        <v>【餓遊･香港】#61 譚仔米線芫茜山 #芫茜控 [4K]</v>
      </c>
      <c r="E472" s="82">
        <v>44304.0</v>
      </c>
      <c r="F472" s="80">
        <v>105.0</v>
      </c>
      <c r="G472" s="80" t="s">
        <v>63</v>
      </c>
      <c r="I472" s="80" t="s">
        <v>63</v>
      </c>
      <c r="J472" s="80">
        <v>353.0</v>
      </c>
      <c r="K472" s="80">
        <v>0.997175141242937</v>
      </c>
      <c r="L472" s="80" t="s">
        <v>64</v>
      </c>
    </row>
    <row r="473">
      <c r="A473" s="80" t="s">
        <v>593</v>
      </c>
      <c r="B473" s="81" t="str">
        <f t="shared" si="21"/>
        <v>餓底男女</v>
      </c>
      <c r="C473" s="80" t="s">
        <v>618</v>
      </c>
      <c r="D473" s="81" t="str">
        <f>HYPERLINK("https://youtube.com/watch?v=ikL8cJnq6BI", "【餓遊･香港】#60 芫茜都可以做甜品!? #芫茜黨 [4K]")</f>
        <v>【餓遊･香港】#60 芫茜都可以做甜品!? #芫茜黨 [4K]</v>
      </c>
      <c r="E473" s="82">
        <v>44298.0</v>
      </c>
      <c r="F473" s="80">
        <v>344.0</v>
      </c>
      <c r="G473" s="80" t="s">
        <v>63</v>
      </c>
      <c r="I473" s="80" t="s">
        <v>63</v>
      </c>
      <c r="J473" s="80">
        <v>1008.0</v>
      </c>
      <c r="K473" s="80">
        <v>1.0</v>
      </c>
      <c r="L473" s="80" t="s">
        <v>64</v>
      </c>
    </row>
    <row r="474">
      <c r="A474" s="80" t="s">
        <v>593</v>
      </c>
      <c r="B474" s="81" t="str">
        <f t="shared" si="21"/>
        <v>餓底男女</v>
      </c>
      <c r="C474" s="80" t="s">
        <v>619</v>
      </c>
      <c r="D474" s="81" t="str">
        <f>HYPERLINK("https://youtube.com/watch?v=mOmwT9gXfSQ", "【餓遊･香港】#59 回復水準？屯門壽司郎實測 + 春の祭 [4K]")</f>
        <v>【餓遊･香港】#59 回復水準？屯門壽司郎實測 + 春の祭 [4K]</v>
      </c>
      <c r="E474" s="82">
        <v>44293.0</v>
      </c>
      <c r="F474" s="80">
        <v>496.0</v>
      </c>
      <c r="G474" s="80" t="s">
        <v>63</v>
      </c>
      <c r="I474" s="80" t="s">
        <v>63</v>
      </c>
      <c r="J474" s="80">
        <v>1352.0</v>
      </c>
      <c r="K474" s="80">
        <v>0.989027066569129</v>
      </c>
      <c r="L474" s="80" t="s">
        <v>64</v>
      </c>
    </row>
    <row r="475">
      <c r="A475" s="80" t="s">
        <v>593</v>
      </c>
      <c r="B475" s="81" t="str">
        <f t="shared" si="21"/>
        <v>餓底男女</v>
      </c>
      <c r="C475" s="80" t="s">
        <v>620</v>
      </c>
      <c r="D475" s="81" t="str">
        <f>HYPERLINK("https://youtube.com/watch?v=KkT0ly9O97Q", "【餓遊･香港】#58 #米線關注組 EP3 太子特色撈米線")</f>
        <v>【餓遊･香港】#58 #米線關注組 EP3 太子特色撈米線</v>
      </c>
      <c r="E475" s="82">
        <v>44279.0</v>
      </c>
      <c r="F475" s="80">
        <v>263.0</v>
      </c>
      <c r="G475" s="80" t="s">
        <v>63</v>
      </c>
      <c r="I475" s="80" t="s">
        <v>63</v>
      </c>
      <c r="J475" s="80">
        <v>751.0</v>
      </c>
      <c r="K475" s="80">
        <v>0.993386243386243</v>
      </c>
      <c r="L475" s="80" t="s">
        <v>64</v>
      </c>
    </row>
    <row r="476">
      <c r="A476" s="80" t="s">
        <v>593</v>
      </c>
      <c r="B476" s="81" t="str">
        <f t="shared" si="21"/>
        <v>餓底男女</v>
      </c>
      <c r="C476" s="80" t="s">
        <v>621</v>
      </c>
      <c r="D476" s="81" t="str">
        <f>HYPERLINK("https://youtube.com/watch?v=ks_PqHeyaSE", "【餓遊･香港】#57 #米線關注組 EP2 九龍灣終於有酸辣米線食﹗[4K]")</f>
        <v>【餓遊･香港】#57 #米線關注組 EP2 九龍灣終於有酸辣米線食﹗[4K]</v>
      </c>
      <c r="E476" s="82">
        <v>44246.0</v>
      </c>
      <c r="F476" s="80">
        <v>187.0</v>
      </c>
      <c r="G476" s="80" t="s">
        <v>63</v>
      </c>
      <c r="I476" s="80" t="s">
        <v>63</v>
      </c>
      <c r="J476" s="80">
        <v>477.0</v>
      </c>
      <c r="K476" s="80">
        <v>0.987577639751552</v>
      </c>
      <c r="L476" s="80" t="s">
        <v>64</v>
      </c>
    </row>
    <row r="477">
      <c r="A477" s="80" t="s">
        <v>593</v>
      </c>
      <c r="B477" s="81" t="str">
        <f t="shared" si="21"/>
        <v>餓底男女</v>
      </c>
      <c r="C477" s="80" t="s">
        <v>622</v>
      </c>
      <c r="D477" s="81" t="str">
        <f>HYPERLINK("https://youtube.com/watch?v=F3YqZcS7P9g", "【餓遊･香港】#56 打卡超靚﹗大尾篤 真·田園打卡cafe [4K]")</f>
        <v>【餓遊･香港】#56 打卡超靚﹗大尾篤 真·田園打卡cafe [4K]</v>
      </c>
      <c r="E477" s="82">
        <v>44244.0</v>
      </c>
      <c r="F477" s="80">
        <v>420.0</v>
      </c>
      <c r="G477" s="80" t="s">
        <v>63</v>
      </c>
      <c r="I477" s="80" t="s">
        <v>63</v>
      </c>
      <c r="J477" s="80">
        <v>1215.0</v>
      </c>
      <c r="K477" s="80">
        <v>0.96812749003984</v>
      </c>
      <c r="L477" s="80" t="s">
        <v>64</v>
      </c>
    </row>
    <row r="478">
      <c r="A478" s="80" t="s">
        <v>593</v>
      </c>
      <c r="B478" s="81" t="str">
        <f t="shared" si="21"/>
        <v>餓底男女</v>
      </c>
      <c r="C478" s="80" t="s">
        <v>623</v>
      </c>
      <c r="D478" s="81" t="str">
        <f>HYPERLINK("https://youtube.com/watch?v=SxmclrW57ag", "【餓遊･香港】#55 人氣冰室･勿當奴 [4K]")</f>
        <v>【餓遊･香港】#55 人氣冰室･勿當奴 [4K]</v>
      </c>
      <c r="E478" s="82">
        <v>44241.0</v>
      </c>
      <c r="F478" s="80">
        <v>219.0</v>
      </c>
      <c r="G478" s="80" t="s">
        <v>63</v>
      </c>
      <c r="I478" s="80" t="s">
        <v>63</v>
      </c>
      <c r="J478" s="80">
        <v>536.0</v>
      </c>
      <c r="K478" s="80">
        <v>0.962298025134649</v>
      </c>
      <c r="L478" s="80" t="s">
        <v>64</v>
      </c>
    </row>
    <row r="479">
      <c r="A479" s="80" t="s">
        <v>593</v>
      </c>
      <c r="B479" s="81" t="str">
        <f t="shared" si="21"/>
        <v>餓底男女</v>
      </c>
      <c r="C479" s="80" t="s">
        <v>624</v>
      </c>
      <c r="D479" s="81" t="str">
        <f>HYPERLINK("https://youtube.com/watch?v=hO5vR6uW-TE", "【餓遊･香港】#54 遠離煩囂的輕食! 錦田和風隱世cafe [4K]")</f>
        <v>【餓遊･香港】#54 遠離煩囂的輕食! 錦田和風隱世cafe [4K]</v>
      </c>
      <c r="E479" s="82">
        <v>44238.0</v>
      </c>
      <c r="F479" s="80">
        <v>273.0</v>
      </c>
      <c r="G479" s="80" t="s">
        <v>63</v>
      </c>
      <c r="I479" s="80" t="s">
        <v>63</v>
      </c>
      <c r="J479" s="80">
        <v>757.0</v>
      </c>
      <c r="K479" s="80">
        <v>0.943890274314214</v>
      </c>
      <c r="L479" s="80" t="s">
        <v>64</v>
      </c>
    </row>
    <row r="480">
      <c r="A480" s="80" t="s">
        <v>593</v>
      </c>
      <c r="B480" s="81" t="str">
        <f t="shared" si="21"/>
        <v>餓底男女</v>
      </c>
      <c r="C480" s="80" t="s">
        <v>625</v>
      </c>
      <c r="D480" s="81" t="str">
        <f>HYPERLINK("https://youtube.com/watch?v=6Z1XzdpLeW0", "【餓遊･香港】#53 今次到港島東!! Donki開咗啦!! 首設即製丼飯伏唔伏先? [4K]")</f>
        <v>【餓遊･香港】#53 今次到港島東!! Donki開咗啦!! 首設即製丼飯伏唔伏先? [4K]</v>
      </c>
      <c r="E480" s="82">
        <v>44237.0</v>
      </c>
      <c r="F480" s="80">
        <v>704.0</v>
      </c>
      <c r="G480" s="80" t="s">
        <v>63</v>
      </c>
      <c r="I480" s="80" t="s">
        <v>63</v>
      </c>
      <c r="J480" s="80">
        <v>1380.0</v>
      </c>
      <c r="K480" s="80">
        <v>0.938775510204081</v>
      </c>
      <c r="L480" s="80" t="s">
        <v>64</v>
      </c>
    </row>
    <row r="481">
      <c r="A481" s="80" t="s">
        <v>593</v>
      </c>
      <c r="B481" s="81" t="str">
        <f t="shared" si="21"/>
        <v>餓底男女</v>
      </c>
      <c r="C481" s="80" t="s">
        <v>626</v>
      </c>
      <c r="D481" s="81" t="str">
        <f>HYPERLINK("https://youtube.com/watch?v=yHkcILsUvs8", "【餓遊･香港】#52 #米線關注組 EP1 街市中超好食隱世米線 [4K]")</f>
        <v>【餓遊･香港】#52 #米線關注組 EP1 街市中超好食隱世米線 [4K]</v>
      </c>
      <c r="E481" s="82">
        <v>44232.0</v>
      </c>
      <c r="F481" s="80">
        <v>272.0</v>
      </c>
      <c r="G481" s="80" t="s">
        <v>63</v>
      </c>
      <c r="I481" s="80" t="s">
        <v>63</v>
      </c>
      <c r="J481" s="80">
        <v>735.0</v>
      </c>
      <c r="K481" s="80">
        <v>0.977393617021276</v>
      </c>
      <c r="L481" s="80" t="s">
        <v>64</v>
      </c>
    </row>
    <row r="482">
      <c r="A482" s="80" t="s">
        <v>593</v>
      </c>
      <c r="B482" s="81" t="str">
        <f t="shared" si="21"/>
        <v>餓底男女</v>
      </c>
      <c r="C482" s="80" t="s">
        <v>627</v>
      </c>
      <c r="D482" s="81" t="str">
        <f>HYPERLINK("https://youtube.com/watch?v=kx7bY8ZBTtw", "【餓遊･香港】#51 DONKI Pop up store = 平+抵? 同你行愉景新城DONKI+十分天燈 [4K]")</f>
        <v>【餓遊･香港】#51 DONKI Pop up store = 平+抵? 同你行愉景新城DONKI+十分天燈 [4K]</v>
      </c>
      <c r="E482" s="82">
        <v>44231.0</v>
      </c>
      <c r="F482" s="80">
        <v>246.0</v>
      </c>
      <c r="G482" s="80" t="s">
        <v>63</v>
      </c>
      <c r="I482" s="80" t="s">
        <v>63</v>
      </c>
      <c r="J482" s="80">
        <v>653.0</v>
      </c>
      <c r="K482" s="80">
        <v>0.919718309859154</v>
      </c>
      <c r="L482" s="80" t="s">
        <v>64</v>
      </c>
    </row>
    <row r="483">
      <c r="A483" s="80" t="s">
        <v>593</v>
      </c>
      <c r="B483" s="81" t="str">
        <f t="shared" si="21"/>
        <v>餓底男女</v>
      </c>
      <c r="C483" s="80" t="s">
        <v>628</v>
      </c>
      <c r="D483" s="81" t="str">
        <f>HYPERLINK("https://youtube.com/watch?v=syH7GZ23kfg", "【餓遊･香港】#50 超抵78蚊!! 逸東酒店 快閃自助早餐 [4K]")</f>
        <v>【餓遊･香港】#50 超抵78蚊!! 逸東酒店 快閃自助早餐 [4K]</v>
      </c>
      <c r="E483" s="82">
        <v>44227.0</v>
      </c>
      <c r="F483" s="80">
        <v>607.0</v>
      </c>
      <c r="G483" s="80" t="s">
        <v>63</v>
      </c>
      <c r="I483" s="80" t="s">
        <v>63</v>
      </c>
      <c r="J483" s="80">
        <v>975.0</v>
      </c>
      <c r="K483" s="80">
        <v>0.992871690427698</v>
      </c>
      <c r="L483" s="80" t="s">
        <v>64</v>
      </c>
    </row>
    <row r="484">
      <c r="A484" s="80" t="s">
        <v>593</v>
      </c>
      <c r="B484" s="81" t="str">
        <f t="shared" si="21"/>
        <v>餓底男女</v>
      </c>
      <c r="C484" s="80" t="s">
        <v>629</v>
      </c>
      <c r="D484" s="81" t="str">
        <f>HYPERLINK("https://youtube.com/watch?v=sj06owanHMM", "【餓遊･香港】#49 FIVE GUYS觀塘新店實試 不過冇咗香港人最鐘意食嘅... [4K]")</f>
        <v>【餓遊･香港】#49 FIVE GUYS觀塘新店實試 不過冇咗香港人最鐘意食嘅... [4K]</v>
      </c>
      <c r="E484" s="82">
        <v>44226.0</v>
      </c>
      <c r="F484" s="80">
        <v>203.0</v>
      </c>
      <c r="G484" s="80" t="s">
        <v>63</v>
      </c>
      <c r="I484" s="80" t="s">
        <v>63</v>
      </c>
      <c r="J484" s="80">
        <v>589.0</v>
      </c>
      <c r="K484" s="80">
        <v>0.827247191011236</v>
      </c>
      <c r="L484" s="80" t="s">
        <v>64</v>
      </c>
    </row>
    <row r="485">
      <c r="A485" s="80" t="s">
        <v>593</v>
      </c>
      <c r="B485" s="81" t="str">
        <f t="shared" si="21"/>
        <v>餓底男女</v>
      </c>
      <c r="C485" s="80" t="s">
        <v>630</v>
      </c>
      <c r="D485" s="81" t="str">
        <f>HYPERLINK("https://youtube.com/watch?v=zs2r6G1mizU", "【餓遊･香港】#48 光榮･阿活･煲仔飯大對決!! [4K]")</f>
        <v>【餓遊･香港】#48 光榮･阿活･煲仔飯大對決!! [4K]</v>
      </c>
      <c r="E485" s="82">
        <v>44221.0</v>
      </c>
      <c r="F485" s="80">
        <v>469.0</v>
      </c>
      <c r="G485" s="80" t="s">
        <v>63</v>
      </c>
      <c r="I485" s="80" t="s">
        <v>63</v>
      </c>
      <c r="J485" s="80">
        <v>1179.0</v>
      </c>
      <c r="K485" s="80">
        <v>0.993260320134793</v>
      </c>
      <c r="L485" s="80" t="s">
        <v>64</v>
      </c>
    </row>
    <row r="486">
      <c r="A486" s="80" t="s">
        <v>593</v>
      </c>
      <c r="B486" s="81" t="str">
        <f t="shared" si="21"/>
        <v>餓底男女</v>
      </c>
      <c r="C486" s="80" t="s">
        <v>631</v>
      </c>
      <c r="D486" s="81" t="str">
        <f>HYPERLINK("https://youtube.com/watch?v=1LryVVG4Gyg", "【餓遊･香港】#47 全港最高Donki [4K]")</f>
        <v>【餓遊･香港】#47 全港最高Donki [4K]</v>
      </c>
      <c r="E486" s="82">
        <v>44220.0</v>
      </c>
      <c r="F486" s="80">
        <v>1015.0</v>
      </c>
      <c r="G486" s="80" t="s">
        <v>63</v>
      </c>
      <c r="I486" s="80" t="s">
        <v>63</v>
      </c>
      <c r="J486" s="80">
        <v>2464.0</v>
      </c>
      <c r="K486" s="80">
        <v>0.975841584158415</v>
      </c>
      <c r="L486" s="80" t="s">
        <v>64</v>
      </c>
    </row>
    <row r="487">
      <c r="A487" s="80" t="s">
        <v>593</v>
      </c>
      <c r="B487" s="81" t="str">
        <f t="shared" si="21"/>
        <v>餓底男女</v>
      </c>
      <c r="C487" s="80" t="s">
        <v>632</v>
      </c>
      <c r="D487" s="81" t="str">
        <f>HYPERLINK("https://youtube.com/watch?v=iSUvF7SudfM", "【新路實測】屯赤隧道首日實測 10分鐘去機場? [4K]")</f>
        <v>【新路實測】屯赤隧道首日實測 10分鐘去機場? [4K]</v>
      </c>
      <c r="E487" s="82">
        <v>44197.0</v>
      </c>
      <c r="F487" s="80">
        <v>496.0</v>
      </c>
      <c r="G487" s="80" t="s">
        <v>63</v>
      </c>
      <c r="I487" s="80" t="s">
        <v>63</v>
      </c>
      <c r="J487" s="80">
        <v>1388.0</v>
      </c>
      <c r="K487" s="80">
        <v>0.992137240886347</v>
      </c>
      <c r="L487" s="80" t="s">
        <v>64</v>
      </c>
    </row>
    <row r="488">
      <c r="A488" s="80" t="s">
        <v>593</v>
      </c>
      <c r="B488" s="81" t="str">
        <f t="shared" si="21"/>
        <v>餓底男女</v>
      </c>
      <c r="C488" s="80" t="s">
        <v>633</v>
      </c>
      <c r="D488" s="81" t="str">
        <f>HYPERLINK("https://youtube.com/watch?v=2S3vcljGiVs", "【餓遊･香港】#46 最令人失望嘅壽司郎😥 [4K]")</f>
        <v>【餓遊･香港】#46 最令人失望嘅壽司郎😥 [4K]</v>
      </c>
      <c r="E488" s="82">
        <v>44188.0</v>
      </c>
      <c r="F488" s="80">
        <v>378.0</v>
      </c>
      <c r="G488" s="80" t="s">
        <v>63</v>
      </c>
      <c r="I488" s="80" t="s">
        <v>63</v>
      </c>
      <c r="J488" s="80">
        <v>992.0</v>
      </c>
      <c r="K488" s="80">
        <v>0.986083499005964</v>
      </c>
      <c r="L488" s="80" t="s">
        <v>64</v>
      </c>
    </row>
    <row r="489">
      <c r="A489" s="80" t="s">
        <v>593</v>
      </c>
      <c r="B489" s="81" t="str">
        <f t="shared" si="21"/>
        <v>餓底男女</v>
      </c>
      <c r="C489" s="80" t="s">
        <v>634</v>
      </c>
      <c r="D489" s="81" t="str">
        <f>HYPERLINK("https://youtube.com/watch?v=hip3UaqAJVs", "【餓遊･香港】#45 性價比⏫ 超好食自家製手工意粉 [4K]")</f>
        <v>【餓遊･香港】#45 性價比⏫ 超好食自家製手工意粉 [4K]</v>
      </c>
      <c r="E489" s="82">
        <v>44178.0</v>
      </c>
      <c r="F489" s="80">
        <v>333.0</v>
      </c>
      <c r="G489" s="80" t="s">
        <v>63</v>
      </c>
      <c r="I489" s="80" t="s">
        <v>63</v>
      </c>
      <c r="J489" s="80">
        <v>1092.0</v>
      </c>
      <c r="K489" s="80">
        <v>0.952048823016564</v>
      </c>
      <c r="L489" s="80" t="s">
        <v>64</v>
      </c>
    </row>
    <row r="490">
      <c r="A490" s="80" t="s">
        <v>593</v>
      </c>
      <c r="B490" s="81" t="str">
        <f t="shared" si="21"/>
        <v>餓底男女</v>
      </c>
      <c r="C490" s="80" t="s">
        <v>635</v>
      </c>
      <c r="D490" s="81" t="str">
        <f>HYPERLINK("https://youtube.com/watch?v=YEQv3dXDCxQ", "【餓遊･香港】#44 平民高質牛肉麵 配中伏小食🤮 [4K]")</f>
        <v>【餓遊･香港】#44 平民高質牛肉麵 配中伏小食🤮 [4K]</v>
      </c>
      <c r="E490" s="82">
        <v>44176.0</v>
      </c>
      <c r="F490" s="80">
        <v>139.0</v>
      </c>
      <c r="G490" s="80" t="s">
        <v>63</v>
      </c>
      <c r="I490" s="80" t="s">
        <v>63</v>
      </c>
      <c r="J490" s="80">
        <v>370.0</v>
      </c>
      <c r="K490" s="80">
        <v>0.978835978835978</v>
      </c>
      <c r="L490" s="80" t="s">
        <v>64</v>
      </c>
    </row>
    <row r="491">
      <c r="A491" s="80" t="s">
        <v>593</v>
      </c>
      <c r="B491" s="81" t="str">
        <f t="shared" si="21"/>
        <v>餓底男女</v>
      </c>
      <c r="C491" s="80" t="s">
        <v>636</v>
      </c>
      <c r="D491" s="81" t="str">
        <f>HYPERLINK("https://youtube.com/watch?v=uqfE1lXndeM", "【餓遊･香港】#43 後巷隱世牛肉麵 [4K]")</f>
        <v>【餓遊･香港】#43 後巷隱世牛肉麵 [4K]</v>
      </c>
      <c r="E491" s="82">
        <v>44174.0</v>
      </c>
      <c r="F491" s="80">
        <v>192.0</v>
      </c>
      <c r="G491" s="80" t="s">
        <v>63</v>
      </c>
      <c r="I491" s="80" t="s">
        <v>63</v>
      </c>
      <c r="J491" s="80">
        <v>638.0</v>
      </c>
      <c r="K491" s="80">
        <v>0.992223950233281</v>
      </c>
      <c r="L491" s="80" t="s">
        <v>64</v>
      </c>
    </row>
    <row r="492">
      <c r="A492" s="80" t="s">
        <v>593</v>
      </c>
      <c r="B492" s="81" t="str">
        <f t="shared" si="21"/>
        <v>餓底男女</v>
      </c>
      <c r="C492" s="80" t="s">
        <v>637</v>
      </c>
      <c r="D492" s="81" t="str">
        <f>HYPERLINK("https://youtube.com/watch?v=ZzizXL5Bj_s", "【餓遊･香港】#42 全煲綠色🌿特濃芫茜火鍋🧟最喜愛食物? 🤦最不應存在食物? [4K]")</f>
        <v>【餓遊･香港】#42 全煲綠色🌿特濃芫茜火鍋🧟最喜愛食物? 🤦最不應存在食物? [4K]</v>
      </c>
      <c r="E492" s="82">
        <v>44172.0</v>
      </c>
      <c r="F492" s="80">
        <v>278.0</v>
      </c>
      <c r="G492" s="80" t="s">
        <v>63</v>
      </c>
      <c r="I492" s="80" t="s">
        <v>63</v>
      </c>
      <c r="J492" s="80">
        <v>696.0</v>
      </c>
      <c r="K492" s="80">
        <v>0.998565279770444</v>
      </c>
      <c r="L492" s="80" t="s">
        <v>64</v>
      </c>
    </row>
    <row r="493">
      <c r="A493" s="80" t="s">
        <v>593</v>
      </c>
      <c r="B493" s="81" t="str">
        <f t="shared" si="21"/>
        <v>餓底男女</v>
      </c>
      <c r="C493" s="80" t="s">
        <v>638</v>
      </c>
      <c r="D493" s="81" t="str">
        <f>HYPERLINK("https://youtube.com/watch?v=TYPy5qSVVk0", "【餓遊･香港】#41 真係排名第一? 荃灣實試段純貞牛肉麵! [4K]")</f>
        <v>【餓遊･香港】#41 真係排名第一? 荃灣實試段純貞牛肉麵! [4K]</v>
      </c>
      <c r="E493" s="82">
        <v>44171.0</v>
      </c>
      <c r="F493" s="80">
        <v>341.0</v>
      </c>
      <c r="G493" s="80" t="s">
        <v>63</v>
      </c>
      <c r="I493" s="80" t="s">
        <v>63</v>
      </c>
      <c r="J493" s="80">
        <v>1055.0</v>
      </c>
      <c r="K493" s="80">
        <v>0.987827715355805</v>
      </c>
      <c r="L493" s="80" t="s">
        <v>64</v>
      </c>
    </row>
    <row r="494">
      <c r="A494" s="80" t="s">
        <v>593</v>
      </c>
      <c r="B494" s="81" t="str">
        <f t="shared" si="21"/>
        <v>餓底男女</v>
      </c>
      <c r="C494" s="80" t="s">
        <v>639</v>
      </c>
      <c r="D494" s="81" t="str">
        <f>HYPERLINK("https://youtube.com/watch?v=CoaC3ia5HV4", "【餓遊･香港】#40 芝士蛋糕放題堅定伏? [4K]")</f>
        <v>【餓遊･香港】#40 芝士蛋糕放題堅定伏? [4K]</v>
      </c>
      <c r="E494" s="82">
        <v>44170.0</v>
      </c>
      <c r="F494" s="80">
        <v>256.0</v>
      </c>
      <c r="G494" s="80" t="s">
        <v>63</v>
      </c>
      <c r="I494" s="80" t="s">
        <v>63</v>
      </c>
      <c r="J494" s="80">
        <v>776.0</v>
      </c>
      <c r="K494" s="80">
        <v>0.968789013732834</v>
      </c>
      <c r="L494" s="80" t="s">
        <v>64</v>
      </c>
    </row>
    <row r="495">
      <c r="A495" s="80" t="s">
        <v>593</v>
      </c>
      <c r="B495" s="81" t="str">
        <f t="shared" si="21"/>
        <v>餓底男女</v>
      </c>
      <c r="C495" s="80" t="s">
        <v>640</v>
      </c>
      <c r="D495" s="81" t="str">
        <f>HYPERLINK("https://youtube.com/watch?v=NT_gttVhq4s", "【餓遊･香港】#39 再戰葵廣10間新小店﹗湯底超甜關東煮 勁抵食梳乎厘 堅好味章魚丸回歸再開 [4K]")</f>
        <v>【餓遊･香港】#39 再戰葵廣10間新小店﹗湯底超甜關東煮 勁抵食梳乎厘 堅好味章魚丸回歸再開 [4K]</v>
      </c>
      <c r="E495" s="82">
        <v>44167.0</v>
      </c>
      <c r="F495" s="80">
        <v>874.0</v>
      </c>
      <c r="G495" s="80" t="s">
        <v>63</v>
      </c>
      <c r="I495" s="80" t="s">
        <v>63</v>
      </c>
      <c r="J495" s="80">
        <v>2630.0</v>
      </c>
      <c r="K495" s="80">
        <v>0.968335787923416</v>
      </c>
      <c r="L495" s="80" t="s">
        <v>64</v>
      </c>
    </row>
    <row r="496">
      <c r="A496" s="80" t="s">
        <v>593</v>
      </c>
      <c r="B496" s="81" t="str">
        <f t="shared" si="21"/>
        <v>餓底男女</v>
      </c>
      <c r="C496" s="80" t="s">
        <v>641</v>
      </c>
      <c r="D496" s="81" t="str">
        <f>HYPERLINK("https://youtube.com/watch?v=NLJByqLulWA", "【餓遊･香港】#38 食欲の秋🍂 壽司郎照騙實測!? [4K]")</f>
        <v>【餓遊･香港】#38 食欲の秋🍂 壽司郎照騙實測!? [4K]</v>
      </c>
      <c r="E496" s="82">
        <v>44154.0</v>
      </c>
      <c r="F496" s="80">
        <v>341.0</v>
      </c>
      <c r="G496" s="80" t="s">
        <v>63</v>
      </c>
      <c r="I496" s="80" t="s">
        <v>63</v>
      </c>
      <c r="J496" s="80">
        <v>1130.0</v>
      </c>
      <c r="K496" s="80">
        <v>0.981754995655951</v>
      </c>
      <c r="L496" s="80" t="s">
        <v>64</v>
      </c>
    </row>
    <row r="497">
      <c r="A497" s="80" t="s">
        <v>593</v>
      </c>
      <c r="B497" s="81" t="str">
        <f t="shared" si="21"/>
        <v>餓底男女</v>
      </c>
      <c r="C497" s="80" t="s">
        <v>642</v>
      </c>
      <c r="D497" s="81" t="str">
        <f>HYPERLINK("https://youtube.com/watch?v=jmOAIbWfCss", "【餓遊･香港】#37 將軍澳居民等到喇! 無敵海景Donki開店 [4K]")</f>
        <v>【餓遊･香港】#37 將軍澳居民等到喇! 無敵海景Donki開店 [4K]</v>
      </c>
      <c r="E497" s="82">
        <v>44148.0</v>
      </c>
      <c r="F497" s="80">
        <v>574.0</v>
      </c>
      <c r="G497" s="80" t="s">
        <v>63</v>
      </c>
      <c r="I497" s="80" t="s">
        <v>63</v>
      </c>
      <c r="J497" s="80">
        <v>1498.0</v>
      </c>
      <c r="K497" s="80">
        <v>0.963344051446945</v>
      </c>
      <c r="L497" s="80" t="s">
        <v>64</v>
      </c>
    </row>
    <row r="498">
      <c r="A498" s="80" t="s">
        <v>593</v>
      </c>
      <c r="B498" s="81" t="str">
        <f t="shared" si="21"/>
        <v>餓底男女</v>
      </c>
      <c r="C498" s="80" t="s">
        <v>643</v>
      </c>
      <c r="D498" s="81" t="str">
        <f>HYPERLINK("https://youtube.com/watch?v=qAsziVZJzUQ", "【餓遊･香港】#36 行中環Donki食$298丼飯 [4K]")</f>
        <v>【餓遊･香港】#36 行中環Donki食$298丼飯 [4K]</v>
      </c>
      <c r="E498" s="82">
        <v>44147.0</v>
      </c>
      <c r="F498" s="80">
        <v>601.0</v>
      </c>
      <c r="G498" s="80" t="s">
        <v>63</v>
      </c>
      <c r="I498" s="80" t="s">
        <v>63</v>
      </c>
      <c r="J498" s="80">
        <v>1267.0</v>
      </c>
      <c r="K498" s="80">
        <v>0.972371450498848</v>
      </c>
      <c r="L498" s="80" t="s">
        <v>64</v>
      </c>
    </row>
    <row r="499">
      <c r="A499" s="80" t="s">
        <v>593</v>
      </c>
      <c r="B499" s="81" t="str">
        <f t="shared" si="21"/>
        <v>餓底男女</v>
      </c>
      <c r="C499" s="80" t="s">
        <v>644</v>
      </c>
      <c r="D499" s="81" t="str">
        <f>HYPERLINK("https://youtube.com/watch?v=ptbsqtdthj0", "【餓遊･香港】#35 米粉班戟第二件半價! [4K]")</f>
        <v>【餓遊･香港】#35 米粉班戟第二件半價! [4K]</v>
      </c>
      <c r="E499" s="82">
        <v>44139.0</v>
      </c>
      <c r="F499" s="80">
        <v>498.0</v>
      </c>
      <c r="G499" s="80" t="s">
        <v>63</v>
      </c>
      <c r="I499" s="80" t="s">
        <v>63</v>
      </c>
      <c r="J499" s="80">
        <v>1219.0</v>
      </c>
      <c r="K499" s="80">
        <v>0.993480032599837</v>
      </c>
      <c r="L499" s="80" t="s">
        <v>64</v>
      </c>
    </row>
    <row r="500">
      <c r="A500" s="80" t="s">
        <v>593</v>
      </c>
      <c r="B500" s="81" t="str">
        <f t="shared" si="21"/>
        <v>餓底男女</v>
      </c>
      <c r="C500" s="80" t="s">
        <v>645</v>
      </c>
      <c r="D500" s="81" t="str">
        <f>HYPERLINK("https://youtube.com/watch?v=riZ4n_is6Mk", "【餓遊･香港】#34 路德圍人均$8x台式下午茶!? 究竟食咗啲乜... [4K]")</f>
        <v>【餓遊･香港】#34 路德圍人均$8x台式下午茶!? 究竟食咗啲乜... [4K]</v>
      </c>
      <c r="E500" s="82">
        <v>44124.0</v>
      </c>
      <c r="F500" s="80">
        <v>244.0</v>
      </c>
      <c r="G500" s="80" t="s">
        <v>63</v>
      </c>
      <c r="I500" s="80" t="s">
        <v>63</v>
      </c>
      <c r="J500" s="80">
        <v>724.0</v>
      </c>
      <c r="K500" s="80">
        <v>1.0</v>
      </c>
      <c r="L500" s="80" t="s">
        <v>64</v>
      </c>
    </row>
    <row r="501">
      <c r="A501" s="80" t="s">
        <v>593</v>
      </c>
      <c r="B501" s="81" t="str">
        <f t="shared" si="21"/>
        <v>餓底男女</v>
      </c>
      <c r="C501" s="80" t="s">
        <v>646</v>
      </c>
      <c r="D501" s="81" t="str">
        <f>HYPERLINK("https://youtube.com/watch?v=wiYRwSH89Wc", "【餓遊･香港】#33 只賣牛嘅法式扒房 La Vache! [4K]")</f>
        <v>【餓遊･香港】#33 只賣牛嘅法式扒房 La Vache! [4K]</v>
      </c>
      <c r="E501" s="82">
        <v>44119.0</v>
      </c>
      <c r="F501" s="80">
        <v>250.0</v>
      </c>
      <c r="G501" s="80" t="s">
        <v>63</v>
      </c>
      <c r="I501" s="80" t="s">
        <v>63</v>
      </c>
      <c r="J501" s="80">
        <v>846.0</v>
      </c>
      <c r="K501" s="80">
        <v>0.989473684210526</v>
      </c>
      <c r="L501" s="80" t="s">
        <v>64</v>
      </c>
    </row>
    <row r="502">
      <c r="A502" s="80" t="s">
        <v>593</v>
      </c>
      <c r="B502" s="81" t="str">
        <f t="shared" si="21"/>
        <v>餓底男女</v>
      </c>
      <c r="C502" s="80" t="s">
        <v>647</v>
      </c>
      <c r="D502" s="81" t="str">
        <f>HYPERLINK("https://youtube.com/watch?v=8N1HHty4t_I", "【餓遊･香港】#32 異國風打卡餐廳, 好睇好唔好食? [4K]")</f>
        <v>【餓遊･香港】#32 異國風打卡餐廳, 好睇好唔好食? [4K]</v>
      </c>
      <c r="E502" s="82">
        <v>44116.0</v>
      </c>
      <c r="F502" s="80">
        <v>406.0</v>
      </c>
      <c r="G502" s="80" t="s">
        <v>63</v>
      </c>
      <c r="I502" s="80" t="s">
        <v>63</v>
      </c>
      <c r="J502" s="80">
        <v>1095.0</v>
      </c>
      <c r="K502" s="80">
        <v>0.964757709251101</v>
      </c>
      <c r="L502" s="80" t="s">
        <v>64</v>
      </c>
    </row>
    <row r="503">
      <c r="A503" s="80" t="s">
        <v>593</v>
      </c>
      <c r="B503" s="81" t="str">
        <f t="shared" si="21"/>
        <v>餓底男女</v>
      </c>
      <c r="C503" s="80" t="s">
        <v>648</v>
      </c>
      <c r="D503" s="81" t="str">
        <f>HYPERLINK("https://youtube.com/watch?v=Xser33Gl9Gw", "【餓遊･香港】#31 九十後真係懶? [4K]")</f>
        <v>【餓遊･香港】#31 九十後真係懶? [4K]</v>
      </c>
      <c r="E503" s="82">
        <v>44108.0</v>
      </c>
      <c r="F503" s="80">
        <v>175.0</v>
      </c>
      <c r="G503" s="80" t="s">
        <v>63</v>
      </c>
      <c r="I503" s="80" t="s">
        <v>63</v>
      </c>
      <c r="J503" s="80">
        <v>421.0</v>
      </c>
      <c r="K503" s="80">
        <v>0.972286374133949</v>
      </c>
      <c r="L503" s="80" t="s">
        <v>64</v>
      </c>
    </row>
    <row r="504">
      <c r="A504" s="80" t="s">
        <v>593</v>
      </c>
      <c r="B504" s="81" t="str">
        <f t="shared" si="21"/>
        <v>餓底男女</v>
      </c>
      <c r="C504" s="80" t="s">
        <v>649</v>
      </c>
      <c r="D504" s="81" t="str">
        <f>HYPERLINK("https://youtube.com/watch?v=p5Di3wv-kY0", "【餓遊･香港】#30 午餐伏唔伏? | Tiffany Blue Box Cafe [4K]")</f>
        <v>【餓遊･香港】#30 午餐伏唔伏? | Tiffany Blue Box Cafe [4K]</v>
      </c>
      <c r="E504" s="82">
        <v>44104.0</v>
      </c>
      <c r="F504" s="80">
        <v>172.0</v>
      </c>
      <c r="G504" s="80" t="s">
        <v>63</v>
      </c>
      <c r="I504" s="80" t="s">
        <v>63</v>
      </c>
      <c r="J504" s="80">
        <v>551.0</v>
      </c>
      <c r="K504" s="80">
        <v>0.913764510779436</v>
      </c>
      <c r="L504" s="80" t="s">
        <v>64</v>
      </c>
    </row>
    <row r="505">
      <c r="A505" s="80" t="s">
        <v>593</v>
      </c>
      <c r="B505" s="81" t="str">
        <f t="shared" si="21"/>
        <v>餓底男女</v>
      </c>
      <c r="C505" s="80" t="s">
        <v>650</v>
      </c>
      <c r="D505" s="81" t="str">
        <f>HYPERLINK("https://youtube.com/watch?v=57MyrbFlszg", "【餓遊･香港】#29 以為自己食緊肉嘅文青素菜 [4K]")</f>
        <v>【餓遊･香港】#29 以為自己食緊肉嘅文青素菜 [4K]</v>
      </c>
      <c r="E505" s="82">
        <v>44099.0</v>
      </c>
      <c r="F505" s="80">
        <v>174.0</v>
      </c>
      <c r="G505" s="80" t="s">
        <v>63</v>
      </c>
      <c r="I505" s="80" t="s">
        <v>63</v>
      </c>
      <c r="J505" s="80">
        <v>553.0</v>
      </c>
      <c r="K505" s="80">
        <v>0.982238010657193</v>
      </c>
      <c r="L505" s="80" t="s">
        <v>64</v>
      </c>
    </row>
    <row r="506">
      <c r="A506" s="80" t="s">
        <v>593</v>
      </c>
      <c r="B506" s="81" t="str">
        <f t="shared" si="21"/>
        <v>餓底男女</v>
      </c>
      <c r="C506" s="80" t="s">
        <v>651</v>
      </c>
      <c r="D506" s="81" t="str">
        <f>HYPERLINK("https://youtube.com/watch?v=MEsPsEUgzGk", "【餓遊･香港】#28 百二蚊酒店自助餐 10款MÖVENPICK任食! 普慶點止海鮮自助抵食~ [4K]")</f>
        <v>【餓遊･香港】#28 百二蚊酒店自助餐 10款MÖVENPICK任食! 普慶點止海鮮自助抵食~ [4K]</v>
      </c>
      <c r="E506" s="82">
        <v>44093.0</v>
      </c>
      <c r="F506" s="80">
        <v>329.0</v>
      </c>
      <c r="G506" s="80" t="s">
        <v>63</v>
      </c>
      <c r="H506" s="80" t="s">
        <v>63</v>
      </c>
      <c r="I506" s="80" t="s">
        <v>63</v>
      </c>
      <c r="J506" s="80">
        <v>1168.0</v>
      </c>
      <c r="K506" s="80">
        <v>0.962901896125309</v>
      </c>
      <c r="L506" s="80" t="s">
        <v>66</v>
      </c>
    </row>
    <row r="507">
      <c r="A507" s="80" t="s">
        <v>593</v>
      </c>
      <c r="B507" s="81" t="str">
        <f t="shared" si="21"/>
        <v>餓底男女</v>
      </c>
      <c r="C507" s="80" t="s">
        <v>652</v>
      </c>
      <c r="D507" s="81" t="str">
        <f>HYPERLINK("https://youtube.com/watch?v=mgU4n89lSBw", "【餓遊･香港】#27 再會‧敍福 [4K]")</f>
        <v>【餓遊･香港】#27 再會‧敍福 [4K]</v>
      </c>
      <c r="E507" s="82">
        <v>44084.0</v>
      </c>
      <c r="F507" s="80">
        <v>184.0</v>
      </c>
      <c r="G507" s="80" t="s">
        <v>63</v>
      </c>
      <c r="I507" s="80" t="s">
        <v>63</v>
      </c>
      <c r="J507" s="80">
        <v>471.0</v>
      </c>
      <c r="K507" s="80">
        <v>0.991578947368421</v>
      </c>
      <c r="L507" s="80" t="s">
        <v>64</v>
      </c>
    </row>
    <row r="508">
      <c r="A508" s="80" t="s">
        <v>593</v>
      </c>
      <c r="B508" s="81" t="str">
        <f t="shared" si="21"/>
        <v>餓底男女</v>
      </c>
      <c r="C508" s="80" t="s">
        <v>653</v>
      </c>
      <c r="D508" s="81" t="str">
        <f>HYPERLINK("https://youtube.com/watch?v=QEjky07CrME", "【餓遊･香港】#26 試晒無印Café 20款食品 [4K]")</f>
        <v>【餓遊･香港】#26 試晒無印Café 20款食品 [4K]</v>
      </c>
      <c r="E508" s="82">
        <v>44080.0</v>
      </c>
      <c r="F508" s="80">
        <v>694.0</v>
      </c>
      <c r="G508" s="80" t="s">
        <v>63</v>
      </c>
      <c r="I508" s="80" t="s">
        <v>63</v>
      </c>
      <c r="J508" s="80">
        <v>2106.0</v>
      </c>
      <c r="K508" s="80">
        <v>0.968721251149954</v>
      </c>
      <c r="L508" s="80" t="s">
        <v>64</v>
      </c>
    </row>
    <row r="509">
      <c r="A509" s="80" t="s">
        <v>593</v>
      </c>
      <c r="B509" s="81" t="str">
        <f t="shared" si="21"/>
        <v>餓底男女</v>
      </c>
      <c r="C509" s="80" t="s">
        <v>654</v>
      </c>
      <c r="D509" s="81" t="str">
        <f>HYPERLINK("https://youtube.com/watch?v=CqoeXQIRYHE", "【餓遊･香港】#25 招牌都冇嘅黑麻麻咖啡小店 | 仲有貓耳朵意粉😋")</f>
        <v>【餓遊･香港】#25 招牌都冇嘅黑麻麻咖啡小店 | 仲有貓耳朵意粉😋</v>
      </c>
      <c r="E509" s="82">
        <v>44001.0</v>
      </c>
      <c r="F509" s="80">
        <v>157.0</v>
      </c>
      <c r="G509" s="80" t="s">
        <v>63</v>
      </c>
      <c r="I509" s="80" t="s">
        <v>63</v>
      </c>
      <c r="J509" s="80">
        <v>461.0</v>
      </c>
      <c r="K509" s="80">
        <v>0.970526315789473</v>
      </c>
      <c r="L509" s="80" t="s">
        <v>64</v>
      </c>
    </row>
    <row r="510">
      <c r="A510" s="80" t="s">
        <v>593</v>
      </c>
      <c r="B510" s="81" t="str">
        <f t="shared" si="21"/>
        <v>餓底男女</v>
      </c>
      <c r="C510" s="80" t="s">
        <v>655</v>
      </c>
      <c r="D510" s="81" t="str">
        <f>HYPERLINK("https://youtube.com/watch?v=2TKHbdFtGiI", "【餓底廚房】#8 自家製5分鐘!! 特盛蔥粒吞拿魚丼")</f>
        <v>【餓底廚房】#8 自家製5分鐘!! 特盛蔥粒吞拿魚丼</v>
      </c>
      <c r="E510" s="82">
        <v>43999.0</v>
      </c>
      <c r="F510" s="80">
        <v>139.0</v>
      </c>
      <c r="G510" s="80" t="s">
        <v>63</v>
      </c>
      <c r="I510" s="80" t="s">
        <v>63</v>
      </c>
      <c r="J510" s="80">
        <v>286.0</v>
      </c>
      <c r="K510" s="80">
        <v>0.966216216216216</v>
      </c>
      <c r="L510" s="80" t="s">
        <v>64</v>
      </c>
    </row>
    <row r="511">
      <c r="A511" s="80" t="s">
        <v>593</v>
      </c>
      <c r="B511" s="81" t="str">
        <f t="shared" si="21"/>
        <v>餓底男女</v>
      </c>
      <c r="C511" s="80" t="s">
        <v>656</v>
      </c>
      <c r="D511" s="81" t="str">
        <f>HYPERLINK("https://youtube.com/watch?v=vQrIEcDilZo", "【餓遊･香港】#24 超抵食! 高質平民漢堡 仲食到香港少有嘅羊肉漢堡!")</f>
        <v>【餓遊･香港】#24 超抵食! 高質平民漢堡 仲食到香港少有嘅羊肉漢堡!</v>
      </c>
      <c r="E511" s="82">
        <v>43997.0</v>
      </c>
      <c r="F511" s="80">
        <v>201.0</v>
      </c>
      <c r="G511" s="80" t="s">
        <v>63</v>
      </c>
      <c r="I511" s="80" t="s">
        <v>63</v>
      </c>
      <c r="J511" s="80">
        <v>747.0</v>
      </c>
      <c r="K511" s="80">
        <v>0.958921694480102</v>
      </c>
      <c r="L511" s="80" t="s">
        <v>64</v>
      </c>
    </row>
    <row r="512">
      <c r="A512" s="80" t="s">
        <v>593</v>
      </c>
      <c r="B512" s="81" t="str">
        <f t="shared" si="21"/>
        <v>餓底男女</v>
      </c>
      <c r="C512" s="80" t="s">
        <v>657</v>
      </c>
      <c r="D512" s="81" t="str">
        <f>HYPERLINK("https://youtube.com/watch?v=9crALV74LFI", "【餓遊･香港】#23 為咗件梳乎厘去到...")</f>
        <v>【餓遊･香港】#23 為咗件梳乎厘去到...</v>
      </c>
      <c r="E512" s="82">
        <v>43995.0</v>
      </c>
      <c r="F512" s="80">
        <v>88.0</v>
      </c>
      <c r="G512" s="80" t="s">
        <v>63</v>
      </c>
      <c r="I512" s="80" t="s">
        <v>63</v>
      </c>
      <c r="J512" s="80">
        <v>280.0</v>
      </c>
      <c r="K512" s="80">
        <v>0.949152542372881</v>
      </c>
      <c r="L512" s="80" t="s">
        <v>64</v>
      </c>
    </row>
    <row r="513">
      <c r="A513" s="80" t="s">
        <v>593</v>
      </c>
      <c r="B513" s="81" t="str">
        <f t="shared" si="21"/>
        <v>餓底男女</v>
      </c>
      <c r="C513" s="80" t="s">
        <v>658</v>
      </c>
      <c r="D513" s="81" t="str">
        <f>HYPERLINK("https://youtube.com/watch?v=vSh6eSmeREc", "【集合啦！動物森友會】#1 勞動節旅行券迷宮破解成功﹗有冇隱藏劇情？")</f>
        <v>【集合啦！動物森友會】#1 勞動節旅行券迷宮破解成功﹗有冇隱藏劇情？</v>
      </c>
      <c r="E513" s="82">
        <v>43952.0</v>
      </c>
      <c r="F513" s="80">
        <v>534.0</v>
      </c>
      <c r="G513" s="80" t="s">
        <v>63</v>
      </c>
      <c r="I513" s="80" t="s">
        <v>63</v>
      </c>
      <c r="J513" s="80">
        <v>867.0</v>
      </c>
      <c r="K513" s="80">
        <v>0.994266055045871</v>
      </c>
      <c r="L513" s="80" t="s">
        <v>64</v>
      </c>
    </row>
    <row r="514">
      <c r="A514" s="80" t="s">
        <v>593</v>
      </c>
      <c r="B514" s="81" t="str">
        <f t="shared" si="21"/>
        <v>餓底男女</v>
      </c>
      <c r="C514" s="80" t="s">
        <v>659</v>
      </c>
      <c r="D514" s="81" t="str">
        <f>HYPERLINK("https://youtube.com/watch?v=aI0oU9WuuUg", "【餓遊･深圳】#46 深圳會唔會好食啲? | 湊湊火鍋 [4K]")</f>
        <v>【餓遊･深圳】#46 深圳會唔會好食啲? | 湊湊火鍋 [4K]</v>
      </c>
      <c r="E514" s="82">
        <v>43937.0</v>
      </c>
      <c r="F514" s="80">
        <v>199.0</v>
      </c>
      <c r="G514" s="80" t="s">
        <v>63</v>
      </c>
      <c r="I514" s="80" t="s">
        <v>63</v>
      </c>
      <c r="J514" s="80">
        <v>610.0</v>
      </c>
      <c r="K514" s="80">
        <v>0.987055016181229</v>
      </c>
      <c r="L514" s="80" t="s">
        <v>64</v>
      </c>
    </row>
    <row r="515">
      <c r="A515" s="80" t="s">
        <v>593</v>
      </c>
      <c r="B515" s="81" t="str">
        <f t="shared" si="21"/>
        <v>餓底男女</v>
      </c>
      <c r="C515" s="80" t="s">
        <v>660</v>
      </c>
      <c r="D515" s="81" t="str">
        <f>HYPERLINK("https://youtube.com/watch?v=S8jO8EGlpXo", "【餓遊･深圳】#45 火鍋店入面有間凍肉舖? [4K]")</f>
        <v>【餓遊･深圳】#45 火鍋店入面有間凍肉舖? [4K]</v>
      </c>
      <c r="E515" s="82">
        <v>43927.0</v>
      </c>
      <c r="F515" s="80">
        <v>167.0</v>
      </c>
      <c r="G515" s="80" t="s">
        <v>63</v>
      </c>
      <c r="I515" s="80" t="s">
        <v>63</v>
      </c>
      <c r="J515" s="80">
        <v>458.0</v>
      </c>
      <c r="K515" s="80">
        <v>1.0</v>
      </c>
      <c r="L515" s="80" t="s">
        <v>64</v>
      </c>
    </row>
    <row r="516">
      <c r="A516" s="80" t="s">
        <v>593</v>
      </c>
      <c r="B516" s="81" t="str">
        <f t="shared" si="21"/>
        <v>餓底男女</v>
      </c>
      <c r="C516" s="80" t="s">
        <v>661</v>
      </c>
      <c r="D516" s="81" t="str">
        <f>HYPERLINK("https://youtube.com/watch?v=bDim9sVy-PU", "【餓遊･香港】#21 鴨血豆腐無限追加 | 湊湊火鍋‧茶憩 [4K]")</f>
        <v>【餓遊･香港】#21 鴨血豆腐無限追加 | 湊湊火鍋‧茶憩 [4K]</v>
      </c>
      <c r="E516" s="82">
        <v>43924.0</v>
      </c>
      <c r="F516" s="80">
        <v>208.0</v>
      </c>
      <c r="G516" s="80" t="s">
        <v>63</v>
      </c>
      <c r="I516" s="80" t="s">
        <v>63</v>
      </c>
      <c r="J516" s="80">
        <v>566.0</v>
      </c>
      <c r="K516" s="80">
        <v>0.996478873239436</v>
      </c>
      <c r="L516" s="80" t="s">
        <v>64</v>
      </c>
    </row>
    <row r="517">
      <c r="A517" s="80" t="s">
        <v>593</v>
      </c>
      <c r="B517" s="81" t="str">
        <f t="shared" si="21"/>
        <v>餓底男女</v>
      </c>
      <c r="C517" s="80" t="s">
        <v>662</v>
      </c>
      <c r="D517" s="81" t="str">
        <f>HYPERLINK("https://youtube.com/watch?v=lAAA5BSEbko", "【餓遊･深圳】#44 親子主題･滑梯･動物園･冰雪 | 寶安大仟里 [4K]")</f>
        <v>【餓遊･深圳】#44 親子主題･滑梯･動物園･冰雪 | 寶安大仟里 [4K]</v>
      </c>
      <c r="E517" s="82">
        <v>43922.0</v>
      </c>
      <c r="F517" s="80">
        <v>441.0</v>
      </c>
      <c r="G517" s="80" t="s">
        <v>63</v>
      </c>
      <c r="I517" s="80" t="s">
        <v>63</v>
      </c>
      <c r="J517" s="80">
        <v>949.0</v>
      </c>
      <c r="K517" s="80">
        <v>0.991640543364681</v>
      </c>
      <c r="L517" s="80" t="s">
        <v>64</v>
      </c>
    </row>
    <row r="518">
      <c r="A518" s="80" t="s">
        <v>593</v>
      </c>
      <c r="B518" s="81" t="str">
        <f t="shared" si="21"/>
        <v>餓底男女</v>
      </c>
      <c r="C518" s="80" t="s">
        <v>663</v>
      </c>
      <c r="D518" s="81" t="str">
        <f>HYPERLINK("https://youtube.com/watch?v=esi8dDSKvxA", "【餓遊･香港】#20 山上港式茶樓 | 川龍端記茶樓 [4K]")</f>
        <v>【餓遊･香港】#20 山上港式茶樓 | 川龍端記茶樓 [4K]</v>
      </c>
      <c r="E518" s="82">
        <v>43920.0</v>
      </c>
      <c r="F518" s="80">
        <v>170.0</v>
      </c>
      <c r="G518" s="80" t="s">
        <v>63</v>
      </c>
      <c r="I518" s="80" t="s">
        <v>63</v>
      </c>
      <c r="J518" s="80">
        <v>369.0</v>
      </c>
      <c r="K518" s="80">
        <v>1.0</v>
      </c>
      <c r="L518" s="80" t="s">
        <v>64</v>
      </c>
    </row>
    <row r="519">
      <c r="A519" s="80" t="s">
        <v>593</v>
      </c>
      <c r="B519" s="81" t="str">
        <f t="shared" si="21"/>
        <v>餓底男女</v>
      </c>
      <c r="C519" s="80" t="s">
        <v>664</v>
      </c>
      <c r="D519" s="81" t="str">
        <f>HYPERLINK("https://youtube.com/watch?v=J6WjsPjw2B4", "【餓遊･香港】#19 市中心的森林餐廳 [4K]")</f>
        <v>【餓遊･香港】#19 市中心的森林餐廳 [4K]</v>
      </c>
      <c r="E519" s="82">
        <v>43918.0</v>
      </c>
      <c r="F519" s="80">
        <v>146.0</v>
      </c>
      <c r="G519" s="80" t="s">
        <v>63</v>
      </c>
      <c r="I519" s="80" t="s">
        <v>63</v>
      </c>
      <c r="J519" s="80">
        <v>484.0</v>
      </c>
      <c r="K519" s="80">
        <v>0.989775051124744</v>
      </c>
      <c r="L519" s="80" t="s">
        <v>64</v>
      </c>
    </row>
    <row r="520">
      <c r="A520" s="80" t="s">
        <v>593</v>
      </c>
      <c r="B520" s="81" t="str">
        <f t="shared" si="21"/>
        <v>餓底男女</v>
      </c>
      <c r="C520" s="80" t="s">
        <v>665</v>
      </c>
      <c r="D520" s="81" t="str">
        <f>HYPERLINK("https://youtube.com/watch?v=2lC6cUxGne0", "【餓遊･香港】#18 法式甜品平民價錢 [4K]")</f>
        <v>【餓遊･香港】#18 法式甜品平民價錢 [4K]</v>
      </c>
      <c r="E520" s="82">
        <v>43915.0</v>
      </c>
      <c r="F520" s="80">
        <v>90.0</v>
      </c>
      <c r="G520" s="80" t="s">
        <v>63</v>
      </c>
      <c r="I520" s="80" t="s">
        <v>63</v>
      </c>
      <c r="J520" s="80">
        <v>330.0</v>
      </c>
      <c r="K520" s="80">
        <v>0.942857142857142</v>
      </c>
      <c r="L520" s="80" t="s">
        <v>64</v>
      </c>
    </row>
    <row r="521">
      <c r="A521" s="80" t="s">
        <v>593</v>
      </c>
      <c r="B521" s="81" t="str">
        <f t="shared" si="21"/>
        <v>餓底男女</v>
      </c>
      <c r="C521" s="80" t="s">
        <v>666</v>
      </c>
      <c r="D521" s="81" t="str">
        <f>HYPERLINK("https://youtube.com/watch?v=TYOX_xRdV2Q", "【餓遊･香港】#17 執笠炸雞買一送一 | Sodam Chicken [4K]")</f>
        <v>【餓遊･香港】#17 執笠炸雞買一送一 | Sodam Chicken [4K]</v>
      </c>
      <c r="E521" s="82">
        <v>43913.0</v>
      </c>
      <c r="F521" s="80">
        <v>188.0</v>
      </c>
      <c r="G521" s="80" t="s">
        <v>63</v>
      </c>
      <c r="I521" s="80" t="s">
        <v>63</v>
      </c>
      <c r="J521" s="80">
        <v>578.0</v>
      </c>
      <c r="K521" s="80">
        <v>0.979661016949152</v>
      </c>
      <c r="L521" s="80" t="s">
        <v>64</v>
      </c>
    </row>
    <row r="522">
      <c r="A522" s="80" t="s">
        <v>593</v>
      </c>
      <c r="B522" s="81" t="str">
        <f t="shared" si="21"/>
        <v>餓底男女</v>
      </c>
      <c r="C522" s="80" t="s">
        <v>667</v>
      </c>
      <c r="D522" s="81" t="str">
        <f>HYPERLINK("https://youtube.com/watch?v=5rOI6NpcxKE", "【餓遊･香港】#16 熬60個鐘無添加牛肉麵 | 六両三 [4K]")</f>
        <v>【餓遊･香港】#16 熬60個鐘無添加牛肉麵 | 六両三 [4K]</v>
      </c>
      <c r="E522" s="82">
        <v>43911.0</v>
      </c>
      <c r="F522" s="80">
        <v>109.0</v>
      </c>
      <c r="G522" s="80" t="s">
        <v>63</v>
      </c>
      <c r="I522" s="80" t="s">
        <v>63</v>
      </c>
      <c r="J522" s="80">
        <v>206.0</v>
      </c>
      <c r="K522" s="80">
        <v>1.0</v>
      </c>
      <c r="L522" s="80" t="s">
        <v>64</v>
      </c>
    </row>
    <row r="523">
      <c r="A523" s="80" t="s">
        <v>593</v>
      </c>
      <c r="B523" s="81" t="str">
        <f t="shared" si="21"/>
        <v>餓底男女</v>
      </c>
      <c r="C523" s="80" t="s">
        <v>668</v>
      </c>
      <c r="D523" s="81" t="str">
        <f>HYPERLINK("https://youtube.com/watch?v=xNSyReXzDsQ", "【餓遊･香港】#15 新開幕﹗名古屋人氣梳乎厘 [4K]")</f>
        <v>【餓遊･香港】#15 新開幕﹗名古屋人氣梳乎厘 [4K]</v>
      </c>
      <c r="E523" s="82">
        <v>43910.0</v>
      </c>
      <c r="F523" s="80">
        <v>159.0</v>
      </c>
      <c r="G523" s="80" t="s">
        <v>63</v>
      </c>
      <c r="I523" s="80" t="s">
        <v>63</v>
      </c>
      <c r="J523" s="80">
        <v>495.0</v>
      </c>
      <c r="K523" s="80">
        <v>0.964912280701754</v>
      </c>
      <c r="L523" s="80" t="s">
        <v>64</v>
      </c>
    </row>
    <row r="524">
      <c r="A524" s="80" t="s">
        <v>593</v>
      </c>
      <c r="B524" s="81" t="str">
        <f t="shared" si="21"/>
        <v>餓底男女</v>
      </c>
      <c r="C524" s="80" t="s">
        <v>669</v>
      </c>
      <c r="D524" s="81" t="str">
        <f>HYPERLINK("https://youtube.com/watch?v=j79VHckRUzg", "【餓遊･香港】#14 鬧市中的空曠Café | 桔梗 [4K]")</f>
        <v>【餓遊･香港】#14 鬧市中的空曠Café | 桔梗 [4K]</v>
      </c>
      <c r="E524" s="82">
        <v>43909.0</v>
      </c>
      <c r="F524" s="80">
        <v>173.0</v>
      </c>
      <c r="G524" s="80" t="s">
        <v>63</v>
      </c>
      <c r="I524" s="80" t="s">
        <v>63</v>
      </c>
      <c r="J524" s="80">
        <v>432.0</v>
      </c>
      <c r="K524" s="80">
        <v>0.96</v>
      </c>
      <c r="L524" s="80" t="s">
        <v>64</v>
      </c>
    </row>
    <row r="525">
      <c r="A525" s="80" t="s">
        <v>593</v>
      </c>
      <c r="B525" s="81" t="str">
        <f t="shared" si="21"/>
        <v>餓底男女</v>
      </c>
      <c r="C525" s="80" t="s">
        <v>670</v>
      </c>
      <c r="D525" s="81" t="str">
        <f>HYPERLINK("https://youtube.com/watch?v=F4RK38aRAIY", "【餓遊･香港】#13 貨櫃屋的小店 | 麗閣街市 [4K]")</f>
        <v>【餓遊･香港】#13 貨櫃屋的小店 | 麗閣街市 [4K]</v>
      </c>
      <c r="E525" s="82">
        <v>43906.0</v>
      </c>
      <c r="F525" s="80">
        <v>213.0</v>
      </c>
      <c r="G525" s="80" t="s">
        <v>63</v>
      </c>
      <c r="I525" s="80" t="s">
        <v>63</v>
      </c>
      <c r="J525" s="80">
        <v>472.0</v>
      </c>
      <c r="K525" s="80">
        <v>0.96523517382413</v>
      </c>
      <c r="L525" s="80" t="s">
        <v>64</v>
      </c>
    </row>
    <row r="526">
      <c r="A526" s="80" t="s">
        <v>593</v>
      </c>
      <c r="B526" s="81" t="str">
        <f t="shared" si="21"/>
        <v>餓底男女</v>
      </c>
      <c r="C526" s="80" t="s">
        <v>671</v>
      </c>
      <c r="D526" s="81" t="str">
        <f>HYPERLINK("https://youtube.com/watch?v=s4nqRJJ5fxg", "【餓底廚房】#7 過年整啲特別嘅﹗日式綠茶草餅 [4K]")</f>
        <v>【餓底廚房】#7 過年整啲特別嘅﹗日式綠茶草餅 [4K]</v>
      </c>
      <c r="E526" s="82">
        <v>43859.0</v>
      </c>
      <c r="F526" s="80">
        <v>249.0</v>
      </c>
      <c r="G526" s="80" t="s">
        <v>63</v>
      </c>
      <c r="I526" s="80" t="s">
        <v>63</v>
      </c>
      <c r="J526" s="80">
        <v>558.0</v>
      </c>
      <c r="K526" s="80">
        <v>0.996428571428571</v>
      </c>
      <c r="L526" s="80" t="s">
        <v>64</v>
      </c>
    </row>
    <row r="527">
      <c r="A527" s="80" t="s">
        <v>593</v>
      </c>
      <c r="B527" s="81" t="str">
        <f t="shared" si="21"/>
        <v>餓底男女</v>
      </c>
      <c r="C527" s="80" t="s">
        <v>672</v>
      </c>
      <c r="D527" s="81" t="str">
        <f>HYPERLINK("https://youtube.com/watch?v=Z9Hvz4blFkg", "【餓遊･香港】#12 新春特別篇．一次過試晒15間葵涌廣場小店 [4K]")</f>
        <v>【餓遊･香港】#12 新春特別篇．一次過試晒15間葵涌廣場小店 [4K]</v>
      </c>
      <c r="E527" s="82">
        <v>43857.0</v>
      </c>
      <c r="F527" s="80">
        <v>326.0</v>
      </c>
      <c r="G527" s="80" t="s">
        <v>63</v>
      </c>
      <c r="I527" s="80" t="s">
        <v>63</v>
      </c>
      <c r="J527" s="80">
        <v>1100.0</v>
      </c>
      <c r="K527" s="80">
        <v>0.988319856244384</v>
      </c>
      <c r="L527" s="80" t="s">
        <v>64</v>
      </c>
    </row>
    <row r="528">
      <c r="A528" s="80" t="s">
        <v>593</v>
      </c>
      <c r="B528" s="81" t="str">
        <f t="shared" si="21"/>
        <v>餓底男女</v>
      </c>
      <c r="C528" s="80" t="s">
        <v>673</v>
      </c>
      <c r="D528" s="81" t="str">
        <f>HYPERLINK("https://youtube.com/watch?v=UhPHuEsCe-w", "【餓底廚房】#6 三色盤龍茄子 [4K]")</f>
        <v>【餓底廚房】#6 三色盤龍茄子 [4K]</v>
      </c>
      <c r="E528" s="82">
        <v>43854.0</v>
      </c>
      <c r="F528" s="80">
        <v>203.0</v>
      </c>
      <c r="G528" s="80" t="s">
        <v>63</v>
      </c>
      <c r="I528" s="80" t="s">
        <v>63</v>
      </c>
      <c r="J528" s="80">
        <v>296.0</v>
      </c>
      <c r="K528" s="80">
        <v>0.993288590604026</v>
      </c>
      <c r="L528" s="80" t="s">
        <v>64</v>
      </c>
    </row>
    <row r="529">
      <c r="A529" s="80" t="s">
        <v>593</v>
      </c>
      <c r="B529" s="81" t="str">
        <f t="shared" si="21"/>
        <v>餓底男女</v>
      </c>
      <c r="C529" s="80" t="s">
        <v>674</v>
      </c>
      <c r="D529" s="81" t="str">
        <f>HYPERLINK("https://youtube.com/watch?v=Na39h3iXWSk", "【餓遊･香港】#11 性價比超高﹗生蠔海鮮樣樣有﹗[4K]")</f>
        <v>【餓遊･香港】#11 性價比超高﹗生蠔海鮮樣樣有﹗[4K]</v>
      </c>
      <c r="E529" s="82">
        <v>43853.0</v>
      </c>
      <c r="F529" s="80">
        <v>378.0</v>
      </c>
      <c r="G529" s="80" t="s">
        <v>63</v>
      </c>
      <c r="I529" s="80" t="s">
        <v>63</v>
      </c>
      <c r="J529" s="80">
        <v>613.0</v>
      </c>
      <c r="K529" s="80">
        <v>0.9808</v>
      </c>
      <c r="L529" s="80" t="s">
        <v>64</v>
      </c>
    </row>
    <row r="530">
      <c r="A530" s="80" t="s">
        <v>593</v>
      </c>
      <c r="B530" s="81" t="str">
        <f t="shared" si="21"/>
        <v>餓底男女</v>
      </c>
      <c r="C530" s="80" t="s">
        <v>675</v>
      </c>
      <c r="D530" s="81" t="str">
        <f>HYPERLINK("https://youtube.com/watch?v=bJ-cpzpJHiU", "【餓遊．香港】#10 黃埔壽司郎開幕喇！[4K]")</f>
        <v>【餓遊．香港】#10 黃埔壽司郎開幕喇！[4K]</v>
      </c>
      <c r="E530" s="82">
        <v>43853.0</v>
      </c>
      <c r="F530" s="80">
        <v>264.0</v>
      </c>
      <c r="G530" s="80" t="s">
        <v>63</v>
      </c>
      <c r="I530" s="80" t="s">
        <v>63</v>
      </c>
      <c r="J530" s="80">
        <v>566.0</v>
      </c>
      <c r="K530" s="80">
        <v>0.99124343257443</v>
      </c>
      <c r="L530" s="80" t="s">
        <v>64</v>
      </c>
    </row>
    <row r="531">
      <c r="A531" s="80" t="s">
        <v>593</v>
      </c>
      <c r="B531" s="81" t="str">
        <f t="shared" si="21"/>
        <v>餓底男女</v>
      </c>
      <c r="C531" s="80" t="s">
        <v>676</v>
      </c>
      <c r="D531" s="81" t="str">
        <f>HYPERLINK("https://youtube.com/watch?v=TSKIqKA_Brk", "【餓遊．香港】#9 期間限定螃蟹祭 | 壽司郎 [4K]")</f>
        <v>【餓遊．香港】#9 期間限定螃蟹祭 | 壽司郎 [4K]</v>
      </c>
      <c r="E531" s="82">
        <v>43845.0</v>
      </c>
      <c r="F531" s="80">
        <v>287.0</v>
      </c>
      <c r="G531" s="80" t="s">
        <v>63</v>
      </c>
      <c r="I531" s="80" t="s">
        <v>63</v>
      </c>
      <c r="J531" s="80">
        <v>847.0</v>
      </c>
      <c r="K531" s="80">
        <v>0.991803278688524</v>
      </c>
      <c r="L531" s="80" t="s">
        <v>64</v>
      </c>
    </row>
    <row r="532">
      <c r="A532" s="80" t="s">
        <v>593</v>
      </c>
      <c r="B532" s="81" t="str">
        <f t="shared" si="21"/>
        <v>餓底男女</v>
      </c>
      <c r="C532" s="80" t="s">
        <v>677</v>
      </c>
      <c r="D532" s="81" t="str">
        <f>HYPERLINK("https://youtube.com/watch?v=ya_wQdZ52ow", "【餓遊．香港】#8 超抵食!! $60石燒牛 | 神石焼きビーフステーキ水產専門店 [4K]")</f>
        <v>【餓遊．香港】#8 超抵食!! $60石燒牛 | 神石焼きビーフステーキ水產専門店 [4K]</v>
      </c>
      <c r="E532" s="82">
        <v>43844.0</v>
      </c>
      <c r="F532" s="80">
        <v>133.0</v>
      </c>
      <c r="G532" s="80" t="s">
        <v>63</v>
      </c>
      <c r="I532" s="80" t="s">
        <v>63</v>
      </c>
      <c r="J532" s="80">
        <v>303.0</v>
      </c>
      <c r="K532" s="80">
        <v>0.996710526315789</v>
      </c>
      <c r="L532" s="80" t="s">
        <v>64</v>
      </c>
    </row>
    <row r="533">
      <c r="A533" s="80" t="s">
        <v>593</v>
      </c>
      <c r="B533" s="81" t="str">
        <f t="shared" si="21"/>
        <v>餓底男女</v>
      </c>
      <c r="C533" s="80" t="s">
        <v>678</v>
      </c>
      <c r="D533" s="81" t="str">
        <f>HYPERLINK("https://youtube.com/watch?v=u-ETlH9QnDA", "【餓遊．深圳】#43 卓悦中心 | 泥好•梨山•漁語魚 [4K]")</f>
        <v>【餓遊．深圳】#43 卓悦中心 | 泥好•梨山•漁語魚 [4K]</v>
      </c>
      <c r="E533" s="82">
        <v>43841.0</v>
      </c>
      <c r="F533" s="80">
        <v>313.0</v>
      </c>
      <c r="G533" s="80" t="s">
        <v>63</v>
      </c>
      <c r="I533" s="80" t="s">
        <v>63</v>
      </c>
      <c r="J533" s="80">
        <v>880.0</v>
      </c>
      <c r="K533" s="80">
        <v>0.994350282485875</v>
      </c>
      <c r="L533" s="80" t="s">
        <v>64</v>
      </c>
    </row>
    <row r="534">
      <c r="A534" s="80" t="s">
        <v>593</v>
      </c>
      <c r="B534" s="81" t="str">
        <f t="shared" si="21"/>
        <v>餓底男女</v>
      </c>
      <c r="C534" s="80" t="s">
        <v>679</v>
      </c>
      <c r="D534" s="81" t="str">
        <f>HYPERLINK("https://youtube.com/watch?v=ltS2nwRoidw", "【餓遊．香港】#7 工廈入面食超美味德州漢堡 | The Americano By Texas Burger [4K]")</f>
        <v>【餓遊．香港】#7 工廈入面食超美味德州漢堡 | The Americano By Texas Burger [4K]</v>
      </c>
      <c r="E534" s="82">
        <v>43840.0</v>
      </c>
      <c r="F534" s="80">
        <v>135.0</v>
      </c>
      <c r="G534" s="80" t="s">
        <v>63</v>
      </c>
      <c r="I534" s="80" t="s">
        <v>63</v>
      </c>
      <c r="J534" s="80">
        <v>433.0</v>
      </c>
      <c r="K534" s="80">
        <v>0.966517857142857</v>
      </c>
      <c r="L534" s="80" t="s">
        <v>64</v>
      </c>
    </row>
    <row r="535">
      <c r="A535" s="80" t="s">
        <v>593</v>
      </c>
      <c r="B535" s="81" t="str">
        <f t="shared" si="21"/>
        <v>餓底男女</v>
      </c>
      <c r="C535" s="80" t="s">
        <v>680</v>
      </c>
      <c r="D535" s="81" t="str">
        <f>HYPERLINK("https://youtube.com/watch?v=RcoVijEVk3Q", "【餓底廚房】#5 網紅頹廢炸雞飯 [4K]")</f>
        <v>【餓底廚房】#5 網紅頹廢炸雞飯 [4K]</v>
      </c>
      <c r="E535" s="82">
        <v>43835.0</v>
      </c>
      <c r="F535" s="80">
        <v>177.0</v>
      </c>
      <c r="G535" s="80" t="s">
        <v>63</v>
      </c>
      <c r="I535" s="80" t="s">
        <v>63</v>
      </c>
      <c r="J535" s="80">
        <v>266.0</v>
      </c>
      <c r="K535" s="80">
        <v>1.0</v>
      </c>
      <c r="L535" s="80" t="s">
        <v>64</v>
      </c>
    </row>
    <row r="536">
      <c r="A536" s="80" t="s">
        <v>593</v>
      </c>
      <c r="B536" s="81" t="str">
        <f t="shared" si="21"/>
        <v>餓底男女</v>
      </c>
      <c r="C536" s="80" t="s">
        <v>681</v>
      </c>
      <c r="D536" s="81" t="str">
        <f>HYPERLINK("https://youtube.com/watch?v=pXZgY8p6wHw", "【餓底廚房】#4 斧頭扒配紅酒汁 [4K]")</f>
        <v>【餓底廚房】#4 斧頭扒配紅酒汁 [4K]</v>
      </c>
      <c r="E536" s="82">
        <v>43834.0</v>
      </c>
      <c r="F536" s="80">
        <v>474.0</v>
      </c>
      <c r="G536" s="80" t="s">
        <v>63</v>
      </c>
      <c r="I536" s="80" t="s">
        <v>63</v>
      </c>
      <c r="J536" s="80">
        <v>615.0</v>
      </c>
      <c r="K536" s="80">
        <v>0.963949843260188</v>
      </c>
      <c r="L536" s="80" t="s">
        <v>64</v>
      </c>
    </row>
    <row r="537">
      <c r="A537" s="80" t="s">
        <v>593</v>
      </c>
      <c r="B537" s="81" t="str">
        <f t="shared" si="21"/>
        <v>餓底男女</v>
      </c>
      <c r="C537" s="80" t="s">
        <v>682</v>
      </c>
      <c r="D537" s="81" t="str">
        <f>HYPERLINK("https://youtube.com/watch?v=Ipbt8j-5LH8", "【餓遊．香港】#6 拍得住台灣嘅小店 | 風尚台灣小吃 [4K]")</f>
        <v>【餓遊．香港】#6 拍得住台灣嘅小店 | 風尚台灣小吃 [4K]</v>
      </c>
      <c r="E537" s="82">
        <v>43834.0</v>
      </c>
      <c r="F537" s="80">
        <v>177.0</v>
      </c>
      <c r="G537" s="80" t="s">
        <v>63</v>
      </c>
      <c r="I537" s="80" t="s">
        <v>63</v>
      </c>
      <c r="J537" s="80">
        <v>374.0</v>
      </c>
      <c r="K537" s="80">
        <v>0.997333333333333</v>
      </c>
      <c r="L537" s="80" t="s">
        <v>64</v>
      </c>
    </row>
    <row r="538">
      <c r="A538" s="80" t="s">
        <v>593</v>
      </c>
      <c r="B538" s="81" t="str">
        <f t="shared" si="21"/>
        <v>餓底男女</v>
      </c>
      <c r="C538" s="80" t="s">
        <v>683</v>
      </c>
      <c r="D538" s="81" t="str">
        <f>HYPERLINK("https://youtube.com/watch?v=z59ODWtSxSc", "【餓遊．香港元朗】#5 意想不到的窩夫 | ACCRO COFFEE [4K]")</f>
        <v>【餓遊．香港元朗】#5 意想不到的窩夫 | ACCRO COFFEE [4K]</v>
      </c>
      <c r="E538" s="82">
        <v>43828.0</v>
      </c>
      <c r="F538" s="80">
        <v>175.0</v>
      </c>
      <c r="G538" s="80" t="s">
        <v>63</v>
      </c>
      <c r="I538" s="80" t="s">
        <v>63</v>
      </c>
      <c r="J538" s="80">
        <v>577.0</v>
      </c>
      <c r="K538" s="80">
        <v>0.996545768566493</v>
      </c>
      <c r="L538" s="80" t="s">
        <v>64</v>
      </c>
    </row>
    <row r="539">
      <c r="A539" s="80" t="s">
        <v>593</v>
      </c>
      <c r="B539" s="81" t="str">
        <f t="shared" si="21"/>
        <v>餓底男女</v>
      </c>
      <c r="C539" s="80" t="s">
        <v>684</v>
      </c>
      <c r="D539" s="81" t="str">
        <f>HYPERLINK("https://youtube.com/watch?v=HEM1HCk0EyA", "【餓遊．香港旺角】#4 排足1個鐘食燒肉丼中伏？首試壽喜燒鍋 | Sukiya すき家 食其家 [4K]")</f>
        <v>【餓遊．香港旺角】#4 排足1個鐘食燒肉丼中伏？首試壽喜燒鍋 | Sukiya すき家 食其家 [4K]</v>
      </c>
      <c r="E539" s="82">
        <v>43816.0</v>
      </c>
      <c r="F539" s="80">
        <v>207.0</v>
      </c>
      <c r="G539" s="80" t="s">
        <v>63</v>
      </c>
      <c r="I539" s="80" t="s">
        <v>63</v>
      </c>
      <c r="J539" s="80">
        <v>546.0</v>
      </c>
      <c r="K539" s="80">
        <v>0.951219512195121</v>
      </c>
      <c r="L539" s="80" t="s">
        <v>64</v>
      </c>
    </row>
    <row r="540">
      <c r="A540" s="80" t="s">
        <v>593</v>
      </c>
      <c r="B540" s="81" t="str">
        <f t="shared" si="21"/>
        <v>餓底男女</v>
      </c>
      <c r="C540" s="80" t="s">
        <v>685</v>
      </c>
      <c r="D540" s="81" t="str">
        <f>HYPERLINK("https://youtube.com/watch?v=Am7akZNuqr4", "【餓遊．香港荃灣】#3 2萬7千呎！驚安之殿堂荃灣店開幕﹗[4K]")</f>
        <v>【餓遊．香港荃灣】#3 2萬7千呎！驚安之殿堂荃灣店開幕﹗[4K]</v>
      </c>
      <c r="E540" s="82">
        <v>43814.0</v>
      </c>
      <c r="F540" s="80">
        <v>261.0</v>
      </c>
      <c r="G540" s="80" t="s">
        <v>63</v>
      </c>
      <c r="I540" s="80" t="s">
        <v>63</v>
      </c>
      <c r="J540" s="80">
        <v>392.0</v>
      </c>
      <c r="K540" s="80">
        <v>0.96078431372549</v>
      </c>
      <c r="L540" s="80" t="s">
        <v>64</v>
      </c>
    </row>
    <row r="541">
      <c r="A541" s="80" t="s">
        <v>593</v>
      </c>
      <c r="B541" s="81" t="str">
        <f t="shared" si="21"/>
        <v>餓底男女</v>
      </c>
      <c r="C541" s="80" t="s">
        <v>686</v>
      </c>
      <c r="D541" s="81" t="str">
        <f>HYPERLINK("https://youtube.com/watch?v=3c_f7wUBWQU", "【餓遊．深圳】#42 奧巴馬細佬開燒烤店? [4K]")</f>
        <v>【餓遊．深圳】#42 奧巴馬細佬開燒烤店? [4K]</v>
      </c>
      <c r="E541" s="82">
        <v>43677.0</v>
      </c>
      <c r="F541" s="80">
        <v>144.0</v>
      </c>
      <c r="G541" s="80" t="s">
        <v>63</v>
      </c>
      <c r="I541" s="80" t="s">
        <v>63</v>
      </c>
      <c r="J541" s="80">
        <v>409.0</v>
      </c>
      <c r="K541" s="80">
        <v>1.0</v>
      </c>
      <c r="L541" s="80" t="s">
        <v>64</v>
      </c>
    </row>
    <row r="542">
      <c r="A542" s="80" t="s">
        <v>593</v>
      </c>
      <c r="B542" s="81" t="str">
        <f t="shared" si="21"/>
        <v>餓底男女</v>
      </c>
      <c r="C542" s="80" t="s">
        <v>687</v>
      </c>
      <c r="D542" s="81" t="str">
        <f>HYPERLINK("https://youtube.com/watch?v=H9A1x2k1tGo", "【餓遊．深圳行程】#9 芝麻街 + 小王子 x 萬象天地 [4K]")</f>
        <v>【餓遊．深圳行程】#9 芝麻街 + 小王子 x 萬象天地 [4K]</v>
      </c>
      <c r="E542" s="82">
        <v>43654.0</v>
      </c>
      <c r="F542" s="80">
        <v>173.0</v>
      </c>
      <c r="G542" s="80" t="s">
        <v>63</v>
      </c>
      <c r="I542" s="80" t="s">
        <v>63</v>
      </c>
      <c r="J542" s="80">
        <v>214.0</v>
      </c>
      <c r="K542" s="80">
        <v>1.0</v>
      </c>
      <c r="L542" s="80" t="s">
        <v>64</v>
      </c>
    </row>
    <row r="543">
      <c r="A543" s="80" t="s">
        <v>593</v>
      </c>
      <c r="B543" s="81" t="str">
        <f t="shared" si="21"/>
        <v>餓底男女</v>
      </c>
      <c r="C543" s="80" t="s">
        <v>688</v>
      </c>
      <c r="D543" s="81" t="str">
        <f>HYPERLINK("https://youtube.com/watch?v=_f0w2kvkIxo", "【餓遊．深圳行程】#8 放電•打卡•全家都啱去嘅商場 | 萬象天地 [4K]")</f>
        <v>【餓遊．深圳行程】#8 放電•打卡•全家都啱去嘅商場 | 萬象天地 [4K]</v>
      </c>
      <c r="E543" s="82">
        <v>43647.0</v>
      </c>
      <c r="F543" s="80">
        <v>171.0</v>
      </c>
      <c r="G543" s="80" t="s">
        <v>63</v>
      </c>
      <c r="I543" s="80" t="s">
        <v>63</v>
      </c>
      <c r="J543" s="80">
        <v>475.0</v>
      </c>
      <c r="K543" s="80">
        <v>0.90648854961832</v>
      </c>
      <c r="L543" s="80" t="s">
        <v>64</v>
      </c>
    </row>
    <row r="544">
      <c r="A544" s="80" t="s">
        <v>593</v>
      </c>
      <c r="B544" s="81" t="str">
        <f t="shared" si="21"/>
        <v>餓底男女</v>
      </c>
      <c r="C544" s="80" t="s">
        <v>689</v>
      </c>
      <c r="D544" s="81" t="str">
        <f>HYPERLINK("https://youtube.com/watch?v=kA7n6DQSc-A", "【餓遊．香港】#2 舒芙蕾有#姜糖會好食一點嗎? | TeaWood Deluxe [4K]")</f>
        <v>【餓遊．香港】#2 舒芙蕾有#姜糖會好食一點嗎? | TeaWood Deluxe [4K]</v>
      </c>
      <c r="E544" s="82">
        <v>43643.0</v>
      </c>
      <c r="F544" s="80">
        <v>156.0</v>
      </c>
      <c r="G544" s="80" t="s">
        <v>63</v>
      </c>
      <c r="I544" s="80" t="s">
        <v>63</v>
      </c>
      <c r="J544" s="80">
        <v>371.0</v>
      </c>
      <c r="K544" s="80">
        <v>0.956185567010309</v>
      </c>
      <c r="L544" s="80" t="s">
        <v>64</v>
      </c>
    </row>
    <row r="545">
      <c r="A545" s="80" t="s">
        <v>593</v>
      </c>
      <c r="B545" s="81" t="str">
        <f t="shared" si="21"/>
        <v>餓底男女</v>
      </c>
      <c r="C545" s="80" t="s">
        <v>690</v>
      </c>
      <c r="D545" s="81" t="str">
        <f>HYPERLINK("https://youtube.com/watch?v=4YbnqNNgGT0", "【餓遊．廣州】#1 好玩! 自動串燒機 + 榴槤彩蛋 !! | 諸鑼記烤串 [4K]")</f>
        <v>【餓遊．廣州】#1 好玩! 自動串燒機 + 榴槤彩蛋 !! | 諸鑼記烤串 [4K]</v>
      </c>
      <c r="E545" s="82">
        <v>43640.0</v>
      </c>
      <c r="F545" s="80">
        <v>177.0</v>
      </c>
      <c r="G545" s="80" t="s">
        <v>63</v>
      </c>
      <c r="I545" s="80" t="s">
        <v>63</v>
      </c>
      <c r="J545" s="80">
        <v>536.0</v>
      </c>
      <c r="K545" s="80">
        <v>0.992592592592592</v>
      </c>
      <c r="L545" s="80" t="s">
        <v>64</v>
      </c>
    </row>
    <row r="546">
      <c r="A546" s="80" t="s">
        <v>593</v>
      </c>
      <c r="B546" s="81" t="str">
        <f t="shared" si="21"/>
        <v>餓底男女</v>
      </c>
      <c r="C546" s="80" t="s">
        <v>691</v>
      </c>
      <c r="D546" s="81" t="str">
        <f>HYPERLINK("https://youtube.com/watch?v=rnByEoGWFPA", "【餓遊．深圳】#40 人均消費¥300嘅火鍋店有乜特別? | 火堯火鍋 [4K]")</f>
        <v>【餓遊．深圳】#40 人均消費¥300嘅火鍋店有乜特別? | 火堯火鍋 [4K]</v>
      </c>
      <c r="E546" s="82">
        <v>43638.0</v>
      </c>
      <c r="F546" s="80">
        <v>210.0</v>
      </c>
      <c r="G546" s="80" t="s">
        <v>63</v>
      </c>
      <c r="I546" s="80" t="s">
        <v>63</v>
      </c>
      <c r="J546" s="80">
        <v>528.0</v>
      </c>
      <c r="K546" s="80">
        <v>0.996226415094339</v>
      </c>
      <c r="L546" s="80" t="s">
        <v>64</v>
      </c>
    </row>
    <row r="547">
      <c r="A547" s="80" t="s">
        <v>593</v>
      </c>
      <c r="B547" s="81" t="str">
        <f t="shared" si="21"/>
        <v>餓底男女</v>
      </c>
      <c r="C547" s="80" t="s">
        <v>692</v>
      </c>
      <c r="D547" s="81" t="str">
        <f>HYPERLINK("https://youtube.com/watch?v=Ws1LchksrME", "【餓遊．深圳】#39 靠得住嘅家常客家菜 | 靠山 [4K]")</f>
        <v>【餓遊．深圳】#39 靠得住嘅家常客家菜 | 靠山 [4K]</v>
      </c>
      <c r="E547" s="82">
        <v>43607.0</v>
      </c>
      <c r="F547" s="80">
        <v>189.0</v>
      </c>
      <c r="G547" s="80" t="s">
        <v>63</v>
      </c>
      <c r="I547" s="80" t="s">
        <v>63</v>
      </c>
      <c r="J547" s="80">
        <v>478.0</v>
      </c>
      <c r="K547" s="80">
        <v>0.993762993762993</v>
      </c>
      <c r="L547" s="80" t="s">
        <v>64</v>
      </c>
    </row>
    <row r="548">
      <c r="A548" s="80" t="s">
        <v>593</v>
      </c>
      <c r="B548" s="81" t="str">
        <f t="shared" si="21"/>
        <v>餓底男女</v>
      </c>
      <c r="C548" s="80" t="s">
        <v>693</v>
      </c>
      <c r="D548" s="81" t="str">
        <f>HYPERLINK("https://youtube.com/watch?v=OrKy0AMkA6A", "【餓遊．深圳】#38 唔靠打卡都好食嘅川菜 | 撒椒 [4K]")</f>
        <v>【餓遊．深圳】#38 唔靠打卡都好食嘅川菜 | 撒椒 [4K]</v>
      </c>
      <c r="E548" s="82">
        <v>43604.0</v>
      </c>
      <c r="F548" s="80">
        <v>211.0</v>
      </c>
      <c r="G548" s="80" t="s">
        <v>63</v>
      </c>
      <c r="I548" s="80" t="s">
        <v>63</v>
      </c>
      <c r="J548" s="80">
        <v>511.0</v>
      </c>
      <c r="K548" s="80">
        <v>1.0</v>
      </c>
      <c r="L548" s="80" t="s">
        <v>64</v>
      </c>
    </row>
    <row r="549">
      <c r="A549" s="80" t="s">
        <v>593</v>
      </c>
      <c r="B549" s="81" t="str">
        <f t="shared" si="21"/>
        <v>餓底男女</v>
      </c>
      <c r="C549" s="80" t="s">
        <v>694</v>
      </c>
      <c r="D549" s="81" t="str">
        <f>HYPERLINK("https://youtube.com/watch?v=atA4CShcEK8", "【餓遊．深圳】#37 川菜老字號係深圳開店 [4K]")</f>
        <v>【餓遊．深圳】#37 川菜老字號係深圳開店 [4K]</v>
      </c>
      <c r="E549" s="82">
        <v>43601.0</v>
      </c>
      <c r="F549" s="80">
        <v>211.0</v>
      </c>
      <c r="G549" s="80" t="s">
        <v>63</v>
      </c>
      <c r="I549" s="80" t="s">
        <v>63</v>
      </c>
      <c r="J549" s="80">
        <v>624.0</v>
      </c>
      <c r="K549" s="80">
        <v>0.9984</v>
      </c>
      <c r="L549" s="80" t="s">
        <v>64</v>
      </c>
    </row>
    <row r="550">
      <c r="A550" s="80" t="s">
        <v>593</v>
      </c>
      <c r="B550" s="81" t="str">
        <f t="shared" si="21"/>
        <v>餓底男女</v>
      </c>
      <c r="C550" s="80" t="s">
        <v>695</v>
      </c>
      <c r="D550" s="81" t="str">
        <f>HYPERLINK("https://youtube.com/watch?v=EN7hIYjjKks", "【餓遊．深圳】#36 飲茶都可以打卡 | 唐宮小聚 [4K]")</f>
        <v>【餓遊．深圳】#36 飲茶都可以打卡 | 唐宮小聚 [4K]</v>
      </c>
      <c r="E550" s="82">
        <v>43600.0</v>
      </c>
      <c r="F550" s="80">
        <v>207.0</v>
      </c>
      <c r="G550" s="80" t="s">
        <v>63</v>
      </c>
      <c r="I550" s="80" t="s">
        <v>63</v>
      </c>
      <c r="J550" s="80">
        <v>404.0</v>
      </c>
      <c r="K550" s="80">
        <v>0.955082742316784</v>
      </c>
      <c r="L550" s="80" t="s">
        <v>64</v>
      </c>
    </row>
    <row r="551">
      <c r="A551" s="80" t="s">
        <v>593</v>
      </c>
      <c r="B551" s="81" t="str">
        <f t="shared" si="21"/>
        <v>餓底男女</v>
      </c>
      <c r="C551" s="80" t="s">
        <v>696</v>
      </c>
      <c r="D551" s="81" t="str">
        <f>HYPERLINK("https://youtube.com/watch?v=bPXiO_fooyY", "【餓遊．深圳】#35 鹹味榴槤舒芙蕾會很奇怪嗎? [4K]")</f>
        <v>【餓遊．深圳】#35 鹹味榴槤舒芙蕾會很奇怪嗎? [4K]</v>
      </c>
      <c r="E551" s="82">
        <v>43599.0</v>
      </c>
      <c r="F551" s="80">
        <v>175.0</v>
      </c>
      <c r="G551" s="80" t="s">
        <v>63</v>
      </c>
      <c r="I551" s="80" t="s">
        <v>63</v>
      </c>
      <c r="J551" s="80">
        <v>349.0</v>
      </c>
      <c r="K551" s="80">
        <v>0.988668555240793</v>
      </c>
      <c r="L551" s="80" t="s">
        <v>64</v>
      </c>
    </row>
    <row r="552">
      <c r="A552" s="80" t="s">
        <v>593</v>
      </c>
      <c r="B552" s="81" t="str">
        <f t="shared" si="21"/>
        <v>餓底男女</v>
      </c>
      <c r="C552" s="80" t="s">
        <v>697</v>
      </c>
      <c r="D552" s="81" t="str">
        <f>HYPERLINK("https://youtube.com/watch?v=PZhK7qsstfM", "【餓遊．深圳】#34 棉花糖壽喜鍋 | 堂小鍋鍋物研究所 [4K]")</f>
        <v>【餓遊．深圳】#34 棉花糖壽喜鍋 | 堂小鍋鍋物研究所 [4K]</v>
      </c>
      <c r="E552" s="82">
        <v>43598.0</v>
      </c>
      <c r="F552" s="80">
        <v>208.0</v>
      </c>
      <c r="G552" s="80" t="s">
        <v>63</v>
      </c>
      <c r="I552" s="80" t="s">
        <v>63</v>
      </c>
      <c r="J552" s="80">
        <v>467.0</v>
      </c>
      <c r="K552" s="80">
        <v>0.976987447698744</v>
      </c>
      <c r="L552" s="80" t="s">
        <v>64</v>
      </c>
    </row>
    <row r="553">
      <c r="A553" s="80" t="s">
        <v>593</v>
      </c>
      <c r="B553" s="81" t="str">
        <f t="shared" si="21"/>
        <v>餓底男女</v>
      </c>
      <c r="C553" s="80" t="s">
        <v>698</v>
      </c>
      <c r="D553" s="81" t="str">
        <f>HYPERLINK("https://youtube.com/watch?v=Sjv64PWsUZ4", "【餓遊．深圳行程】#7 紅爆網絡打卡小鎮 | 深業上城 [4K]")</f>
        <v>【餓遊．深圳行程】#7 紅爆網絡打卡小鎮 | 深業上城 [4K]</v>
      </c>
      <c r="E553" s="82">
        <v>43597.0</v>
      </c>
      <c r="F553" s="80">
        <v>302.0</v>
      </c>
      <c r="G553" s="80" t="s">
        <v>63</v>
      </c>
      <c r="I553" s="80" t="s">
        <v>63</v>
      </c>
      <c r="J553" s="80">
        <v>472.0</v>
      </c>
      <c r="K553" s="80">
        <v>0.911196911196911</v>
      </c>
      <c r="L553" s="80" t="s">
        <v>64</v>
      </c>
    </row>
    <row r="554">
      <c r="A554" s="80" t="s">
        <v>593</v>
      </c>
      <c r="B554" s="81" t="str">
        <f t="shared" si="21"/>
        <v>餓底男女</v>
      </c>
      <c r="C554" s="80" t="s">
        <v>699</v>
      </c>
      <c r="D554" s="81" t="str">
        <f>HYPERLINK("https://youtube.com/watch?v=NhNzkwELRYQ", "【餓遊．深圳】#33 潮牛全牛宴 | 汕头潮德阿水牛肉直营店 [4K]")</f>
        <v>【餓遊．深圳】#33 潮牛全牛宴 | 汕头潮德阿水牛肉直营店 [4K]</v>
      </c>
      <c r="E554" s="82">
        <v>43594.0</v>
      </c>
      <c r="F554" s="80">
        <v>137.0</v>
      </c>
      <c r="G554" s="80" t="s">
        <v>63</v>
      </c>
      <c r="I554" s="80" t="s">
        <v>63</v>
      </c>
      <c r="J554" s="80">
        <v>253.0</v>
      </c>
      <c r="K554" s="80">
        <v>0.973076923076923</v>
      </c>
      <c r="L554" s="80" t="s">
        <v>64</v>
      </c>
    </row>
    <row r="555">
      <c r="A555" s="80" t="s">
        <v>593</v>
      </c>
      <c r="B555" s="81" t="str">
        <f t="shared" si="21"/>
        <v>餓底男女</v>
      </c>
      <c r="C555" s="80" t="s">
        <v>700</v>
      </c>
      <c r="D555" s="81" t="str">
        <f>HYPERLINK("https://youtube.com/watch?v=X4hMVccbmIM", "【餓遊．深圳】#32 椰林樹影下食椰子雞 [4K]")</f>
        <v>【餓遊．深圳】#32 椰林樹影下食椰子雞 [4K]</v>
      </c>
      <c r="E555" s="82">
        <v>43593.0</v>
      </c>
      <c r="F555" s="80">
        <v>104.0</v>
      </c>
      <c r="G555" s="80" t="s">
        <v>63</v>
      </c>
      <c r="I555" s="80" t="s">
        <v>63</v>
      </c>
      <c r="J555" s="80">
        <v>284.0</v>
      </c>
      <c r="K555" s="80">
        <v>1.0</v>
      </c>
      <c r="L555" s="80" t="s">
        <v>64</v>
      </c>
    </row>
    <row r="556">
      <c r="A556" s="80" t="s">
        <v>593</v>
      </c>
      <c r="B556" s="81" t="str">
        <f t="shared" si="21"/>
        <v>餓底男女</v>
      </c>
      <c r="C556" s="80" t="s">
        <v>701</v>
      </c>
      <c r="D556" s="81" t="str">
        <f>HYPERLINK("https://youtube.com/watch?v=sPSN-8mflJs", "【餓遊．深圳行程】#6 最後竟是榴槤千層? | 山姆會員店 [4K]")</f>
        <v>【餓遊．深圳行程】#6 最後竟是榴槤千層? | 山姆會員店 [4K]</v>
      </c>
      <c r="E556" s="82">
        <v>43593.0</v>
      </c>
      <c r="F556" s="80">
        <v>173.0</v>
      </c>
      <c r="G556" s="80" t="s">
        <v>63</v>
      </c>
      <c r="I556" s="80" t="s">
        <v>63</v>
      </c>
      <c r="J556" s="80">
        <v>460.0</v>
      </c>
      <c r="K556" s="80">
        <v>0.997830802603036</v>
      </c>
      <c r="L556" s="80" t="s">
        <v>64</v>
      </c>
    </row>
    <row r="557">
      <c r="A557" s="80" t="s">
        <v>593</v>
      </c>
      <c r="B557" s="81" t="str">
        <f t="shared" si="21"/>
        <v>餓底男女</v>
      </c>
      <c r="C557" s="80" t="s">
        <v>702</v>
      </c>
      <c r="D557" s="81" t="str">
        <f>HYPERLINK("https://youtube.com/watch?v=8j-3rBm9mK0", "【餓遊．深圳】#31 有食神仲有得換裝打卡 | 觀漁 [4K]")</f>
        <v>【餓遊．深圳】#31 有食神仲有得換裝打卡 | 觀漁 [4K]</v>
      </c>
      <c r="E557" s="82">
        <v>43591.0</v>
      </c>
      <c r="F557" s="80">
        <v>166.0</v>
      </c>
      <c r="G557" s="80" t="s">
        <v>63</v>
      </c>
      <c r="I557" s="80" t="s">
        <v>63</v>
      </c>
      <c r="J557" s="80">
        <v>609.0</v>
      </c>
      <c r="K557" s="80">
        <v>0.998360655737704</v>
      </c>
      <c r="L557" s="80" t="s">
        <v>64</v>
      </c>
    </row>
    <row r="558">
      <c r="A558" s="80" t="s">
        <v>593</v>
      </c>
      <c r="B558" s="81" t="str">
        <f t="shared" si="21"/>
        <v>餓底男女</v>
      </c>
      <c r="C558" s="80" t="s">
        <v>703</v>
      </c>
      <c r="D558" s="81" t="str">
        <f>HYPERLINK("https://youtube.com/watch?v=P-Q2gwH2YjQ", "【餓遊．深圳】#30 湯比魚更好? |  叭拾川派老壇酸菜魚 [4K]")</f>
        <v>【餓遊．深圳】#30 湯比魚更好? |  叭拾川派老壇酸菜魚 [4K]</v>
      </c>
      <c r="E558" s="82">
        <v>43589.0</v>
      </c>
      <c r="F558" s="80">
        <v>117.0</v>
      </c>
      <c r="G558" s="80" t="s">
        <v>63</v>
      </c>
      <c r="I558" s="80" t="s">
        <v>63</v>
      </c>
      <c r="J558" s="80">
        <v>276.0</v>
      </c>
      <c r="K558" s="80">
        <v>1.0</v>
      </c>
      <c r="L558" s="80" t="s">
        <v>64</v>
      </c>
    </row>
    <row r="559">
      <c r="A559" s="80" t="s">
        <v>593</v>
      </c>
      <c r="B559" s="81" t="str">
        <f t="shared" si="21"/>
        <v>餓底男女</v>
      </c>
      <c r="C559" s="80" t="s">
        <v>704</v>
      </c>
      <c r="D559" s="81" t="str">
        <f>HYPERLINK("https://youtube.com/watch?v=Eh5Jm3SiLbo", "【餓遊．深圳】#29 深圳市中心創意菜 | 木棉花開 [4K]")</f>
        <v>【餓遊．深圳】#29 深圳市中心創意菜 | 木棉花開 [4K]</v>
      </c>
      <c r="E559" s="82">
        <v>43588.0</v>
      </c>
      <c r="F559" s="80">
        <v>154.0</v>
      </c>
      <c r="G559" s="80" t="s">
        <v>63</v>
      </c>
      <c r="I559" s="80" t="s">
        <v>63</v>
      </c>
      <c r="J559" s="80">
        <v>353.0</v>
      </c>
      <c r="K559" s="80">
        <v>1.0</v>
      </c>
      <c r="L559" s="80" t="s">
        <v>64</v>
      </c>
    </row>
    <row r="560">
      <c r="A560" s="80" t="s">
        <v>593</v>
      </c>
      <c r="B560" s="81" t="str">
        <f t="shared" si="21"/>
        <v>餓底男女</v>
      </c>
      <c r="C560" s="80" t="s">
        <v>705</v>
      </c>
      <c r="D560" s="81" t="str">
        <f>HYPERLINK("https://youtube.com/watch?v=1fF7MhwI5H0", "【餓遊．深圳】#28 打卡必到CP值超高﹗| 魚小妖·江南意境菜 [4K]")</f>
        <v>【餓遊．深圳】#28 打卡必到CP值超高﹗| 魚小妖·江南意境菜 [4K]</v>
      </c>
      <c r="E560" s="82">
        <v>43587.0</v>
      </c>
      <c r="F560" s="80">
        <v>180.0</v>
      </c>
      <c r="G560" s="80" t="s">
        <v>63</v>
      </c>
      <c r="I560" s="80" t="s">
        <v>63</v>
      </c>
      <c r="J560" s="80">
        <v>451.0</v>
      </c>
      <c r="K560" s="80">
        <v>0.98471615720524</v>
      </c>
      <c r="L560" s="80" t="s">
        <v>64</v>
      </c>
    </row>
    <row r="561">
      <c r="A561" s="80" t="s">
        <v>593</v>
      </c>
      <c r="B561" s="81" t="str">
        <f t="shared" si="21"/>
        <v>餓底男女</v>
      </c>
      <c r="C561" s="80" t="s">
        <v>706</v>
      </c>
      <c r="D561" s="81" t="str">
        <f>HYPERLINK("https://youtube.com/watch?v=8tYqiqEGW0U", "【餓遊．深圳】#27 60億的奈雪の茶 [4K]")</f>
        <v>【餓遊．深圳】#27 60億的奈雪の茶 [4K]</v>
      </c>
      <c r="E561" s="82">
        <v>43585.0</v>
      </c>
      <c r="F561" s="80">
        <v>223.0</v>
      </c>
      <c r="G561" s="80" t="s">
        <v>63</v>
      </c>
      <c r="I561" s="80" t="s">
        <v>63</v>
      </c>
      <c r="J561" s="80">
        <v>411.0</v>
      </c>
      <c r="K561" s="80">
        <v>0.98090692124105</v>
      </c>
      <c r="L561" s="80" t="s">
        <v>64</v>
      </c>
    </row>
    <row r="562">
      <c r="A562" s="80" t="s">
        <v>593</v>
      </c>
      <c r="B562" s="81" t="str">
        <f t="shared" si="21"/>
        <v>餓底男女</v>
      </c>
      <c r="C562" s="80" t="s">
        <v>707</v>
      </c>
      <c r="D562" s="81" t="str">
        <f>HYPERLINK("https://youtube.com/watch?v=ZZJBQQleoRs", "【餓遊．深圳行程】#5 Outlet式嘅商場 | 印力中心 [4K]")</f>
        <v>【餓遊．深圳行程】#5 Outlet式嘅商場 | 印力中心 [4K]</v>
      </c>
      <c r="E562" s="82">
        <v>43583.0</v>
      </c>
      <c r="F562" s="80">
        <v>165.0</v>
      </c>
      <c r="G562" s="80" t="s">
        <v>63</v>
      </c>
      <c r="I562" s="80" t="s">
        <v>63</v>
      </c>
      <c r="J562" s="80">
        <v>281.0</v>
      </c>
      <c r="K562" s="80">
        <v>0.912337662337662</v>
      </c>
      <c r="L562" s="80" t="s">
        <v>64</v>
      </c>
    </row>
    <row r="563">
      <c r="A563" s="80" t="s">
        <v>593</v>
      </c>
      <c r="B563" s="81" t="str">
        <f t="shared" si="21"/>
        <v>餓底男女</v>
      </c>
      <c r="C563" s="80" t="s">
        <v>708</v>
      </c>
      <c r="D563" s="81" t="str">
        <f>HYPERLINK("https://youtube.com/watch?v=6YFJaXFoKAc", "【餓遊．深圳】#26 酸菜魚唔一定要辣先好味﹗| 姚酸菜魚 | 姚姚愛魚 [4K]")</f>
        <v>【餓遊．深圳】#26 酸菜魚唔一定要辣先好味﹗| 姚酸菜魚 | 姚姚愛魚 [4K]</v>
      </c>
      <c r="E563" s="82">
        <v>43581.0</v>
      </c>
      <c r="F563" s="80">
        <v>198.0</v>
      </c>
      <c r="G563" s="80" t="s">
        <v>63</v>
      </c>
      <c r="I563" s="80" t="s">
        <v>63</v>
      </c>
      <c r="J563" s="80">
        <v>775.0</v>
      </c>
      <c r="K563" s="80">
        <v>0.991048593350383</v>
      </c>
      <c r="L563" s="80" t="s">
        <v>64</v>
      </c>
    </row>
    <row r="564">
      <c r="A564" s="80" t="s">
        <v>593</v>
      </c>
      <c r="B564" s="81" t="str">
        <f t="shared" si="21"/>
        <v>餓底男女</v>
      </c>
      <c r="C564" s="80" t="s">
        <v>709</v>
      </c>
      <c r="D564" s="81" t="str">
        <f>HYPERLINK("https://youtube.com/watch?v=9KiiDu_PT2I", "【餓遊．深圳】#25 貴但值得去嘅梳乎厘﹗| 雪芙舒芙蕾鬆餅 [4K]")</f>
        <v>【餓遊．深圳】#25 貴但值得去嘅梳乎厘﹗| 雪芙舒芙蕾鬆餅 [4K]</v>
      </c>
      <c r="E564" s="82">
        <v>43579.0</v>
      </c>
      <c r="F564" s="80">
        <v>145.0</v>
      </c>
      <c r="G564" s="80" t="s">
        <v>63</v>
      </c>
      <c r="I564" s="80" t="s">
        <v>63</v>
      </c>
      <c r="J564" s="80">
        <v>363.0</v>
      </c>
      <c r="K564" s="80">
        <v>1.0</v>
      </c>
      <c r="L564" s="80" t="s">
        <v>64</v>
      </c>
    </row>
    <row r="565">
      <c r="A565" s="80" t="s">
        <v>593</v>
      </c>
      <c r="B565" s="81" t="str">
        <f t="shared" si="21"/>
        <v>餓底男女</v>
      </c>
      <c r="C565" s="80" t="s">
        <v>710</v>
      </c>
      <c r="D565" s="81" t="str">
        <f>HYPERLINK("https://youtube.com/watch?v=UQYWupGM35k", "【餓遊．深圳】#24 超好味松茸雞邊爐 | 花茸粤色 [4K]")</f>
        <v>【餓遊．深圳】#24 超好味松茸雞邊爐 | 花茸粤色 [4K]</v>
      </c>
      <c r="E565" s="82">
        <v>43578.0</v>
      </c>
      <c r="F565" s="80">
        <v>221.0</v>
      </c>
      <c r="G565" s="80" t="s">
        <v>63</v>
      </c>
      <c r="I565" s="80" t="s">
        <v>63</v>
      </c>
      <c r="J565" s="80">
        <v>697.0</v>
      </c>
      <c r="K565" s="80">
        <v>0.998567335243553</v>
      </c>
      <c r="L565" s="80" t="s">
        <v>64</v>
      </c>
    </row>
    <row r="566">
      <c r="A566" s="80" t="s">
        <v>593</v>
      </c>
      <c r="B566" s="81" t="str">
        <f t="shared" si="21"/>
        <v>餓底男女</v>
      </c>
      <c r="C566" s="80" t="s">
        <v>711</v>
      </c>
      <c r="D566" s="81" t="str">
        <f>HYPERLINK("https://youtube.com/watch?v=3TOhM_fSHD8", "【餓遊．深圳】#23 只可食境嘅伏店 | 客語(印力中心店) [4K]")</f>
        <v>【餓遊．深圳】#23 只可食境嘅伏店 | 客語(印力中心店) [4K]</v>
      </c>
      <c r="E566" s="82">
        <v>43577.0</v>
      </c>
      <c r="F566" s="80">
        <v>188.0</v>
      </c>
      <c r="G566" s="80" t="s">
        <v>63</v>
      </c>
      <c r="I566" s="80" t="s">
        <v>63</v>
      </c>
      <c r="J566" s="80">
        <v>323.0</v>
      </c>
      <c r="K566" s="80">
        <v>0.993846153846153</v>
      </c>
      <c r="L566" s="80" t="s">
        <v>64</v>
      </c>
    </row>
    <row r="567">
      <c r="A567" s="80" t="s">
        <v>593</v>
      </c>
      <c r="B567" s="81" t="str">
        <f t="shared" si="21"/>
        <v>餓底男女</v>
      </c>
      <c r="C567" s="80" t="s">
        <v>712</v>
      </c>
      <c r="D567" s="81" t="str">
        <f>HYPERLINK("https://youtube.com/watch?v=I7RMIHtlTMY", "【餓底廚房】#3 自家製泰式海南雞 [4K]")</f>
        <v>【餓底廚房】#3 自家製泰式海南雞 [4K]</v>
      </c>
      <c r="E567" s="82">
        <v>43576.0</v>
      </c>
      <c r="F567" s="80">
        <v>184.0</v>
      </c>
      <c r="G567" s="80" t="s">
        <v>63</v>
      </c>
      <c r="I567" s="80" t="s">
        <v>63</v>
      </c>
      <c r="J567" s="80">
        <v>319.0</v>
      </c>
      <c r="K567" s="80">
        <v>0.996875</v>
      </c>
      <c r="L567" s="80" t="s">
        <v>64</v>
      </c>
    </row>
    <row r="568">
      <c r="A568" s="80" t="s">
        <v>593</v>
      </c>
      <c r="B568" s="81" t="str">
        <f t="shared" si="21"/>
        <v>餓底男女</v>
      </c>
      <c r="C568" s="80" t="s">
        <v>713</v>
      </c>
      <c r="D568" s="81" t="str">
        <f>HYPERLINK("https://youtube.com/watch?v=xR6VzMaFGMg", "【餓遊．深圳】#19 小心﹗伏味鬆餅")</f>
        <v>【餓遊．深圳】#19 小心﹗伏味鬆餅</v>
      </c>
      <c r="E568" s="82">
        <v>43573.0</v>
      </c>
      <c r="F568" s="80">
        <v>111.0</v>
      </c>
      <c r="G568" s="80" t="s">
        <v>63</v>
      </c>
      <c r="I568" s="80" t="s">
        <v>63</v>
      </c>
      <c r="J568" s="80">
        <v>260.0</v>
      </c>
      <c r="K568" s="80">
        <v>0.955882352941176</v>
      </c>
      <c r="L568" s="80" t="s">
        <v>64</v>
      </c>
    </row>
    <row r="569">
      <c r="A569" s="80" t="s">
        <v>593</v>
      </c>
      <c r="B569" s="81" t="str">
        <f t="shared" si="21"/>
        <v>餓底男女</v>
      </c>
      <c r="C569" s="80" t="s">
        <v>714</v>
      </c>
      <c r="D569" s="81" t="str">
        <f>HYPERLINK("https://youtube.com/watch?v=hthMdkGoN7w", "【餓遊．深圳】#22 巴黎鐵塔下午茶~磅梳﹗[4K]")</f>
        <v>【餓遊．深圳】#22 巴黎鐵塔下午茶~磅梳﹗[4K]</v>
      </c>
      <c r="E569" s="82">
        <v>43572.0</v>
      </c>
      <c r="F569" s="80">
        <v>176.0</v>
      </c>
      <c r="G569" s="80" t="s">
        <v>63</v>
      </c>
      <c r="I569" s="80" t="s">
        <v>63</v>
      </c>
      <c r="J569" s="80">
        <v>622.0</v>
      </c>
      <c r="K569" s="80">
        <v>0.993610223642172</v>
      </c>
      <c r="L569" s="80" t="s">
        <v>64</v>
      </c>
    </row>
    <row r="570">
      <c r="A570" s="80" t="s">
        <v>593</v>
      </c>
      <c r="B570" s="81" t="str">
        <f t="shared" si="21"/>
        <v>餓底男女</v>
      </c>
      <c r="C570" s="80" t="s">
        <v>715</v>
      </c>
      <c r="D570" s="81" t="str">
        <f>HYPERLINK("https://youtube.com/watch?v=NxnCEeUQOUc", "【餓遊．深圳】#21 發現CP值更高嘅梳乎厘 | ZZ·SOUFFLER芙甜 [4K]")</f>
        <v>【餓遊．深圳】#21 發現CP值更高嘅梳乎厘 | ZZ·SOUFFLER芙甜 [4K]</v>
      </c>
      <c r="E570" s="82">
        <v>43462.0</v>
      </c>
      <c r="F570" s="80">
        <v>94.0</v>
      </c>
      <c r="G570" s="80" t="s">
        <v>63</v>
      </c>
      <c r="I570" s="80" t="s">
        <v>63</v>
      </c>
      <c r="J570" s="80">
        <v>353.0</v>
      </c>
      <c r="K570" s="80">
        <v>0.986033519553072</v>
      </c>
      <c r="L570" s="80" t="s">
        <v>64</v>
      </c>
    </row>
    <row r="571">
      <c r="A571" s="80" t="s">
        <v>593</v>
      </c>
      <c r="B571" s="81" t="str">
        <f t="shared" si="21"/>
        <v>餓底男女</v>
      </c>
      <c r="C571" s="80" t="s">
        <v>716</v>
      </c>
      <c r="D571" s="81" t="str">
        <f>HYPERLINK("https://youtube.com/watch?v=_33UKaDwToM", "【餓遊．深圳】#20 天台泡泡屋café | 上層茶飲toptea [4K]")</f>
        <v>【餓遊．深圳】#20 天台泡泡屋café | 上層茶飲toptea [4K]</v>
      </c>
      <c r="E571" s="82">
        <v>43457.0</v>
      </c>
      <c r="F571" s="80">
        <v>133.0</v>
      </c>
      <c r="G571" s="80" t="s">
        <v>63</v>
      </c>
      <c r="I571" s="80" t="s">
        <v>63</v>
      </c>
      <c r="J571" s="80">
        <v>231.0</v>
      </c>
      <c r="K571" s="80">
        <v>0.950617283950617</v>
      </c>
      <c r="L571" s="80" t="s">
        <v>64</v>
      </c>
    </row>
    <row r="572">
      <c r="A572" s="80" t="s">
        <v>593</v>
      </c>
      <c r="B572" s="81" t="str">
        <f t="shared" si="21"/>
        <v>餓底男女</v>
      </c>
      <c r="C572" s="80" t="s">
        <v>717</v>
      </c>
      <c r="D572" s="81" t="str">
        <f>HYPERLINK("https://youtube.com/watch?v=oLnej4Yu4aI", "【餓遊．深圳行程】#4 CHANEL Pop-up store 最後召集﹗[4K]")</f>
        <v>【餓遊．深圳行程】#4 CHANEL Pop-up store 最後召集﹗[4K]</v>
      </c>
      <c r="E572" s="82">
        <v>43456.0</v>
      </c>
      <c r="F572" s="80">
        <v>155.0</v>
      </c>
      <c r="G572" s="80" t="s">
        <v>63</v>
      </c>
      <c r="I572" s="80" t="s">
        <v>63</v>
      </c>
      <c r="J572" s="80">
        <v>531.0</v>
      </c>
      <c r="K572" s="80">
        <v>0.938162544169611</v>
      </c>
      <c r="L572" s="80" t="s">
        <v>64</v>
      </c>
    </row>
    <row r="573">
      <c r="A573" s="80" t="s">
        <v>593</v>
      </c>
      <c r="B573" s="81" t="str">
        <f t="shared" si="21"/>
        <v>餓底男女</v>
      </c>
      <c r="C573" s="80" t="s">
        <v>718</v>
      </c>
      <c r="D573" s="81" t="str">
        <f>HYPERLINK("https://youtube.com/watch?v=cFAJlnYMUDA", "【餓遊．深圳行程】#3 最近深圳灣口岸嘅商場 | 寶能太古城 all.in.city [4K]")</f>
        <v>【餓遊．深圳行程】#3 最近深圳灣口岸嘅商場 | 寶能太古城 all.in.city [4K]</v>
      </c>
      <c r="E573" s="82">
        <v>43456.0</v>
      </c>
      <c r="F573" s="80">
        <v>70.0</v>
      </c>
      <c r="G573" s="80" t="s">
        <v>63</v>
      </c>
      <c r="I573" s="80" t="s">
        <v>63</v>
      </c>
      <c r="J573" s="80">
        <v>239.0</v>
      </c>
      <c r="K573" s="80">
        <v>0.995833333333333</v>
      </c>
      <c r="L573" s="80" t="s">
        <v>64</v>
      </c>
    </row>
    <row r="574">
      <c r="A574" s="80" t="s">
        <v>593</v>
      </c>
      <c r="B574" s="81" t="str">
        <f t="shared" si="21"/>
        <v>餓底男女</v>
      </c>
      <c r="C574" s="80" t="s">
        <v>719</v>
      </c>
      <c r="D574" s="81" t="str">
        <f>HYPERLINK("https://youtube.com/watch?v=PMga9oj3fPI", "【餓遊．深圳】#18 Le Mon 牛的清新配搭 [4K]")</f>
        <v>【餓遊．深圳】#18 Le Mon 牛的清新配搭 [4K]</v>
      </c>
      <c r="E574" s="82">
        <v>43454.0</v>
      </c>
      <c r="F574" s="80">
        <v>130.0</v>
      </c>
      <c r="G574" s="80" t="s">
        <v>63</v>
      </c>
      <c r="I574" s="80" t="s">
        <v>63</v>
      </c>
      <c r="J574" s="80">
        <v>252.0</v>
      </c>
      <c r="K574" s="80">
        <v>0.996047430830039</v>
      </c>
      <c r="L574" s="80" t="s">
        <v>64</v>
      </c>
    </row>
    <row r="575">
      <c r="A575" s="80" t="s">
        <v>593</v>
      </c>
      <c r="B575" s="81" t="str">
        <f t="shared" si="21"/>
        <v>餓底男女</v>
      </c>
      <c r="C575" s="80" t="s">
        <v>720</v>
      </c>
      <c r="D575" s="81" t="str">
        <f>HYPERLINK("https://youtube.com/watch?v=QZ4Ex3EXBSo", "【餓遊．台灣】台灣首條Rail bike正式試運! [4K]")</f>
        <v>【餓遊．台灣】台灣首條Rail bike正式試運! [4K]</v>
      </c>
      <c r="E575" s="82">
        <v>43452.0</v>
      </c>
      <c r="F575" s="80">
        <v>346.0</v>
      </c>
      <c r="G575" s="80" t="s">
        <v>63</v>
      </c>
      <c r="I575" s="80" t="s">
        <v>63</v>
      </c>
      <c r="J575" s="80">
        <v>767.0</v>
      </c>
      <c r="K575" s="80">
        <v>0.993523316062176</v>
      </c>
      <c r="L575" s="80" t="s">
        <v>64</v>
      </c>
    </row>
    <row r="576">
      <c r="A576" s="80" t="s">
        <v>593</v>
      </c>
      <c r="B576" s="81" t="str">
        <f t="shared" si="21"/>
        <v>餓底男女</v>
      </c>
      <c r="C576" s="80" t="s">
        <v>721</v>
      </c>
      <c r="D576" s="81" t="str">
        <f>HYPERLINK("https://youtube.com/watch?v=ys6Ddry2ar8", "【餓遊．深圳】#17 CP值超高的梳乎厘 | 梳乎·舒芙蕾 [4K]")</f>
        <v>【餓遊．深圳】#17 CP值超高的梳乎厘 | 梳乎·舒芙蕾 [4K]</v>
      </c>
      <c r="E576" s="82">
        <v>43450.0</v>
      </c>
      <c r="F576" s="80">
        <v>94.0</v>
      </c>
      <c r="G576" s="80" t="s">
        <v>63</v>
      </c>
      <c r="I576" s="80" t="s">
        <v>63</v>
      </c>
      <c r="J576" s="80">
        <v>235.0</v>
      </c>
      <c r="K576" s="80">
        <v>1.0</v>
      </c>
      <c r="L576" s="80" t="s">
        <v>64</v>
      </c>
    </row>
    <row r="577">
      <c r="A577" s="80" t="s">
        <v>593</v>
      </c>
      <c r="B577" s="81" t="str">
        <f t="shared" si="21"/>
        <v>餓底男女</v>
      </c>
      <c r="C577" s="80" t="s">
        <v>722</v>
      </c>
      <c r="D577" s="81" t="str">
        <f>HYPERLINK("https://youtube.com/watch?v=NG87LcmcNb4", "【餓遊．香港深水埗】 #1 日式自助石燒牛 | 三ステーキ 三 triple stick [4K]")</f>
        <v>【餓遊．香港深水埗】 #1 日式自助石燒牛 | 三ステーキ 三 triple stick [4K]</v>
      </c>
      <c r="E577" s="82">
        <v>43447.0</v>
      </c>
      <c r="F577" s="80">
        <v>162.0</v>
      </c>
      <c r="G577" s="80" t="s">
        <v>63</v>
      </c>
      <c r="I577" s="80" t="s">
        <v>63</v>
      </c>
      <c r="J577" s="80">
        <v>535.0</v>
      </c>
      <c r="K577" s="80">
        <v>0.970961887477313</v>
      </c>
      <c r="L577" s="80" t="s">
        <v>64</v>
      </c>
    </row>
    <row r="578">
      <c r="A578" s="80" t="s">
        <v>593</v>
      </c>
      <c r="B578" s="81" t="str">
        <f t="shared" si="21"/>
        <v>餓底男女</v>
      </c>
      <c r="C578" s="80" t="s">
        <v>723</v>
      </c>
      <c r="D578" s="81" t="str">
        <f>HYPERLINK("https://youtube.com/watch?v=71bY1iJo3Cw", "【餓遊．深圳】#16 24道湖南味 | 佬麻雀 [4K]")</f>
        <v>【餓遊．深圳】#16 24道湖南味 | 佬麻雀 [4K]</v>
      </c>
      <c r="E578" s="82">
        <v>43417.0</v>
      </c>
      <c r="F578" s="80">
        <v>391.0</v>
      </c>
      <c r="G578" s="80" t="s">
        <v>63</v>
      </c>
      <c r="I578" s="80" t="s">
        <v>63</v>
      </c>
      <c r="J578" s="80">
        <v>1067.0</v>
      </c>
      <c r="K578" s="80">
        <v>0.967361740707162</v>
      </c>
      <c r="L578" s="80" t="s">
        <v>64</v>
      </c>
    </row>
    <row r="579">
      <c r="A579" s="80" t="s">
        <v>593</v>
      </c>
      <c r="B579" s="81" t="str">
        <f t="shared" si="21"/>
        <v>餓底男女</v>
      </c>
      <c r="C579" s="80" t="s">
        <v>724</v>
      </c>
      <c r="D579" s="81" t="str">
        <f>HYPERLINK("https://youtube.com/watch?v=sKZFszMJj-4", "【餓遊．深圳】#15 深圳都有好味嘅虎皮卷 | HYPERTEA去贊茶吧 [4K]")</f>
        <v>【餓遊．深圳】#15 深圳都有好味嘅虎皮卷 | HYPERTEA去贊茶吧 [4K]</v>
      </c>
      <c r="E579" s="82">
        <v>43350.0</v>
      </c>
      <c r="F579" s="80">
        <v>217.0</v>
      </c>
      <c r="G579" s="80" t="s">
        <v>63</v>
      </c>
      <c r="I579" s="80" t="s">
        <v>63</v>
      </c>
      <c r="J579" s="80">
        <v>680.0</v>
      </c>
      <c r="K579" s="80">
        <v>0.96045197740113</v>
      </c>
      <c r="L579" s="80" t="s">
        <v>64</v>
      </c>
    </row>
    <row r="580">
      <c r="A580" s="80" t="s">
        <v>593</v>
      </c>
      <c r="B580" s="81" t="str">
        <f t="shared" si="21"/>
        <v>餓底男女</v>
      </c>
      <c r="C580" s="80" t="s">
        <v>725</v>
      </c>
      <c r="D580" s="81" t="str">
        <f>HYPERLINK("https://youtube.com/watch?v=fNnq2NuQOg8", "【餓遊．深圳】#14 韓式年糕 x 雪冰係乜味? | 雪冰 [4K]")</f>
        <v>【餓遊．深圳】#14 韓式年糕 x 雪冰係乜味? | 雪冰 [4K]</v>
      </c>
      <c r="E580" s="82">
        <v>43335.0</v>
      </c>
      <c r="F580" s="80">
        <v>171.0</v>
      </c>
      <c r="G580" s="80" t="s">
        <v>63</v>
      </c>
      <c r="I580" s="80" t="s">
        <v>63</v>
      </c>
      <c r="J580" s="80">
        <v>659.0</v>
      </c>
      <c r="K580" s="80">
        <v>0.993966817496229</v>
      </c>
      <c r="L580" s="80" t="s">
        <v>64</v>
      </c>
    </row>
    <row r="581">
      <c r="A581" s="80" t="s">
        <v>593</v>
      </c>
      <c r="B581" s="81" t="str">
        <f t="shared" si="21"/>
        <v>餓底男女</v>
      </c>
      <c r="C581" s="80" t="s">
        <v>726</v>
      </c>
      <c r="D581" s="81" t="str">
        <f>HYPERLINK("https://youtube.com/watch?v=p4J1XnHHacM", "【餓遊．深圳】#13 深圳食成都街頭小食 | 寬窄巷 [4K]")</f>
        <v>【餓遊．深圳】#13 深圳食成都街頭小食 | 寬窄巷 [4K]</v>
      </c>
      <c r="E581" s="82">
        <v>43333.0</v>
      </c>
      <c r="F581" s="80">
        <v>166.0</v>
      </c>
      <c r="G581" s="80" t="s">
        <v>63</v>
      </c>
      <c r="I581" s="80" t="s">
        <v>63</v>
      </c>
      <c r="J581" s="80">
        <v>582.0</v>
      </c>
      <c r="K581" s="80">
        <v>0.99828473413379</v>
      </c>
      <c r="L581" s="80" t="s">
        <v>64</v>
      </c>
    </row>
    <row r="582">
      <c r="A582" s="80" t="s">
        <v>593</v>
      </c>
      <c r="B582" s="81" t="str">
        <f t="shared" si="21"/>
        <v>餓底男女</v>
      </c>
      <c r="C582" s="80" t="s">
        <v>727</v>
      </c>
      <c r="D582" s="81" t="str">
        <f>HYPERLINK("https://youtube.com/watch?v=XE8QXeJJ2sA", "【餓遊．深圳】#12 大師級嘅陝西快餐 | 老碗會 [4K]")</f>
        <v>【餓遊．深圳】#12 大師級嘅陝西快餐 | 老碗會 [4K]</v>
      </c>
      <c r="E582" s="82">
        <v>43330.0</v>
      </c>
      <c r="F582" s="80">
        <v>242.0</v>
      </c>
      <c r="G582" s="80" t="s">
        <v>63</v>
      </c>
      <c r="I582" s="80" t="s">
        <v>63</v>
      </c>
      <c r="J582" s="80">
        <v>712.0</v>
      </c>
      <c r="K582" s="80">
        <v>0.971350613915416</v>
      </c>
      <c r="L582" s="80" t="s">
        <v>64</v>
      </c>
    </row>
    <row r="583">
      <c r="A583" s="80" t="s">
        <v>593</v>
      </c>
      <c r="B583" s="81" t="str">
        <f t="shared" si="21"/>
        <v>餓底男女</v>
      </c>
      <c r="C583" s="80" t="s">
        <v>728</v>
      </c>
      <c r="D583" s="81" t="str">
        <f>HYPERLINK("https://youtube.com/watch?v=39yqT56L5Xw", "【餓遊．深圳】#11 唱歌跳舞嘅小羊? | 巴依的小羊 [4K]")</f>
        <v>【餓遊．深圳】#11 唱歌跳舞嘅小羊? | 巴依的小羊 [4K]</v>
      </c>
      <c r="E583" s="82">
        <v>43329.0</v>
      </c>
      <c r="F583" s="80">
        <v>161.0</v>
      </c>
      <c r="G583" s="80" t="s">
        <v>63</v>
      </c>
      <c r="I583" s="80" t="s">
        <v>63</v>
      </c>
      <c r="J583" s="80">
        <v>464.0</v>
      </c>
      <c r="K583" s="80">
        <v>1.0</v>
      </c>
      <c r="L583" s="80" t="s">
        <v>64</v>
      </c>
    </row>
    <row r="584">
      <c r="A584" s="80" t="s">
        <v>593</v>
      </c>
      <c r="B584" s="81" t="str">
        <f t="shared" si="21"/>
        <v>餓底男女</v>
      </c>
      <c r="C584" s="80" t="s">
        <v>729</v>
      </c>
      <c r="D584" s="81" t="str">
        <f>HYPERLINK("https://youtube.com/watch?v=pQ7qvxO-DfA", "【餓遊．深圳】#10 竹窩都可以整腸粉? | 石磨竹窩腸粉 [2K]")</f>
        <v>【餓遊．深圳】#10 竹窩都可以整腸粉? | 石磨竹窩腸粉 [2K]</v>
      </c>
      <c r="E584" s="82">
        <v>43323.0</v>
      </c>
      <c r="F584" s="80">
        <v>114.0</v>
      </c>
      <c r="G584" s="80" t="s">
        <v>63</v>
      </c>
      <c r="I584" s="80" t="s">
        <v>63</v>
      </c>
      <c r="J584" s="80">
        <v>337.0</v>
      </c>
      <c r="K584" s="80">
        <v>0.997041420118343</v>
      </c>
      <c r="L584" s="80" t="s">
        <v>64</v>
      </c>
    </row>
    <row r="585">
      <c r="A585" s="80" t="s">
        <v>593</v>
      </c>
      <c r="B585" s="81" t="str">
        <f t="shared" si="21"/>
        <v>餓底男女</v>
      </c>
      <c r="C585" s="80" t="s">
        <v>730</v>
      </c>
      <c r="D585" s="81" t="str">
        <f>HYPERLINK("https://youtube.com/watch?v=s7I0T_AS6Hc", "【餓遊．深圳】#9 陳鵬鵬鵝肉飯店 | 海岸城 [2K HD]")</f>
        <v>【餓遊．深圳】#9 陳鵬鵬鵝肉飯店 | 海岸城 [2K HD]</v>
      </c>
      <c r="E585" s="82">
        <v>43262.0</v>
      </c>
      <c r="F585" s="80">
        <v>88.0</v>
      </c>
      <c r="G585" s="80" t="s">
        <v>63</v>
      </c>
      <c r="I585" s="80" t="s">
        <v>63</v>
      </c>
      <c r="J585" s="80">
        <v>310.0</v>
      </c>
      <c r="K585" s="80">
        <v>0.993589743589743</v>
      </c>
      <c r="L585" s="80" t="s">
        <v>64</v>
      </c>
    </row>
    <row r="586">
      <c r="A586" s="80" t="s">
        <v>593</v>
      </c>
      <c r="B586" s="81" t="str">
        <f t="shared" si="21"/>
        <v>餓底男女</v>
      </c>
      <c r="C586" s="80" t="s">
        <v>731</v>
      </c>
      <c r="D586" s="81" t="str">
        <f>HYPERLINK("https://youtube.com/watch?v=hOGeq9Rsbio", "【餓遊．深圳】#8 炒酸奶 | 張小姐炒酸奶 | 布吉萬象匯 [2K HD]")</f>
        <v>【餓遊．深圳】#8 炒酸奶 | 張小姐炒酸奶 | 布吉萬象匯 [2K HD]</v>
      </c>
      <c r="E586" s="82">
        <v>43259.0</v>
      </c>
      <c r="F586" s="80">
        <v>122.0</v>
      </c>
      <c r="G586" s="80" t="s">
        <v>63</v>
      </c>
      <c r="I586" s="80" t="s">
        <v>63</v>
      </c>
      <c r="J586" s="80">
        <v>234.0</v>
      </c>
      <c r="K586" s="80">
        <v>0.970954356846473</v>
      </c>
      <c r="L586" s="80" t="s">
        <v>64</v>
      </c>
    </row>
    <row r="587">
      <c r="A587" s="80" t="s">
        <v>593</v>
      </c>
      <c r="B587" s="81" t="str">
        <f t="shared" si="21"/>
        <v>餓底男女</v>
      </c>
      <c r="C587" s="80" t="s">
        <v>732</v>
      </c>
      <c r="D587" s="81" t="str">
        <f>HYPERLINK("https://youtube.com/watch?v=MAkAzfmTes4", "【餓遊．深圳行程】#2 乜都有嘅體育用品倉 | 廸卡儂 [2K HD]")</f>
        <v>【餓遊．深圳行程】#2 乜都有嘅體育用品倉 | 廸卡儂 [2K HD]</v>
      </c>
      <c r="E587" s="82">
        <v>43258.0</v>
      </c>
      <c r="F587" s="80">
        <v>198.0</v>
      </c>
      <c r="G587" s="80" t="s">
        <v>63</v>
      </c>
      <c r="I587" s="80" t="s">
        <v>63</v>
      </c>
      <c r="J587" s="80">
        <v>493.0</v>
      </c>
      <c r="K587" s="80">
        <v>0.997975708502024</v>
      </c>
      <c r="L587" s="80" t="s">
        <v>64</v>
      </c>
    </row>
    <row r="588">
      <c r="A588" s="80" t="s">
        <v>593</v>
      </c>
      <c r="B588" s="81" t="str">
        <f t="shared" si="21"/>
        <v>餓底男女</v>
      </c>
      <c r="C588" s="80" t="s">
        <v>733</v>
      </c>
      <c r="D588" s="81" t="str">
        <f>HYPERLINK("https://youtube.com/watch?v=jhmxcyjtw3o", "【餓遊．深圳】#7 超抵食 蒙古烤羊 | 愛家味烤羊排 [2K HD]")</f>
        <v>【餓遊．深圳】#7 超抵食 蒙古烤羊 | 愛家味烤羊排 [2K HD]</v>
      </c>
      <c r="E588" s="82">
        <v>43251.0</v>
      </c>
      <c r="F588" s="80">
        <v>162.0</v>
      </c>
      <c r="G588" s="80" t="s">
        <v>63</v>
      </c>
      <c r="I588" s="80" t="s">
        <v>63</v>
      </c>
      <c r="J588" s="80">
        <v>381.0</v>
      </c>
      <c r="K588" s="80">
        <v>0.994778067885117</v>
      </c>
      <c r="L588" s="80" t="s">
        <v>64</v>
      </c>
    </row>
    <row r="589">
      <c r="A589" s="80" t="s">
        <v>593</v>
      </c>
      <c r="B589" s="81" t="str">
        <f t="shared" si="21"/>
        <v>餓底男女</v>
      </c>
      <c r="C589" s="80" t="s">
        <v>734</v>
      </c>
      <c r="D589" s="81" t="str">
        <f>HYPERLINK("https://youtube.com/watch?v=cRJGATYRAUI", "【餓遊．深圳】#6 無邪日式抹茶甜品 | 萬象匯 | 深圳抹茶甜品系列#2 [2K HD]")</f>
        <v>【餓遊．深圳】#6 無邪日式抹茶甜品 | 萬象匯 | 深圳抹茶甜品系列#2 [2K HD]</v>
      </c>
      <c r="E589" s="82">
        <v>43249.0</v>
      </c>
      <c r="F589" s="80">
        <v>182.0</v>
      </c>
      <c r="G589" s="80" t="s">
        <v>63</v>
      </c>
      <c r="I589" s="80" t="s">
        <v>63</v>
      </c>
      <c r="J589" s="80">
        <v>449.0</v>
      </c>
      <c r="K589" s="80">
        <v>0.991169977924944</v>
      </c>
      <c r="L589" s="80" t="s">
        <v>64</v>
      </c>
    </row>
    <row r="590">
      <c r="A590" s="80" t="s">
        <v>593</v>
      </c>
      <c r="B590" s="81" t="str">
        <f t="shared" si="21"/>
        <v>餓底男女</v>
      </c>
      <c r="C590" s="80" t="s">
        <v>735</v>
      </c>
      <c r="D590" s="81" t="str">
        <f>HYPERLINK("https://youtube.com/watch?v=bzvhZDSgwzY", "【餓遊．深圳】#5 初代抹茶甜品 | 海岸城 | 深圳抹茶甜品 [2K HD]")</f>
        <v>【餓遊．深圳】#5 初代抹茶甜品 | 海岸城 | 深圳抹茶甜品 [2K HD]</v>
      </c>
      <c r="E590" s="82">
        <v>43246.0</v>
      </c>
      <c r="F590" s="80">
        <v>98.0</v>
      </c>
      <c r="G590" s="80" t="s">
        <v>63</v>
      </c>
      <c r="I590" s="80" t="s">
        <v>63</v>
      </c>
      <c r="J590" s="80">
        <v>259.0</v>
      </c>
      <c r="K590" s="80">
        <v>1.0</v>
      </c>
      <c r="L590" s="80" t="s">
        <v>64</v>
      </c>
    </row>
    <row r="591">
      <c r="A591" s="80" t="s">
        <v>593</v>
      </c>
      <c r="B591" s="81" t="str">
        <f t="shared" si="21"/>
        <v>餓底男女</v>
      </c>
      <c r="C591" s="80" t="s">
        <v>736</v>
      </c>
      <c r="D591" s="81" t="str">
        <f>HYPERLINK("https://youtube.com/watch?v=RmDUrhpNjW0", "【餓遊．深圳】#4 有條河嘅餐廳? | 桂滿隴 [2K HD]")</f>
        <v>【餓遊．深圳】#4 有條河嘅餐廳? | 桂滿隴 [2K HD]</v>
      </c>
      <c r="E591" s="82">
        <v>43242.0</v>
      </c>
      <c r="F591" s="80">
        <v>196.0</v>
      </c>
      <c r="G591" s="80" t="s">
        <v>63</v>
      </c>
      <c r="I591" s="80" t="s">
        <v>63</v>
      </c>
      <c r="J591" s="80">
        <v>395.0</v>
      </c>
      <c r="K591" s="80">
        <v>0.944976076555023</v>
      </c>
      <c r="L591" s="80" t="s">
        <v>64</v>
      </c>
    </row>
    <row r="592">
      <c r="A592" s="80" t="s">
        <v>593</v>
      </c>
      <c r="B592" s="81" t="str">
        <f t="shared" si="21"/>
        <v>餓底男女</v>
      </c>
      <c r="C592" s="80" t="s">
        <v>737</v>
      </c>
      <c r="D592" s="81" t="str">
        <f>HYPERLINK("https://youtube.com/watch?v=PCKlT-bSFxk", "【餓遊．深圳】#3 冬瓜盅牛肉火鍋 | 潮泰牛肉店 [2K HD]")</f>
        <v>【餓遊．深圳】#3 冬瓜盅牛肉火鍋 | 潮泰牛肉店 [2K HD]</v>
      </c>
      <c r="E592" s="82">
        <v>43241.0</v>
      </c>
      <c r="F592" s="80">
        <v>128.0</v>
      </c>
      <c r="G592" s="80" t="s">
        <v>63</v>
      </c>
      <c r="I592" s="80" t="s">
        <v>63</v>
      </c>
      <c r="J592" s="80">
        <v>251.0</v>
      </c>
      <c r="K592" s="80">
        <v>1.0</v>
      </c>
      <c r="L592" s="80" t="s">
        <v>64</v>
      </c>
    </row>
    <row r="593">
      <c r="A593" s="80" t="s">
        <v>593</v>
      </c>
      <c r="B593" s="81" t="str">
        <f t="shared" si="21"/>
        <v>餓底男女</v>
      </c>
      <c r="C593" s="80" t="s">
        <v>738</v>
      </c>
      <c r="D593" s="81" t="str">
        <f>HYPERLINK("https://youtube.com/watch?v=YEMADdQHTjA", "【餓遊．深圳】#2 酸菜比魚好食? | 太二酸菜魚 [2K HD]")</f>
        <v>【餓遊．深圳】#2 酸菜比魚好食? | 太二酸菜魚 [2K HD]</v>
      </c>
      <c r="E593" s="82">
        <v>43240.0</v>
      </c>
      <c r="F593" s="80">
        <v>141.0</v>
      </c>
      <c r="G593" s="80" t="s">
        <v>63</v>
      </c>
      <c r="I593" s="80" t="s">
        <v>63</v>
      </c>
      <c r="J593" s="80">
        <v>414.0</v>
      </c>
      <c r="K593" s="80">
        <v>0.990430622009569</v>
      </c>
      <c r="L593" s="80" t="s">
        <v>64</v>
      </c>
    </row>
    <row r="594">
      <c r="A594" s="80" t="s">
        <v>593</v>
      </c>
      <c r="B594" s="81" t="str">
        <f t="shared" si="21"/>
        <v>餓底男女</v>
      </c>
      <c r="C594" s="80" t="s">
        <v>739</v>
      </c>
      <c r="D594" s="81" t="str">
        <f>HYPERLINK("https://youtube.com/watch?v=QzzoxU8A0QA", "【餓遊．深圳行程】#1 深圳新商場 | 萬象匯 [2K HD]")</f>
        <v>【餓遊．深圳行程】#1 深圳新商場 | 萬象匯 [2K HD]</v>
      </c>
      <c r="E594" s="82">
        <v>43238.0</v>
      </c>
      <c r="F594" s="80">
        <v>69.0</v>
      </c>
      <c r="G594" s="80" t="s">
        <v>63</v>
      </c>
      <c r="I594" s="80" t="s">
        <v>63</v>
      </c>
      <c r="J594" s="80">
        <v>140.0</v>
      </c>
      <c r="K594" s="80">
        <v>1.0</v>
      </c>
      <c r="L594" s="80" t="s">
        <v>64</v>
      </c>
    </row>
    <row r="595">
      <c r="A595" s="80" t="s">
        <v>593</v>
      </c>
      <c r="B595" s="81" t="str">
        <f t="shared" si="21"/>
        <v>餓底男女</v>
      </c>
      <c r="C595" s="80" t="s">
        <v>740</v>
      </c>
      <c r="D595" s="81" t="str">
        <f>HYPERLINK("https://youtube.com/watch?v=ygYhKgVyR4E", "【餓遊．深圳】#1 汕頭百合里海記牛肉店 | 潮汕火鍋  [2K HD]")</f>
        <v>【餓遊．深圳】#1 汕頭百合里海記牛肉店 | 潮汕火鍋  [2K HD]</v>
      </c>
      <c r="E595" s="82">
        <v>43236.0</v>
      </c>
      <c r="F595" s="80">
        <v>75.0</v>
      </c>
      <c r="G595" s="80" t="s">
        <v>63</v>
      </c>
      <c r="I595" s="80" t="s">
        <v>63</v>
      </c>
      <c r="J595" s="80">
        <v>278.0</v>
      </c>
      <c r="K595" s="80">
        <v>0.975438596491228</v>
      </c>
      <c r="L595" s="80" t="s">
        <v>64</v>
      </c>
    </row>
    <row r="596">
      <c r="A596" s="80" t="s">
        <v>741</v>
      </c>
      <c r="B596" s="81" t="str">
        <f>HYPERLINK("https://www.youtube.com/channel/UCPtMLcjxHedjk7xiuOcpP5Q", "葡文蘇e師 Portuguese so easy")</f>
        <v>葡文蘇e師 Portuguese so easy</v>
      </c>
      <c r="C596" s="80" t="s">
        <v>742</v>
      </c>
      <c r="D596" s="81" t="str">
        <f>HYPERLINK("https://youtube.com/watch?v=dRZyzIOKV-Y", "🧧8句農曆新年必備祝賀語🧧｜葡萄牙語｜葡文蘇e師")</f>
        <v>🧧8句農曆新年必備祝賀語🧧｜葡萄牙語｜葡文蘇e師</v>
      </c>
      <c r="E596" s="82">
        <v>44237.0</v>
      </c>
      <c r="F596" s="80">
        <v>109.0</v>
      </c>
      <c r="G596" s="80" t="s">
        <v>63</v>
      </c>
      <c r="I596" s="80" t="s">
        <v>63</v>
      </c>
      <c r="J596" s="80">
        <v>86.0</v>
      </c>
      <c r="K596" s="80">
        <v>0.234972677595628</v>
      </c>
      <c r="L596" s="80" t="s">
        <v>91</v>
      </c>
    </row>
    <row r="597">
      <c r="A597" s="80" t="s">
        <v>743</v>
      </c>
      <c r="B597" s="81" t="str">
        <f>HYPERLINK("https://www.youtube.com/channel/UCe6qQ8zbYQJgTBnZ9wBzm9w", "Willy Lee")</f>
        <v>Willy Lee</v>
      </c>
      <c r="C597" s="80" t="s">
        <v>744</v>
      </c>
      <c r="D597" s="81" t="str">
        <f>HYPERLINK("https://youtube.com/watch?v=dXJdOL-LV5U", "🇭🇰【行山】中級！路程短、近市區既既攀爬路線！岩哂想試下爬上山既你！聶高信山、面具石 - 航拍, 路線, 打卡位分享 - Willy Lee")</f>
        <v>🇭🇰【行山】中級！路程短、近市區既既攀爬路線！岩哂想試下爬上山既你！聶高信山、面具石 - 航拍, 路線, 打卡位分享 - Willy Lee</v>
      </c>
      <c r="E597" s="82">
        <v>44183.0</v>
      </c>
      <c r="F597" s="80">
        <v>268.0</v>
      </c>
      <c r="G597" s="80" t="s">
        <v>63</v>
      </c>
      <c r="I597" s="80" t="s">
        <v>63</v>
      </c>
      <c r="J597" s="80">
        <v>1315.0</v>
      </c>
      <c r="K597" s="80">
        <v>0.924753867791842</v>
      </c>
      <c r="L597" s="80" t="s">
        <v>745</v>
      </c>
    </row>
    <row r="598">
      <c r="A598" s="80" t="s">
        <v>61</v>
      </c>
      <c r="B598" s="81" t="str">
        <f>HYPERLINK("https://www.youtube.com/channel/UCJ4XVrJuqKHbc9yF9oUFseg", "MEeeep More")</f>
        <v>MEeeep More</v>
      </c>
      <c r="C598" s="80" t="s">
        <v>746</v>
      </c>
      <c r="D598" s="81" t="str">
        <f>HYPERLINK("https://youtube.com/watch?v=Cg6JBXGCZQE", "小米 Mi 11i 手機開箱評測 | $4000有找 高性價比玩盡旗艦級處理器 | mi11i mi 11i xiaomi S888 香港5G")</f>
        <v>小米 Mi 11i 手機開箱評測 | $4000有找 高性價比玩盡旗艦級處理器 | mi11i mi 11i xiaomi S888 香港5G</v>
      </c>
      <c r="E598" s="82">
        <v>44336.0</v>
      </c>
      <c r="F598" s="80">
        <v>192.0</v>
      </c>
      <c r="G598" s="80" t="s">
        <v>63</v>
      </c>
      <c r="I598" s="80" t="s">
        <v>63</v>
      </c>
      <c r="J598" s="80">
        <v>481.0</v>
      </c>
      <c r="K598" s="80">
        <v>0.782113821138211</v>
      </c>
      <c r="L598" s="80" t="s">
        <v>64</v>
      </c>
    </row>
    <row r="599">
      <c r="A599" s="80" t="s">
        <v>217</v>
      </c>
      <c r="B599" s="81" t="str">
        <f>HYPERLINK("https://www.youtube.com/channel/UCXKg0qPRz32bs5Z4mTGF3TQ", "Stormtrooper白兵")</f>
        <v>Stormtrooper白兵</v>
      </c>
      <c r="C599" s="80" t="s">
        <v>747</v>
      </c>
      <c r="D599" s="81" t="str">
        <f>HYPERLINK("https://youtube.com/watch?v=Cgb6nGlMReU", "[人物誌]平民出身的馬來西亞鬼才唱作人｜用一首歌擊碎13億玻璃心的他，一路走來，始終如一，用音樂發聲＋身體力行，對抗極權！｜關注香港民主運動｜黃明志｜Namewee｜Tokok｜粵語中字")</f>
        <v>[人物誌]平民出身的馬來西亞鬼才唱作人｜用一首歌擊碎13億玻璃心的他，一路走來，始終如一，用音樂發聲＋身體力行，對抗極權！｜關注香港民主運動｜黃明志｜Namewee｜Tokok｜粵語中字</v>
      </c>
      <c r="E599" s="82">
        <v>44518.0</v>
      </c>
      <c r="F599" s="80">
        <v>1032.0</v>
      </c>
      <c r="G599" s="80" t="s">
        <v>63</v>
      </c>
      <c r="I599" s="80" t="s">
        <v>63</v>
      </c>
      <c r="J599" s="80">
        <v>3751.0</v>
      </c>
      <c r="K599" s="80">
        <v>0.919137466307277</v>
      </c>
      <c r="L599" s="80" t="s">
        <v>64</v>
      </c>
    </row>
    <row r="600">
      <c r="A600" s="80" t="s">
        <v>748</v>
      </c>
      <c r="B600" s="81" t="str">
        <f>HYPERLINK("https://www.youtube.com/channel/UC_ZT2UjRiNSy1I33LEiflJQ", "撒野作風 WILDSTYLE RECORDS")</f>
        <v>撒野作風 WILDSTYLE RECORDS</v>
      </c>
      <c r="C600" s="80" t="s">
        <v>749</v>
      </c>
      <c r="D600" s="81" t="str">
        <f>HYPERLINK("https://youtube.com/watch?v=24fFFxVI_g4", "柒羊 Yung Takeem, 大埔奶其 Taipo Laikei (少爺 GANG) - 保持正面 (Stay Positive) [Official Video]")</f>
        <v>柒羊 Yung Takeem, 大埔奶其 Taipo Laikei (少爺 GANG) - 保持正面 (Stay Positive) [Official Video]</v>
      </c>
      <c r="E600" s="82">
        <v>42987.0</v>
      </c>
      <c r="F600" s="80">
        <v>152.0</v>
      </c>
      <c r="G600" s="80" t="s">
        <v>63</v>
      </c>
      <c r="I600" s="80" t="s">
        <v>63</v>
      </c>
      <c r="J600" s="80">
        <v>383.0</v>
      </c>
      <c r="K600" s="80">
        <v>0.688848920863309</v>
      </c>
      <c r="L600" s="80" t="s">
        <v>521</v>
      </c>
    </row>
    <row r="601">
      <c r="A601" s="80" t="s">
        <v>129</v>
      </c>
      <c r="B601" s="81" t="str">
        <f>HYPERLINK("https://www.youtube.com/channel/UCBbTnorwzva0ZIMGW0ttwVA", "阿豬 Ah Ju")</f>
        <v>阿豬 Ah Ju</v>
      </c>
      <c r="C601" s="80" t="s">
        <v>750</v>
      </c>
      <c r="D601" s="81" t="str">
        <f>HYPERLINK("https://youtube.com/watch?v=da7iXqxXH1U", "大爆 trader日常 邊款投資工具最好用？")</f>
        <v>大爆 trader日常 邊款投資工具最好用？</v>
      </c>
      <c r="E601" s="82">
        <v>44299.0</v>
      </c>
      <c r="F601" s="80">
        <v>921.0</v>
      </c>
      <c r="G601" s="80" t="s">
        <v>63</v>
      </c>
      <c r="I601" s="80" t="s">
        <v>63</v>
      </c>
      <c r="J601" s="80">
        <v>3090.0</v>
      </c>
      <c r="K601" s="80">
        <v>0.567493112947658</v>
      </c>
      <c r="L601" s="80" t="s">
        <v>751</v>
      </c>
    </row>
    <row r="602">
      <c r="A602" s="80" t="s">
        <v>752</v>
      </c>
      <c r="B602" s="81" t="str">
        <f t="shared" ref="B602:B603" si="22">HYPERLINK("https://www.youtube.com/channel/UC_fpOVl7ujUzxi3TJ663nrA", "瑪蓮英移 MarineEngE")</f>
        <v>瑪蓮英移 MarineEngE</v>
      </c>
      <c r="C602" s="80" t="s">
        <v>753</v>
      </c>
      <c r="D602" s="81" t="str">
        <f>HYPERLINK("https://youtube.com/watch?v=3wEREUIJOxc", "海鮮控帶大家去 Nottingham 食好西")</f>
        <v>海鮮控帶大家去 Nottingham 食好西</v>
      </c>
      <c r="E602" s="82">
        <v>44333.0</v>
      </c>
      <c r="F602" s="80">
        <v>374.0</v>
      </c>
      <c r="G602" s="80" t="s">
        <v>63</v>
      </c>
      <c r="I602" s="80" t="s">
        <v>63</v>
      </c>
      <c r="J602" s="80">
        <v>1092.0</v>
      </c>
      <c r="K602" s="80">
        <v>0.813104988830975</v>
      </c>
      <c r="L602" s="80" t="s">
        <v>102</v>
      </c>
    </row>
    <row r="603">
      <c r="A603" s="80" t="s">
        <v>752</v>
      </c>
      <c r="B603" s="81" t="str">
        <f t="shared" si="22"/>
        <v>瑪蓮英移 MarineEngE</v>
      </c>
      <c r="C603" s="80" t="s">
        <v>754</v>
      </c>
      <c r="D603" s="81" t="str">
        <f>HYPERLINK("https://youtube.com/watch?v=zzJj__TN8PM", "英國諾定咸 Nottingham 介紹")</f>
        <v>英國諾定咸 Nottingham 介紹</v>
      </c>
      <c r="E603" s="82">
        <v>44333.0</v>
      </c>
      <c r="F603" s="80">
        <v>425.0</v>
      </c>
      <c r="G603" s="80" t="s">
        <v>63</v>
      </c>
      <c r="I603" s="80" t="s">
        <v>63</v>
      </c>
      <c r="J603" s="80">
        <v>1248.0</v>
      </c>
      <c r="K603" s="80">
        <v>0.671328671328671</v>
      </c>
      <c r="L603" s="80" t="s">
        <v>102</v>
      </c>
    </row>
    <row r="604">
      <c r="A604" s="80" t="s">
        <v>755</v>
      </c>
      <c r="B604" s="81" t="str">
        <f t="shared" ref="B604:B789" si="23">HYPERLINK("https://www.youtube.com/channel/UCBiJDTc82IM68KVH873VeAw", "Live in Kwangsi廣西人·情·味")</f>
        <v>Live in Kwangsi廣西人·情·味</v>
      </c>
      <c r="C604" s="80" t="s">
        <v>756</v>
      </c>
      <c r="D604" s="81" t="str">
        <f>HYPERLINK("https://youtube.com/watch?v=qJ821LJD-vs", "睇睇廣西縣城仔嘅街頭聖誕節氣氛｜廣西vlog 20211224")</f>
        <v>睇睇廣西縣城仔嘅街頭聖誕節氣氛｜廣西vlog 20211224</v>
      </c>
      <c r="E604" s="82">
        <v>44554.0</v>
      </c>
      <c r="F604" s="80">
        <v>424.0</v>
      </c>
      <c r="G604" s="80" t="s">
        <v>63</v>
      </c>
      <c r="I604" s="80" t="s">
        <v>63</v>
      </c>
      <c r="J604" s="80">
        <v>1061.0</v>
      </c>
      <c r="K604" s="80">
        <v>0.976979742173112</v>
      </c>
      <c r="L604" s="80" t="s">
        <v>757</v>
      </c>
    </row>
    <row r="605">
      <c r="A605" s="80" t="s">
        <v>755</v>
      </c>
      <c r="B605" s="81" t="str">
        <f t="shared" si="23"/>
        <v>Live in Kwangsi廣西人·情·味</v>
      </c>
      <c r="C605" s="80" t="s">
        <v>758</v>
      </c>
      <c r="D605" s="81" t="str">
        <f>HYPERLINK("https://youtube.com/watch?v=ajmVO_aSBF0", "蓮塘摘草莓 喺新農村賀街西南村散步 同啲居民吹下水又有靚菜摘 賀州鄉下膠遊｜廣西vlog 20211211")</f>
        <v>蓮塘摘草莓 喺新農村賀街西南村散步 同啲居民吹下水又有靚菜摘 賀州鄉下膠遊｜廣西vlog 20211211</v>
      </c>
      <c r="E605" s="82">
        <v>44541.0</v>
      </c>
      <c r="F605" s="80">
        <v>1127.0</v>
      </c>
      <c r="G605" s="80" t="s">
        <v>63</v>
      </c>
      <c r="I605" s="80" t="s">
        <v>63</v>
      </c>
      <c r="J605" s="80">
        <v>1220.0</v>
      </c>
      <c r="K605" s="80">
        <v>0.99836333878887</v>
      </c>
      <c r="L605" s="80" t="s">
        <v>757</v>
      </c>
    </row>
    <row r="606">
      <c r="A606" s="80" t="s">
        <v>755</v>
      </c>
      <c r="B606" s="81" t="str">
        <f t="shared" si="23"/>
        <v>Live in Kwangsi廣西人·情·味</v>
      </c>
      <c r="C606" s="80" t="s">
        <v>759</v>
      </c>
      <c r="D606" s="81" t="str">
        <f>HYPERLINK("https://youtube.com/watch?v=2piKujkvUEA", "行鬱林市中心騎樓街 試街頭嘢食 行河堤睇雲天宮 行高速返梧州食日本嘢 高旺大橋散步｜廣西vlog 20211205")</f>
        <v>行鬱林市中心騎樓街 試街頭嘢食 行河堤睇雲天宮 行高速返梧州食日本嘢 高旺大橋散步｜廣西vlog 20211205</v>
      </c>
      <c r="E606" s="82">
        <v>44535.0</v>
      </c>
      <c r="F606" s="80">
        <v>717.0</v>
      </c>
      <c r="G606" s="80" t="s">
        <v>63</v>
      </c>
      <c r="I606" s="80" t="s">
        <v>63</v>
      </c>
      <c r="J606" s="80">
        <v>1495.0</v>
      </c>
      <c r="K606" s="80">
        <v>0.991379310344827</v>
      </c>
      <c r="L606" s="80" t="s">
        <v>757</v>
      </c>
    </row>
    <row r="607">
      <c r="A607" s="80" t="s">
        <v>755</v>
      </c>
      <c r="B607" s="81" t="str">
        <f t="shared" si="23"/>
        <v>Live in Kwangsi廣西人·情·味</v>
      </c>
      <c r="C607" s="80" t="s">
        <v>760</v>
      </c>
      <c r="D607" s="81" t="str">
        <f>HYPERLINK("https://youtube.com/watch?v=QcXtWEpA0HQ", "行鬱林市中心 新樓之中但又保留舊屋 遊覽鬱林園博園 試特色嘢食 行鬱林商場｜廣西vlog 20211204")</f>
        <v>行鬱林市中心 新樓之中但又保留舊屋 遊覽鬱林園博園 試特色嘢食 行鬱林商場｜廣西vlog 20211204</v>
      </c>
      <c r="E607" s="82">
        <v>44534.0</v>
      </c>
      <c r="F607" s="80">
        <v>710.0</v>
      </c>
      <c r="G607" s="80" t="s">
        <v>63</v>
      </c>
      <c r="I607" s="80" t="s">
        <v>63</v>
      </c>
      <c r="J607" s="80">
        <v>1245.0</v>
      </c>
      <c r="K607" s="80">
        <v>0.99203187250996</v>
      </c>
      <c r="L607" s="80" t="s">
        <v>757</v>
      </c>
    </row>
    <row r="608">
      <c r="A608" s="80" t="s">
        <v>755</v>
      </c>
      <c r="B608" s="81" t="str">
        <f t="shared" si="23"/>
        <v>Live in Kwangsi廣西人·情·味</v>
      </c>
      <c r="C608" s="80" t="s">
        <v>761</v>
      </c>
      <c r="D608" s="81" t="str">
        <f>HYPERLINK("https://youtube.com/watch?v=kAnEhESuvyc", "梧州飲早茶68折好抵食爆晒棚 下晝行高速到鬱林(玉林) 行鬱林夜街 萬達 酒店又係平靚正 ｜廣西vlog 20211203")</f>
        <v>梧州飲早茶68折好抵食爆晒棚 下晝行高速到鬱林(玉林) 行鬱林夜街 萬達 酒店又係平靚正 ｜廣西vlog 20211203</v>
      </c>
      <c r="E608" s="82">
        <v>44533.0</v>
      </c>
      <c r="F608" s="80">
        <v>795.0</v>
      </c>
      <c r="G608" s="80" t="s">
        <v>63</v>
      </c>
      <c r="I608" s="80" t="s">
        <v>63</v>
      </c>
      <c r="J608" s="80">
        <v>1583.0</v>
      </c>
      <c r="K608" s="80">
        <v>0.985065339141257</v>
      </c>
      <c r="L608" s="80" t="s">
        <v>757</v>
      </c>
    </row>
    <row r="609">
      <c r="A609" s="80" t="s">
        <v>755</v>
      </c>
      <c r="B609" s="81" t="str">
        <f t="shared" si="23"/>
        <v>Live in Kwangsi廣西人·情·味</v>
      </c>
      <c r="C609" s="80" t="s">
        <v>762</v>
      </c>
      <c r="D609" s="81" t="str">
        <f>HYPERLINK("https://youtube.com/watch?v=LBd7LvVEwz0", "由賀州搭火車往梧州簡單記錄 繼續行河東騎樓城 vlog")</f>
        <v>由賀州搭火車往梧州簡單記錄 繼續行河東騎樓城 vlog</v>
      </c>
      <c r="E609" s="82">
        <v>44532.0</v>
      </c>
      <c r="F609" s="80">
        <v>315.0</v>
      </c>
      <c r="G609" s="80" t="s">
        <v>63</v>
      </c>
      <c r="I609" s="80" t="s">
        <v>63</v>
      </c>
      <c r="J609" s="80">
        <v>556.0</v>
      </c>
      <c r="K609" s="80">
        <v>0.982332155477031</v>
      </c>
      <c r="L609" s="80" t="s">
        <v>757</v>
      </c>
    </row>
    <row r="610">
      <c r="A610" s="80" t="s">
        <v>755</v>
      </c>
      <c r="B610" s="81" t="str">
        <f t="shared" si="23"/>
        <v>Live in Kwangsi廣西人·情·味</v>
      </c>
      <c r="C610" s="80" t="s">
        <v>763</v>
      </c>
      <c r="D610" s="81" t="str">
        <f>HYPERLINK("https://youtube.com/watch?v=h4Kqe41SJPg", "隔住個mon一齊行賀州大鍾山公園環山步道 超低清直播畫面重溫")</f>
        <v>隔住個mon一齊行賀州大鍾山公園環山步道 超低清直播畫面重溫</v>
      </c>
      <c r="E610" s="82">
        <v>44526.0</v>
      </c>
      <c r="F610" s="80">
        <v>1304.0</v>
      </c>
      <c r="G610" s="80" t="s">
        <v>63</v>
      </c>
      <c r="I610" s="80" t="s">
        <v>63</v>
      </c>
      <c r="J610" s="80">
        <v>3608.0</v>
      </c>
      <c r="K610" s="80">
        <v>0.966514867398874</v>
      </c>
      <c r="L610" s="80" t="s">
        <v>757</v>
      </c>
    </row>
    <row r="611">
      <c r="A611" s="80" t="s">
        <v>755</v>
      </c>
      <c r="B611" s="81" t="str">
        <f t="shared" si="23"/>
        <v>Live in Kwangsi廣西人·情·味</v>
      </c>
      <c r="C611" s="80" t="s">
        <v>764</v>
      </c>
      <c r="D611" s="81" t="str">
        <f>HYPERLINK("https://youtube.com/watch?v=BvHjLYsfzdM", "返鄉下幫樹除蟲 偷雞去趁墟 遊舖門浮橋 試鄉下特色嘢食｜廣西vlog 20211123")</f>
        <v>返鄉下幫樹除蟲 偷雞去趁墟 遊舖門浮橋 試鄉下特色嘢食｜廣西vlog 20211123</v>
      </c>
      <c r="E611" s="82">
        <v>44523.0</v>
      </c>
      <c r="F611" s="80">
        <v>1133.0</v>
      </c>
      <c r="G611" s="80" t="s">
        <v>63</v>
      </c>
      <c r="I611" s="80" t="s">
        <v>63</v>
      </c>
      <c r="J611" s="80">
        <v>1249.0</v>
      </c>
      <c r="K611" s="80">
        <v>0.982690794649882</v>
      </c>
      <c r="L611" s="80" t="s">
        <v>757</v>
      </c>
    </row>
    <row r="612">
      <c r="A612" s="80" t="s">
        <v>755</v>
      </c>
      <c r="B612" s="81" t="str">
        <f t="shared" si="23"/>
        <v>Live in Kwangsi廣西人·情·味</v>
      </c>
      <c r="C612" s="80" t="s">
        <v>765</v>
      </c>
      <c r="D612" s="81" t="str">
        <f>HYPERLINK("https://youtube.com/watch?v=lnZpQHQmroY", "容州街市試本地嘢食 遊覽容州古城日夜好唔同 試正宗沙田柚遇城管 遊民國小鎮 行夜街 最後睇埋純木真武閣｜廣西vlog 20211120")</f>
        <v>容州街市試本地嘢食 遊覽容州古城日夜好唔同 試正宗沙田柚遇城管 遊民國小鎮 行夜街 最後睇埋純木真武閣｜廣西vlog 20211120</v>
      </c>
      <c r="E612" s="82">
        <v>44520.0</v>
      </c>
      <c r="F612" s="80">
        <v>1411.0</v>
      </c>
      <c r="G612" s="80" t="s">
        <v>63</v>
      </c>
      <c r="I612" s="80" t="s">
        <v>63</v>
      </c>
      <c r="J612" s="80">
        <v>2484.0</v>
      </c>
      <c r="K612" s="80">
        <v>0.988460007958615</v>
      </c>
      <c r="L612" s="80" t="s">
        <v>757</v>
      </c>
    </row>
    <row r="613">
      <c r="A613" s="80" t="s">
        <v>755</v>
      </c>
      <c r="B613" s="81" t="str">
        <f t="shared" si="23"/>
        <v>Live in Kwangsi廣西人·情·味</v>
      </c>
      <c r="C613" s="80" t="s">
        <v>766</v>
      </c>
      <c r="D613" s="81" t="str">
        <f>HYPERLINK("https://youtube.com/watch?v=T8UAmfC0SFo", "初探容縣 呢度住宿平靚正！仲保留緊啲舊式租碟舖 試街頭嘢食｜廣西vlog 20211119")</f>
        <v>初探容縣 呢度住宿平靚正！仲保留緊啲舊式租碟舖 試街頭嘢食｜廣西vlog 20211119</v>
      </c>
      <c r="E613" s="82">
        <v>44519.0</v>
      </c>
      <c r="F613" s="80">
        <v>686.0</v>
      </c>
      <c r="G613" s="80" t="s">
        <v>63</v>
      </c>
      <c r="I613" s="80" t="s">
        <v>63</v>
      </c>
      <c r="J613" s="80">
        <v>1205.0</v>
      </c>
      <c r="K613" s="80">
        <v>0.989326765188834</v>
      </c>
      <c r="L613" s="80" t="s">
        <v>757</v>
      </c>
    </row>
    <row r="614">
      <c r="A614" s="80" t="s">
        <v>755</v>
      </c>
      <c r="B614" s="81" t="str">
        <f t="shared" si="23"/>
        <v>Live in Kwangsi廣西人·情·味</v>
      </c>
      <c r="C614" s="80" t="s">
        <v>767</v>
      </c>
      <c r="D614" s="81" t="str">
        <f>HYPERLINK("https://youtube.com/watch?v=t0MuGOjZZrc", "梧州新商圈 日夜趕工卒之開張 睇睇梧州萬達實況")</f>
        <v>梧州新商圈 日夜趕工卒之開張 睇睇梧州萬達實況</v>
      </c>
      <c r="E614" s="82">
        <v>44519.0</v>
      </c>
      <c r="F614" s="80">
        <v>1330.0</v>
      </c>
      <c r="G614" s="80" t="s">
        <v>63</v>
      </c>
      <c r="I614" s="80" t="s">
        <v>63</v>
      </c>
      <c r="J614" s="80">
        <v>568.0</v>
      </c>
      <c r="K614" s="80">
        <v>0.965986394557823</v>
      </c>
      <c r="L614" s="80" t="s">
        <v>757</v>
      </c>
    </row>
    <row r="615">
      <c r="A615" s="80" t="s">
        <v>755</v>
      </c>
      <c r="B615" s="81" t="str">
        <f t="shared" si="23"/>
        <v>Live in Kwangsi廣西人·情·味</v>
      </c>
      <c r="C615" s="80" t="s">
        <v>768</v>
      </c>
      <c r="D615" s="81" t="str">
        <f>HYPERLINK("https://youtube.com/watch?v=HFOrzlLK_iI", "返鄉下摘菜喇！｜廣西vlog 20211115")</f>
        <v>返鄉下摘菜喇！｜廣西vlog 20211115</v>
      </c>
      <c r="E615" s="82">
        <v>44515.0</v>
      </c>
      <c r="F615" s="80">
        <v>588.0</v>
      </c>
      <c r="G615" s="80" t="s">
        <v>63</v>
      </c>
      <c r="I615" s="80" t="s">
        <v>63</v>
      </c>
      <c r="J615" s="80">
        <v>1026.0</v>
      </c>
      <c r="K615" s="80">
        <v>0.981818181818181</v>
      </c>
      <c r="L615" s="80" t="s">
        <v>757</v>
      </c>
    </row>
    <row r="616">
      <c r="A616" s="80" t="s">
        <v>755</v>
      </c>
      <c r="B616" s="81" t="str">
        <f t="shared" si="23"/>
        <v>Live in Kwangsi廣西人·情·味</v>
      </c>
      <c r="C616" s="80" t="s">
        <v>769</v>
      </c>
      <c r="D616" s="81" t="str">
        <f>HYPERLINK("https://youtube.com/watch?v=UWB-PbIsyjs", "八仙嶺郊野公園 鶴藪水塘 沙田馬場 流水響水塘 喺香港體驗田園生活｜日常實拍")</f>
        <v>八仙嶺郊野公園 鶴藪水塘 沙田馬場 流水響水塘 喺香港體驗田園生活｜日常實拍</v>
      </c>
      <c r="E616" s="82">
        <v>44511.0</v>
      </c>
      <c r="F616" s="80">
        <v>770.0</v>
      </c>
      <c r="G616" s="80" t="s">
        <v>63</v>
      </c>
      <c r="I616" s="80" t="s">
        <v>63</v>
      </c>
      <c r="J616" s="80">
        <v>140.0</v>
      </c>
      <c r="K616" s="80">
        <v>1.0</v>
      </c>
      <c r="L616" s="80" t="s">
        <v>757</v>
      </c>
    </row>
    <row r="617">
      <c r="A617" s="80" t="s">
        <v>755</v>
      </c>
      <c r="B617" s="81" t="str">
        <f t="shared" si="23"/>
        <v>Live in Kwangsi廣西人·情·味</v>
      </c>
      <c r="C617" s="80" t="s">
        <v>770</v>
      </c>
      <c r="D617" s="81" t="str">
        <f>HYPERLINK("https://youtube.com/watch?v=LoN3UD_GB5o", "古昭州 新華水庫 南洲大橋 縣城掠影｜桂林市平樂縣｜廣西自由行")</f>
        <v>古昭州 新華水庫 南洲大橋 縣城掠影｜桂林市平樂縣｜廣西自由行</v>
      </c>
      <c r="E617" s="82">
        <v>44508.0</v>
      </c>
      <c r="F617" s="80">
        <v>193.0</v>
      </c>
      <c r="G617" s="80" t="s">
        <v>63</v>
      </c>
      <c r="I617" s="80" t="s">
        <v>63</v>
      </c>
      <c r="J617" s="80">
        <v>386.0</v>
      </c>
      <c r="K617" s="80">
        <v>1.0</v>
      </c>
      <c r="L617" s="80" t="s">
        <v>757</v>
      </c>
    </row>
    <row r="618">
      <c r="A618" s="80" t="s">
        <v>755</v>
      </c>
      <c r="B618" s="81" t="str">
        <f t="shared" si="23"/>
        <v>Live in Kwangsi廣西人·情·味</v>
      </c>
      <c r="C618" s="80" t="s">
        <v>771</v>
      </c>
      <c r="D618" s="81" t="str">
        <f>HYPERLINK("https://youtube.com/watch?v=lcCWlQxOEIA", "西湖 朝京門 步行街 市區掠影｜廣東惠州市｜日常實拍")</f>
        <v>西湖 朝京門 步行街 市區掠影｜廣東惠州市｜日常實拍</v>
      </c>
      <c r="E618" s="82">
        <v>44483.0</v>
      </c>
      <c r="F618" s="80">
        <v>277.0</v>
      </c>
      <c r="G618" s="80" t="s">
        <v>63</v>
      </c>
      <c r="I618" s="80" t="s">
        <v>63</v>
      </c>
      <c r="J618" s="80">
        <v>28.0</v>
      </c>
      <c r="K618" s="80">
        <v>1.0</v>
      </c>
      <c r="L618" s="80" t="s">
        <v>757</v>
      </c>
    </row>
    <row r="619">
      <c r="A619" s="80" t="s">
        <v>755</v>
      </c>
      <c r="B619" s="81" t="str">
        <f t="shared" si="23"/>
        <v>Live in Kwangsi廣西人·情·味</v>
      </c>
      <c r="C619" s="80" t="s">
        <v>772</v>
      </c>
      <c r="D619" s="81" t="str">
        <f>HYPERLINK("https://youtube.com/watch?v=WxtpZlZScw0", "惠州碧桂園十里銀灘其實係點㗎？又去埋巽寮灣睇睇")</f>
        <v>惠州碧桂園十里銀灘其實係點㗎？又去埋巽寮灣睇睇</v>
      </c>
      <c r="E619" s="82">
        <v>44472.0</v>
      </c>
      <c r="F619" s="80">
        <v>181.0</v>
      </c>
      <c r="G619" s="80" t="s">
        <v>63</v>
      </c>
      <c r="I619" s="80" t="s">
        <v>63</v>
      </c>
      <c r="J619" s="80">
        <v>282.0</v>
      </c>
      <c r="K619" s="80">
        <v>1.0</v>
      </c>
      <c r="L619" s="80" t="s">
        <v>757</v>
      </c>
    </row>
    <row r="620">
      <c r="A620" s="80" t="s">
        <v>755</v>
      </c>
      <c r="B620" s="81" t="str">
        <f t="shared" si="23"/>
        <v>Live in Kwangsi廣西人·情·味</v>
      </c>
      <c r="C620" s="80" t="s">
        <v>773</v>
      </c>
      <c r="D620" s="81" t="str">
        <f>HYPERLINK("https://youtube.com/watch?v=-TRuI8UTjn8", "惠州人講乜話㗎？惠州有乜好去處？同惠州的士司機傾下偈")</f>
        <v>惠州人講乜話㗎？惠州有乜好去處？同惠州的士司機傾下偈</v>
      </c>
      <c r="E620" s="82">
        <v>44471.0</v>
      </c>
      <c r="F620" s="80">
        <v>799.0</v>
      </c>
      <c r="G620" s="80" t="s">
        <v>63</v>
      </c>
      <c r="I620" s="80" t="s">
        <v>63</v>
      </c>
      <c r="J620" s="80">
        <v>576.0</v>
      </c>
      <c r="K620" s="80">
        <v>0.993103448275862</v>
      </c>
      <c r="L620" s="80" t="s">
        <v>757</v>
      </c>
    </row>
    <row r="621">
      <c r="A621" s="80" t="s">
        <v>755</v>
      </c>
      <c r="B621" s="81" t="str">
        <f t="shared" si="23"/>
        <v>Live in Kwangsi廣西人·情·味</v>
      </c>
      <c r="C621" s="80" t="s">
        <v>774</v>
      </c>
      <c r="D621" s="81" t="str">
        <f>HYPERLINK("https://youtube.com/watch?v=nM5oGynCcrc", "跟住珠海朋友遊珠海vlog ¥1巴士至橫琴 珠海睇澳門夜景 探下珠海人嘅潮店 橫琴碼頭 港珠澳大橋 睇下珠海人嘅夜生活")</f>
        <v>跟住珠海朋友遊珠海vlog ¥1巴士至橫琴 珠海睇澳門夜景 探下珠海人嘅潮店 橫琴碼頭 港珠澳大橋 睇下珠海人嘅夜生活</v>
      </c>
      <c r="E621" s="82">
        <v>44337.0</v>
      </c>
      <c r="F621" s="80">
        <v>1358.0</v>
      </c>
      <c r="G621" s="80" t="s">
        <v>63</v>
      </c>
      <c r="I621" s="80" t="s">
        <v>63</v>
      </c>
      <c r="J621" s="80">
        <v>2037.0</v>
      </c>
      <c r="K621" s="80">
        <v>0.980741454020221</v>
      </c>
      <c r="L621" s="80" t="s">
        <v>757</v>
      </c>
    </row>
    <row r="622">
      <c r="A622" s="80" t="s">
        <v>755</v>
      </c>
      <c r="B622" s="81" t="str">
        <f t="shared" si="23"/>
        <v>Live in Kwangsi廣西人·情·味</v>
      </c>
      <c r="C622" s="80" t="s">
        <v>775</v>
      </c>
      <c r="D622" s="81" t="str">
        <f>HYPERLINK("https://youtube.com/watch?v=gJ7rFSeaGuc", "白浪灘｜防城港市｜廣西美景")</f>
        <v>白浪灘｜防城港市｜廣西美景</v>
      </c>
      <c r="E622" s="82">
        <v>44330.0</v>
      </c>
      <c r="F622" s="80">
        <v>124.0</v>
      </c>
      <c r="G622" s="80" t="s">
        <v>63</v>
      </c>
      <c r="H622" s="80" t="s">
        <v>63</v>
      </c>
      <c r="I622" s="80" t="s">
        <v>63</v>
      </c>
      <c r="J622" s="80">
        <v>264.0</v>
      </c>
      <c r="K622" s="80">
        <v>1.0</v>
      </c>
      <c r="L622" s="80" t="s">
        <v>776</v>
      </c>
    </row>
    <row r="623">
      <c r="A623" s="80" t="s">
        <v>755</v>
      </c>
      <c r="B623" s="81" t="str">
        <f t="shared" si="23"/>
        <v>Live in Kwangsi廣西人·情·味</v>
      </c>
      <c r="C623" s="80" t="s">
        <v>777</v>
      </c>
      <c r="D623" s="81" t="str">
        <f>HYPERLINK("https://youtube.com/watch?v=q83jEgMWaIU", "東興市旅遊記錄 入境都要檢查 邊境位睇越南芒街市 搭東興巴士往金灘 行越南街")</f>
        <v>東興市旅遊記錄 入境都要檢查 邊境位睇越南芒街市 搭東興巴士往金灘 行越南街</v>
      </c>
      <c r="E623" s="82">
        <v>44324.0</v>
      </c>
      <c r="F623" s="80">
        <v>624.0</v>
      </c>
      <c r="G623" s="80" t="s">
        <v>63</v>
      </c>
      <c r="I623" s="80" t="s">
        <v>63</v>
      </c>
      <c r="J623" s="80">
        <v>58.0</v>
      </c>
      <c r="K623" s="80">
        <v>1.0</v>
      </c>
      <c r="L623" s="80" t="s">
        <v>757</v>
      </c>
    </row>
    <row r="624">
      <c r="A624" s="80" t="s">
        <v>755</v>
      </c>
      <c r="B624" s="81" t="str">
        <f t="shared" si="23"/>
        <v>Live in Kwangsi廣西人·情·味</v>
      </c>
      <c r="C624" s="80" t="s">
        <v>778</v>
      </c>
      <c r="D624" s="81" t="str">
        <f>HYPERLINK("https://youtube.com/watch?v=5W5PgKf-uvQ", "南寧至防城港巴士 防城港港口區 白浪灘 防城區嘉樂城遊記")</f>
        <v>南寧至防城港巴士 防城港港口區 白浪灘 防城區嘉樂城遊記</v>
      </c>
      <c r="E624" s="82">
        <v>44315.0</v>
      </c>
      <c r="F624" s="80">
        <v>295.0</v>
      </c>
      <c r="G624" s="80" t="s">
        <v>63</v>
      </c>
      <c r="I624" s="80" t="s">
        <v>63</v>
      </c>
      <c r="J624" s="80">
        <v>57.0</v>
      </c>
      <c r="K624" s="80">
        <v>0.95</v>
      </c>
      <c r="L624" s="80" t="s">
        <v>757</v>
      </c>
    </row>
    <row r="625">
      <c r="A625" s="80" t="s">
        <v>755</v>
      </c>
      <c r="B625" s="81" t="str">
        <f t="shared" si="23"/>
        <v>Live in Kwangsi廣西人·情·味</v>
      </c>
      <c r="C625" s="80" t="s">
        <v>779</v>
      </c>
      <c r="D625" s="81" t="str">
        <f>HYPERLINK("https://youtube.com/watch?v=NL0m5iPJbwQ", "搭廣西梧州跨省巴士至廣東封開1日1夜記錄")</f>
        <v>搭廣西梧州跨省巴士至廣東封開1日1夜記錄</v>
      </c>
      <c r="E625" s="82">
        <v>44307.0</v>
      </c>
      <c r="F625" s="80">
        <v>352.0</v>
      </c>
      <c r="G625" s="80" t="s">
        <v>63</v>
      </c>
      <c r="I625" s="80" t="s">
        <v>63</v>
      </c>
      <c r="J625" s="80">
        <v>21.0</v>
      </c>
      <c r="K625" s="80">
        <v>1.0</v>
      </c>
      <c r="L625" s="80" t="s">
        <v>757</v>
      </c>
    </row>
    <row r="626">
      <c r="A626" s="80" t="s">
        <v>755</v>
      </c>
      <c r="B626" s="81" t="str">
        <f t="shared" si="23"/>
        <v>Live in Kwangsi廣西人·情·味</v>
      </c>
      <c r="C626" s="80" t="s">
        <v>780</v>
      </c>
      <c r="D626" s="81" t="str">
        <f>HYPERLINK("https://youtube.com/watch?v=0DYjlUcXYPs", "繼續喺昭平縣城 遊寶塔公園 行街市 齋記錄｜廣西vlog")</f>
        <v>繼續喺昭平縣城 遊寶塔公園 行街市 齋記錄｜廣西vlog</v>
      </c>
      <c r="E626" s="82">
        <v>44298.0</v>
      </c>
      <c r="F626" s="80">
        <v>277.0</v>
      </c>
      <c r="G626" s="80" t="s">
        <v>63</v>
      </c>
      <c r="I626" s="80" t="s">
        <v>63</v>
      </c>
      <c r="J626" s="80">
        <v>78.0</v>
      </c>
      <c r="K626" s="80">
        <v>1.0</v>
      </c>
      <c r="L626" s="80" t="s">
        <v>757</v>
      </c>
    </row>
    <row r="627">
      <c r="A627" s="80" t="s">
        <v>755</v>
      </c>
      <c r="B627" s="81" t="str">
        <f t="shared" si="23"/>
        <v>Live in Kwangsi廣西人·情·味</v>
      </c>
      <c r="C627" s="80" t="s">
        <v>781</v>
      </c>
      <c r="D627" s="81" t="str">
        <f>HYPERLINK("https://youtube.com/watch?v=k-ybUyFemGc", "昭平縣一日一夜遊 齋記錄下｜廣西vlog")</f>
        <v>昭平縣一日一夜遊 齋記錄下｜廣西vlog</v>
      </c>
      <c r="E627" s="82">
        <v>44297.0</v>
      </c>
      <c r="F627" s="80">
        <v>1046.0</v>
      </c>
      <c r="G627" s="80" t="s">
        <v>63</v>
      </c>
      <c r="I627" s="80" t="s">
        <v>63</v>
      </c>
      <c r="J627" s="80">
        <v>593.0</v>
      </c>
      <c r="K627" s="80">
        <v>0.950320512820512</v>
      </c>
      <c r="L627" s="80" t="s">
        <v>757</v>
      </c>
    </row>
    <row r="628">
      <c r="A628" s="80" t="s">
        <v>755</v>
      </c>
      <c r="B628" s="81" t="str">
        <f t="shared" si="23"/>
        <v>Live in Kwangsi廣西人·情·味</v>
      </c>
      <c r="C628" s="80" t="s">
        <v>782</v>
      </c>
      <c r="D628" s="81" t="str">
        <f>HYPERLINK("https://youtube.com/watch?v=0fEk6BRGg2w", "離開岑溪前再喺市中心行下 下次再見喇！ EP.7｜粵語旁述｜廣西vlog")</f>
        <v>離開岑溪前再喺市中心行下 下次再見喇！ EP.7｜粵語旁述｜廣西vlog</v>
      </c>
      <c r="E628" s="82">
        <v>44283.0</v>
      </c>
      <c r="F628" s="80">
        <v>331.0</v>
      </c>
      <c r="G628" s="80" t="s">
        <v>63</v>
      </c>
      <c r="I628" s="80" t="s">
        <v>63</v>
      </c>
      <c r="J628" s="80">
        <v>563.0</v>
      </c>
      <c r="K628" s="80">
        <v>0.992945326278659</v>
      </c>
      <c r="L628" s="80" t="s">
        <v>757</v>
      </c>
    </row>
    <row r="629">
      <c r="A629" s="80" t="s">
        <v>755</v>
      </c>
      <c r="B629" s="81" t="str">
        <f t="shared" si="23"/>
        <v>Live in Kwangsi廣西人·情·味</v>
      </c>
      <c r="C629" s="80" t="s">
        <v>783</v>
      </c>
      <c r="D629" s="81" t="str">
        <f>HYPERLINK("https://youtube.com/watch?v=LK_vu0MZUDo", "搭摩的至岑溪市中心 EP.6｜粵語旁述｜廣西vlog")</f>
        <v>搭摩的至岑溪市中心 EP.6｜粵語旁述｜廣西vlog</v>
      </c>
      <c r="E629" s="82">
        <v>44282.0</v>
      </c>
      <c r="F629" s="80">
        <v>241.0</v>
      </c>
      <c r="G629" s="80" t="s">
        <v>63</v>
      </c>
      <c r="I629" s="80" t="s">
        <v>63</v>
      </c>
      <c r="J629" s="80">
        <v>85.0</v>
      </c>
      <c r="K629" s="80">
        <v>1.0</v>
      </c>
      <c r="L629" s="80" t="s">
        <v>757</v>
      </c>
    </row>
    <row r="630">
      <c r="A630" s="80" t="s">
        <v>755</v>
      </c>
      <c r="B630" s="81" t="str">
        <f t="shared" si="23"/>
        <v>Live in Kwangsi廣西人·情·味</v>
      </c>
      <c r="C630" s="80" t="s">
        <v>784</v>
      </c>
      <c r="D630" s="81" t="str">
        <f>HYPERLINK("https://youtube.com/watch?v=6p8ngjwXLNo", "春遊岑溪 遊覽東山公園 EP.5｜粵語旁述｜廣西vlog")</f>
        <v>春遊岑溪 遊覽東山公園 EP.5｜粵語旁述｜廣西vlog</v>
      </c>
      <c r="E630" s="82">
        <v>44281.0</v>
      </c>
      <c r="F630" s="80">
        <v>434.0</v>
      </c>
      <c r="G630" s="80" t="s">
        <v>63</v>
      </c>
      <c r="I630" s="80" t="s">
        <v>63</v>
      </c>
      <c r="J630" s="80">
        <v>636.0</v>
      </c>
      <c r="K630" s="80">
        <v>0.992199687987519</v>
      </c>
      <c r="L630" s="80" t="s">
        <v>757</v>
      </c>
    </row>
    <row r="631">
      <c r="A631" s="80" t="s">
        <v>755</v>
      </c>
      <c r="B631" s="81" t="str">
        <f t="shared" si="23"/>
        <v>Live in Kwangsi廣西人·情·味</v>
      </c>
      <c r="C631" s="80" t="s">
        <v>785</v>
      </c>
      <c r="D631" s="81" t="str">
        <f>HYPERLINK("https://youtube.com/watch?v=ohpk77X4u54", "夜遊岑溪 到訪熱門潮點翡翠湖結果… 幫襯河邊精緻舖頭仔但雞同鴨講 EP.4｜粵語旁述｜廣西vlog")</f>
        <v>夜遊岑溪 到訪熱門潮點翡翠湖結果… 幫襯河邊精緻舖頭仔但雞同鴨講 EP.4｜粵語旁述｜廣西vlog</v>
      </c>
      <c r="E631" s="82">
        <v>44279.0</v>
      </c>
      <c r="F631" s="80">
        <v>488.0</v>
      </c>
      <c r="G631" s="80" t="s">
        <v>63</v>
      </c>
      <c r="I631" s="80" t="s">
        <v>63</v>
      </c>
      <c r="J631" s="80">
        <v>741.0</v>
      </c>
      <c r="K631" s="80">
        <v>0.98406374501992</v>
      </c>
      <c r="L631" s="80" t="s">
        <v>757</v>
      </c>
    </row>
    <row r="632">
      <c r="A632" s="80" t="s">
        <v>755</v>
      </c>
      <c r="B632" s="81" t="str">
        <f t="shared" si="23"/>
        <v>Live in Kwangsi廣西人·情·味</v>
      </c>
      <c r="C632" s="80" t="s">
        <v>786</v>
      </c>
      <c r="D632" s="81" t="str">
        <f>HYPERLINK("https://youtube.com/watch?v=rw46EljD-FI", "春遊岑溪 行市區河堤 又同學生哥、婆婆傾下偈 EP.3｜粵語旁述｜廣西vlog")</f>
        <v>春遊岑溪 行市區河堤 又同學生哥、婆婆傾下偈 EP.3｜粵語旁述｜廣西vlog</v>
      </c>
      <c r="E632" s="82">
        <v>44277.0</v>
      </c>
      <c r="F632" s="80">
        <v>374.0</v>
      </c>
      <c r="G632" s="80" t="s">
        <v>63</v>
      </c>
      <c r="I632" s="80" t="s">
        <v>63</v>
      </c>
      <c r="J632" s="80">
        <v>623.0</v>
      </c>
      <c r="K632" s="80">
        <v>0.987321711568938</v>
      </c>
      <c r="L632" s="80" t="s">
        <v>757</v>
      </c>
    </row>
    <row r="633">
      <c r="A633" s="80" t="s">
        <v>755</v>
      </c>
      <c r="B633" s="81" t="str">
        <f t="shared" si="23"/>
        <v>Live in Kwangsi廣西人·情·味</v>
      </c>
      <c r="C633" s="80" t="s">
        <v>787</v>
      </c>
      <c r="D633" s="81" t="str">
        <f>HYPERLINK("https://youtube.com/watch?v=khLHZNnGPLU", "欣賞身邊花草樹木｜蔓性紫花馬纓丹")</f>
        <v>欣賞身邊花草樹木｜蔓性紫花馬纓丹</v>
      </c>
      <c r="E633" s="82">
        <v>44276.0</v>
      </c>
      <c r="F633" s="80">
        <v>177.0</v>
      </c>
      <c r="G633" s="80" t="s">
        <v>63</v>
      </c>
      <c r="H633" s="80" t="s">
        <v>63</v>
      </c>
      <c r="I633" s="80" t="s">
        <v>63</v>
      </c>
      <c r="J633" s="80">
        <v>556.0</v>
      </c>
      <c r="K633" s="80">
        <v>1.0</v>
      </c>
      <c r="L633" s="80" t="s">
        <v>776</v>
      </c>
    </row>
    <row r="634">
      <c r="A634" s="80" t="s">
        <v>755</v>
      </c>
      <c r="B634" s="81" t="str">
        <f t="shared" si="23"/>
        <v>Live in Kwangsi廣西人·情·味</v>
      </c>
      <c r="C634" s="80" t="s">
        <v>788</v>
      </c>
      <c r="D634" s="81" t="str">
        <f>HYPERLINK("https://youtube.com/watch?v=nLm4AW5y6xA", "搭的士同司機傾下偈 八卦下呢度嘅風土人情｜岑溪市區｜廣西收音Gate EP.5")</f>
        <v>搭的士同司機傾下偈 八卦下呢度嘅風土人情｜岑溪市區｜廣西收音Gate EP.5</v>
      </c>
      <c r="E634" s="82">
        <v>44275.0</v>
      </c>
      <c r="F634" s="80">
        <v>290.0</v>
      </c>
      <c r="G634" s="80" t="s">
        <v>63</v>
      </c>
      <c r="I634" s="80" t="s">
        <v>63</v>
      </c>
      <c r="J634" s="80">
        <v>144.0</v>
      </c>
      <c r="K634" s="80">
        <v>0.993103448275862</v>
      </c>
      <c r="L634" s="80" t="s">
        <v>757</v>
      </c>
    </row>
    <row r="635">
      <c r="A635" s="80" t="s">
        <v>755</v>
      </c>
      <c r="B635" s="81" t="str">
        <f t="shared" si="23"/>
        <v>Live in Kwangsi廣西人·情·味</v>
      </c>
      <c r="C635" s="80" t="s">
        <v>789</v>
      </c>
      <c r="D635" s="81" t="str">
        <f>HYPERLINK("https://youtube.com/watch?v=s-eRMAlJrl0", "春遊岑溪 樟木古街 EP.2｜粵語旁述｜廣西vlog")</f>
        <v>春遊岑溪 樟木古街 EP.2｜粵語旁述｜廣西vlog</v>
      </c>
      <c r="E635" s="82">
        <v>44274.0</v>
      </c>
      <c r="F635" s="80">
        <v>282.0</v>
      </c>
      <c r="G635" s="80" t="s">
        <v>63</v>
      </c>
      <c r="I635" s="80" t="s">
        <v>63</v>
      </c>
      <c r="J635" s="80">
        <v>552.0</v>
      </c>
      <c r="K635" s="80">
        <v>1.0</v>
      </c>
      <c r="L635" s="80" t="s">
        <v>757</v>
      </c>
    </row>
    <row r="636">
      <c r="A636" s="80" t="s">
        <v>755</v>
      </c>
      <c r="B636" s="81" t="str">
        <f t="shared" si="23"/>
        <v>Live in Kwangsi廣西人·情·味</v>
      </c>
      <c r="C636" s="80" t="s">
        <v>790</v>
      </c>
      <c r="D636" s="81" t="str">
        <f>HYPERLINK("https://youtube.com/watch?v=5-CTrM3HwJE", "春遊岑溪 試搭巴士坐過籠到咗大業鎮 EP.1｜粵語旁述｜廣西vlog")</f>
        <v>春遊岑溪 試搭巴士坐過籠到咗大業鎮 EP.1｜粵語旁述｜廣西vlog</v>
      </c>
      <c r="E636" s="82">
        <v>44273.0</v>
      </c>
      <c r="F636" s="80">
        <v>451.0</v>
      </c>
      <c r="G636" s="80" t="s">
        <v>63</v>
      </c>
      <c r="I636" s="80" t="s">
        <v>63</v>
      </c>
      <c r="J636" s="80">
        <v>652.0</v>
      </c>
      <c r="K636" s="80">
        <v>0.980451127819548</v>
      </c>
      <c r="L636" s="80" t="s">
        <v>757</v>
      </c>
    </row>
    <row r="637">
      <c r="A637" s="80" t="s">
        <v>755</v>
      </c>
      <c r="B637" s="81" t="str">
        <f t="shared" si="23"/>
        <v>Live in Kwangsi廣西人·情·味</v>
      </c>
      <c r="C637" s="80" t="s">
        <v>791</v>
      </c>
      <c r="D637" s="81" t="str">
        <f>HYPERLINK("https://youtube.com/watch?v=LM96i0o9HAc", "邕城版女人街？淘寶現實版？跟住友仔行南寧西關夜市街｜廣西日常實拍")</f>
        <v>邕城版女人街？淘寶現實版？跟住友仔行南寧西關夜市街｜廣西日常實拍</v>
      </c>
      <c r="E637" s="82">
        <v>44272.0</v>
      </c>
      <c r="F637" s="80">
        <v>752.0</v>
      </c>
      <c r="G637" s="80" t="s">
        <v>63</v>
      </c>
      <c r="I637" s="80" t="s">
        <v>63</v>
      </c>
      <c r="J637" s="80">
        <v>372.0</v>
      </c>
      <c r="K637" s="80">
        <v>1.0</v>
      </c>
      <c r="L637" s="80" t="s">
        <v>757</v>
      </c>
    </row>
    <row r="638">
      <c r="A638" s="80" t="s">
        <v>755</v>
      </c>
      <c r="B638" s="81" t="str">
        <f t="shared" si="23"/>
        <v>Live in Kwangsi廣西人·情·味</v>
      </c>
      <c r="C638" s="80" t="s">
        <v>792</v>
      </c>
      <c r="D638" s="81" t="str">
        <f>HYPERLINK("https://youtube.com/watch?v=gO72ReirU5g", "春遊邕城 市中心睇街頭音樂騷 跟住友仔行興寧路步行街 EP.6｜粵語旁述｜廣西vlog")</f>
        <v>春遊邕城 市中心睇街頭音樂騷 跟住友仔行興寧路步行街 EP.6｜粵語旁述｜廣西vlog</v>
      </c>
      <c r="E638" s="82">
        <v>44268.0</v>
      </c>
      <c r="F638" s="80">
        <v>727.0</v>
      </c>
      <c r="G638" s="80" t="s">
        <v>63</v>
      </c>
      <c r="I638" s="80" t="s">
        <v>63</v>
      </c>
      <c r="J638" s="80">
        <v>135.0</v>
      </c>
      <c r="K638" s="80">
        <v>1.0</v>
      </c>
      <c r="L638" s="80" t="s">
        <v>757</v>
      </c>
    </row>
    <row r="639">
      <c r="A639" s="80" t="s">
        <v>755</v>
      </c>
      <c r="B639" s="81" t="str">
        <f t="shared" si="23"/>
        <v>Live in Kwangsi廣西人·情·味</v>
      </c>
      <c r="C639" s="80" t="s">
        <v>793</v>
      </c>
      <c r="D639" s="81" t="str">
        <f>HYPERLINK("https://youtube.com/watch?v=Sn8TS8keHfM", "春遊邕城 老牌萬國茶樓晚餐 捧友仔表演唱粵曲場 EP.5｜粵語旁述｜廣西vlog")</f>
        <v>春遊邕城 老牌萬國茶樓晚餐 捧友仔表演唱粵曲場 EP.5｜粵語旁述｜廣西vlog</v>
      </c>
      <c r="E639" s="82">
        <v>44267.0</v>
      </c>
      <c r="F639" s="80">
        <v>385.0</v>
      </c>
      <c r="G639" s="80" t="s">
        <v>63</v>
      </c>
      <c r="I639" s="80" t="s">
        <v>63</v>
      </c>
      <c r="J639" s="80">
        <v>342.0</v>
      </c>
      <c r="K639" s="80">
        <v>0.994186046511627</v>
      </c>
      <c r="L639" s="80" t="s">
        <v>757</v>
      </c>
    </row>
    <row r="640">
      <c r="A640" s="80" t="s">
        <v>755</v>
      </c>
      <c r="B640" s="81" t="str">
        <f t="shared" si="23"/>
        <v>Live in Kwangsi廣西人·情·味</v>
      </c>
      <c r="C640" s="80" t="s">
        <v>794</v>
      </c>
      <c r="D640" s="81" t="str">
        <f>HYPERLINK("https://youtube.com/watch?v=2EBwTo_eUFw", "南寧白話《最後一課》  南寧人用母語演繹經典課文｜南寧市區｜廣西收音Gate EP.4（開啟字幕）")</f>
        <v>南寧白話《最後一課》  南寧人用母語演繹經典課文｜南寧市區｜廣西收音Gate EP.4（開啟字幕）</v>
      </c>
      <c r="E640" s="82">
        <v>44266.0</v>
      </c>
      <c r="F640" s="80">
        <v>820.0</v>
      </c>
      <c r="G640" s="80" t="s">
        <v>63</v>
      </c>
      <c r="H640" s="80" t="s">
        <v>63</v>
      </c>
      <c r="I640" s="80" t="s">
        <v>63</v>
      </c>
      <c r="J640" s="80">
        <v>2526.0</v>
      </c>
      <c r="K640" s="80">
        <v>0.996056782334384</v>
      </c>
      <c r="L640" s="80" t="s">
        <v>776</v>
      </c>
    </row>
    <row r="641">
      <c r="A641" s="80" t="s">
        <v>755</v>
      </c>
      <c r="B641" s="81" t="str">
        <f t="shared" si="23"/>
        <v>Live in Kwangsi廣西人·情·味</v>
      </c>
      <c r="C641" s="80" t="s">
        <v>795</v>
      </c>
      <c r="D641" s="81" t="str">
        <f>HYPERLINK("https://youtube.com/watch?v=Ba8Q9X2wxck", "春遊邕城 遊石門森林公園 試日式料理 航洋城聽靚歌 EP.4｜粵語旁述｜廣西vlog")</f>
        <v>春遊邕城 遊石門森林公園 試日式料理 航洋城聽靚歌 EP.4｜粵語旁述｜廣西vlog</v>
      </c>
      <c r="E641" s="82">
        <v>44264.0</v>
      </c>
      <c r="F641" s="80">
        <v>563.0</v>
      </c>
      <c r="G641" s="80" t="s">
        <v>63</v>
      </c>
      <c r="I641" s="80" t="s">
        <v>63</v>
      </c>
      <c r="J641" s="80">
        <v>542.0</v>
      </c>
      <c r="K641" s="80">
        <v>0.98905109489051</v>
      </c>
      <c r="L641" s="80" t="s">
        <v>757</v>
      </c>
    </row>
    <row r="642">
      <c r="A642" s="80" t="s">
        <v>755</v>
      </c>
      <c r="B642" s="81" t="str">
        <f t="shared" si="23"/>
        <v>Live in Kwangsi廣西人·情·味</v>
      </c>
      <c r="C642" s="80" t="s">
        <v>796</v>
      </c>
      <c r="D642" s="81" t="str">
        <f>HYPERLINK("https://youtube.com/watch?v=lqrr_3P7PGQ", "春遊邕城 友仔帶去食正宗老友粉 訪問友仔  行南寧夜街 EP.3｜粵語旁述｜廣西vlog")</f>
        <v>春遊邕城 友仔帶去食正宗老友粉 訪問友仔  行南寧夜街 EP.3｜粵語旁述｜廣西vlog</v>
      </c>
      <c r="E642" s="82">
        <v>44263.0</v>
      </c>
      <c r="F642" s="80">
        <v>530.0</v>
      </c>
      <c r="G642" s="80" t="s">
        <v>63</v>
      </c>
      <c r="I642" s="80" t="s">
        <v>63</v>
      </c>
      <c r="J642" s="80">
        <v>701.0</v>
      </c>
      <c r="K642" s="80">
        <v>1.0</v>
      </c>
      <c r="L642" s="80" t="s">
        <v>757</v>
      </c>
    </row>
    <row r="643">
      <c r="A643" s="80" t="s">
        <v>755</v>
      </c>
      <c r="B643" s="81" t="str">
        <f t="shared" si="23"/>
        <v>Live in Kwangsi廣西人·情·味</v>
      </c>
      <c r="C643" s="80" t="s">
        <v>797</v>
      </c>
      <c r="D643" s="81" t="str">
        <f>HYPERLINK("https://youtube.com/watch?v=fNGiZ21U78s", "南寧地鐵1號綫 南寧東站至民族廣場站全程廣播 八卦廣西人嘅生活點滴｜南寧市區｜廣西收音Gate EP.3")</f>
        <v>南寧地鐵1號綫 南寧東站至民族廣場站全程廣播 八卦廣西人嘅生活點滴｜南寧市區｜廣西收音Gate EP.3</v>
      </c>
      <c r="E643" s="82">
        <v>44259.0</v>
      </c>
      <c r="F643" s="80">
        <v>1509.0</v>
      </c>
      <c r="G643" s="80" t="s">
        <v>63</v>
      </c>
      <c r="I643" s="80" t="s">
        <v>63</v>
      </c>
      <c r="J643" s="80">
        <v>20.0</v>
      </c>
      <c r="K643" s="80">
        <v>1.0</v>
      </c>
      <c r="L643" s="80" t="s">
        <v>757</v>
      </c>
    </row>
    <row r="644">
      <c r="A644" s="80" t="s">
        <v>755</v>
      </c>
      <c r="B644" s="81" t="str">
        <f t="shared" si="23"/>
        <v>Live in Kwangsi廣西人·情·味</v>
      </c>
      <c r="C644" s="80" t="s">
        <v>798</v>
      </c>
      <c r="D644" s="81" t="str">
        <f>HYPERLINK("https://youtube.com/watch?v=Z7Gha9Dgtsw", "春遊邕城 跟住友仔行南寧街 官塘街市 建政路街市 朝陽廣場 中山路夜市 三街兩巷 EP.2｜粵語旁述｜廣西vlog")</f>
        <v>春遊邕城 跟住友仔行南寧街 官塘街市 建政路街市 朝陽廣場 中山路夜市 三街兩巷 EP.2｜粵語旁述｜廣西vlog</v>
      </c>
      <c r="E644" s="82">
        <v>44258.0</v>
      </c>
      <c r="F644" s="80">
        <v>369.0</v>
      </c>
      <c r="G644" s="80" t="s">
        <v>63</v>
      </c>
      <c r="I644" s="80" t="s">
        <v>63</v>
      </c>
      <c r="J644" s="80">
        <v>751.0</v>
      </c>
      <c r="K644" s="80">
        <v>0.998670212765957</v>
      </c>
      <c r="L644" s="80" t="s">
        <v>757</v>
      </c>
    </row>
    <row r="645">
      <c r="A645" s="80" t="s">
        <v>755</v>
      </c>
      <c r="B645" s="81" t="str">
        <f t="shared" si="23"/>
        <v>Live in Kwangsi廣西人·情·味</v>
      </c>
      <c r="C645" s="80" t="s">
        <v>799</v>
      </c>
      <c r="D645" s="81" t="str">
        <f>HYPERLINK("https://youtube.com/watch?v=oQrpJKpu1w4", "春遊邕城 體驗地鐵客務高質素服務 試住百五蚊平靚正酒店 EP.1｜粵語旁述｜廣西vlog")</f>
        <v>春遊邕城 體驗地鐵客務高質素服務 試住百五蚊平靚正酒店 EP.1｜粵語旁述｜廣西vlog</v>
      </c>
      <c r="E645" s="82">
        <v>44258.0</v>
      </c>
      <c r="F645" s="80">
        <v>652.0</v>
      </c>
      <c r="G645" s="80" t="s">
        <v>63</v>
      </c>
      <c r="I645" s="80" t="s">
        <v>63</v>
      </c>
      <c r="J645" s="80">
        <v>1000.0</v>
      </c>
      <c r="K645" s="80">
        <v>0.982318271119842</v>
      </c>
      <c r="L645" s="80" t="s">
        <v>757</v>
      </c>
    </row>
    <row r="646">
      <c r="A646" s="80" t="s">
        <v>755</v>
      </c>
      <c r="B646" s="81" t="str">
        <f t="shared" si="23"/>
        <v>Live in Kwangsi廣西人·情·味</v>
      </c>
      <c r="C646" s="80" t="s">
        <v>800</v>
      </c>
      <c r="D646" s="81" t="str">
        <f>HYPERLINK("https://youtube.com/watch?v=6CfWYiRd7OE", "跟住親友去蓮塘鎮螺橋村食節順便探索下呢度｜粵語旁述｜廣西vlog")</f>
        <v>跟住親友去蓮塘鎮螺橋村食節順便探索下呢度｜粵語旁述｜廣西vlog</v>
      </c>
      <c r="E646" s="82">
        <v>44251.0</v>
      </c>
      <c r="F646" s="80">
        <v>1306.0</v>
      </c>
      <c r="G646" s="80" t="s">
        <v>63</v>
      </c>
      <c r="I646" s="80" t="s">
        <v>63</v>
      </c>
      <c r="J646" s="80">
        <v>1207.0</v>
      </c>
      <c r="K646" s="80">
        <v>0.996696944673823</v>
      </c>
      <c r="L646" s="80" t="s">
        <v>757</v>
      </c>
    </row>
    <row r="647">
      <c r="A647" s="80" t="s">
        <v>755</v>
      </c>
      <c r="B647" s="81" t="str">
        <f t="shared" si="23"/>
        <v>Live in Kwangsi廣西人·情·味</v>
      </c>
      <c r="C647" s="80" t="s">
        <v>801</v>
      </c>
      <c r="D647" s="81" t="str">
        <f>HYPERLINK("https://youtube.com/watch?v=IMfCdoes5Go", "農曆年初十  上寺村算命又探索下呢條村｜粵語旁述｜廣西vlog")</f>
        <v>農曆年初十  上寺村算命又探索下呢條村｜粵語旁述｜廣西vlog</v>
      </c>
      <c r="E647" s="82">
        <v>44248.0</v>
      </c>
      <c r="F647" s="80">
        <v>331.0</v>
      </c>
      <c r="G647" s="80" t="s">
        <v>63</v>
      </c>
      <c r="I647" s="80" t="s">
        <v>63</v>
      </c>
      <c r="J647" s="80">
        <v>576.0</v>
      </c>
      <c r="K647" s="80">
        <v>1.0</v>
      </c>
      <c r="L647" s="80" t="s">
        <v>757</v>
      </c>
    </row>
    <row r="648">
      <c r="A648" s="80" t="s">
        <v>755</v>
      </c>
      <c r="B648" s="81" t="str">
        <f t="shared" si="23"/>
        <v>Live in Kwangsi廣西人·情·味</v>
      </c>
      <c r="C648" s="80" t="s">
        <v>802</v>
      </c>
      <c r="D648" s="81" t="str">
        <f>HYPERLINK("https://youtube.com/watch?v=aDxOJrFDgec", "農曆年初八 賀州市區公園仔下午茶 河堤漫步 仲見到幾靚嘅日落景色｜粵語旁述｜廣西vlog")</f>
        <v>農曆年初八 賀州市區公園仔下午茶 河堤漫步 仲見到幾靚嘅日落景色｜粵語旁述｜廣西vlog</v>
      </c>
      <c r="E648" s="82">
        <v>44246.0</v>
      </c>
      <c r="F648" s="80">
        <v>415.0</v>
      </c>
      <c r="G648" s="80" t="s">
        <v>63</v>
      </c>
      <c r="I648" s="80" t="s">
        <v>63</v>
      </c>
      <c r="J648" s="80">
        <v>871.0</v>
      </c>
      <c r="K648" s="80">
        <v>0.984180790960452</v>
      </c>
      <c r="L648" s="80" t="s">
        <v>757</v>
      </c>
    </row>
    <row r="649">
      <c r="A649" s="80" t="s">
        <v>755</v>
      </c>
      <c r="B649" s="81" t="str">
        <f t="shared" si="23"/>
        <v>Live in Kwangsi廣西人·情·味</v>
      </c>
      <c r="C649" s="80" t="s">
        <v>803</v>
      </c>
      <c r="D649" s="81" t="str">
        <f>HYPERLINK("https://youtube.com/watch?v=lkMPtvnICDA", "農曆年初七 晚間看賀州｜粵語旁述｜廣西vlog")</f>
        <v>農曆年初七 晚間看賀州｜粵語旁述｜廣西vlog</v>
      </c>
      <c r="E649" s="82">
        <v>44245.0</v>
      </c>
      <c r="F649" s="80">
        <v>301.0</v>
      </c>
      <c r="G649" s="80" t="s">
        <v>63</v>
      </c>
      <c r="I649" s="80" t="s">
        <v>63</v>
      </c>
      <c r="J649" s="80">
        <v>800.0</v>
      </c>
      <c r="K649" s="80">
        <v>0.981595092024539</v>
      </c>
      <c r="L649" s="80" t="s">
        <v>757</v>
      </c>
    </row>
    <row r="650">
      <c r="A650" s="80" t="s">
        <v>755</v>
      </c>
      <c r="B650" s="81" t="str">
        <f t="shared" si="23"/>
        <v>Live in Kwangsi廣西人·情·味</v>
      </c>
      <c r="C650" s="80" t="s">
        <v>804</v>
      </c>
      <c r="D650" s="81" t="str">
        <f>HYPERLINK("https://youtube.com/watch?v=EmxFHh3afXM", "農曆年初六 柳州天主教堂 柳江河堤漫步 鵝山公園｜粵語旁述｜廣西vlog")</f>
        <v>農曆年初六 柳州天主教堂 柳江河堤漫步 鵝山公園｜粵語旁述｜廣西vlog</v>
      </c>
      <c r="E650" s="82">
        <v>44245.0</v>
      </c>
      <c r="F650" s="80">
        <v>561.0</v>
      </c>
      <c r="G650" s="80" t="s">
        <v>63</v>
      </c>
      <c r="I650" s="80" t="s">
        <v>63</v>
      </c>
      <c r="J650" s="80">
        <v>897.0</v>
      </c>
      <c r="K650" s="80">
        <v>0.998886414253897</v>
      </c>
      <c r="L650" s="80" t="s">
        <v>757</v>
      </c>
    </row>
    <row r="651">
      <c r="A651" s="80" t="s">
        <v>755</v>
      </c>
      <c r="B651" s="81" t="str">
        <f t="shared" si="23"/>
        <v>Live in Kwangsi廣西人·情·味</v>
      </c>
      <c r="C651" s="80" t="s">
        <v>805</v>
      </c>
      <c r="D651" s="81" t="str">
        <f>HYPERLINK("https://youtube.com/watch?v=gcUbJFTwA9I", "農曆年初五 柳州大龍潭公園 谷埠夜市｜粵語旁述｜廣西vlog")</f>
        <v>農曆年初五 柳州大龍潭公園 谷埠夜市｜粵語旁述｜廣西vlog</v>
      </c>
      <c r="E651" s="82">
        <v>44244.0</v>
      </c>
      <c r="F651" s="80">
        <v>679.0</v>
      </c>
      <c r="G651" s="80" t="s">
        <v>63</v>
      </c>
      <c r="I651" s="80" t="s">
        <v>63</v>
      </c>
      <c r="J651" s="80">
        <v>1295.0</v>
      </c>
      <c r="K651" s="80">
        <v>0.990818668706962</v>
      </c>
      <c r="L651" s="80" t="s">
        <v>757</v>
      </c>
    </row>
    <row r="652">
      <c r="A652" s="80" t="s">
        <v>755</v>
      </c>
      <c r="B652" s="81" t="str">
        <f t="shared" si="23"/>
        <v>Live in Kwangsi廣西人·情·味</v>
      </c>
      <c r="C652" s="80" t="s">
        <v>806</v>
      </c>
      <c r="D652" s="81" t="str">
        <f>HYPERLINK("https://youtube.com/watch?v=HVzEDwzoJj4", "農曆年初四 柳州園博園 鬱金香花海 窯埠古鎮｜粵語旁述｜廣西vlog")</f>
        <v>農曆年初四 柳州園博園 鬱金香花海 窯埠古鎮｜粵語旁述｜廣西vlog</v>
      </c>
      <c r="E652" s="82">
        <v>44243.0</v>
      </c>
      <c r="F652" s="80">
        <v>1391.0</v>
      </c>
      <c r="G652" s="80" t="s">
        <v>63</v>
      </c>
      <c r="I652" s="80" t="s">
        <v>63</v>
      </c>
      <c r="J652" s="80">
        <v>2473.0</v>
      </c>
      <c r="K652" s="80">
        <v>0.992773986350863</v>
      </c>
      <c r="L652" s="80" t="s">
        <v>757</v>
      </c>
    </row>
    <row r="653">
      <c r="A653" s="80" t="s">
        <v>755</v>
      </c>
      <c r="B653" s="81" t="str">
        <f t="shared" si="23"/>
        <v>Live in Kwangsi廣西人·情·味</v>
      </c>
      <c r="C653" s="80" t="s">
        <v>807</v>
      </c>
      <c r="D653" s="81" t="str">
        <f>HYPERLINK("https://youtube.com/watch?v=UjfrpPn-zkI", "農曆年初四 探訪下一城 新年重遊睇睇有乜新發現｜粵語旁述｜廣西vlog")</f>
        <v>農曆年初四 探訪下一城 新年重遊睇睇有乜新發現｜粵語旁述｜廣西vlog</v>
      </c>
      <c r="E653" s="82">
        <v>44242.0</v>
      </c>
      <c r="F653" s="80">
        <v>504.0</v>
      </c>
      <c r="G653" s="80" t="s">
        <v>63</v>
      </c>
      <c r="I653" s="80" t="s">
        <v>63</v>
      </c>
      <c r="J653" s="80">
        <v>815.0</v>
      </c>
      <c r="K653" s="80">
        <v>0.99390243902439</v>
      </c>
      <c r="L653" s="80" t="s">
        <v>757</v>
      </c>
    </row>
    <row r="654">
      <c r="A654" s="80" t="s">
        <v>755</v>
      </c>
      <c r="B654" s="81" t="str">
        <f t="shared" si="23"/>
        <v>Live in Kwangsi廣西人·情·味</v>
      </c>
      <c r="C654" s="80" t="s">
        <v>808</v>
      </c>
      <c r="D654" s="81" t="str">
        <f>HYPERLINK("https://youtube.com/watch?v=Wlidd-nDgok", "農曆年初三 探訪賀州舊街角 踩共享單車 遇見啲細路學踩單車 有基督教教堂 行超級市場｜粵語旁述｜廣西vlog")</f>
        <v>農曆年初三 探訪賀州舊街角 踩共享單車 遇見啲細路學踩單車 有基督教教堂 行超級市場｜粵語旁述｜廣西vlog</v>
      </c>
      <c r="E654" s="82">
        <v>44241.0</v>
      </c>
      <c r="F654" s="80">
        <v>989.0</v>
      </c>
      <c r="G654" s="80" t="s">
        <v>63</v>
      </c>
      <c r="I654" s="80" t="s">
        <v>63</v>
      </c>
      <c r="J654" s="80">
        <v>1816.0</v>
      </c>
      <c r="K654" s="80">
        <v>0.984815618221258</v>
      </c>
      <c r="L654" s="80" t="s">
        <v>757</v>
      </c>
    </row>
    <row r="655">
      <c r="A655" s="80" t="s">
        <v>755</v>
      </c>
      <c r="B655" s="81" t="str">
        <f t="shared" si="23"/>
        <v>Live in Kwangsi廣西人·情·味</v>
      </c>
      <c r="C655" s="80" t="s">
        <v>809</v>
      </c>
      <c r="D655" s="81" t="str">
        <f>HYPERLINK("https://youtube.com/watch?v=ptKvxtB4lw0", "農曆年初二落鄉 到賀州市蓮塘鎮探親 嘗試喺路邊截順風車｜粵語旁述｜廣西vlog")</f>
        <v>農曆年初二落鄉 到賀州市蓮塘鎮探親 嘗試喺路邊截順風車｜粵語旁述｜廣西vlog</v>
      </c>
      <c r="E655" s="82">
        <v>44240.0</v>
      </c>
      <c r="F655" s="80">
        <v>1119.0</v>
      </c>
      <c r="G655" s="80" t="s">
        <v>63</v>
      </c>
      <c r="I655" s="80" t="s">
        <v>63</v>
      </c>
      <c r="J655" s="80">
        <v>1549.0</v>
      </c>
      <c r="K655" s="80">
        <v>0.965109034267912</v>
      </c>
      <c r="L655" s="80" t="s">
        <v>757</v>
      </c>
    </row>
    <row r="656">
      <c r="A656" s="80" t="s">
        <v>755</v>
      </c>
      <c r="B656" s="81" t="str">
        <f t="shared" si="23"/>
        <v>Live in Kwangsi廣西人·情·味</v>
      </c>
      <c r="C656" s="80" t="s">
        <v>810</v>
      </c>
      <c r="D656" s="81" t="str">
        <f>HYPERLINK("https://youtube.com/watch?v=pzRAvfSP-m8", "農曆年初一賀州點樣過？街頭直擊 電話訪問南寧、博白等地朋友點過農曆新年｜粵語旁述｜廣西vlog")</f>
        <v>農曆年初一賀州點樣過？街頭直擊 電話訪問南寧、博白等地朋友點過農曆新年｜粵語旁述｜廣西vlog</v>
      </c>
      <c r="E656" s="82">
        <v>44239.0</v>
      </c>
      <c r="F656" s="80">
        <v>1026.0</v>
      </c>
      <c r="G656" s="80" t="s">
        <v>63</v>
      </c>
      <c r="I656" s="80" t="s">
        <v>63</v>
      </c>
      <c r="J656" s="80">
        <v>1726.0</v>
      </c>
      <c r="K656" s="80">
        <v>0.994812680115273</v>
      </c>
      <c r="L656" s="80" t="s">
        <v>757</v>
      </c>
    </row>
    <row r="657">
      <c r="A657" s="80" t="s">
        <v>755</v>
      </c>
      <c r="B657" s="81" t="str">
        <f t="shared" si="23"/>
        <v>Live in Kwangsi廣西人·情·味</v>
      </c>
      <c r="C657" s="80" t="s">
        <v>811</v>
      </c>
      <c r="D657" s="81" t="str">
        <f>HYPERLINK("https://youtube.com/watch?v=BzXufoA4VBI", "農曆年三十賀州點樣過？｜粵語旁述｜廣西vlog")</f>
        <v>農曆年三十賀州點樣過？｜粵語旁述｜廣西vlog</v>
      </c>
      <c r="E657" s="82">
        <v>44238.0</v>
      </c>
      <c r="F657" s="80">
        <v>495.0</v>
      </c>
      <c r="G657" s="80" t="s">
        <v>63</v>
      </c>
      <c r="I657" s="80" t="s">
        <v>63</v>
      </c>
      <c r="J657" s="80">
        <v>628.0</v>
      </c>
      <c r="K657" s="80">
        <v>0.996825396825396</v>
      </c>
      <c r="L657" s="80" t="s">
        <v>757</v>
      </c>
    </row>
    <row r="658">
      <c r="A658" s="80" t="s">
        <v>755</v>
      </c>
      <c r="B658" s="81" t="str">
        <f t="shared" si="23"/>
        <v>Live in Kwangsi廣西人·情·味</v>
      </c>
      <c r="C658" s="80" t="s">
        <v>812</v>
      </c>
      <c r="D658" s="81" t="str">
        <f>HYPERLINK("https://youtube.com/watch?v=T79WmjR0Ik0", "疫情期、春運兼農曆新年前遊梧州EP.4 探索市區內嘅小島 泗洲島｜粵語旁述｜廣西vlog")</f>
        <v>疫情期、春運兼農曆新年前遊梧州EP.4 探索市區內嘅小島 泗洲島｜粵語旁述｜廣西vlog</v>
      </c>
      <c r="E658" s="82">
        <v>44237.0</v>
      </c>
      <c r="F658" s="80">
        <v>1180.0</v>
      </c>
      <c r="G658" s="80" t="s">
        <v>63</v>
      </c>
      <c r="I658" s="80" t="s">
        <v>63</v>
      </c>
      <c r="J658" s="80">
        <v>1651.0</v>
      </c>
      <c r="K658" s="80">
        <v>0.98098633392751</v>
      </c>
      <c r="L658" s="80" t="s">
        <v>757</v>
      </c>
    </row>
    <row r="659">
      <c r="A659" s="80" t="s">
        <v>755</v>
      </c>
      <c r="B659" s="81" t="str">
        <f t="shared" si="23"/>
        <v>Live in Kwangsi廣西人·情·味</v>
      </c>
      <c r="C659" s="80" t="s">
        <v>813</v>
      </c>
      <c r="D659" s="81" t="str">
        <f>HYPERLINK("https://youtube.com/watch?v=NlxzDBRCxCk", "疫情期、春運兼農曆新年前遊梧州EP.3 行龍墟夜街 呢度有勁大間嘅南寧百貨商場｜粵語旁述｜廣西vlog")</f>
        <v>疫情期、春運兼農曆新年前遊梧州EP.3 行龍墟夜街 呢度有勁大間嘅南寧百貨商場｜粵語旁述｜廣西vlog</v>
      </c>
      <c r="E659" s="82">
        <v>44235.0</v>
      </c>
      <c r="F659" s="80">
        <v>1117.0</v>
      </c>
      <c r="G659" s="80" t="s">
        <v>63</v>
      </c>
      <c r="I659" s="80" t="s">
        <v>63</v>
      </c>
      <c r="J659" s="80">
        <v>1061.0</v>
      </c>
      <c r="K659" s="80">
        <v>0.993445692883895</v>
      </c>
      <c r="L659" s="80" t="s">
        <v>757</v>
      </c>
    </row>
    <row r="660">
      <c r="A660" s="80" t="s">
        <v>755</v>
      </c>
      <c r="B660" s="81" t="str">
        <f t="shared" si="23"/>
        <v>Live in Kwangsi廣西人·情·味</v>
      </c>
      <c r="C660" s="80" t="s">
        <v>814</v>
      </c>
      <c r="D660" s="81" t="str">
        <f>HYPERLINK("https://youtube.com/watch?v=O3WupNlfpEQ", "疫情期、春運兼農曆新年前遊梧州EP.2 飲早茶 行舊街｜粵語旁述｜廣西vlog")</f>
        <v>疫情期、春運兼農曆新年前遊梧州EP.2 飲早茶 行舊街｜粵語旁述｜廣西vlog</v>
      </c>
      <c r="E660" s="82">
        <v>44233.0</v>
      </c>
      <c r="F660" s="80">
        <v>695.0</v>
      </c>
      <c r="G660" s="80" t="s">
        <v>63</v>
      </c>
      <c r="I660" s="80" t="s">
        <v>63</v>
      </c>
      <c r="J660" s="80">
        <v>1167.0</v>
      </c>
      <c r="K660" s="80">
        <v>0.994884910485933</v>
      </c>
      <c r="L660" s="80" t="s">
        <v>757</v>
      </c>
    </row>
    <row r="661">
      <c r="A661" s="80" t="s">
        <v>755</v>
      </c>
      <c r="B661" s="81" t="str">
        <f t="shared" si="23"/>
        <v>Live in Kwangsi廣西人·情·味</v>
      </c>
      <c r="C661" s="80" t="s">
        <v>815</v>
      </c>
      <c r="D661" s="81" t="str">
        <f>HYPERLINK("https://youtube.com/watch?v=3IkMSfqzTBE", "疫情期、春運兼農曆新年前遊梧州EP.1 發現勁本土茶餐廳 夜遊潘塘公園｜粵語旁述｜廣西vlog")</f>
        <v>疫情期、春運兼農曆新年前遊梧州EP.1 發現勁本土茶餐廳 夜遊潘塘公園｜粵語旁述｜廣西vlog</v>
      </c>
      <c r="E661" s="82">
        <v>44232.0</v>
      </c>
      <c r="F661" s="80">
        <v>1000.0</v>
      </c>
      <c r="G661" s="80" t="s">
        <v>63</v>
      </c>
      <c r="I661" s="80" t="s">
        <v>63</v>
      </c>
      <c r="J661" s="80">
        <v>1506.0</v>
      </c>
      <c r="K661" s="80">
        <v>0.989487516425755</v>
      </c>
      <c r="L661" s="80" t="s">
        <v>757</v>
      </c>
    </row>
    <row r="662">
      <c r="A662" s="80" t="s">
        <v>755</v>
      </c>
      <c r="B662" s="81" t="str">
        <f t="shared" si="23"/>
        <v>Live in Kwangsi廣西人·情·味</v>
      </c>
      <c r="C662" s="80" t="s">
        <v>816</v>
      </c>
      <c r="D662" s="81" t="str">
        <f>HYPERLINK("https://youtube.com/watch?v=Km52QEH121U", "農曆新年前落鄉行下 呢度有粵東會館 鄉村都開始搞文創街｜鍾山縣英家鎮｜粵語旁述｜廣西vlog")</f>
        <v>農曆新年前落鄉行下 呢度有粵東會館 鄉村都開始搞文創街｜鍾山縣英家鎮｜粵語旁述｜廣西vlog</v>
      </c>
      <c r="E662" s="82">
        <v>44230.0</v>
      </c>
      <c r="F662" s="80">
        <v>344.0</v>
      </c>
      <c r="G662" s="80" t="s">
        <v>63</v>
      </c>
      <c r="I662" s="80" t="s">
        <v>63</v>
      </c>
      <c r="J662" s="80">
        <v>164.0</v>
      </c>
      <c r="K662" s="80">
        <v>1.0</v>
      </c>
      <c r="L662" s="80" t="s">
        <v>757</v>
      </c>
    </row>
    <row r="663">
      <c r="A663" s="80" t="s">
        <v>755</v>
      </c>
      <c r="B663" s="81" t="str">
        <f t="shared" si="23"/>
        <v>Live in Kwangsi廣西人·情·味</v>
      </c>
      <c r="C663" s="80" t="s">
        <v>817</v>
      </c>
      <c r="D663" s="81" t="str">
        <f>HYPERLINK("https://youtube.com/watch?v=r33x2YfWNeg", "農曆新年前到鄉村行下 非遊客區充滿人情味 ｜鍾山縣清塘鎮里村｜粵語旁述｜廣西vlog")</f>
        <v>農曆新年前到鄉村行下 非遊客區充滿人情味 ｜鍾山縣清塘鎮里村｜粵語旁述｜廣西vlog</v>
      </c>
      <c r="E663" s="82">
        <v>44229.0</v>
      </c>
      <c r="F663" s="80">
        <v>762.0</v>
      </c>
      <c r="G663" s="80" t="s">
        <v>63</v>
      </c>
      <c r="I663" s="80" t="s">
        <v>63</v>
      </c>
      <c r="J663" s="80">
        <v>1338.0</v>
      </c>
      <c r="K663" s="80">
        <v>0.994795539033457</v>
      </c>
      <c r="L663" s="80" t="s">
        <v>757</v>
      </c>
    </row>
    <row r="664">
      <c r="A664" s="80" t="s">
        <v>755</v>
      </c>
      <c r="B664" s="81" t="str">
        <f t="shared" si="23"/>
        <v>Live in Kwangsi廣西人·情·味</v>
      </c>
      <c r="C664" s="80" t="s">
        <v>818</v>
      </c>
      <c r="D664" s="81" t="str">
        <f>HYPERLINK("https://youtube.com/watch?v=N36HUcUuaJ0", "體驗保險公司免費拖車服務｜賀州市沙田鎮｜粵語旁述｜廣西vlog")</f>
        <v>體驗保險公司免費拖車服務｜賀州市沙田鎮｜粵語旁述｜廣西vlog</v>
      </c>
      <c r="E664" s="82">
        <v>44225.0</v>
      </c>
      <c r="F664" s="80">
        <v>696.0</v>
      </c>
      <c r="G664" s="80" t="s">
        <v>63</v>
      </c>
      <c r="I664" s="80" t="s">
        <v>63</v>
      </c>
      <c r="J664" s="80">
        <v>677.0</v>
      </c>
      <c r="K664" s="80">
        <v>0.961647727272727</v>
      </c>
      <c r="L664" s="80" t="s">
        <v>757</v>
      </c>
    </row>
    <row r="665">
      <c r="A665" s="80" t="s">
        <v>755</v>
      </c>
      <c r="B665" s="81" t="str">
        <f t="shared" si="23"/>
        <v>Live in Kwangsi廣西人·情·味</v>
      </c>
      <c r="C665" s="80" t="s">
        <v>819</v>
      </c>
      <c r="D665" s="81" t="str">
        <f>HYPERLINK("https://youtube.com/watch?v=dqq83NMpS2w", "江邊人家 家有雀仔 乖巧八哥｜寵物特輯｜廣西風土人情")</f>
        <v>江邊人家 家有雀仔 乖巧八哥｜寵物特輯｜廣西風土人情</v>
      </c>
      <c r="E665" s="82">
        <v>44223.0</v>
      </c>
      <c r="F665" s="80">
        <v>715.0</v>
      </c>
      <c r="G665" s="80" t="s">
        <v>63</v>
      </c>
      <c r="I665" s="80" t="s">
        <v>63</v>
      </c>
      <c r="J665" s="80">
        <v>1071.0</v>
      </c>
      <c r="K665" s="80">
        <v>0.988919667590027</v>
      </c>
      <c r="L665" s="80" t="s">
        <v>820</v>
      </c>
    </row>
    <row r="666">
      <c r="A666" s="80" t="s">
        <v>755</v>
      </c>
      <c r="B666" s="81" t="str">
        <f t="shared" si="23"/>
        <v>Live in Kwangsi廣西人·情·味</v>
      </c>
      <c r="C666" s="80" t="s">
        <v>821</v>
      </c>
      <c r="D666" s="81" t="str">
        <f>HYPERLINK("https://youtube.com/watch?v=PLszD9wCbdU", "廣西粵語保留得最好嘅城市？梧州語言新時代｜同梧州街坊傾下偈")</f>
        <v>廣西粵語保留得最好嘅城市？梧州語言新時代｜同梧州街坊傾下偈</v>
      </c>
      <c r="E666" s="82">
        <v>44207.0</v>
      </c>
      <c r="F666" s="80">
        <v>975.0</v>
      </c>
      <c r="G666" s="80" t="s">
        <v>63</v>
      </c>
      <c r="I666" s="80" t="s">
        <v>63</v>
      </c>
      <c r="J666" s="80">
        <v>811.0</v>
      </c>
      <c r="K666" s="80">
        <v>0.998768472906403</v>
      </c>
      <c r="L666" s="80" t="s">
        <v>757</v>
      </c>
    </row>
    <row r="667">
      <c r="A667" s="80" t="s">
        <v>755</v>
      </c>
      <c r="B667" s="81" t="str">
        <f t="shared" si="23"/>
        <v>Live in Kwangsi廣西人·情·味</v>
      </c>
      <c r="C667" s="80" t="s">
        <v>822</v>
      </c>
      <c r="D667" s="81" t="str">
        <f>HYPERLINK("https://youtube.com/watch?v=xB8bp65yxic", "寒冷天氣警告下登上姑婆山山頂感受下有幾凍｜賀州市望高鎮｜粵語旁述｜廣西vlog")</f>
        <v>寒冷天氣警告下登上姑婆山山頂感受下有幾凍｜賀州市望高鎮｜粵語旁述｜廣西vlog</v>
      </c>
      <c r="E667" s="82">
        <v>44205.0</v>
      </c>
      <c r="F667" s="80">
        <v>738.0</v>
      </c>
      <c r="G667" s="80" t="s">
        <v>63</v>
      </c>
      <c r="I667" s="80" t="s">
        <v>63</v>
      </c>
      <c r="J667" s="80">
        <v>691.0</v>
      </c>
      <c r="K667" s="80">
        <v>0.98153409090909</v>
      </c>
      <c r="L667" s="80" t="s">
        <v>757</v>
      </c>
    </row>
    <row r="668">
      <c r="A668" s="80" t="s">
        <v>755</v>
      </c>
      <c r="B668" s="81" t="str">
        <f t="shared" si="23"/>
        <v>Live in Kwangsi廣西人·情·味</v>
      </c>
      <c r="C668" s="80" t="s">
        <v>823</v>
      </c>
      <c r="D668" s="81" t="str">
        <f>HYPERLINK("https://youtube.com/watch?v=w-nhu5mjydk", "2021新年行大運 廣西梧州至廣東肇慶封開縣 遊車河")</f>
        <v>2021新年行大運 廣西梧州至廣東肇慶封開縣 遊車河</v>
      </c>
      <c r="E668" s="82">
        <v>44197.0</v>
      </c>
      <c r="F668" s="80">
        <v>2600.0</v>
      </c>
      <c r="G668" s="80" t="s">
        <v>63</v>
      </c>
      <c r="I668" s="80" t="s">
        <v>63</v>
      </c>
      <c r="J668" s="80">
        <v>498.0</v>
      </c>
      <c r="K668" s="80">
        <v>0.996</v>
      </c>
      <c r="L668" s="80" t="s">
        <v>757</v>
      </c>
    </row>
    <row r="669">
      <c r="A669" s="80" t="s">
        <v>755</v>
      </c>
      <c r="B669" s="81" t="str">
        <f t="shared" si="23"/>
        <v>Live in Kwangsi廣西人·情·味</v>
      </c>
      <c r="C669" s="80" t="s">
        <v>824</v>
      </c>
      <c r="D669" s="81" t="str">
        <f>HYPERLINK("https://youtube.com/watch?v=03yOlSLjIAo", "街頭貼膜記錄 巧遇城管趕走鬼檔｜賀州市市區｜粵語旁述｜廣西vlog")</f>
        <v>街頭貼膜記錄 巧遇城管趕走鬼檔｜賀州市市區｜粵語旁述｜廣西vlog</v>
      </c>
      <c r="E669" s="82">
        <v>44196.0</v>
      </c>
      <c r="F669" s="80">
        <v>946.0</v>
      </c>
      <c r="G669" s="80" t="s">
        <v>63</v>
      </c>
      <c r="I669" s="80" t="s">
        <v>63</v>
      </c>
      <c r="J669" s="80">
        <v>1161.0</v>
      </c>
      <c r="K669" s="80">
        <v>0.965087281795511</v>
      </c>
      <c r="L669" s="80" t="s">
        <v>757</v>
      </c>
    </row>
    <row r="670">
      <c r="A670" s="80" t="s">
        <v>755</v>
      </c>
      <c r="B670" s="81" t="str">
        <f t="shared" si="23"/>
        <v>Live in Kwangsi廣西人·情·味</v>
      </c>
      <c r="C670" s="80" t="s">
        <v>825</v>
      </c>
      <c r="D670" s="81" t="str">
        <f>HYPERLINK("https://youtube.com/watch?v=GGoDbvADU5c", "咁大個仔第一次喺陽朔試採耳｜桂林自由行EP.5｜廣西vlog")</f>
        <v>咁大個仔第一次喺陽朔試採耳｜桂林自由行EP.5｜廣西vlog</v>
      </c>
      <c r="E670" s="82">
        <v>44195.0</v>
      </c>
      <c r="F670" s="80">
        <v>856.0</v>
      </c>
      <c r="G670" s="80" t="s">
        <v>63</v>
      </c>
      <c r="I670" s="80" t="s">
        <v>63</v>
      </c>
      <c r="J670" s="80">
        <v>1984.0</v>
      </c>
      <c r="K670" s="80">
        <v>0.983151635282457</v>
      </c>
      <c r="L670" s="80" t="s">
        <v>776</v>
      </c>
    </row>
    <row r="671">
      <c r="A671" s="80" t="s">
        <v>755</v>
      </c>
      <c r="B671" s="81" t="str">
        <f t="shared" si="23"/>
        <v>Live in Kwangsi廣西人·情·味</v>
      </c>
      <c r="C671" s="80" t="s">
        <v>826</v>
      </c>
      <c r="D671" s="81" t="str">
        <f>HYPERLINK("https://youtube.com/watch?v=OmNwOVqQQd8", "天然解暑上等佳品：里松蕨粉｜廣西賀州特色美食｜廣西味道")</f>
        <v>天然解暑上等佳品：里松蕨粉｜廣西賀州特色美食｜廣西味道</v>
      </c>
      <c r="E671" s="82">
        <v>44193.0</v>
      </c>
      <c r="F671" s="80">
        <v>490.0</v>
      </c>
      <c r="G671" s="80" t="s">
        <v>63</v>
      </c>
      <c r="I671" s="80" t="s">
        <v>63</v>
      </c>
      <c r="J671" s="80">
        <v>1332.0</v>
      </c>
      <c r="K671" s="80">
        <v>1.0</v>
      </c>
      <c r="L671" s="80" t="s">
        <v>820</v>
      </c>
    </row>
    <row r="672">
      <c r="A672" s="80" t="s">
        <v>755</v>
      </c>
      <c r="B672" s="81" t="str">
        <f t="shared" si="23"/>
        <v>Live in Kwangsi廣西人·情·味</v>
      </c>
      <c r="C672" s="80" t="s">
        <v>827</v>
      </c>
      <c r="D672" s="81" t="str">
        <f>HYPERLINK("https://youtube.com/watch?v=9Guf_bZMwdg", "周慧敏 - 《最愛》 cover｜Live音樂特輯｜賀州市區｜廣西日常實拍")</f>
        <v>周慧敏 - 《最愛》 cover｜Live音樂特輯｜賀州市區｜廣西日常實拍</v>
      </c>
      <c r="E672" s="82">
        <v>44186.0</v>
      </c>
      <c r="F672" s="80">
        <v>305.0</v>
      </c>
      <c r="G672" s="80" t="s">
        <v>63</v>
      </c>
      <c r="I672" s="80" t="s">
        <v>63</v>
      </c>
      <c r="J672" s="80">
        <v>649.0</v>
      </c>
      <c r="K672" s="80">
        <v>0.978883861236802</v>
      </c>
      <c r="L672" s="80" t="s">
        <v>820</v>
      </c>
    </row>
    <row r="673">
      <c r="A673" s="80" t="s">
        <v>755</v>
      </c>
      <c r="B673" s="81" t="str">
        <f t="shared" si="23"/>
        <v>Live in Kwangsi廣西人·情·味</v>
      </c>
      <c r="C673" s="80" t="s">
        <v>828</v>
      </c>
      <c r="D673" s="81" t="str">
        <f>HYPERLINK("https://youtube.com/watch?v=EFIfYM0XEj4", "租老年人專用車遊陽朔鄉村 遇龍河 富里橋｜桂林自由行EP.4｜粵語旁述｜廣西vlog")</f>
        <v>租老年人專用車遊陽朔鄉村 遇龍河 富里橋｜桂林自由行EP.4｜粵語旁述｜廣西vlog</v>
      </c>
      <c r="E673" s="82">
        <v>44182.0</v>
      </c>
      <c r="F673" s="80">
        <v>489.0</v>
      </c>
      <c r="G673" s="80" t="s">
        <v>63</v>
      </c>
      <c r="I673" s="80" t="s">
        <v>63</v>
      </c>
      <c r="J673" s="80">
        <v>608.0</v>
      </c>
      <c r="K673" s="80">
        <v>0.987012987012987</v>
      </c>
      <c r="L673" s="80" t="s">
        <v>757</v>
      </c>
    </row>
    <row r="674">
      <c r="A674" s="80" t="s">
        <v>755</v>
      </c>
      <c r="B674" s="81" t="str">
        <f t="shared" si="23"/>
        <v>Live in Kwangsi廣西人·情·味</v>
      </c>
      <c r="C674" s="80" t="s">
        <v>829</v>
      </c>
      <c r="D674" s="81" t="str">
        <f>HYPERLINK("https://youtube.com/watch?v=mv8NDoUl2ww", "雙12去行山煮嘢食！昔日大水塘今日極乾旱...｜賀州市黃田鎮｜粵語旁述｜廣西vlog")</f>
        <v>雙12去行山煮嘢食！昔日大水塘今日極乾旱...｜賀州市黃田鎮｜粵語旁述｜廣西vlog</v>
      </c>
      <c r="E674" s="82">
        <v>44178.0</v>
      </c>
      <c r="F674" s="80">
        <v>1420.0</v>
      </c>
      <c r="G674" s="80" t="s">
        <v>63</v>
      </c>
      <c r="I674" s="80" t="s">
        <v>63</v>
      </c>
      <c r="J674" s="80">
        <v>2619.0</v>
      </c>
      <c r="K674" s="80">
        <v>0.993174061433447</v>
      </c>
      <c r="L674" s="80" t="s">
        <v>757</v>
      </c>
    </row>
    <row r="675">
      <c r="A675" s="80" t="s">
        <v>755</v>
      </c>
      <c r="B675" s="81" t="str">
        <f t="shared" si="23"/>
        <v>Live in Kwangsi廣西人·情·味</v>
      </c>
      <c r="C675" s="80" t="s">
        <v>830</v>
      </c>
      <c r="D675" s="81" t="str">
        <f>HYPERLINK("https://youtube.com/watch?v=SXtywQHWtEQ", "行陽朔西街 街市 夜市｜桂林自由行EP.3｜粵語旁述｜廣西vlog")</f>
        <v>行陽朔西街 街市 夜市｜桂林自由行EP.3｜粵語旁述｜廣西vlog</v>
      </c>
      <c r="E675" s="82">
        <v>44176.0</v>
      </c>
      <c r="F675" s="80">
        <v>1060.0</v>
      </c>
      <c r="G675" s="80" t="s">
        <v>63</v>
      </c>
      <c r="I675" s="80" t="s">
        <v>63</v>
      </c>
      <c r="J675" s="80">
        <v>982.0</v>
      </c>
      <c r="K675" s="80">
        <v>0.959921798631476</v>
      </c>
      <c r="L675" s="80" t="s">
        <v>757</v>
      </c>
    </row>
    <row r="676">
      <c r="A676" s="80" t="s">
        <v>755</v>
      </c>
      <c r="B676" s="81" t="str">
        <f t="shared" si="23"/>
        <v>Live in Kwangsi廣西人·情·味</v>
      </c>
      <c r="C676" s="80" t="s">
        <v>831</v>
      </c>
      <c r="D676" s="81" t="str">
        <f>HYPERLINK("https://youtube.com/watch?v=1FV4uggec9g", "陽朔興坪古鎮半日遊 老寨山 20蚊人民幣美景所在地｜桂林自由行EP.2｜粵語旁述｜廣西vlog")</f>
        <v>陽朔興坪古鎮半日遊 老寨山 20蚊人民幣美景所在地｜桂林自由行EP.2｜粵語旁述｜廣西vlog</v>
      </c>
      <c r="E676" s="82">
        <v>44174.0</v>
      </c>
      <c r="F676" s="80">
        <v>1463.0</v>
      </c>
      <c r="G676" s="80" t="s">
        <v>63</v>
      </c>
      <c r="H676" s="80" t="s">
        <v>63</v>
      </c>
      <c r="I676" s="80" t="s">
        <v>63</v>
      </c>
      <c r="J676" s="80">
        <v>2609.0</v>
      </c>
      <c r="K676" s="80">
        <v>0.993148077655119</v>
      </c>
      <c r="L676" s="80" t="s">
        <v>776</v>
      </c>
    </row>
    <row r="677">
      <c r="A677" s="80" t="s">
        <v>755</v>
      </c>
      <c r="B677" s="81" t="str">
        <f t="shared" si="23"/>
        <v>Live in Kwangsi廣西人·情·味</v>
      </c>
      <c r="C677" s="80" t="s">
        <v>832</v>
      </c>
      <c r="D677" s="81" t="str">
        <f>HYPERLINK("https://youtube.com/watch?v=NdgA2iI7owY", "【開箱】隨時隨地打邊爐？拼多多都會有好嘢？｜鈦合金煲｜粵語旁述｜廣西vlog")</f>
        <v>【開箱】隨時隨地打邊爐？拼多多都會有好嘢？｜鈦合金煲｜粵語旁述｜廣西vlog</v>
      </c>
      <c r="E677" s="82">
        <v>44168.0</v>
      </c>
      <c r="F677" s="80">
        <v>1694.0</v>
      </c>
      <c r="G677" s="80" t="s">
        <v>63</v>
      </c>
      <c r="I677" s="80" t="s">
        <v>63</v>
      </c>
      <c r="J677" s="80">
        <v>1993.0</v>
      </c>
      <c r="K677" s="80">
        <v>0.991049229239184</v>
      </c>
      <c r="L677" s="80" t="s">
        <v>757</v>
      </c>
    </row>
    <row r="678">
      <c r="A678" s="80" t="s">
        <v>755</v>
      </c>
      <c r="B678" s="81" t="str">
        <f t="shared" si="23"/>
        <v>Live in Kwangsi廣西人·情·味</v>
      </c>
      <c r="C678" s="80" t="s">
        <v>833</v>
      </c>
      <c r="D678" s="81" t="str">
        <f>HYPERLINK("https://youtube.com/watch?v=AEBZ1-S7ZKw", "分別同靈川縣海洋鄉、陽朔西塘居民傾下偈 夜遊西街聽靚歌！｜桂林自由行EP.1｜粵語旁述｜廣西vlog")</f>
        <v>分別同靈川縣海洋鄉、陽朔西塘居民傾下偈 夜遊西街聽靚歌！｜桂林自由行EP.1｜粵語旁述｜廣西vlog</v>
      </c>
      <c r="E678" s="82">
        <v>44167.0</v>
      </c>
      <c r="F678" s="80">
        <v>360.0</v>
      </c>
      <c r="G678" s="80" t="s">
        <v>63</v>
      </c>
      <c r="I678" s="80" t="s">
        <v>63</v>
      </c>
      <c r="J678" s="80">
        <v>248.0</v>
      </c>
      <c r="K678" s="80">
        <v>0.939393939393939</v>
      </c>
      <c r="L678" s="80" t="s">
        <v>757</v>
      </c>
    </row>
    <row r="679">
      <c r="A679" s="80" t="s">
        <v>755</v>
      </c>
      <c r="B679" s="81" t="str">
        <f t="shared" si="23"/>
        <v>Live in Kwangsi廣西人·情·味</v>
      </c>
      <c r="C679" s="80" t="s">
        <v>834</v>
      </c>
      <c r="D679" s="81" t="str">
        <f>HYPERLINK("https://youtube.com/watch?v=ieR_lLPl094", "碉堡角係咩樣㗎？🤔🤔靚唔靚？")</f>
        <v>碉堡角係咩樣㗎？🤔🤔靚唔靚？</v>
      </c>
      <c r="E679" s="82">
        <v>44161.0</v>
      </c>
      <c r="F679" s="80">
        <v>870.0</v>
      </c>
      <c r="G679" s="80" t="s">
        <v>63</v>
      </c>
      <c r="I679" s="80" t="s">
        <v>63</v>
      </c>
      <c r="J679" s="80">
        <v>1918.0</v>
      </c>
      <c r="K679" s="80">
        <v>0.931067961165048</v>
      </c>
      <c r="L679" s="80" t="s">
        <v>757</v>
      </c>
    </row>
    <row r="680">
      <c r="A680" s="80" t="s">
        <v>755</v>
      </c>
      <c r="B680" s="81" t="str">
        <f t="shared" si="23"/>
        <v>Live in Kwangsi廣西人·情·味</v>
      </c>
      <c r="C680" s="80" t="s">
        <v>835</v>
      </c>
      <c r="D680" s="81" t="str">
        <f>HYPERLINK("https://youtube.com/watch?v=X246sm_C9YI", "一日4種體驗 銀杏林 探洞 行舊街 竹編伯伯 大草坪睇日落｜賀州市富川縣｜粵語旁述｜廣西vlog")</f>
        <v>一日4種體驗 銀杏林 探洞 行舊街 竹編伯伯 大草坪睇日落｜賀州市富川縣｜粵語旁述｜廣西vlog</v>
      </c>
      <c r="E680" s="82">
        <v>44160.0</v>
      </c>
      <c r="F680" s="80">
        <v>1767.0</v>
      </c>
      <c r="G680" s="80" t="s">
        <v>63</v>
      </c>
      <c r="I680" s="80" t="s">
        <v>63</v>
      </c>
      <c r="J680" s="80">
        <v>1232.0</v>
      </c>
      <c r="K680" s="80">
        <v>0.981673306772908</v>
      </c>
      <c r="L680" s="80" t="s">
        <v>757</v>
      </c>
    </row>
    <row r="681">
      <c r="A681" s="80" t="s">
        <v>755</v>
      </c>
      <c r="B681" s="81" t="str">
        <f t="shared" si="23"/>
        <v>Live in Kwangsi廣西人·情·味</v>
      </c>
      <c r="C681" s="80" t="s">
        <v>836</v>
      </c>
      <c r="D681" s="81" t="str">
        <f>HYPERLINK("https://youtube.com/watch?v=lcdTlUDtNzM", "鄉鎮夜生活｜賀州市賀街鎮｜粵語旁述｜廣西vlog")</f>
        <v>鄉鎮夜生活｜賀州市賀街鎮｜粵語旁述｜廣西vlog</v>
      </c>
      <c r="E681" s="82">
        <v>44153.0</v>
      </c>
      <c r="F681" s="80">
        <v>796.0</v>
      </c>
      <c r="G681" s="80" t="s">
        <v>63</v>
      </c>
      <c r="I681" s="80" t="s">
        <v>63</v>
      </c>
      <c r="J681" s="80">
        <v>846.0</v>
      </c>
      <c r="K681" s="80">
        <v>0.99179366940211</v>
      </c>
      <c r="L681" s="80" t="s">
        <v>757</v>
      </c>
    </row>
    <row r="682">
      <c r="A682" s="80" t="s">
        <v>755</v>
      </c>
      <c r="B682" s="81" t="str">
        <f t="shared" si="23"/>
        <v>Live in Kwangsi廣西人·情·味</v>
      </c>
      <c r="C682" s="80" t="s">
        <v>837</v>
      </c>
      <c r="D682" s="81" t="str">
        <f>HYPERLINK("https://youtube.com/watch?v=_4FJI-_E4Uw", "臨賀故城半日遊｜賀州市賀街鎮｜粵語旁述｜廣西vlog")</f>
        <v>臨賀故城半日遊｜賀州市賀街鎮｜粵語旁述｜廣西vlog</v>
      </c>
      <c r="E682" s="82">
        <v>44152.0</v>
      </c>
      <c r="F682" s="80">
        <v>1172.0</v>
      </c>
      <c r="G682" s="80" t="s">
        <v>63</v>
      </c>
      <c r="I682" s="80" t="s">
        <v>63</v>
      </c>
      <c r="J682" s="80">
        <v>1843.0</v>
      </c>
      <c r="K682" s="80">
        <v>0.987145152651312</v>
      </c>
      <c r="L682" s="80" t="s">
        <v>757</v>
      </c>
    </row>
    <row r="683">
      <c r="A683" s="80" t="s">
        <v>755</v>
      </c>
      <c r="B683" s="81" t="str">
        <f t="shared" si="23"/>
        <v>Live in Kwangsi廣西人·情·味</v>
      </c>
      <c r="C683" s="80" t="s">
        <v>838</v>
      </c>
      <c r="D683" s="81" t="str">
        <f>HYPERLINK("https://youtube.com/watch?v=y1ecmp_2NIU", "廣州滑雪記｜融創雪世界｜花都區大型室內滑雪場")</f>
        <v>廣州滑雪記｜融創雪世界｜花都區大型室內滑雪場</v>
      </c>
      <c r="E683" s="82">
        <v>44151.0</v>
      </c>
      <c r="F683" s="80">
        <v>509.0</v>
      </c>
      <c r="G683" s="80" t="s">
        <v>63</v>
      </c>
      <c r="I683" s="80" t="s">
        <v>63</v>
      </c>
      <c r="J683" s="80">
        <v>392.0</v>
      </c>
      <c r="K683" s="80">
        <v>1.0</v>
      </c>
      <c r="L683" s="80" t="s">
        <v>757</v>
      </c>
    </row>
    <row r="684">
      <c r="A684" s="80" t="s">
        <v>755</v>
      </c>
      <c r="B684" s="81" t="str">
        <f t="shared" si="23"/>
        <v>Live in Kwangsi廣西人·情·味</v>
      </c>
      <c r="C684" s="80" t="s">
        <v>839</v>
      </c>
      <c r="D684" s="81" t="str">
        <f>HYPERLINK("https://youtube.com/watch?v=zkqGFN73Vxg", "喺廣西非粵語城市堅持講廣東話係咪行得通？柳州街頭實測｜廣西自由行")</f>
        <v>喺廣西非粵語城市堅持講廣東話係咪行得通？柳州街頭實測｜廣西自由行</v>
      </c>
      <c r="E684" s="82">
        <v>44147.0</v>
      </c>
      <c r="F684" s="80">
        <v>559.0</v>
      </c>
      <c r="G684" s="80" t="s">
        <v>63</v>
      </c>
      <c r="H684" s="80" t="s">
        <v>63</v>
      </c>
      <c r="I684" s="80" t="s">
        <v>63</v>
      </c>
      <c r="J684" s="80">
        <v>1227.0</v>
      </c>
      <c r="K684" s="80">
        <v>0.983792544570502</v>
      </c>
      <c r="L684" s="80" t="s">
        <v>776</v>
      </c>
    </row>
    <row r="685">
      <c r="A685" s="80" t="s">
        <v>755</v>
      </c>
      <c r="B685" s="81" t="str">
        <f t="shared" si="23"/>
        <v>Live in Kwangsi廣西人·情·味</v>
      </c>
      <c r="C685" s="80" t="s">
        <v>840</v>
      </c>
      <c r="D685" s="81" t="str">
        <f>HYPERLINK("https://youtube.com/watch?v=W97m5eah_Do", "行夜街 睇水上音樂噴泉 學壯話 天主教堂 柳州火車站｜柳州3日2夜EP.10｜粵語旁述｜廣西vlog")</f>
        <v>行夜街 睇水上音樂噴泉 學壯話 天主教堂 柳州火車站｜柳州3日2夜EP.10｜粵語旁述｜廣西vlog</v>
      </c>
      <c r="E685" s="82">
        <v>44147.0</v>
      </c>
      <c r="F685" s="80">
        <v>945.0</v>
      </c>
      <c r="G685" s="80" t="s">
        <v>63</v>
      </c>
      <c r="I685" s="80" t="s">
        <v>63</v>
      </c>
      <c r="J685" s="80">
        <v>918.0</v>
      </c>
      <c r="K685" s="80">
        <v>0.997826086956521</v>
      </c>
      <c r="L685" s="80" t="s">
        <v>757</v>
      </c>
    </row>
    <row r="686">
      <c r="A686" s="80" t="s">
        <v>755</v>
      </c>
      <c r="B686" s="81" t="str">
        <f t="shared" si="23"/>
        <v>Live in Kwangsi廣西人·情·味</v>
      </c>
      <c r="C686" s="80" t="s">
        <v>841</v>
      </c>
      <c r="D686" s="81" t="str">
        <f>HYPERLINK("https://youtube.com/watch?v=R2G4__LSGIk", "市區日常 素食自助餐廳 素火鍋｜柳州3日2夜EP.9｜粵語旁述｜廣西vlog")</f>
        <v>市區日常 素食自助餐廳 素火鍋｜柳州3日2夜EP.9｜粵語旁述｜廣西vlog</v>
      </c>
      <c r="E686" s="82">
        <v>44146.0</v>
      </c>
      <c r="F686" s="80">
        <v>361.0</v>
      </c>
      <c r="G686" s="80" t="s">
        <v>63</v>
      </c>
      <c r="I686" s="80" t="s">
        <v>63</v>
      </c>
      <c r="J686" s="80">
        <v>678.0</v>
      </c>
      <c r="K686" s="80">
        <v>0.992679355783308</v>
      </c>
      <c r="L686" s="80" t="s">
        <v>757</v>
      </c>
    </row>
    <row r="687">
      <c r="A687" s="80" t="s">
        <v>755</v>
      </c>
      <c r="B687" s="81" t="str">
        <f t="shared" si="23"/>
        <v>Live in Kwangsi廣西人·情·味</v>
      </c>
      <c r="C687" s="80" t="s">
        <v>842</v>
      </c>
      <c r="D687" s="81" t="str">
        <f>HYPERLINK("https://youtube.com/watch?v=cfECxdUbIHQ", "鹿寨縣中渡鎮鹿鳴谷｜柳州3日2夜EP.8｜粵語旁述｜廣西vlog")</f>
        <v>鹿寨縣中渡鎮鹿鳴谷｜柳州3日2夜EP.8｜粵語旁述｜廣西vlog</v>
      </c>
      <c r="E687" s="82">
        <v>44145.0</v>
      </c>
      <c r="F687" s="80">
        <v>221.0</v>
      </c>
      <c r="G687" s="80" t="s">
        <v>63</v>
      </c>
      <c r="I687" s="80" t="s">
        <v>63</v>
      </c>
      <c r="J687" s="80">
        <v>371.0</v>
      </c>
      <c r="K687" s="80">
        <v>0.989333333333333</v>
      </c>
      <c r="L687" s="80" t="s">
        <v>757</v>
      </c>
    </row>
    <row r="688">
      <c r="A688" s="80" t="s">
        <v>755</v>
      </c>
      <c r="B688" s="81" t="str">
        <f t="shared" si="23"/>
        <v>Live in Kwangsi廣西人·情·味</v>
      </c>
      <c r="C688" s="80" t="s">
        <v>843</v>
      </c>
      <c r="D688" s="81" t="str">
        <f>HYPERLINK("https://youtube.com/watch?v=7pj9MzIUWto", "鹿寨縣中渡古鎮｜柳州3日2夜EP.7｜粵語旁述｜廣西vlog")</f>
        <v>鹿寨縣中渡古鎮｜柳州3日2夜EP.7｜粵語旁述｜廣西vlog</v>
      </c>
      <c r="E688" s="82">
        <v>44144.0</v>
      </c>
      <c r="F688" s="80">
        <v>1333.0</v>
      </c>
      <c r="G688" s="80" t="s">
        <v>63</v>
      </c>
      <c r="I688" s="80" t="s">
        <v>63</v>
      </c>
      <c r="J688" s="80">
        <v>808.0</v>
      </c>
      <c r="K688" s="80">
        <v>0.992628992628992</v>
      </c>
      <c r="L688" s="80" t="s">
        <v>757</v>
      </c>
    </row>
    <row r="689">
      <c r="A689" s="80" t="s">
        <v>755</v>
      </c>
      <c r="B689" s="81" t="str">
        <f t="shared" si="23"/>
        <v>Live in Kwangsi廣西人·情·味</v>
      </c>
      <c r="C689" s="80" t="s">
        <v>844</v>
      </c>
      <c r="D689" s="81" t="str">
        <f>HYPERLINK("https://youtube.com/watch?v=AZZTrhNVmSw", "登上馬鞍山 賞柳州夜景｜柳州3日2夜EP.5｜粵語旁述｜廣西vlog")</f>
        <v>登上馬鞍山 賞柳州夜景｜柳州3日2夜EP.5｜粵語旁述｜廣西vlog</v>
      </c>
      <c r="E689" s="82">
        <v>44141.0</v>
      </c>
      <c r="F689" s="80">
        <v>551.0</v>
      </c>
      <c r="G689" s="80" t="s">
        <v>63</v>
      </c>
      <c r="I689" s="80" t="s">
        <v>63</v>
      </c>
      <c r="J689" s="80">
        <v>734.0</v>
      </c>
      <c r="K689" s="80">
        <v>1.0</v>
      </c>
      <c r="L689" s="80" t="s">
        <v>757</v>
      </c>
    </row>
    <row r="690">
      <c r="A690" s="80" t="s">
        <v>755</v>
      </c>
      <c r="B690" s="81" t="str">
        <f t="shared" si="23"/>
        <v>Live in Kwangsi廣西人·情·味</v>
      </c>
      <c r="C690" s="80" t="s">
        <v>845</v>
      </c>
      <c r="D690" s="81" t="str">
        <f>HYPERLINK("https://youtube.com/watch?v=CQAtebdCFVU", "大龍潭公園 市區內嘅山水畫卷！ 柳州3日2夜EP.4｜粵語旁述｜廣西vlog")</f>
        <v>大龍潭公園 市區內嘅山水畫卷！ 柳州3日2夜EP.4｜粵語旁述｜廣西vlog</v>
      </c>
      <c r="E690" s="82">
        <v>44140.0</v>
      </c>
      <c r="F690" s="80">
        <v>897.0</v>
      </c>
      <c r="G690" s="80" t="s">
        <v>63</v>
      </c>
      <c r="I690" s="80" t="s">
        <v>63</v>
      </c>
      <c r="J690" s="80">
        <v>751.0</v>
      </c>
      <c r="K690" s="80">
        <v>0.996021220159151</v>
      </c>
      <c r="L690" s="80" t="s">
        <v>757</v>
      </c>
    </row>
    <row r="691">
      <c r="A691" s="80" t="s">
        <v>755</v>
      </c>
      <c r="B691" s="81" t="str">
        <f t="shared" si="23"/>
        <v>Live in Kwangsi廣西人·情·味</v>
      </c>
      <c r="C691" s="80" t="s">
        <v>846</v>
      </c>
      <c r="D691" s="81" t="str">
        <f>HYPERLINK("https://youtube.com/watch?v=uwmIdhtw_Wc", "行夜市 窯埠古鎮  柳州3日2夜EP.3｜粵語旁述｜廣西vlog")</f>
        <v>行夜市 窯埠古鎮  柳州3日2夜EP.3｜粵語旁述｜廣西vlog</v>
      </c>
      <c r="E691" s="82">
        <v>44138.0</v>
      </c>
      <c r="F691" s="80">
        <v>819.0</v>
      </c>
      <c r="G691" s="80" t="s">
        <v>63</v>
      </c>
      <c r="H691" s="80" t="s">
        <v>63</v>
      </c>
      <c r="I691" s="80" t="s">
        <v>63</v>
      </c>
      <c r="J691" s="80">
        <v>1621.0</v>
      </c>
      <c r="K691" s="80">
        <v>0.994758909853249</v>
      </c>
      <c r="L691" s="80" t="s">
        <v>776</v>
      </c>
    </row>
    <row r="692">
      <c r="A692" s="80" t="s">
        <v>755</v>
      </c>
      <c r="B692" s="81" t="str">
        <f t="shared" si="23"/>
        <v>Live in Kwangsi廣西人·情·味</v>
      </c>
      <c r="C692" s="80" t="s">
        <v>847</v>
      </c>
      <c r="D692" s="81" t="str">
        <f>HYPERLINK("https://youtube.com/watch?v=hyRdY291Vl8", "行柳州街  柳州3日2夜EP.2｜粵語旁述｜廣西vlog")</f>
        <v>行柳州街  柳州3日2夜EP.2｜粵語旁述｜廣西vlog</v>
      </c>
      <c r="E692" s="82">
        <v>44135.0</v>
      </c>
      <c r="F692" s="80">
        <v>579.0</v>
      </c>
      <c r="G692" s="80" t="s">
        <v>63</v>
      </c>
      <c r="H692" s="80" t="s">
        <v>63</v>
      </c>
      <c r="I692" s="80" t="s">
        <v>63</v>
      </c>
      <c r="J692" s="80">
        <v>1018.0</v>
      </c>
      <c r="K692" s="80">
        <v>0.994140625</v>
      </c>
      <c r="L692" s="80" t="s">
        <v>776</v>
      </c>
    </row>
    <row r="693">
      <c r="A693" s="80" t="s">
        <v>755</v>
      </c>
      <c r="B693" s="81" t="str">
        <f t="shared" si="23"/>
        <v>Live in Kwangsi廣西人·情·味</v>
      </c>
      <c r="C693" s="80" t="s">
        <v>848</v>
      </c>
      <c r="D693" s="81" t="str">
        <f>HYPERLINK("https://youtube.com/watch?v=RmlDLTU9gbc", "高鐵沿線景色 市區略影 柳州3日2夜EP.1｜粵語旁述｜廣西vlog")</f>
        <v>高鐵沿線景色 市區略影 柳州3日2夜EP.1｜粵語旁述｜廣西vlog</v>
      </c>
      <c r="E693" s="82">
        <v>44134.0</v>
      </c>
      <c r="F693" s="80">
        <v>671.0</v>
      </c>
      <c r="G693" s="80" t="s">
        <v>63</v>
      </c>
      <c r="H693" s="80" t="s">
        <v>63</v>
      </c>
      <c r="I693" s="80" t="s">
        <v>63</v>
      </c>
      <c r="J693" s="80">
        <v>585.0</v>
      </c>
      <c r="K693" s="80">
        <v>1.0</v>
      </c>
      <c r="L693" s="80" t="s">
        <v>776</v>
      </c>
    </row>
    <row r="694">
      <c r="A694" s="80" t="s">
        <v>755</v>
      </c>
      <c r="B694" s="81" t="str">
        <f t="shared" si="23"/>
        <v>Live in Kwangsi廣西人·情·味</v>
      </c>
      <c r="C694" s="80" t="s">
        <v>849</v>
      </c>
      <c r="D694" s="81" t="str">
        <f>HYPERLINK("https://youtube.com/watch?v=L5BsFly10no", "瑤族特色夜市 搭三輪的士 恭城一日遊｜粵語旁述｜廣西vlog")</f>
        <v>瑤族特色夜市 搭三輪的士 恭城一日遊｜粵語旁述｜廣西vlog</v>
      </c>
      <c r="E694" s="82">
        <v>44131.0</v>
      </c>
      <c r="F694" s="80">
        <v>662.0</v>
      </c>
      <c r="G694" s="80" t="s">
        <v>63</v>
      </c>
      <c r="I694" s="80" t="s">
        <v>63</v>
      </c>
      <c r="J694" s="80">
        <v>394.0</v>
      </c>
      <c r="K694" s="80">
        <v>1.0</v>
      </c>
      <c r="L694" s="80" t="s">
        <v>757</v>
      </c>
    </row>
    <row r="695">
      <c r="A695" s="80" t="s">
        <v>755</v>
      </c>
      <c r="B695" s="81" t="str">
        <f t="shared" si="23"/>
        <v>Live in Kwangsi廣西人·情·味</v>
      </c>
      <c r="C695" s="80" t="s">
        <v>850</v>
      </c>
      <c r="D695" s="81" t="str">
        <f>HYPERLINK("https://youtube.com/watch?v=3WtyhC2IdWM", "行浮橋 河堤風光 吉祥老街 恭城一日遊｜粵語旁述｜廣西vlog")</f>
        <v>行浮橋 河堤風光 吉祥老街 恭城一日遊｜粵語旁述｜廣西vlog</v>
      </c>
      <c r="E695" s="82">
        <v>44130.0</v>
      </c>
      <c r="F695" s="80">
        <v>427.0</v>
      </c>
      <c r="G695" s="80" t="s">
        <v>63</v>
      </c>
      <c r="I695" s="80" t="s">
        <v>63</v>
      </c>
      <c r="J695" s="80">
        <v>708.0</v>
      </c>
      <c r="K695" s="80">
        <v>0.998589562764457</v>
      </c>
      <c r="L695" s="80" t="s">
        <v>757</v>
      </c>
    </row>
    <row r="696">
      <c r="A696" s="80" t="s">
        <v>755</v>
      </c>
      <c r="B696" s="81" t="str">
        <f t="shared" si="23"/>
        <v>Live in Kwangsi廣西人·情·味</v>
      </c>
      <c r="C696" s="80" t="s">
        <v>851</v>
      </c>
      <c r="D696" s="81" t="str">
        <f>HYPERLINK("https://youtube.com/watch?v=rYSJc-UEXHs", "行街市 燕岩大橋 燕子岩 恭城一日遊｜粵語旁述｜廣西vlog")</f>
        <v>行街市 燕岩大橋 燕子岩 恭城一日遊｜粵語旁述｜廣西vlog</v>
      </c>
      <c r="E696" s="82">
        <v>44128.0</v>
      </c>
      <c r="F696" s="80">
        <v>972.0</v>
      </c>
      <c r="G696" s="80" t="s">
        <v>63</v>
      </c>
      <c r="I696" s="80" t="s">
        <v>63</v>
      </c>
      <c r="J696" s="80">
        <v>1205.0</v>
      </c>
      <c r="K696" s="80">
        <v>0.990953947368421</v>
      </c>
      <c r="L696" s="80" t="s">
        <v>757</v>
      </c>
    </row>
    <row r="697">
      <c r="A697" s="80" t="s">
        <v>755</v>
      </c>
      <c r="B697" s="81" t="str">
        <f t="shared" si="23"/>
        <v>Live in Kwangsi廣西人·情·味</v>
      </c>
      <c r="C697" s="80" t="s">
        <v>852</v>
      </c>
      <c r="D697" s="81" t="str">
        <f>HYPERLINK("https://youtube.com/watch?v=tqkMvaTXROU", "瑤族博物館 忠孝園 恭城一日遊｜粵語旁述｜廣西vlog")</f>
        <v>瑤族博物館 忠孝園 恭城一日遊｜粵語旁述｜廣西vlog</v>
      </c>
      <c r="E697" s="82">
        <v>44128.0</v>
      </c>
      <c r="F697" s="80">
        <v>488.0</v>
      </c>
      <c r="G697" s="80" t="s">
        <v>63</v>
      </c>
      <c r="I697" s="80" t="s">
        <v>63</v>
      </c>
      <c r="J697" s="80">
        <v>777.0</v>
      </c>
      <c r="K697" s="80">
        <v>0.993606138107416</v>
      </c>
      <c r="L697" s="80" t="s">
        <v>757</v>
      </c>
    </row>
    <row r="698">
      <c r="A698" s="80" t="s">
        <v>755</v>
      </c>
      <c r="B698" s="81" t="str">
        <f t="shared" si="23"/>
        <v>Live in Kwangsi廣西人·情·味</v>
      </c>
      <c r="C698" s="80" t="s">
        <v>853</v>
      </c>
      <c r="D698" s="81" t="str">
        <f>HYPERLINK("https://youtube.com/watch?v=lD3mfmPNOno", "品恭城油茶 行恭城街 恭城一日遊｜粵語旁述｜廣西vlog")</f>
        <v>品恭城油茶 行恭城街 恭城一日遊｜粵語旁述｜廣西vlog</v>
      </c>
      <c r="E698" s="82">
        <v>44127.0</v>
      </c>
      <c r="F698" s="80">
        <v>1151.0</v>
      </c>
      <c r="G698" s="80" t="s">
        <v>63</v>
      </c>
      <c r="I698" s="80" t="s">
        <v>63</v>
      </c>
      <c r="J698" s="80">
        <v>1622.0</v>
      </c>
      <c r="K698" s="80">
        <v>0.980652962515114</v>
      </c>
      <c r="L698" s="80" t="s">
        <v>757</v>
      </c>
    </row>
    <row r="699">
      <c r="A699" s="80" t="s">
        <v>755</v>
      </c>
      <c r="B699" s="81" t="str">
        <f t="shared" si="23"/>
        <v>Live in Kwangsi廣西人·情·味</v>
      </c>
      <c r="C699" s="80" t="s">
        <v>854</v>
      </c>
      <c r="D699" s="81" t="str">
        <f>HYPERLINK("https://youtube.com/watch?v=BjWxG6qSI6I", "鍾山縣城半日遊 瞭解縣城樓價 往鍾山西站途中景色｜粵語旁述｜廣西vlog")</f>
        <v>鍾山縣城半日遊 瞭解縣城樓價 往鍾山西站途中景色｜粵語旁述｜廣西vlog</v>
      </c>
      <c r="E699" s="82">
        <v>44126.0</v>
      </c>
      <c r="F699" s="80">
        <v>737.0</v>
      </c>
      <c r="G699" s="80" t="s">
        <v>63</v>
      </c>
      <c r="I699" s="80" t="s">
        <v>63</v>
      </c>
      <c r="J699" s="80">
        <v>1077.0</v>
      </c>
      <c r="K699" s="80">
        <v>0.99080036798528</v>
      </c>
      <c r="L699" s="80" t="s">
        <v>757</v>
      </c>
    </row>
    <row r="700">
      <c r="A700" s="80" t="s">
        <v>755</v>
      </c>
      <c r="B700" s="81" t="str">
        <f t="shared" si="23"/>
        <v>Live in Kwangsi廣西人·情·味</v>
      </c>
      <c r="C700" s="80" t="s">
        <v>855</v>
      </c>
      <c r="D700" s="81" t="str">
        <f>HYPERLINK("https://youtube.com/watch?v=ezoC-tS-VOU", "鍾山縣城半日遊 探索縣城街市 行舊街 ｜粵語旁述｜廣西vlog")</f>
        <v>鍾山縣城半日遊 探索縣城街市 行舊街 ｜粵語旁述｜廣西vlog</v>
      </c>
      <c r="E700" s="82">
        <v>44124.0</v>
      </c>
      <c r="F700" s="80">
        <v>784.0</v>
      </c>
      <c r="G700" s="80" t="s">
        <v>63</v>
      </c>
      <c r="I700" s="80" t="s">
        <v>63</v>
      </c>
      <c r="J700" s="80">
        <v>1226.0</v>
      </c>
      <c r="K700" s="80">
        <v>0.986323411102172</v>
      </c>
      <c r="L700" s="80" t="s">
        <v>757</v>
      </c>
    </row>
    <row r="701">
      <c r="A701" s="80" t="s">
        <v>755</v>
      </c>
      <c r="B701" s="81" t="str">
        <f t="shared" si="23"/>
        <v>Live in Kwangsi廣西人·情·味</v>
      </c>
      <c r="C701" s="80" t="s">
        <v>856</v>
      </c>
      <c r="D701" s="81" t="str">
        <f>HYPERLINK("https://youtube.com/watch?v=DqKZ1ikp6Mw", "乘搭賀州電動巴士至賀州火車站｜粵語旁述｜廣西vlog")</f>
        <v>乘搭賀州電動巴士至賀州火車站｜粵語旁述｜廣西vlog</v>
      </c>
      <c r="E701" s="82">
        <v>44121.0</v>
      </c>
      <c r="F701" s="80">
        <v>806.0</v>
      </c>
      <c r="G701" s="80" t="s">
        <v>63</v>
      </c>
      <c r="I701" s="80" t="s">
        <v>63</v>
      </c>
      <c r="J701" s="80">
        <v>502.0</v>
      </c>
      <c r="K701" s="80">
        <v>0.963531669865643</v>
      </c>
      <c r="L701" s="80" t="s">
        <v>757</v>
      </c>
    </row>
    <row r="702">
      <c r="A702" s="80" t="s">
        <v>755</v>
      </c>
      <c r="B702" s="81" t="str">
        <f t="shared" si="23"/>
        <v>Live in Kwangsi廣西人·情·味</v>
      </c>
      <c r="C702" s="80" t="s">
        <v>857</v>
      </c>
      <c r="D702" s="81" t="str">
        <f>HYPERLINK("https://youtube.com/watch?v=WxtoBymlpjQ", "天然「百里水墨畫廊」荷塘村 ｜廣西鄉村自由行｜鍾山縣公安鎮｜粵語旁述｜廣西vlog")</f>
        <v>天然「百里水墨畫廊」荷塘村 ｜廣西鄉村自由行｜鍾山縣公安鎮｜粵語旁述｜廣西vlog</v>
      </c>
      <c r="E702" s="82">
        <v>44118.0</v>
      </c>
      <c r="F702" s="80">
        <v>1341.0</v>
      </c>
      <c r="G702" s="80" t="s">
        <v>63</v>
      </c>
      <c r="I702" s="80" t="s">
        <v>63</v>
      </c>
      <c r="J702" s="80">
        <v>2196.0</v>
      </c>
      <c r="K702" s="80">
        <v>0.98079499776686</v>
      </c>
      <c r="L702" s="80" t="s">
        <v>757</v>
      </c>
    </row>
    <row r="703">
      <c r="A703" s="80" t="s">
        <v>755</v>
      </c>
      <c r="B703" s="81" t="str">
        <f t="shared" si="23"/>
        <v>Live in Kwangsi廣西人·情·味</v>
      </c>
      <c r="C703" s="80" t="s">
        <v>858</v>
      </c>
      <c r="D703" s="81" t="str">
        <f>HYPERLINK("https://youtube.com/watch?v=v5Vop6Y1aQA", "大田村古民居 古戲台 ｜廣西鄉村自由行｜鍾山縣公安鎮｜粵語旁述｜廣西vlog")</f>
        <v>大田村古民居 古戲台 ｜廣西鄉村自由行｜鍾山縣公安鎮｜粵語旁述｜廣西vlog</v>
      </c>
      <c r="E703" s="82">
        <v>44115.0</v>
      </c>
      <c r="F703" s="80">
        <v>452.0</v>
      </c>
      <c r="G703" s="80" t="s">
        <v>63</v>
      </c>
      <c r="I703" s="80" t="s">
        <v>63</v>
      </c>
      <c r="J703" s="80">
        <v>1120.0</v>
      </c>
      <c r="K703" s="80">
        <v>0.987654320987654</v>
      </c>
      <c r="L703" s="80" t="s">
        <v>757</v>
      </c>
    </row>
    <row r="704">
      <c r="A704" s="80" t="s">
        <v>755</v>
      </c>
      <c r="B704" s="81" t="str">
        <f t="shared" si="23"/>
        <v>Live in Kwangsi廣西人·情·味</v>
      </c>
      <c r="C704" s="80" t="s">
        <v>859</v>
      </c>
      <c r="D704" s="81" t="str">
        <f>HYPERLINK("https://youtube.com/watch?v=DU982ox-xvU", "「似幅畫」噉嘅景色？獅洞水庫 石牌庵｜廣西鄉村自由行｜賀州沙田鎮｜粵語旁述｜廣西vlog")</f>
        <v>「似幅畫」噉嘅景色？獅洞水庫 石牌庵｜廣西鄉村自由行｜賀州沙田鎮｜粵語旁述｜廣西vlog</v>
      </c>
      <c r="E704" s="82">
        <v>44113.0</v>
      </c>
      <c r="F704" s="80">
        <v>615.0</v>
      </c>
      <c r="G704" s="80" t="s">
        <v>63</v>
      </c>
      <c r="I704" s="80" t="s">
        <v>63</v>
      </c>
      <c r="J704" s="80">
        <v>872.0</v>
      </c>
      <c r="K704" s="80">
        <v>0.987542468856172</v>
      </c>
      <c r="L704" s="80" t="s">
        <v>757</v>
      </c>
    </row>
    <row r="705">
      <c r="A705" s="80" t="s">
        <v>755</v>
      </c>
      <c r="B705" s="81" t="str">
        <f t="shared" si="23"/>
        <v>Live in Kwangsi廣西人·情·味</v>
      </c>
      <c r="C705" s="80" t="s">
        <v>860</v>
      </c>
      <c r="D705" s="81" t="str">
        <f>HYPERLINK("https://youtube.com/watch?v=xBZjEDR-GJw", "執栗子 椎子 成片栗子林 椎子林 試食新鮮沙葛｜廣西鄉村自由行｜賀州沙田鎮｜粵語旁述｜廣西vlog")</f>
        <v>執栗子 椎子 成片栗子林 椎子林 試食新鮮沙葛｜廣西鄉村自由行｜賀州沙田鎮｜粵語旁述｜廣西vlog</v>
      </c>
      <c r="E705" s="82">
        <v>44110.0</v>
      </c>
      <c r="F705" s="80">
        <v>1097.0</v>
      </c>
      <c r="G705" s="80" t="s">
        <v>63</v>
      </c>
      <c r="I705" s="80" t="s">
        <v>63</v>
      </c>
      <c r="J705" s="80">
        <v>2145.0</v>
      </c>
      <c r="K705" s="80">
        <v>0.970149253731343</v>
      </c>
      <c r="L705" s="80" t="s">
        <v>757</v>
      </c>
    </row>
    <row r="706">
      <c r="A706" s="80" t="s">
        <v>755</v>
      </c>
      <c r="B706" s="81" t="str">
        <f t="shared" si="23"/>
        <v>Live in Kwangsi廣西人·情·味</v>
      </c>
      <c r="C706" s="80" t="s">
        <v>861</v>
      </c>
      <c r="D706" s="81" t="str">
        <f>HYPERLINK("https://youtube.com/watch?v=hom6BRKVOec", "釣魚 放牛 鄉村自由行｜廣西賀州黃田鎮老寨山｜粵語旁述｜廣西vlog")</f>
        <v>釣魚 放牛 鄉村自由行｜廣西賀州黃田鎮老寨山｜粵語旁述｜廣西vlog</v>
      </c>
      <c r="E706" s="82">
        <v>44106.0</v>
      </c>
      <c r="F706" s="80">
        <v>1309.0</v>
      </c>
      <c r="G706" s="80" t="s">
        <v>63</v>
      </c>
      <c r="I706" s="80" t="s">
        <v>63</v>
      </c>
      <c r="J706" s="80">
        <v>1753.0</v>
      </c>
      <c r="K706" s="80">
        <v>0.987049549549549</v>
      </c>
      <c r="L706" s="80" t="s">
        <v>757</v>
      </c>
    </row>
    <row r="707">
      <c r="A707" s="80" t="s">
        <v>755</v>
      </c>
      <c r="B707" s="81" t="str">
        <f t="shared" si="23"/>
        <v>Live in Kwangsi廣西人·情·味</v>
      </c>
      <c r="C707" s="80" t="s">
        <v>862</v>
      </c>
      <c r="D707" s="81" t="str">
        <f>HYPERLINK("https://youtube.com/watch?v=SFKYoHf0_Nc", "學包餃子 水餃 韭菜水餃｜家常餸｜廣西白話")</f>
        <v>學包餃子 水餃 韭菜水餃｜家常餸｜廣西白話</v>
      </c>
      <c r="E707" s="82">
        <v>44104.0</v>
      </c>
      <c r="F707" s="80">
        <v>344.0</v>
      </c>
      <c r="G707" s="80" t="s">
        <v>63</v>
      </c>
      <c r="I707" s="80" t="s">
        <v>63</v>
      </c>
      <c r="J707" s="80">
        <v>478.0</v>
      </c>
      <c r="K707" s="80">
        <v>0.983539094650205</v>
      </c>
      <c r="L707" s="80" t="s">
        <v>757</v>
      </c>
    </row>
    <row r="708">
      <c r="A708" s="80" t="s">
        <v>755</v>
      </c>
      <c r="B708" s="81" t="str">
        <f t="shared" si="23"/>
        <v>Live in Kwangsi廣西人·情·味</v>
      </c>
      <c r="C708" s="80" t="s">
        <v>863</v>
      </c>
      <c r="D708" s="81" t="str">
        <f>HYPERLINK("https://youtube.com/watch?v=l5lnm6b_Zto", "火龍果園 沙田五桂橋 馬鞍山 桂山水庫｜賀州鄉村自由行｜廣西vlog")</f>
        <v>火龍果園 沙田五桂橋 馬鞍山 桂山水庫｜賀州鄉村自由行｜廣西vlog</v>
      </c>
      <c r="E708" s="82">
        <v>44098.0</v>
      </c>
      <c r="F708" s="80">
        <v>885.0</v>
      </c>
      <c r="G708" s="80" t="s">
        <v>63</v>
      </c>
      <c r="H708" s="80" t="s">
        <v>63</v>
      </c>
      <c r="I708" s="80" t="s">
        <v>63</v>
      </c>
      <c r="J708" s="80">
        <v>2321.0</v>
      </c>
      <c r="K708" s="80">
        <v>0.998279569892473</v>
      </c>
      <c r="L708" s="80" t="s">
        <v>776</v>
      </c>
    </row>
    <row r="709">
      <c r="A709" s="80" t="s">
        <v>755</v>
      </c>
      <c r="B709" s="81" t="str">
        <f t="shared" si="23"/>
        <v>Live in Kwangsi廣西人·情·味</v>
      </c>
      <c r="C709" s="80" t="s">
        <v>864</v>
      </c>
      <c r="D709" s="81" t="str">
        <f>HYPERLINK("https://youtube.com/watch?v=ouZlr5JdTjo", "廣西各地電台講乜話？一齊聽下啦！")</f>
        <v>廣西各地電台講乜話？一齊聽下啦！</v>
      </c>
      <c r="E709" s="82">
        <v>44095.0</v>
      </c>
      <c r="F709" s="80">
        <v>513.0</v>
      </c>
      <c r="G709" s="80" t="s">
        <v>63</v>
      </c>
      <c r="I709" s="80" t="s">
        <v>63</v>
      </c>
      <c r="J709" s="80">
        <v>878.0</v>
      </c>
      <c r="K709" s="80">
        <v>0.986516853932584</v>
      </c>
      <c r="L709" s="80" t="s">
        <v>757</v>
      </c>
    </row>
    <row r="710">
      <c r="A710" s="80" t="s">
        <v>755</v>
      </c>
      <c r="B710" s="81" t="str">
        <f t="shared" si="23"/>
        <v>Live in Kwangsi廣西人·情·味</v>
      </c>
      <c r="C710" s="80" t="s">
        <v>865</v>
      </c>
      <c r="D710" s="81" t="str">
        <f>HYPERLINK("https://youtube.com/watch?v=2lLDLXQxxRc", "首府「創文」 多部門關懷露宿者 為露宿者帶嚟一絲清涼｜南寧")</f>
        <v>首府「創文」 多部門關懷露宿者 為露宿者帶嚟一絲清涼｜南寧</v>
      </c>
      <c r="E710" s="82">
        <v>44086.0</v>
      </c>
      <c r="F710" s="80">
        <v>177.0</v>
      </c>
      <c r="G710" s="80" t="s">
        <v>63</v>
      </c>
      <c r="I710" s="80" t="s">
        <v>63</v>
      </c>
      <c r="J710" s="80">
        <v>481.0</v>
      </c>
      <c r="K710" s="80">
        <v>1.0</v>
      </c>
      <c r="L710" s="80" t="s">
        <v>757</v>
      </c>
    </row>
    <row r="711">
      <c r="A711" s="80" t="s">
        <v>755</v>
      </c>
      <c r="B711" s="81" t="str">
        <f t="shared" si="23"/>
        <v>Live in Kwangsi廣西人·情·味</v>
      </c>
      <c r="C711" s="80" t="s">
        <v>866</v>
      </c>
      <c r="D711" s="81" t="str">
        <f>HYPERLINK("https://youtube.com/watch?v=3s5zRjCLuGA", "遠離都市煩囂 如來廣西都可以「咁精彩」 3位喺廣西闖蕩嘅香港人同大家分享佢哋喺廣西嘅經歷｜官媒內容")</f>
        <v>遠離都市煩囂 如來廣西都可以「咁精彩」 3位喺廣西闖蕩嘅香港人同大家分享佢哋喺廣西嘅經歷｜官媒內容</v>
      </c>
      <c r="E711" s="82">
        <v>44085.0</v>
      </c>
      <c r="F711" s="80">
        <v>848.0</v>
      </c>
      <c r="G711" s="80" t="s">
        <v>63</v>
      </c>
      <c r="I711" s="80" t="s">
        <v>63</v>
      </c>
      <c r="J711" s="80">
        <v>1403.0</v>
      </c>
      <c r="K711" s="80">
        <v>0.985252808988764</v>
      </c>
      <c r="L711" s="80" t="s">
        <v>757</v>
      </c>
    </row>
    <row r="712">
      <c r="A712" s="80" t="s">
        <v>755</v>
      </c>
      <c r="B712" s="81" t="str">
        <f t="shared" si="23"/>
        <v>Live in Kwangsi廣西人·情·味</v>
      </c>
      <c r="C712" s="80" t="s">
        <v>867</v>
      </c>
      <c r="D712" s="81" t="str">
        <f>HYPERLINK("https://youtube.com/watch?v=P8Jhc-FowBc", "五大室內長壽植物：長壽花、福祿考、蘇鐵、龜背竹、虎尾蘭｜大自然之聲")</f>
        <v>五大室內長壽植物：長壽花、福祿考、蘇鐵、龜背竹、虎尾蘭｜大自然之聲</v>
      </c>
      <c r="E712" s="82">
        <v>44082.0</v>
      </c>
      <c r="F712" s="80">
        <v>737.0</v>
      </c>
      <c r="G712" s="80" t="s">
        <v>63</v>
      </c>
      <c r="H712" s="80" t="s">
        <v>63</v>
      </c>
      <c r="I712" s="80" t="s">
        <v>63</v>
      </c>
      <c r="J712" s="80">
        <v>1713.0</v>
      </c>
      <c r="K712" s="80">
        <v>1.0</v>
      </c>
      <c r="L712" s="80" t="s">
        <v>776</v>
      </c>
    </row>
    <row r="713">
      <c r="A713" s="80" t="s">
        <v>755</v>
      </c>
      <c r="B713" s="81" t="str">
        <f t="shared" si="23"/>
        <v>Live in Kwangsi廣西人·情·味</v>
      </c>
      <c r="C713" s="80" t="s">
        <v>868</v>
      </c>
      <c r="D713" s="81" t="str">
        <f>HYPERLINK("https://youtube.com/watch?v=6mjqA4Uj6M0", "「扶貧・脫貧記錄」上集｜南寧市興寧區崑崙鎮平地村")</f>
        <v>「扶貧・脫貧記錄」上集｜南寧市興寧區崑崙鎮平地村</v>
      </c>
      <c r="E713" s="82">
        <v>44080.0</v>
      </c>
      <c r="F713" s="80">
        <v>508.0</v>
      </c>
      <c r="G713" s="80" t="s">
        <v>63</v>
      </c>
      <c r="I713" s="80" t="s">
        <v>63</v>
      </c>
      <c r="J713" s="80">
        <v>859.0</v>
      </c>
      <c r="K713" s="80">
        <v>1.0</v>
      </c>
      <c r="L713" s="80" t="s">
        <v>757</v>
      </c>
    </row>
    <row r="714">
      <c r="A714" s="80" t="s">
        <v>755</v>
      </c>
      <c r="B714" s="81" t="str">
        <f t="shared" si="23"/>
        <v>Live in Kwangsi廣西人·情·味</v>
      </c>
      <c r="C714" s="80" t="s">
        <v>869</v>
      </c>
      <c r="D714" s="81" t="str">
        <f>HYPERLINK("https://youtube.com/watch?v=cQgy4Ph7sT8", "市中心探洞｜廣西賀州點燈寨 (粵語字幕)")</f>
        <v>市中心探洞｜廣西賀州點燈寨 (粵語字幕)</v>
      </c>
      <c r="E714" s="82">
        <v>44078.0</v>
      </c>
      <c r="F714" s="80">
        <v>420.0</v>
      </c>
      <c r="G714" s="80" t="s">
        <v>63</v>
      </c>
      <c r="H714" s="80" t="s">
        <v>63</v>
      </c>
      <c r="I714" s="80" t="s">
        <v>63</v>
      </c>
      <c r="J714" s="80">
        <v>557.0</v>
      </c>
      <c r="K714" s="80">
        <v>1.0</v>
      </c>
      <c r="L714" s="80" t="s">
        <v>776</v>
      </c>
    </row>
    <row r="715">
      <c r="A715" s="80" t="s">
        <v>755</v>
      </c>
      <c r="B715" s="81" t="str">
        <f t="shared" si="23"/>
        <v>Live in Kwangsi廣西人·情·味</v>
      </c>
      <c r="C715" s="80" t="s">
        <v>870</v>
      </c>
      <c r="D715" s="81" t="str">
        <f>HYPERLINK("https://youtube.com/watch?v=sz-fzANa61M", "垃圾分一分 大家出份心｜廣西暖新聞")</f>
        <v>垃圾分一分 大家出份心｜廣西暖新聞</v>
      </c>
      <c r="E715" s="82">
        <v>44060.0</v>
      </c>
      <c r="F715" s="80">
        <v>339.0</v>
      </c>
      <c r="G715" s="80" t="s">
        <v>63</v>
      </c>
      <c r="H715" s="80" t="s">
        <v>63</v>
      </c>
      <c r="I715" s="80" t="s">
        <v>63</v>
      </c>
      <c r="J715" s="80">
        <v>994.0</v>
      </c>
      <c r="K715" s="80">
        <v>1.0</v>
      </c>
      <c r="L715" s="80" t="s">
        <v>776</v>
      </c>
    </row>
    <row r="716">
      <c r="A716" s="80" t="s">
        <v>755</v>
      </c>
      <c r="B716" s="81" t="str">
        <f t="shared" si="23"/>
        <v>Live in Kwangsi廣西人·情·味</v>
      </c>
      <c r="C716" s="80" t="s">
        <v>871</v>
      </c>
      <c r="D716" s="81" t="str">
        <f>HYPERLINK("https://youtube.com/watch?v=fq0Sk9SR5uw", "簡單易整純素小食：椰汁千層糕 （粵語字幕）")</f>
        <v>簡單易整純素小食：椰汁千層糕 （粵語字幕）</v>
      </c>
      <c r="E716" s="82">
        <v>44034.0</v>
      </c>
      <c r="F716" s="80">
        <v>261.0</v>
      </c>
      <c r="G716" s="80" t="s">
        <v>63</v>
      </c>
      <c r="H716" s="80" t="s">
        <v>63</v>
      </c>
      <c r="I716" s="80" t="s">
        <v>63</v>
      </c>
      <c r="J716" s="80">
        <v>497.0</v>
      </c>
      <c r="K716" s="80">
        <v>0.992015968063872</v>
      </c>
      <c r="L716" s="80" t="s">
        <v>776</v>
      </c>
    </row>
    <row r="717">
      <c r="A717" s="80" t="s">
        <v>755</v>
      </c>
      <c r="B717" s="81" t="str">
        <f t="shared" si="23"/>
        <v>Live in Kwangsi廣西人·情·味</v>
      </c>
      <c r="C717" s="80" t="s">
        <v>872</v>
      </c>
      <c r="D717" s="81" t="str">
        <f>HYPERLINK("https://youtube.com/watch?v=czg4UoL5J2U", "【趣談南寧白話】你有冇聽過呢啲南寧嘅詞彙？")</f>
        <v>【趣談南寧白話】你有冇聽過呢啲南寧嘅詞彙？</v>
      </c>
      <c r="E717" s="82">
        <v>44032.0</v>
      </c>
      <c r="F717" s="80">
        <v>215.0</v>
      </c>
      <c r="G717" s="80" t="s">
        <v>63</v>
      </c>
      <c r="I717" s="80" t="s">
        <v>63</v>
      </c>
      <c r="J717" s="80">
        <v>741.0</v>
      </c>
      <c r="K717" s="80">
        <v>0.975</v>
      </c>
      <c r="L717" s="80" t="s">
        <v>776</v>
      </c>
    </row>
    <row r="718">
      <c r="A718" s="80" t="s">
        <v>755</v>
      </c>
      <c r="B718" s="81" t="str">
        <f t="shared" si="23"/>
        <v>Live in Kwangsi廣西人·情·味</v>
      </c>
      <c r="C718" s="80" t="s">
        <v>873</v>
      </c>
      <c r="D718" s="81" t="str">
        <f>HYPERLINK("https://youtube.com/watch?v=pLnMZFzgBz0", "廣西城市至正嘅觀景台 昔日英國領事署 建道神學院 鶴崗樓 梧州博物館都喺呢度｜梧州市珠山公園")</f>
        <v>廣西城市至正嘅觀景台 昔日英國領事署 建道神學院 鶴崗樓 梧州博物館都喺呢度｜梧州市珠山公園</v>
      </c>
      <c r="E718" s="82">
        <v>44027.0</v>
      </c>
      <c r="F718" s="80">
        <v>265.0</v>
      </c>
      <c r="G718" s="80" t="s">
        <v>63</v>
      </c>
      <c r="H718" s="80" t="s">
        <v>63</v>
      </c>
      <c r="I718" s="80" t="s">
        <v>63</v>
      </c>
      <c r="J718" s="80">
        <v>570.0</v>
      </c>
      <c r="K718" s="80">
        <v>0.89763779527559</v>
      </c>
      <c r="L718" s="80" t="s">
        <v>776</v>
      </c>
    </row>
    <row r="719">
      <c r="A719" s="80" t="s">
        <v>755</v>
      </c>
      <c r="B719" s="81" t="str">
        <f t="shared" si="23"/>
        <v>Live in Kwangsi廣西人·情·味</v>
      </c>
      <c r="C719" s="80" t="s">
        <v>874</v>
      </c>
      <c r="D719" s="81" t="str">
        <f>HYPERLINK("https://youtube.com/watch?v=FXfi1E0ODVk", "【廣西鄉村一日遊】雞咀山,體驗鄉村生活｜賀州市鵝塘鎮（粵語CC字幕）")</f>
        <v>【廣西鄉村一日遊】雞咀山,體驗鄉村生活｜賀州市鵝塘鎮（粵語CC字幕）</v>
      </c>
      <c r="E719" s="82">
        <v>44021.0</v>
      </c>
      <c r="F719" s="80">
        <v>295.0</v>
      </c>
      <c r="G719" s="80" t="s">
        <v>63</v>
      </c>
      <c r="H719" s="80" t="s">
        <v>63</v>
      </c>
      <c r="I719" s="80" t="s">
        <v>63</v>
      </c>
      <c r="J719" s="80">
        <v>379.0</v>
      </c>
      <c r="K719" s="80">
        <v>1.0</v>
      </c>
      <c r="L719" s="80" t="s">
        <v>776</v>
      </c>
    </row>
    <row r="720">
      <c r="A720" s="80" t="s">
        <v>755</v>
      </c>
      <c r="B720" s="81" t="str">
        <f t="shared" si="23"/>
        <v>Live in Kwangsi廣西人·情·味</v>
      </c>
      <c r="C720" s="80" t="s">
        <v>875</v>
      </c>
      <c r="D720" s="81" t="str">
        <f>HYPERLINK("https://youtube.com/watch?v=hI6mJndSnJc", "賀州人究竟講啲咩話？｜廣西本土文化系列")</f>
        <v>賀州人究竟講啲咩話？｜廣西本土文化系列</v>
      </c>
      <c r="E720" s="82">
        <v>44020.0</v>
      </c>
      <c r="F720" s="80">
        <v>216.0</v>
      </c>
      <c r="G720" s="80" t="s">
        <v>63</v>
      </c>
      <c r="I720" s="80" t="s">
        <v>63</v>
      </c>
      <c r="J720" s="80">
        <v>711.0</v>
      </c>
      <c r="K720" s="80">
        <v>0.969986357435197</v>
      </c>
      <c r="L720" s="80" t="s">
        <v>757</v>
      </c>
    </row>
    <row r="721">
      <c r="A721" s="80" t="s">
        <v>755</v>
      </c>
      <c r="B721" s="81" t="str">
        <f t="shared" si="23"/>
        <v>Live in Kwangsi廣西人·情·味</v>
      </c>
      <c r="C721" s="80" t="s">
        <v>876</v>
      </c>
      <c r="D721" s="81" t="str">
        <f>HYPERLINK("https://youtube.com/watch?v=4jspTzhz7Xw", "【廣西鄉村一日遊】桂山水庫,大沖瑤寨,六郎沖,摘芭蕉｜賀州市沙田鎮")</f>
        <v>【廣西鄉村一日遊】桂山水庫,大沖瑤寨,六郎沖,摘芭蕉｜賀州市沙田鎮</v>
      </c>
      <c r="E721" s="82">
        <v>44016.0</v>
      </c>
      <c r="F721" s="80">
        <v>963.0</v>
      </c>
      <c r="G721" s="80" t="s">
        <v>63</v>
      </c>
      <c r="H721" s="80" t="s">
        <v>63</v>
      </c>
      <c r="I721" s="80" t="s">
        <v>63</v>
      </c>
      <c r="J721" s="80">
        <v>1292.0</v>
      </c>
      <c r="K721" s="80">
        <v>0.993082244427363</v>
      </c>
      <c r="L721" s="80" t="s">
        <v>776</v>
      </c>
    </row>
    <row r="722">
      <c r="A722" s="80" t="s">
        <v>755</v>
      </c>
      <c r="B722" s="81" t="str">
        <f t="shared" si="23"/>
        <v>Live in Kwangsi廣西人·情·味</v>
      </c>
      <c r="C722" s="80" t="s">
        <v>877</v>
      </c>
      <c r="D722" s="81" t="str">
        <f>HYPERLINK("https://youtube.com/watch?v=SyN6m2aIJXQ", "南寧邕江夜遊 Nam Ning Night Tour")</f>
        <v>南寧邕江夜遊 Nam Ning Night Tour</v>
      </c>
      <c r="E722" s="82">
        <v>44013.0</v>
      </c>
      <c r="F722" s="80">
        <v>361.0</v>
      </c>
      <c r="G722" s="80" t="s">
        <v>63</v>
      </c>
      <c r="I722" s="80" t="s">
        <v>63</v>
      </c>
      <c r="J722" s="80">
        <v>392.0</v>
      </c>
      <c r="K722" s="80">
        <v>0.664406779661016</v>
      </c>
      <c r="L722" s="80" t="s">
        <v>757</v>
      </c>
    </row>
    <row r="723">
      <c r="A723" s="80" t="s">
        <v>755</v>
      </c>
      <c r="B723" s="81" t="str">
        <f t="shared" si="23"/>
        <v>Live in Kwangsi廣西人·情·味</v>
      </c>
      <c r="C723" s="80" t="s">
        <v>878</v>
      </c>
      <c r="D723" s="81" t="str">
        <f>HYPERLINK("https://youtube.com/watch?v=TtZdz51nfCg", "梧州南山公園，係個九成梧州人都未聽過、去過嘅地方？")</f>
        <v>梧州南山公園，係個九成梧州人都未聽過、去過嘅地方？</v>
      </c>
      <c r="E723" s="82">
        <v>44010.0</v>
      </c>
      <c r="F723" s="80">
        <v>56.0</v>
      </c>
      <c r="G723" s="80" t="s">
        <v>63</v>
      </c>
      <c r="H723" s="80" t="s">
        <v>63</v>
      </c>
      <c r="I723" s="80" t="s">
        <v>63</v>
      </c>
      <c r="J723" s="80">
        <v>109.0</v>
      </c>
      <c r="K723" s="80">
        <v>1.0</v>
      </c>
      <c r="L723" s="80" t="s">
        <v>879</v>
      </c>
    </row>
    <row r="724">
      <c r="A724" s="80" t="s">
        <v>755</v>
      </c>
      <c r="B724" s="81" t="str">
        <f t="shared" si="23"/>
        <v>Live in Kwangsi廣西人·情·味</v>
      </c>
      <c r="C724" s="80" t="s">
        <v>880</v>
      </c>
      <c r="D724" s="81" t="str">
        <f>HYPERLINK("https://youtube.com/watch?v=Rtk-akMMKho", "【廣西油茶】賀州鍾山縣每日必不可少嘅一道家鄉美食")</f>
        <v>【廣西油茶】賀州鍾山縣每日必不可少嘅一道家鄉美食</v>
      </c>
      <c r="E724" s="82">
        <v>44007.0</v>
      </c>
      <c r="F724" s="80">
        <v>151.0</v>
      </c>
      <c r="G724" s="80" t="s">
        <v>63</v>
      </c>
      <c r="H724" s="80" t="s">
        <v>63</v>
      </c>
      <c r="I724" s="80" t="s">
        <v>63</v>
      </c>
      <c r="J724" s="80">
        <v>258.0</v>
      </c>
      <c r="K724" s="80">
        <v>1.0</v>
      </c>
      <c r="L724" s="80" t="s">
        <v>776</v>
      </c>
    </row>
    <row r="725">
      <c r="A725" s="80" t="s">
        <v>755</v>
      </c>
      <c r="B725" s="81" t="str">
        <f t="shared" si="23"/>
        <v>Live in Kwangsi廣西人·情·味</v>
      </c>
      <c r="C725" s="80" t="s">
        <v>881</v>
      </c>
      <c r="D725" s="81" t="str">
        <f>HYPERLINK("https://youtube.com/watch?v=hbaVQGPREAw", "「狗肉節」廣西人點睇？")</f>
        <v>「狗肉節」廣西人點睇？</v>
      </c>
      <c r="E725" s="82">
        <v>44005.0</v>
      </c>
      <c r="F725" s="80">
        <v>299.0</v>
      </c>
      <c r="G725" s="80" t="s">
        <v>63</v>
      </c>
      <c r="H725" s="80" t="s">
        <v>63</v>
      </c>
      <c r="I725" s="80" t="s">
        <v>63</v>
      </c>
      <c r="J725" s="80">
        <v>912.0</v>
      </c>
      <c r="K725" s="80">
        <v>1.0</v>
      </c>
      <c r="L725" s="80" t="s">
        <v>776</v>
      </c>
    </row>
    <row r="726">
      <c r="A726" s="80" t="s">
        <v>755</v>
      </c>
      <c r="B726" s="81" t="str">
        <f t="shared" si="23"/>
        <v>Live in Kwangsi廣西人·情·味</v>
      </c>
      <c r="C726" s="80" t="s">
        <v>882</v>
      </c>
      <c r="D726" s="81" t="str">
        <f>HYPERLINK("https://youtube.com/watch?v=LYqA1IkVlig", "梧州白雲山｜廣州白雲山翻版？")</f>
        <v>梧州白雲山｜廣州白雲山翻版？</v>
      </c>
      <c r="E726" s="82">
        <v>44000.0</v>
      </c>
      <c r="F726" s="80">
        <v>266.0</v>
      </c>
      <c r="G726" s="80" t="s">
        <v>63</v>
      </c>
      <c r="H726" s="80" t="s">
        <v>63</v>
      </c>
      <c r="I726" s="80" t="s">
        <v>63</v>
      </c>
      <c r="J726" s="80">
        <v>259.0</v>
      </c>
      <c r="K726" s="80">
        <v>1.0</v>
      </c>
      <c r="L726" s="80" t="s">
        <v>883</v>
      </c>
    </row>
    <row r="727">
      <c r="A727" s="80" t="s">
        <v>755</v>
      </c>
      <c r="B727" s="81" t="str">
        <f t="shared" si="23"/>
        <v>Live in Kwangsi廣西人·情·味</v>
      </c>
      <c r="C727" s="80" t="s">
        <v>884</v>
      </c>
      <c r="D727" s="81" t="str">
        <f>HYPERLINK("https://youtube.com/watch?v=Pf7srjbVQZs", "廣西各地語言同你話春耕Spring ploughing around Kwang Si (Guangxi)［CC字幕］")</f>
        <v>廣西各地語言同你話春耕Spring ploughing around Kwang Si (Guangxi)［CC字幕］</v>
      </c>
      <c r="E727" s="82">
        <v>43999.0</v>
      </c>
      <c r="F727" s="80">
        <v>91.0</v>
      </c>
      <c r="G727" s="80" t="s">
        <v>63</v>
      </c>
      <c r="H727" s="80" t="s">
        <v>63</v>
      </c>
      <c r="I727" s="80" t="s">
        <v>63</v>
      </c>
      <c r="J727" s="80">
        <v>165.0</v>
      </c>
      <c r="K727" s="80">
        <v>1.0</v>
      </c>
      <c r="L727" s="80" t="s">
        <v>879</v>
      </c>
    </row>
    <row r="728">
      <c r="A728" s="80" t="s">
        <v>755</v>
      </c>
      <c r="B728" s="81" t="str">
        <f t="shared" si="23"/>
        <v>Live in Kwangsi廣西人·情·味</v>
      </c>
      <c r="C728" s="80" t="s">
        <v>885</v>
      </c>
      <c r="D728" s="81" t="str">
        <f>HYPERLINK("https://youtube.com/watch?v=2YZT67g2ozo", "廣西梧州夜景｜昔日繁華商埠 今日另類景象")</f>
        <v>廣西梧州夜景｜昔日繁華商埠 今日另類景象</v>
      </c>
      <c r="E728" s="82">
        <v>43997.0</v>
      </c>
      <c r="F728" s="80">
        <v>434.0</v>
      </c>
      <c r="G728" s="80" t="s">
        <v>63</v>
      </c>
      <c r="H728" s="80" t="s">
        <v>63</v>
      </c>
      <c r="I728" s="80" t="s">
        <v>63</v>
      </c>
      <c r="J728" s="80">
        <v>385.0</v>
      </c>
      <c r="K728" s="80">
        <v>1.0</v>
      </c>
      <c r="L728" s="80" t="s">
        <v>776</v>
      </c>
    </row>
    <row r="729">
      <c r="A729" s="80" t="s">
        <v>755</v>
      </c>
      <c r="B729" s="81" t="str">
        <f t="shared" si="23"/>
        <v>Live in Kwangsi廣西人·情·味</v>
      </c>
      <c r="C729" s="80" t="s">
        <v>886</v>
      </c>
      <c r="D729" s="81" t="str">
        <f>HYPERLINK("https://youtube.com/watch?v=4Cxik8ES1Zo", "梧州玫瑰湖公園,市內一個安靜又充滿歐陸風情嘅地方,休閒好去處")</f>
        <v>梧州玫瑰湖公園,市內一個安靜又充滿歐陸風情嘅地方,休閒好去處</v>
      </c>
      <c r="E729" s="82">
        <v>43994.0</v>
      </c>
      <c r="F729" s="80">
        <v>143.0</v>
      </c>
      <c r="G729" s="80" t="s">
        <v>63</v>
      </c>
      <c r="H729" s="80" t="s">
        <v>63</v>
      </c>
      <c r="I729" s="80" t="s">
        <v>63</v>
      </c>
      <c r="J729" s="80">
        <v>198.0</v>
      </c>
      <c r="K729" s="80">
        <v>1.0</v>
      </c>
      <c r="L729" s="80" t="s">
        <v>883</v>
      </c>
    </row>
    <row r="730">
      <c r="A730" s="80" t="s">
        <v>755</v>
      </c>
      <c r="B730" s="81" t="str">
        <f t="shared" si="23"/>
        <v>Live in Kwangsi廣西人·情·味</v>
      </c>
      <c r="C730" s="80" t="s">
        <v>887</v>
      </c>
      <c r="D730" s="81" t="str">
        <f>HYPERLINK("https://youtube.com/watch?v=rlcItGNUELQ", "廣西深山有靚景!鄉村鐵索橋,景色宜人,清靜舒適｜免費小衆目的地")</f>
        <v>廣西深山有靚景!鄉村鐵索橋,景色宜人,清靜舒適｜免費小衆目的地</v>
      </c>
      <c r="E730" s="82">
        <v>43993.0</v>
      </c>
      <c r="F730" s="80">
        <v>376.0</v>
      </c>
      <c r="G730" s="80" t="s">
        <v>63</v>
      </c>
      <c r="H730" s="80" t="s">
        <v>63</v>
      </c>
      <c r="I730" s="80" t="s">
        <v>63</v>
      </c>
      <c r="J730" s="80">
        <v>398.0</v>
      </c>
      <c r="K730" s="80">
        <v>1.0</v>
      </c>
      <c r="L730" s="80" t="s">
        <v>888</v>
      </c>
    </row>
    <row r="731">
      <c r="A731" s="80" t="s">
        <v>755</v>
      </c>
      <c r="B731" s="81" t="str">
        <f t="shared" si="23"/>
        <v>Live in Kwangsi廣西人·情·味</v>
      </c>
      <c r="C731" s="80" t="s">
        <v>889</v>
      </c>
      <c r="D731" s="81" t="str">
        <f>HYPERLINK("https://youtube.com/watch?v=S6BwIBxhtNk", "傳承傳統文化《我係南寧仔》第三集：潮流興懷舊 cover徐小鳳經典名曲《順流逆流》、《風的季節》｜講廣西人話")</f>
        <v>傳承傳統文化《我係南寧仔》第三集：潮流興懷舊 cover徐小鳳經典名曲《順流逆流》、《風的季節》｜講廣西人話</v>
      </c>
      <c r="E731" s="82">
        <v>43992.0</v>
      </c>
      <c r="F731" s="80">
        <v>424.0</v>
      </c>
      <c r="G731" s="80" t="s">
        <v>63</v>
      </c>
      <c r="I731" s="80" t="s">
        <v>63</v>
      </c>
      <c r="J731" s="80">
        <v>553.0</v>
      </c>
      <c r="K731" s="80">
        <v>1.0</v>
      </c>
      <c r="L731" s="80" t="s">
        <v>757</v>
      </c>
    </row>
    <row r="732">
      <c r="A732" s="80" t="s">
        <v>755</v>
      </c>
      <c r="B732" s="81" t="str">
        <f t="shared" si="23"/>
        <v>Live in Kwangsi廣西人·情·味</v>
      </c>
      <c r="C732" s="80" t="s">
        <v>890</v>
      </c>
      <c r="D732" s="81" t="str">
        <f>HYPERLINK("https://youtube.com/watch?v=3E2E8yGViNE", "傳承傳統文化《我係南寧仔》第二集：南寧仔女演唱粵曲《豔曲醉周郎》｜講廣西人話")</f>
        <v>傳承傳統文化《我係南寧仔》第二集：南寧仔女演唱粵曲《豔曲醉周郎》｜講廣西人話</v>
      </c>
      <c r="E732" s="82">
        <v>43988.0</v>
      </c>
      <c r="F732" s="80">
        <v>469.0</v>
      </c>
      <c r="G732" s="80" t="s">
        <v>63</v>
      </c>
      <c r="H732" s="80" t="s">
        <v>63</v>
      </c>
      <c r="I732" s="80" t="s">
        <v>63</v>
      </c>
      <c r="J732" s="80">
        <v>1184.0</v>
      </c>
      <c r="K732" s="80">
        <v>1.0</v>
      </c>
      <c r="L732" s="80" t="s">
        <v>891</v>
      </c>
    </row>
    <row r="733">
      <c r="A733" s="80" t="s">
        <v>755</v>
      </c>
      <c r="B733" s="81" t="str">
        <f t="shared" si="23"/>
        <v>Live in Kwangsi廣西人·情·味</v>
      </c>
      <c r="C733" s="80" t="s">
        <v>892</v>
      </c>
      <c r="D733" s="81" t="str">
        <f>HYPERLINK("https://youtube.com/watch?v=KX7ZaKKDcOA", "粟米熟咗喇!廣西農村摘粟米,原汁原味香甜糯米粟,你鍾唔鍾意食?")</f>
        <v>粟米熟咗喇!廣西農村摘粟米,原汁原味香甜糯米粟,你鍾唔鍾意食?</v>
      </c>
      <c r="E733" s="82">
        <v>43986.0</v>
      </c>
      <c r="F733" s="80">
        <v>509.0</v>
      </c>
      <c r="G733" s="80" t="s">
        <v>63</v>
      </c>
      <c r="I733" s="80" t="s">
        <v>63</v>
      </c>
      <c r="J733" s="80">
        <v>850.0</v>
      </c>
      <c r="K733" s="80">
        <v>0.930996714129244</v>
      </c>
      <c r="L733" s="80" t="s">
        <v>893</v>
      </c>
    </row>
    <row r="734">
      <c r="A734" s="80" t="s">
        <v>755</v>
      </c>
      <c r="B734" s="81" t="str">
        <f t="shared" si="23"/>
        <v>Live in Kwangsi廣西人·情·味</v>
      </c>
      <c r="C734" s="80" t="s">
        <v>894</v>
      </c>
      <c r="D734" s="81" t="str">
        <f>HYPERLINK("https://youtube.com/watch?v=brwbI64U44I", "傳承傳統文化《我係南寧仔》第一集：95後新世代熱愛粵劇,南寧仔女演唱《花田錯會》｜講廣西人話")</f>
        <v>傳承傳統文化《我係南寧仔》第一集：95後新世代熱愛粵劇,南寧仔女演唱《花田錯會》｜講廣西人話</v>
      </c>
      <c r="E734" s="82">
        <v>43985.0</v>
      </c>
      <c r="F734" s="80">
        <v>223.0</v>
      </c>
      <c r="G734" s="80" t="s">
        <v>63</v>
      </c>
      <c r="I734" s="80" t="s">
        <v>63</v>
      </c>
      <c r="J734" s="80">
        <v>685.0</v>
      </c>
      <c r="K734" s="80">
        <v>1.0</v>
      </c>
      <c r="L734" s="80" t="s">
        <v>883</v>
      </c>
    </row>
    <row r="735">
      <c r="A735" s="80" t="s">
        <v>755</v>
      </c>
      <c r="B735" s="81" t="str">
        <f t="shared" si="23"/>
        <v>Live in Kwangsi廣西人·情·味</v>
      </c>
      <c r="C735" s="80" t="s">
        <v>895</v>
      </c>
      <c r="D735" s="81" t="str">
        <f>HYPERLINK("https://youtube.com/watch?v=qfDZqeTYg0s", "廣西本土文化傳承：白話(粵語)童謠")</f>
        <v>廣西本土文化傳承：白話(粵語)童謠</v>
      </c>
      <c r="E735" s="82">
        <v>43984.0</v>
      </c>
      <c r="F735" s="80">
        <v>241.0</v>
      </c>
      <c r="G735" s="80" t="s">
        <v>63</v>
      </c>
      <c r="I735" s="80" t="s">
        <v>63</v>
      </c>
      <c r="J735" s="80">
        <v>590.0</v>
      </c>
      <c r="K735" s="80">
        <v>1.0</v>
      </c>
      <c r="L735" s="80" t="s">
        <v>896</v>
      </c>
    </row>
    <row r="736">
      <c r="A736" s="80" t="s">
        <v>755</v>
      </c>
      <c r="B736" s="81" t="str">
        <f t="shared" si="23"/>
        <v>Live in Kwangsi廣西人·情·味</v>
      </c>
      <c r="C736" s="80" t="s">
        <v>897</v>
      </c>
      <c r="D736" s="81" t="str">
        <f>HYPERLINK("https://youtube.com/watch?v=nVvwAnR3gKY", "廣西有個地方叫做八步,爲何會得此名?一起在鬧市中的舊街角裏尋找答案!")</f>
        <v>廣西有個地方叫做八步,爲何會得此名?一起在鬧市中的舊街角裏尋找答案!</v>
      </c>
      <c r="E736" s="82">
        <v>43982.0</v>
      </c>
      <c r="F736" s="80">
        <v>351.0</v>
      </c>
      <c r="G736" s="80" t="s">
        <v>63</v>
      </c>
      <c r="I736" s="80" t="s">
        <v>63</v>
      </c>
      <c r="J736" s="80">
        <v>9.0</v>
      </c>
      <c r="K736" s="80">
        <v>0.642857142857142</v>
      </c>
      <c r="L736" s="80" t="s">
        <v>757</v>
      </c>
    </row>
    <row r="737">
      <c r="A737" s="80" t="s">
        <v>755</v>
      </c>
      <c r="B737" s="81" t="str">
        <f t="shared" si="23"/>
        <v>Live in Kwangsi廣西人·情·味</v>
      </c>
      <c r="C737" s="80" t="s">
        <v>898</v>
      </c>
      <c r="D737" s="81" t="str">
        <f>HYPERLINK("https://youtube.com/watch?v=low7KDIesLA", "Vlog梧州自由行!兩廣合作區,南山,建道神學院,舊英國領事館,珠山公園...ep4")</f>
        <v>Vlog梧州自由行!兩廣合作區,南山,建道神學院,舊英國領事館,珠山公園...ep4</v>
      </c>
      <c r="E737" s="82">
        <v>43980.0</v>
      </c>
      <c r="F737" s="80">
        <v>1050.0</v>
      </c>
      <c r="G737" s="80" t="s">
        <v>63</v>
      </c>
      <c r="I737" s="80" t="s">
        <v>63</v>
      </c>
      <c r="J737" s="80">
        <v>1661.0</v>
      </c>
      <c r="K737" s="80">
        <v>0.977058823529411</v>
      </c>
      <c r="L737" s="80" t="s">
        <v>757</v>
      </c>
    </row>
    <row r="738">
      <c r="A738" s="80" t="s">
        <v>755</v>
      </c>
      <c r="B738" s="81" t="str">
        <f t="shared" si="23"/>
        <v>Live in Kwangsi廣西人·情·味</v>
      </c>
      <c r="C738" s="80" t="s">
        <v>899</v>
      </c>
      <c r="D738" s="81" t="str">
        <f>HYPERLINK("https://youtube.com/watch?v=PrWwSv01vwo", "(開啟字幕)Vlog梧州自由行!中山公園,遇見愛心婆婆,採訪梧州伯伯,粵語解說...ep3")</f>
        <v>(開啟字幕)Vlog梧州自由行!中山公園,遇見愛心婆婆,採訪梧州伯伯,粵語解說...ep3</v>
      </c>
      <c r="E738" s="82">
        <v>43979.0</v>
      </c>
      <c r="F738" s="80">
        <v>802.0</v>
      </c>
      <c r="G738" s="80" t="s">
        <v>63</v>
      </c>
      <c r="I738" s="80" t="s">
        <v>63</v>
      </c>
      <c r="J738" s="80">
        <v>1778.0</v>
      </c>
      <c r="K738" s="80">
        <v>0.987229317046085</v>
      </c>
      <c r="L738" s="80" t="s">
        <v>757</v>
      </c>
    </row>
    <row r="739">
      <c r="A739" s="80" t="s">
        <v>755</v>
      </c>
      <c r="B739" s="81" t="str">
        <f t="shared" si="23"/>
        <v>Live in Kwangsi廣西人·情·味</v>
      </c>
      <c r="C739" s="80" t="s">
        <v>900</v>
      </c>
      <c r="D739" s="81" t="str">
        <f>HYPERLINK("https://youtube.com/watch?v=SfsKFPWpXOs", "Vlog梧州自由行!冰泉豆漿,白雲山,採訪梧州學生哥,粵語解說...ep2")</f>
        <v>Vlog梧州自由行!冰泉豆漿,白雲山,採訪梧州學生哥,粵語解說...ep2</v>
      </c>
      <c r="E739" s="82">
        <v>43978.0</v>
      </c>
      <c r="F739" s="80">
        <v>1233.0</v>
      </c>
      <c r="G739" s="80" t="s">
        <v>63</v>
      </c>
      <c r="I739" s="80" t="s">
        <v>63</v>
      </c>
      <c r="J739" s="80">
        <v>2562.0</v>
      </c>
      <c r="K739" s="80">
        <v>0.992254066615027</v>
      </c>
      <c r="L739" s="80" t="s">
        <v>757</v>
      </c>
    </row>
    <row r="740">
      <c r="A740" s="80" t="s">
        <v>755</v>
      </c>
      <c r="B740" s="81" t="str">
        <f t="shared" si="23"/>
        <v>Live in Kwangsi廣西人·情·味</v>
      </c>
      <c r="C740" s="80" t="s">
        <v>901</v>
      </c>
      <c r="D740" s="81" t="str">
        <f>HYPERLINK("https://youtube.com/watch?v=Af6KdXcGKv4", "Vlog梧州自由行!新潮景點,舊街角,美食,粵語解說...ep1")</f>
        <v>Vlog梧州自由行!新潮景點,舊街角,美食,粵語解說...ep1</v>
      </c>
      <c r="E740" s="82">
        <v>43977.0</v>
      </c>
      <c r="F740" s="80">
        <v>977.0</v>
      </c>
      <c r="G740" s="80" t="s">
        <v>63</v>
      </c>
      <c r="H740" s="80" t="s">
        <v>63</v>
      </c>
      <c r="I740" s="80" t="s">
        <v>63</v>
      </c>
      <c r="J740" s="80">
        <v>1878.0</v>
      </c>
      <c r="K740" s="80">
        <v>0.997458703939008</v>
      </c>
      <c r="L740" s="80" t="s">
        <v>776</v>
      </c>
    </row>
    <row r="741">
      <c r="A741" s="80" t="s">
        <v>755</v>
      </c>
      <c r="B741" s="81" t="str">
        <f t="shared" si="23"/>
        <v>Live in Kwangsi廣西人·情·味</v>
      </c>
      <c r="C741" s="80" t="s">
        <v>902</v>
      </c>
      <c r="D741" s="81" t="str">
        <f>HYPERLINK("https://youtube.com/watch?v=f4QoLLy2pak", "廣西玉林市博白縣｜博白白話介紹博白美食｜博白蕹菜")</f>
        <v>廣西玉林市博白縣｜博白白話介紹博白美食｜博白蕹菜</v>
      </c>
      <c r="E741" s="82">
        <v>43937.0</v>
      </c>
      <c r="F741" s="80">
        <v>105.0</v>
      </c>
      <c r="G741" s="80" t="s">
        <v>63</v>
      </c>
      <c r="I741" s="80" t="s">
        <v>63</v>
      </c>
      <c r="J741" s="80">
        <v>126.0</v>
      </c>
      <c r="K741" s="80">
        <v>0.933333333333333</v>
      </c>
      <c r="L741" s="80" t="s">
        <v>757</v>
      </c>
    </row>
    <row r="742">
      <c r="A742" s="80" t="s">
        <v>755</v>
      </c>
      <c r="B742" s="81" t="str">
        <f t="shared" si="23"/>
        <v>Live in Kwangsi廣西人·情·味</v>
      </c>
      <c r="C742" s="80" t="s">
        <v>903</v>
      </c>
      <c r="D742" s="81" t="str">
        <f>HYPERLINK("https://youtube.com/watch?v=zq1NWbVveQc", "「西人」遊港EP.2｜沙田馬場｜港版「天空之鏡」．鶴藪水塘．八仙嶺郊野公園｜香港好去處")</f>
        <v>「西人」遊港EP.2｜沙田馬場｜港版「天空之鏡」．鶴藪水塘．八仙嶺郊野公園｜香港好去處</v>
      </c>
      <c r="E742" s="82">
        <v>43889.0</v>
      </c>
      <c r="F742" s="80">
        <v>430.0</v>
      </c>
      <c r="G742" s="80" t="s">
        <v>63</v>
      </c>
      <c r="I742" s="80" t="s">
        <v>63</v>
      </c>
      <c r="J742" s="80">
        <v>1143.0</v>
      </c>
      <c r="K742" s="80">
        <v>0.973594548551959</v>
      </c>
      <c r="L742" s="80" t="s">
        <v>757</v>
      </c>
    </row>
    <row r="743">
      <c r="A743" s="80" t="s">
        <v>755</v>
      </c>
      <c r="B743" s="81" t="str">
        <f t="shared" si="23"/>
        <v>Live in Kwangsi廣西人·情·味</v>
      </c>
      <c r="C743" s="80" t="s">
        <v>904</v>
      </c>
      <c r="D743" s="81" t="str">
        <f>HYPERLINK("https://youtube.com/watch?v=IrYK9vjUs90", "《靚姐教煮》第二集｜韭菜雞蛋餅｜好食易整又健康！")</f>
        <v>《靚姐教煮》第二集｜韭菜雞蛋餅｜好食易整又健康！</v>
      </c>
      <c r="E743" s="82">
        <v>43870.0</v>
      </c>
      <c r="F743" s="80">
        <v>502.0</v>
      </c>
      <c r="G743" s="80" t="s">
        <v>63</v>
      </c>
      <c r="I743" s="80" t="s">
        <v>63</v>
      </c>
      <c r="J743" s="80">
        <v>355.0</v>
      </c>
      <c r="K743" s="80">
        <v>0.983379501385041</v>
      </c>
      <c r="L743" s="80" t="s">
        <v>757</v>
      </c>
    </row>
    <row r="744">
      <c r="A744" s="80" t="s">
        <v>755</v>
      </c>
      <c r="B744" s="81" t="str">
        <f t="shared" si="23"/>
        <v>Live in Kwangsi廣西人·情·味</v>
      </c>
      <c r="C744" s="80" t="s">
        <v>905</v>
      </c>
      <c r="D744" s="81" t="str">
        <f>HYPERLINK("https://youtube.com/watch?v=boJ3TKtM-lg", "《靚姐教煮》第一集｜廣西油茶｜驅寒兼去濕")</f>
        <v>《靚姐教煮》第一集｜廣西油茶｜驅寒兼去濕</v>
      </c>
      <c r="E744" s="82">
        <v>43863.0</v>
      </c>
      <c r="F744" s="80">
        <v>599.0</v>
      </c>
      <c r="G744" s="80" t="s">
        <v>63</v>
      </c>
      <c r="I744" s="80" t="s">
        <v>63</v>
      </c>
      <c r="J744" s="80">
        <v>927.0</v>
      </c>
      <c r="K744" s="80">
        <v>0.981991525423728</v>
      </c>
      <c r="L744" s="80" t="s">
        <v>757</v>
      </c>
    </row>
    <row r="745">
      <c r="A745" s="80" t="s">
        <v>755</v>
      </c>
      <c r="B745" s="81" t="str">
        <f t="shared" si="23"/>
        <v>Live in Kwangsi廣西人·情·味</v>
      </c>
      <c r="C745" s="80" t="s">
        <v>906</v>
      </c>
      <c r="D745" s="81" t="str">
        <f>HYPERLINK("https://youtube.com/watch?v=RIOquG064B8", "抗疫非常期vlog｜出門買口罩記｜廣西極缺貨！")</f>
        <v>抗疫非常期vlog｜出門買口罩記｜廣西極缺貨！</v>
      </c>
      <c r="E745" s="82">
        <v>43862.0</v>
      </c>
      <c r="F745" s="80">
        <v>146.0</v>
      </c>
      <c r="G745" s="80" t="s">
        <v>63</v>
      </c>
      <c r="I745" s="80" t="s">
        <v>63</v>
      </c>
      <c r="J745" s="80">
        <v>489.0</v>
      </c>
      <c r="K745" s="80">
        <v>1.0</v>
      </c>
      <c r="L745" s="80" t="s">
        <v>757</v>
      </c>
    </row>
    <row r="746">
      <c r="A746" s="80" t="s">
        <v>755</v>
      </c>
      <c r="B746" s="81" t="str">
        <f t="shared" si="23"/>
        <v>Live in Kwangsi廣西人·情·味</v>
      </c>
      <c r="C746" s="80" t="s">
        <v>907</v>
      </c>
      <c r="D746" s="81" t="str">
        <f>HYPERLINK("https://youtube.com/watch?v=JEWkPLKb3FI", "廣西日常Vlog｜#01防疫非常時期的一天｜賀州市北堤公園、愛蓮湖公園")</f>
        <v>廣西日常Vlog｜#01防疫非常時期的一天｜賀州市北堤公園、愛蓮湖公園</v>
      </c>
      <c r="E746" s="82">
        <v>43859.0</v>
      </c>
      <c r="F746" s="80">
        <v>193.0</v>
      </c>
      <c r="G746" s="80" t="s">
        <v>63</v>
      </c>
      <c r="I746" s="80" t="s">
        <v>63</v>
      </c>
      <c r="J746" s="80">
        <v>259.0</v>
      </c>
      <c r="K746" s="80">
        <v>1.0</v>
      </c>
      <c r="L746" s="80" t="s">
        <v>757</v>
      </c>
    </row>
    <row r="747">
      <c r="A747" s="80" t="s">
        <v>755</v>
      </c>
      <c r="B747" s="81" t="str">
        <f t="shared" si="23"/>
        <v>Live in Kwangsi廣西人·情·味</v>
      </c>
      <c r="C747" s="80" t="s">
        <v>908</v>
      </c>
      <c r="D747" s="81" t="str">
        <f>HYPERLINK("https://youtube.com/watch?v=58H_ltt34Rg", "武漢新型肺炎｜廣西如何應對？一段新聞簡報了解下")</f>
        <v>武漢新型肺炎｜廣西如何應對？一段新聞簡報了解下</v>
      </c>
      <c r="E747" s="82">
        <v>43853.0</v>
      </c>
      <c r="F747" s="80">
        <v>251.0</v>
      </c>
      <c r="G747" s="80" t="s">
        <v>63</v>
      </c>
      <c r="I747" s="80" t="s">
        <v>63</v>
      </c>
      <c r="J747" s="80">
        <v>827.0</v>
      </c>
      <c r="K747" s="80">
        <v>1.0</v>
      </c>
      <c r="L747" s="80" t="s">
        <v>757</v>
      </c>
    </row>
    <row r="748">
      <c r="A748" s="80" t="s">
        <v>755</v>
      </c>
      <c r="B748" s="81" t="str">
        <f t="shared" si="23"/>
        <v>Live in Kwangsi廣西人·情·味</v>
      </c>
      <c r="C748" s="80" t="s">
        <v>909</v>
      </c>
      <c r="D748" s="81" t="str">
        <f>HYPERLINK("https://youtube.com/watch?v=g_JPQKvFv2Q", "［潮遊賀州］#02富川秀山村∙安靜、純樸熱情的歷史文化古村｜廣西人情味")</f>
        <v>［潮遊賀州］#02富川秀山村∙安靜、純樸熱情的歷史文化古村｜廣西人情味</v>
      </c>
      <c r="E748" s="82">
        <v>43851.0</v>
      </c>
      <c r="F748" s="80">
        <v>513.0</v>
      </c>
      <c r="G748" s="80" t="s">
        <v>63</v>
      </c>
      <c r="I748" s="80" t="s">
        <v>63</v>
      </c>
      <c r="J748" s="80">
        <v>905.0</v>
      </c>
      <c r="K748" s="80">
        <v>1.0</v>
      </c>
      <c r="L748" s="80" t="s">
        <v>757</v>
      </c>
    </row>
    <row r="749">
      <c r="A749" s="80" t="s">
        <v>755</v>
      </c>
      <c r="B749" s="81" t="str">
        <f t="shared" si="23"/>
        <v>Live in Kwangsi廣西人·情·味</v>
      </c>
      <c r="C749" s="80" t="s">
        <v>910</v>
      </c>
      <c r="D749" s="81" t="str">
        <f>HYPERLINK("https://youtube.com/watch?v=KZSxvOwO_vo", "［潮遊賀州］#01富川古明城∙據說是廣西保留得較為完整的古縣城遺跡｜廣西人情味")</f>
        <v>［潮遊賀州］#01富川古明城∙據說是廣西保留得較為完整的古縣城遺跡｜廣西人情味</v>
      </c>
      <c r="E749" s="82">
        <v>43851.0</v>
      </c>
      <c r="F749" s="80">
        <v>236.0</v>
      </c>
      <c r="G749" s="80" t="s">
        <v>63</v>
      </c>
      <c r="I749" s="80" t="s">
        <v>63</v>
      </c>
      <c r="J749" s="80">
        <v>567.0</v>
      </c>
      <c r="K749" s="80">
        <v>0.989528795811518</v>
      </c>
      <c r="L749" s="80" t="s">
        <v>757</v>
      </c>
    </row>
    <row r="750">
      <c r="A750" s="80" t="s">
        <v>755</v>
      </c>
      <c r="B750" s="81" t="str">
        <f t="shared" si="23"/>
        <v>Live in Kwangsi廣西人·情·味</v>
      </c>
      <c r="C750" s="80" t="s">
        <v>911</v>
      </c>
      <c r="D750" s="81" t="str">
        <f>HYPERLINK("https://youtube.com/watch?v=_uvGfIG9FqQ", "「西人」遊港 | 不是很亂嗎？「冒住風險」到香港一探究竟！#01")</f>
        <v>「西人」遊港 | 不是很亂嗎？「冒住風險」到香港一探究竟！#01</v>
      </c>
      <c r="E750" s="82">
        <v>43849.0</v>
      </c>
      <c r="F750" s="80">
        <v>299.0</v>
      </c>
      <c r="G750" s="80" t="s">
        <v>63</v>
      </c>
      <c r="H750" s="80" t="s">
        <v>63</v>
      </c>
      <c r="I750" s="80" t="s">
        <v>63</v>
      </c>
      <c r="J750" s="80">
        <v>802.0</v>
      </c>
      <c r="K750" s="80">
        <v>1.0</v>
      </c>
      <c r="L750" s="80" t="s">
        <v>912</v>
      </c>
    </row>
    <row r="751">
      <c r="A751" s="80" t="s">
        <v>755</v>
      </c>
      <c r="B751" s="81" t="str">
        <f t="shared" si="23"/>
        <v>Live in Kwangsi廣西人·情·味</v>
      </c>
      <c r="C751" s="80" t="s">
        <v>913</v>
      </c>
      <c r="D751" s="81" t="str">
        <f>HYPERLINK("https://youtube.com/watch?v=TvJ6YvLRwrY", "講廣西人話｜#01獨具風味的桂平白話")</f>
        <v>講廣西人話｜#01獨具風味的桂平白話</v>
      </c>
      <c r="E751" s="82">
        <v>43848.0</v>
      </c>
      <c r="F751" s="80">
        <v>122.0</v>
      </c>
      <c r="G751" s="80" t="s">
        <v>63</v>
      </c>
      <c r="H751" s="80" t="s">
        <v>63</v>
      </c>
      <c r="I751" s="80" t="s">
        <v>63</v>
      </c>
      <c r="J751" s="80">
        <v>266.0</v>
      </c>
      <c r="K751" s="80">
        <v>1.0</v>
      </c>
      <c r="L751" s="80" t="s">
        <v>914</v>
      </c>
    </row>
    <row r="752">
      <c r="A752" s="80" t="s">
        <v>755</v>
      </c>
      <c r="B752" s="81" t="str">
        <f t="shared" si="23"/>
        <v>Live in Kwangsi廣西人·情·味</v>
      </c>
      <c r="C752" s="80" t="s">
        <v>915</v>
      </c>
      <c r="D752" s="81" t="str">
        <f>HYPERLINK("https://youtube.com/watch?v=keEyGm9PXbs", "《牛郎與織女》廣西容縣話版")</f>
        <v>《牛郎與織女》廣西容縣話版</v>
      </c>
      <c r="E752" s="82">
        <v>43839.0</v>
      </c>
      <c r="F752" s="80">
        <v>154.0</v>
      </c>
      <c r="G752" s="80" t="s">
        <v>63</v>
      </c>
      <c r="H752" s="80" t="s">
        <v>63</v>
      </c>
      <c r="I752" s="80" t="s">
        <v>63</v>
      </c>
      <c r="J752" s="80">
        <v>619.0</v>
      </c>
      <c r="K752" s="80">
        <v>1.0</v>
      </c>
      <c r="L752" s="80" t="s">
        <v>916</v>
      </c>
    </row>
    <row r="753">
      <c r="A753" s="80" t="s">
        <v>755</v>
      </c>
      <c r="B753" s="81" t="str">
        <f t="shared" si="23"/>
        <v>Live in Kwangsi廣西人·情·味</v>
      </c>
      <c r="C753" s="80" t="s">
        <v>917</v>
      </c>
      <c r="D753" s="81" t="str">
        <f>HYPERLINK("https://youtube.com/watch?v=Kk3_R-VPfcA", "廣西賀州市羊頭鎮盧伯伯的故事（2019）")</f>
        <v>廣西賀州市羊頭鎮盧伯伯的故事（2019）</v>
      </c>
      <c r="E753" s="82">
        <v>43829.0</v>
      </c>
      <c r="F753" s="80">
        <v>465.0</v>
      </c>
      <c r="G753" s="80" t="s">
        <v>63</v>
      </c>
      <c r="I753" s="80" t="s">
        <v>63</v>
      </c>
      <c r="J753" s="80">
        <v>628.0</v>
      </c>
      <c r="K753" s="80">
        <v>0.996825396825396</v>
      </c>
      <c r="L753" s="80" t="s">
        <v>757</v>
      </c>
    </row>
    <row r="754">
      <c r="A754" s="80" t="s">
        <v>755</v>
      </c>
      <c r="B754" s="81" t="str">
        <f t="shared" si="23"/>
        <v>Live in Kwangsi廣西人·情·味</v>
      </c>
      <c r="C754" s="80" t="s">
        <v>918</v>
      </c>
      <c r="D754" s="81" t="str">
        <f>HYPERLINK("https://youtube.com/watch?v=aCdz10ICPY0", "廣西民國大宅｜賀州市仁義鎮陶家大院（2019）")</f>
        <v>廣西民國大宅｜賀州市仁義鎮陶家大院（2019）</v>
      </c>
      <c r="E754" s="82">
        <v>43827.0</v>
      </c>
      <c r="F754" s="80">
        <v>632.0</v>
      </c>
      <c r="G754" s="80" t="s">
        <v>63</v>
      </c>
      <c r="H754" s="80" t="s">
        <v>63</v>
      </c>
      <c r="I754" s="80" t="s">
        <v>63</v>
      </c>
      <c r="J754" s="80">
        <v>2130.0</v>
      </c>
      <c r="K754" s="80">
        <v>0.992248062015503</v>
      </c>
      <c r="L754" s="80" t="s">
        <v>914</v>
      </c>
    </row>
    <row r="755">
      <c r="A755" s="80" t="s">
        <v>755</v>
      </c>
      <c r="B755" s="81" t="str">
        <f t="shared" si="23"/>
        <v>Live in Kwangsi廣西人·情·味</v>
      </c>
      <c r="C755" s="80" t="s">
        <v>919</v>
      </c>
      <c r="D755" s="81" t="str">
        <f>HYPERLINK("https://youtube.com/watch?v=MOGS7z07s4Y", "廣西潮店，藏在窄巷中的別緻餐廳⎢約會首選？（2019）")</f>
        <v>廣西潮店，藏在窄巷中的別緻餐廳⎢約會首選？（2019）</v>
      </c>
      <c r="E755" s="82">
        <v>43820.0</v>
      </c>
      <c r="F755" s="80">
        <v>258.0</v>
      </c>
      <c r="G755" s="80" t="s">
        <v>63</v>
      </c>
      <c r="H755" s="80" t="s">
        <v>63</v>
      </c>
      <c r="I755" s="80" t="s">
        <v>63</v>
      </c>
      <c r="J755" s="80">
        <v>988.0</v>
      </c>
      <c r="K755" s="80">
        <v>0.998988877654196</v>
      </c>
      <c r="L755" s="80" t="s">
        <v>914</v>
      </c>
    </row>
    <row r="756">
      <c r="A756" s="80" t="s">
        <v>755</v>
      </c>
      <c r="B756" s="81" t="str">
        <f t="shared" si="23"/>
        <v>Live in Kwangsi廣西人·情·味</v>
      </c>
      <c r="C756" s="80" t="s">
        <v>920</v>
      </c>
      <c r="D756" s="81" t="str">
        <f>HYPERLINK("https://youtube.com/watch?v=hX5vC2R4RAk", "粵語靚聲導航：廣西賀州鍾山縣鳳凰山村，堅本地人帶你睇廣西。（2019）")</f>
        <v>粵語靚聲導航：廣西賀州鍾山縣鳳凰山村，堅本地人帶你睇廣西。（2019）</v>
      </c>
      <c r="E756" s="82">
        <v>43816.0</v>
      </c>
      <c r="F756" s="80">
        <v>689.0</v>
      </c>
      <c r="G756" s="80" t="s">
        <v>63</v>
      </c>
      <c r="I756" s="80" t="s">
        <v>63</v>
      </c>
      <c r="J756" s="80">
        <v>2066.0</v>
      </c>
      <c r="K756" s="80">
        <v>0.975909305621162</v>
      </c>
      <c r="L756" s="80" t="s">
        <v>91</v>
      </c>
    </row>
    <row r="757">
      <c r="A757" s="80" t="s">
        <v>755</v>
      </c>
      <c r="B757" s="81" t="str">
        <f t="shared" si="23"/>
        <v>Live in Kwangsi廣西人·情·味</v>
      </c>
      <c r="C757" s="80" t="s">
        <v>921</v>
      </c>
      <c r="D757" s="81" t="str">
        <f>HYPERLINK("https://youtube.com/watch?v=XrkN9_gtRyY", "玉林（鬱林）台淺談玉林話正音")</f>
        <v>玉林（鬱林）台淺談玉林話正音</v>
      </c>
      <c r="E757" s="82">
        <v>43811.0</v>
      </c>
      <c r="F757" s="80">
        <v>1205.0</v>
      </c>
      <c r="G757" s="80" t="s">
        <v>63</v>
      </c>
      <c r="I757" s="80" t="s">
        <v>63</v>
      </c>
      <c r="J757" s="80">
        <v>1422.0</v>
      </c>
      <c r="K757" s="80">
        <v>0.889305816135084</v>
      </c>
      <c r="L757" s="80" t="s">
        <v>757</v>
      </c>
    </row>
    <row r="758">
      <c r="A758" s="80" t="s">
        <v>755</v>
      </c>
      <c r="B758" s="81" t="str">
        <f t="shared" si="23"/>
        <v>Live in Kwangsi廣西人·情·味</v>
      </c>
      <c r="C758" s="80" t="s">
        <v>922</v>
      </c>
      <c r="D758" s="81" t="str">
        <f>HYPERLINK("https://youtube.com/watch?v=SYg1M_ylr00", "電單車旅行，廣西至湖南，兩地交界處有新驚喜！")</f>
        <v>電單車旅行，廣西至湖南，兩地交界處有新驚喜！</v>
      </c>
      <c r="E758" s="82">
        <v>43808.0</v>
      </c>
      <c r="F758" s="80">
        <v>753.0</v>
      </c>
      <c r="G758" s="80" t="s">
        <v>63</v>
      </c>
      <c r="H758" s="80" t="s">
        <v>63</v>
      </c>
      <c r="I758" s="80" t="s">
        <v>63</v>
      </c>
      <c r="J758" s="80">
        <v>1730.0</v>
      </c>
      <c r="K758" s="80">
        <v>0.996960486322188</v>
      </c>
      <c r="L758" s="80" t="s">
        <v>66</v>
      </c>
    </row>
    <row r="759">
      <c r="A759" s="80" t="s">
        <v>755</v>
      </c>
      <c r="B759" s="81" t="str">
        <f t="shared" si="23"/>
        <v>Live in Kwangsi廣西人·情·味</v>
      </c>
      <c r="C759" s="80" t="s">
        <v>923</v>
      </c>
      <c r="D759" s="81" t="str">
        <f>HYPERLINK("https://youtube.com/watch?v=xSSQvbf0dr4", "南寧話聲音檔案，北風同熱頭")</f>
        <v>南寧話聲音檔案，北風同熱頭</v>
      </c>
      <c r="E759" s="82">
        <v>43804.0</v>
      </c>
      <c r="F759" s="80">
        <v>134.0</v>
      </c>
      <c r="G759" s="80" t="s">
        <v>63</v>
      </c>
      <c r="I759" s="80" t="s">
        <v>63</v>
      </c>
      <c r="J759" s="80">
        <v>88.0</v>
      </c>
      <c r="K759" s="80">
        <v>1.0</v>
      </c>
      <c r="L759" s="80" t="s">
        <v>757</v>
      </c>
    </row>
    <row r="760">
      <c r="A760" s="80" t="s">
        <v>755</v>
      </c>
      <c r="B760" s="81" t="str">
        <f t="shared" si="23"/>
        <v>Live in Kwangsi廣西人·情·味</v>
      </c>
      <c r="C760" s="80" t="s">
        <v>924</v>
      </c>
      <c r="D760" s="81" t="str">
        <f>HYPERLINK("https://youtube.com/watch?v=FMbzyBXvJPI", "廣西玉林節目《玉林旗談》探秘寒山西麓")</f>
        <v>廣西玉林節目《玉林旗談》探秘寒山西麓</v>
      </c>
      <c r="E760" s="82">
        <v>43101.0</v>
      </c>
      <c r="F760" s="80">
        <v>1202.0</v>
      </c>
      <c r="G760" s="80" t="s">
        <v>63</v>
      </c>
      <c r="I760" s="80" t="s">
        <v>63</v>
      </c>
      <c r="J760" s="80">
        <v>392.0</v>
      </c>
      <c r="K760" s="80">
        <v>0.98</v>
      </c>
      <c r="L760" s="80" t="s">
        <v>757</v>
      </c>
    </row>
    <row r="761">
      <c r="A761" s="80" t="s">
        <v>755</v>
      </c>
      <c r="B761" s="81" t="str">
        <f t="shared" si="23"/>
        <v>Live in Kwangsi廣西人·情·味</v>
      </c>
      <c r="C761" s="80" t="s">
        <v>925</v>
      </c>
      <c r="D761" s="81" t="str">
        <f>HYPERLINK("https://youtube.com/watch?v=WBp6l1nDYV4", "廣西岑溪新聞《岑溪有嘢睇》2017年最後一期")</f>
        <v>廣西岑溪新聞《岑溪有嘢睇》2017年最後一期</v>
      </c>
      <c r="E761" s="82">
        <v>43101.0</v>
      </c>
      <c r="F761" s="80">
        <v>754.0</v>
      </c>
      <c r="G761" s="80" t="s">
        <v>63</v>
      </c>
      <c r="I761" s="80" t="s">
        <v>63</v>
      </c>
      <c r="J761" s="80">
        <v>1514.0</v>
      </c>
      <c r="K761" s="80">
        <v>0.981841763942931</v>
      </c>
      <c r="L761" s="80" t="s">
        <v>757</v>
      </c>
    </row>
    <row r="762">
      <c r="A762" s="80" t="s">
        <v>755</v>
      </c>
      <c r="B762" s="81" t="str">
        <f t="shared" si="23"/>
        <v>Live in Kwangsi廣西人·情·味</v>
      </c>
      <c r="C762" s="80" t="s">
        <v>926</v>
      </c>
      <c r="D762" s="81" t="str">
        <f>HYPERLINK("https://youtube.com/watch?v=w0QqqgRAgn8", "廣西各語言新年祝福及願望")</f>
        <v>廣西各語言新年祝福及願望</v>
      </c>
      <c r="E762" s="82">
        <v>43101.0</v>
      </c>
      <c r="F762" s="80">
        <v>112.0</v>
      </c>
      <c r="G762" s="80" t="s">
        <v>63</v>
      </c>
      <c r="I762" s="80" t="s">
        <v>63</v>
      </c>
      <c r="J762" s="80">
        <v>207.0</v>
      </c>
      <c r="K762" s="80">
        <v>0.8625</v>
      </c>
      <c r="L762" s="80" t="s">
        <v>757</v>
      </c>
    </row>
    <row r="763">
      <c r="A763" s="80" t="s">
        <v>755</v>
      </c>
      <c r="B763" s="81" t="str">
        <f t="shared" si="23"/>
        <v>Live in Kwangsi廣西人·情·味</v>
      </c>
      <c r="C763" s="80" t="s">
        <v>927</v>
      </c>
      <c r="D763" s="81" t="str">
        <f>HYPERLINK("https://youtube.com/watch?v=oPCGPr2hROE", "廣西梧州粵語節目《粵語趣談》")</f>
        <v>廣西梧州粵語節目《粵語趣談》</v>
      </c>
      <c r="E763" s="82">
        <v>43094.0</v>
      </c>
      <c r="F763" s="80">
        <v>657.0</v>
      </c>
      <c r="G763" s="80" t="s">
        <v>63</v>
      </c>
      <c r="I763" s="80" t="s">
        <v>63</v>
      </c>
      <c r="J763" s="80">
        <v>578.0</v>
      </c>
      <c r="K763" s="80">
        <v>0.960132890365448</v>
      </c>
      <c r="L763" s="80" t="s">
        <v>757</v>
      </c>
    </row>
    <row r="764">
      <c r="A764" s="80" t="s">
        <v>755</v>
      </c>
      <c r="B764" s="81" t="str">
        <f t="shared" si="23"/>
        <v>Live in Kwangsi廣西人·情·味</v>
      </c>
      <c r="C764" s="80" t="s">
        <v>928</v>
      </c>
      <c r="D764" s="81" t="str">
        <f>HYPERLINK("https://youtube.com/watch?v=bxs7jZcFRro", "領養代替購買廣西公益短片《我們眼中的你》")</f>
        <v>領養代替購買廣西公益短片《我們眼中的你》</v>
      </c>
      <c r="E764" s="82">
        <v>43070.0</v>
      </c>
      <c r="F764" s="80">
        <v>671.0</v>
      </c>
      <c r="G764" s="80" t="s">
        <v>63</v>
      </c>
      <c r="I764" s="80" t="s">
        <v>63</v>
      </c>
      <c r="J764" s="80">
        <v>588.0</v>
      </c>
      <c r="K764" s="80">
        <v>0.882882882882882</v>
      </c>
      <c r="L764" s="80" t="s">
        <v>757</v>
      </c>
    </row>
    <row r="765">
      <c r="A765" s="80" t="s">
        <v>755</v>
      </c>
      <c r="B765" s="81" t="str">
        <f t="shared" si="23"/>
        <v>Live in Kwangsi廣西人·情·味</v>
      </c>
      <c r="C765" s="80" t="s">
        <v>929</v>
      </c>
      <c r="D765" s="81" t="str">
        <f>HYPERLINK("https://youtube.com/watch?v=vYzvxlHGOUo", "廣西梧州創意短片《齡值》")</f>
        <v>廣西梧州創意短片《齡值》</v>
      </c>
      <c r="E765" s="82">
        <v>43069.0</v>
      </c>
      <c r="F765" s="80">
        <v>409.0</v>
      </c>
      <c r="G765" s="80" t="s">
        <v>63</v>
      </c>
      <c r="I765" s="80" t="s">
        <v>63</v>
      </c>
      <c r="J765" s="80">
        <v>207.0</v>
      </c>
      <c r="K765" s="80">
        <v>0.995192307692307</v>
      </c>
      <c r="L765" s="80" t="s">
        <v>757</v>
      </c>
    </row>
    <row r="766">
      <c r="A766" s="80" t="s">
        <v>755</v>
      </c>
      <c r="B766" s="81" t="str">
        <f t="shared" si="23"/>
        <v>Live in Kwangsi廣西人·情·味</v>
      </c>
      <c r="C766" s="80" t="s">
        <v>930</v>
      </c>
      <c r="D766" s="81" t="str">
        <f>HYPERLINK("https://youtube.com/watch?v=V-uNh-jEUig", "廣西禁毒一等獎作品")</f>
        <v>廣西禁毒一等獎作品</v>
      </c>
      <c r="E766" s="82">
        <v>43069.0</v>
      </c>
      <c r="F766" s="80">
        <v>293.0</v>
      </c>
      <c r="G766" s="80" t="s">
        <v>63</v>
      </c>
      <c r="I766" s="80" t="s">
        <v>63</v>
      </c>
      <c r="J766" s="80">
        <v>200.0</v>
      </c>
      <c r="K766" s="80">
        <v>0.980392156862745</v>
      </c>
      <c r="L766" s="80" t="s">
        <v>757</v>
      </c>
    </row>
    <row r="767">
      <c r="A767" s="80" t="s">
        <v>755</v>
      </c>
      <c r="B767" s="81" t="str">
        <f t="shared" si="23"/>
        <v>Live in Kwangsi廣西人·情·味</v>
      </c>
      <c r="C767" s="80" t="s">
        <v>931</v>
      </c>
      <c r="D767" s="81" t="str">
        <f>HYPERLINK("https://youtube.com/watch?v=r8j91QNVJhQ", "南寧釣魚公涼茶檔")</f>
        <v>南寧釣魚公涼茶檔</v>
      </c>
      <c r="E767" s="82">
        <v>42930.0</v>
      </c>
      <c r="F767" s="80">
        <v>306.0</v>
      </c>
      <c r="G767" s="80" t="s">
        <v>63</v>
      </c>
      <c r="I767" s="80" t="s">
        <v>63</v>
      </c>
      <c r="J767" s="80">
        <v>360.0</v>
      </c>
      <c r="K767" s="80">
        <v>0.983606557377049</v>
      </c>
      <c r="L767" s="80" t="s">
        <v>757</v>
      </c>
    </row>
    <row r="768">
      <c r="A768" s="80" t="s">
        <v>755</v>
      </c>
      <c r="B768" s="81" t="str">
        <f t="shared" si="23"/>
        <v>Live in Kwangsi廣西人·情·味</v>
      </c>
      <c r="C768" s="80" t="s">
        <v>932</v>
      </c>
      <c r="D768" s="81" t="str">
        <f>HYPERLINK("https://youtube.com/watch?v=2sS5ql3RoHo", "廣東連山潑水節")</f>
        <v>廣東連山潑水節</v>
      </c>
      <c r="E768" s="82">
        <v>42719.0</v>
      </c>
      <c r="F768" s="80">
        <v>73.0</v>
      </c>
      <c r="G768" s="80" t="s">
        <v>63</v>
      </c>
      <c r="I768" s="80" t="s">
        <v>63</v>
      </c>
      <c r="J768" s="80">
        <v>74.0</v>
      </c>
      <c r="K768" s="80">
        <v>1.0</v>
      </c>
      <c r="L768" s="80" t="s">
        <v>757</v>
      </c>
    </row>
    <row r="769">
      <c r="A769" s="80" t="s">
        <v>755</v>
      </c>
      <c r="B769" s="81" t="str">
        <f t="shared" si="23"/>
        <v>Live in Kwangsi廣西人·情·味</v>
      </c>
      <c r="C769" s="80" t="s">
        <v>933</v>
      </c>
      <c r="D769" s="81" t="str">
        <f>HYPERLINK("https://youtube.com/watch?v=gxlWVVIJmY8", "友女有嘢講之歐洲盃")</f>
        <v>友女有嘢講之歐洲盃</v>
      </c>
      <c r="E769" s="82">
        <v>42549.0</v>
      </c>
      <c r="F769" s="80">
        <v>171.0</v>
      </c>
      <c r="G769" s="80" t="s">
        <v>63</v>
      </c>
      <c r="I769" s="80" t="s">
        <v>63</v>
      </c>
      <c r="J769" s="80">
        <v>285.0</v>
      </c>
      <c r="K769" s="80">
        <v>0.993031358885017</v>
      </c>
      <c r="L769" s="80" t="s">
        <v>757</v>
      </c>
    </row>
    <row r="770">
      <c r="A770" s="80" t="s">
        <v>755</v>
      </c>
      <c r="B770" s="81" t="str">
        <f t="shared" si="23"/>
        <v>Live in Kwangsi廣西人·情·味</v>
      </c>
      <c r="C770" s="80" t="s">
        <v>934</v>
      </c>
      <c r="D770" s="81" t="str">
        <f>HYPERLINK("https://youtube.com/watch?v=rdDh89i8Ju4", "友女有嘢講之離婚女人")</f>
        <v>友女有嘢講之離婚女人</v>
      </c>
      <c r="E770" s="82">
        <v>42546.0</v>
      </c>
      <c r="F770" s="80">
        <v>164.0</v>
      </c>
      <c r="G770" s="80" t="s">
        <v>63</v>
      </c>
      <c r="I770" s="80" t="s">
        <v>63</v>
      </c>
      <c r="J770" s="80">
        <v>323.0</v>
      </c>
      <c r="K770" s="80">
        <v>0.996913580246913</v>
      </c>
      <c r="L770" s="80" t="s">
        <v>757</v>
      </c>
    </row>
    <row r="771">
      <c r="A771" s="80" t="s">
        <v>755</v>
      </c>
      <c r="B771" s="81" t="str">
        <f t="shared" si="23"/>
        <v>Live in Kwangsi廣西人·情·味</v>
      </c>
      <c r="C771" s="80" t="s">
        <v>935</v>
      </c>
      <c r="D771" s="81" t="str">
        <f>HYPERLINK("https://youtube.com/watch?v=LpzdiB1DBYs", "南寧電視臺《南寧小故王》宣傳")</f>
        <v>南寧電視臺《南寧小故王》宣傳</v>
      </c>
      <c r="E771" s="82">
        <v>42528.0</v>
      </c>
      <c r="F771" s="80">
        <v>46.0</v>
      </c>
      <c r="G771" s="80" t="s">
        <v>63</v>
      </c>
      <c r="I771" s="80" t="s">
        <v>63</v>
      </c>
      <c r="J771" s="80">
        <v>8.0</v>
      </c>
      <c r="K771" s="80">
        <v>1.0</v>
      </c>
      <c r="L771" s="80" t="s">
        <v>757</v>
      </c>
    </row>
    <row r="772">
      <c r="A772" s="80" t="s">
        <v>755</v>
      </c>
      <c r="B772" s="81" t="str">
        <f t="shared" si="23"/>
        <v>Live in Kwangsi廣西人·情·味</v>
      </c>
      <c r="C772" s="80" t="s">
        <v>936</v>
      </c>
      <c r="D772" s="81" t="str">
        <f>HYPERLINK("https://youtube.com/watch?v=5nerYzvlEsg", "南寧妹王鷗同妳講啲愛情夜話")</f>
        <v>南寧妹王鷗同妳講啲愛情夜話</v>
      </c>
      <c r="E772" s="82">
        <v>42377.0</v>
      </c>
      <c r="F772" s="80">
        <v>80.0</v>
      </c>
      <c r="G772" s="80" t="s">
        <v>63</v>
      </c>
      <c r="I772" s="80" t="s">
        <v>63</v>
      </c>
      <c r="J772" s="80">
        <v>27.0</v>
      </c>
      <c r="K772" s="80">
        <v>1.0</v>
      </c>
      <c r="L772" s="80" t="s">
        <v>757</v>
      </c>
    </row>
    <row r="773">
      <c r="A773" s="80" t="s">
        <v>755</v>
      </c>
      <c r="B773" s="81" t="str">
        <f t="shared" si="23"/>
        <v>Live in Kwangsi廣西人·情·味</v>
      </c>
      <c r="C773" s="80" t="s">
        <v>937</v>
      </c>
      <c r="D773" s="81" t="str">
        <f>HYPERLINK("https://youtube.com/watch?v=Y9to5qNEhl0", "外媒介紹香港")</f>
        <v>外媒介紹香港</v>
      </c>
      <c r="E773" s="82">
        <v>42369.0</v>
      </c>
      <c r="F773" s="80">
        <v>940.0</v>
      </c>
      <c r="G773" s="80" t="s">
        <v>63</v>
      </c>
      <c r="I773" s="80" t="s">
        <v>63</v>
      </c>
      <c r="J773" s="80">
        <v>2491.0</v>
      </c>
      <c r="K773" s="80">
        <v>0.998396793587174</v>
      </c>
      <c r="L773" s="80" t="s">
        <v>757</v>
      </c>
    </row>
    <row r="774">
      <c r="A774" s="80" t="s">
        <v>755</v>
      </c>
      <c r="B774" s="81" t="str">
        <f t="shared" si="23"/>
        <v>Live in Kwangsi廣西人·情·味</v>
      </c>
      <c r="C774" s="80" t="s">
        <v>938</v>
      </c>
      <c r="D774" s="81" t="str">
        <f>HYPERLINK("https://youtube.com/watch?v=cIeXXIzCPs4", "兩廣同宗同源、同聲同氣")</f>
        <v>兩廣同宗同源、同聲同氣</v>
      </c>
      <c r="E774" s="82">
        <v>42367.0</v>
      </c>
      <c r="F774" s="80">
        <v>179.0</v>
      </c>
      <c r="G774" s="80" t="s">
        <v>63</v>
      </c>
      <c r="I774" s="80" t="s">
        <v>63</v>
      </c>
      <c r="J774" s="80">
        <v>244.0</v>
      </c>
      <c r="K774" s="80">
        <v>1.0</v>
      </c>
      <c r="L774" s="80" t="s">
        <v>757</v>
      </c>
    </row>
    <row r="775">
      <c r="A775" s="80" t="s">
        <v>755</v>
      </c>
      <c r="B775" s="81" t="str">
        <f t="shared" si="23"/>
        <v>Live in Kwangsi廣西人·情·味</v>
      </c>
      <c r="C775" s="80" t="s">
        <v>939</v>
      </c>
      <c r="D775" s="81" t="str">
        <f>HYPERLINK("https://youtube.com/watch?v=oCf3Yh13Vrg", "訪問一個喺南寧開飲食舖嘅香港人")</f>
        <v>訪問一個喺南寧開飲食舖嘅香港人</v>
      </c>
      <c r="E775" s="82">
        <v>42366.0</v>
      </c>
      <c r="F775" s="80">
        <v>810.0</v>
      </c>
      <c r="G775" s="80" t="s">
        <v>63</v>
      </c>
      <c r="I775" s="80" t="s">
        <v>63</v>
      </c>
      <c r="J775" s="80">
        <v>355.0</v>
      </c>
      <c r="K775" s="80">
        <v>1.0</v>
      </c>
      <c r="L775" s="80" t="s">
        <v>757</v>
      </c>
    </row>
    <row r="776">
      <c r="A776" s="80" t="s">
        <v>755</v>
      </c>
      <c r="B776" s="81" t="str">
        <f t="shared" si="23"/>
        <v>Live in Kwangsi廣西人·情·味</v>
      </c>
      <c r="C776" s="80" t="s">
        <v>940</v>
      </c>
      <c r="D776" s="81" t="str">
        <f>HYPERLINK("https://youtube.com/watch?v=MEzJJS-vfM8", "廣西人、南寧人醒啲啦！")</f>
        <v>廣西人、南寧人醒啲啦！</v>
      </c>
      <c r="E776" s="82">
        <v>42304.0</v>
      </c>
      <c r="F776" s="80">
        <v>932.0</v>
      </c>
      <c r="G776" s="80" t="s">
        <v>63</v>
      </c>
      <c r="I776" s="80" t="s">
        <v>63</v>
      </c>
      <c r="J776" s="80">
        <v>408.0</v>
      </c>
      <c r="K776" s="80">
        <v>0.987893462469733</v>
      </c>
      <c r="L776" s="80" t="s">
        <v>757</v>
      </c>
    </row>
    <row r="777">
      <c r="A777" s="80" t="s">
        <v>755</v>
      </c>
      <c r="B777" s="81" t="str">
        <f t="shared" si="23"/>
        <v>Live in Kwangsi廣西人·情·味</v>
      </c>
      <c r="C777" s="80" t="s">
        <v>941</v>
      </c>
      <c r="D777" s="81" t="str">
        <f>HYPERLINK("https://youtube.com/watch?v=ljcfLfS3ySY", "廣西賀州黃姚古鎮遊")</f>
        <v>廣西賀州黃姚古鎮遊</v>
      </c>
      <c r="E777" s="82">
        <v>42233.0</v>
      </c>
      <c r="F777" s="80">
        <v>195.0</v>
      </c>
      <c r="G777" s="80" t="s">
        <v>63</v>
      </c>
      <c r="I777" s="80" t="s">
        <v>63</v>
      </c>
      <c r="J777" s="80">
        <v>29.0</v>
      </c>
      <c r="K777" s="80">
        <v>1.0</v>
      </c>
      <c r="L777" s="80" t="s">
        <v>757</v>
      </c>
    </row>
    <row r="778">
      <c r="A778" s="80" t="s">
        <v>755</v>
      </c>
      <c r="B778" s="81" t="str">
        <f t="shared" si="23"/>
        <v>Live in Kwangsi廣西人·情·味</v>
      </c>
      <c r="C778" s="80" t="s">
        <v>942</v>
      </c>
      <c r="D778" s="81" t="str">
        <f>HYPERLINK("https://youtube.com/watch?v=ub28AZYCgus", "南寧僮族陸sir有嘢講")</f>
        <v>南寧僮族陸sir有嘢講</v>
      </c>
      <c r="E778" s="82">
        <v>42210.0</v>
      </c>
      <c r="F778" s="80">
        <v>278.0</v>
      </c>
      <c r="G778" s="80" t="s">
        <v>63</v>
      </c>
      <c r="I778" s="80" t="s">
        <v>63</v>
      </c>
      <c r="J778" s="80">
        <v>535.0</v>
      </c>
      <c r="K778" s="80">
        <v>0.992578849721706</v>
      </c>
      <c r="L778" s="80" t="s">
        <v>757</v>
      </c>
    </row>
    <row r="779">
      <c r="A779" s="80" t="s">
        <v>755</v>
      </c>
      <c r="B779" s="81" t="str">
        <f t="shared" si="23"/>
        <v>Live in Kwangsi廣西人·情·味</v>
      </c>
      <c r="C779" s="80" t="s">
        <v>943</v>
      </c>
      <c r="D779" s="81" t="str">
        <f>HYPERLINK("https://youtube.com/watch?v=xeLofnD3QLA", "南寧江南水街行")</f>
        <v>南寧江南水街行</v>
      </c>
      <c r="E779" s="82">
        <v>42209.0</v>
      </c>
      <c r="F779" s="80">
        <v>106.0</v>
      </c>
      <c r="G779" s="80" t="s">
        <v>63</v>
      </c>
      <c r="I779" s="80" t="s">
        <v>63</v>
      </c>
      <c r="J779" s="80">
        <v>243.0</v>
      </c>
      <c r="K779" s="80">
        <v>1.0</v>
      </c>
      <c r="L779" s="80" t="s">
        <v>757</v>
      </c>
    </row>
    <row r="780">
      <c r="A780" s="80" t="s">
        <v>755</v>
      </c>
      <c r="B780" s="81" t="str">
        <f t="shared" si="23"/>
        <v>Live in Kwangsi廣西人·情·味</v>
      </c>
      <c r="C780" s="80" t="s">
        <v>944</v>
      </c>
      <c r="D780" s="81" t="str">
        <f>HYPERLINK("https://youtube.com/watch?v=w_zL77gtktI", "廣西近年重現粵語新聞《新聞有料到》20150706第一期")</f>
        <v>廣西近年重現粵語新聞《新聞有料到》20150706第一期</v>
      </c>
      <c r="E780" s="82">
        <v>42197.0</v>
      </c>
      <c r="F780" s="80">
        <v>1605.0</v>
      </c>
      <c r="G780" s="80" t="s">
        <v>63</v>
      </c>
      <c r="I780" s="80" t="s">
        <v>63</v>
      </c>
      <c r="J780" s="80">
        <v>2834.0</v>
      </c>
      <c r="K780" s="80">
        <v>0.997887323943662</v>
      </c>
      <c r="L780" s="80" t="s">
        <v>757</v>
      </c>
    </row>
    <row r="781">
      <c r="A781" s="80" t="s">
        <v>755</v>
      </c>
      <c r="B781" s="81" t="str">
        <f t="shared" si="23"/>
        <v>Live in Kwangsi廣西人·情·味</v>
      </c>
      <c r="C781" s="80" t="s">
        <v>945</v>
      </c>
      <c r="D781" s="81" t="str">
        <f>HYPERLINK("https://youtube.com/watch?v=yEfHuptyxVA", "《山明水秀話南寧（二）》")</f>
        <v>《山明水秀話南寧（二）》</v>
      </c>
      <c r="E781" s="82">
        <v>42096.0</v>
      </c>
      <c r="F781" s="80">
        <v>382.0</v>
      </c>
      <c r="G781" s="80" t="s">
        <v>63</v>
      </c>
      <c r="I781" s="80" t="s">
        <v>63</v>
      </c>
      <c r="J781" s="80">
        <v>126.0</v>
      </c>
      <c r="K781" s="80">
        <v>1.0</v>
      </c>
      <c r="L781" s="80" t="s">
        <v>757</v>
      </c>
    </row>
    <row r="782">
      <c r="A782" s="80" t="s">
        <v>755</v>
      </c>
      <c r="B782" s="81" t="str">
        <f t="shared" si="23"/>
        <v>Live in Kwangsi廣西人·情·味</v>
      </c>
      <c r="C782" s="80" t="s">
        <v>946</v>
      </c>
      <c r="D782" s="81" t="str">
        <f>HYPERLINK("https://youtube.com/watch?v=l6cUd3F_8qw", "《山明水秀話南寧（一）》")</f>
        <v>《山明水秀話南寧（一）》</v>
      </c>
      <c r="E782" s="82">
        <v>42096.0</v>
      </c>
      <c r="F782" s="80">
        <v>322.0</v>
      </c>
      <c r="G782" s="80" t="s">
        <v>63</v>
      </c>
      <c r="I782" s="80" t="s">
        <v>63</v>
      </c>
      <c r="J782" s="80">
        <v>91.0</v>
      </c>
      <c r="K782" s="80">
        <v>1.0</v>
      </c>
      <c r="L782" s="80" t="s">
        <v>757</v>
      </c>
    </row>
    <row r="783">
      <c r="A783" s="80" t="s">
        <v>755</v>
      </c>
      <c r="B783" s="81" t="str">
        <f t="shared" si="23"/>
        <v>Live in Kwangsi廣西人·情·味</v>
      </c>
      <c r="C783" s="80" t="s">
        <v>947</v>
      </c>
      <c r="D783" s="81" t="str">
        <f>HYPERLINK("https://youtube.com/watch?v=ndgUXtEfq2Y", "千嬅為新戲赴邕宣傳")</f>
        <v>千嬅為新戲赴邕宣傳</v>
      </c>
      <c r="E783" s="82">
        <v>42090.0</v>
      </c>
      <c r="F783" s="80">
        <v>28.0</v>
      </c>
      <c r="G783" s="80" t="s">
        <v>63</v>
      </c>
      <c r="I783" s="80" t="s">
        <v>63</v>
      </c>
      <c r="J783" s="80">
        <v>121.0</v>
      </c>
      <c r="K783" s="80">
        <v>1.0</v>
      </c>
      <c r="L783" s="80" t="s">
        <v>757</v>
      </c>
    </row>
    <row r="784">
      <c r="A784" s="80" t="s">
        <v>755</v>
      </c>
      <c r="B784" s="81" t="str">
        <f t="shared" si="23"/>
        <v>Live in Kwangsi廣西人·情·味</v>
      </c>
      <c r="C784" s="80" t="s">
        <v>948</v>
      </c>
      <c r="D784" s="81" t="str">
        <f>HYPERLINK("https://youtube.com/watch?v=BjQGScdIJK8", "廣西百色電視台紀錄片《百色故事之百色白話》")</f>
        <v>廣西百色電視台紀錄片《百色故事之百色白話》</v>
      </c>
      <c r="E784" s="82">
        <v>42052.0</v>
      </c>
      <c r="F784" s="80">
        <v>750.0</v>
      </c>
      <c r="G784" s="80" t="s">
        <v>63</v>
      </c>
      <c r="I784" s="80" t="s">
        <v>63</v>
      </c>
      <c r="J784" s="80">
        <v>608.0</v>
      </c>
      <c r="K784" s="80">
        <v>0.877344877344877</v>
      </c>
      <c r="L784" s="80" t="s">
        <v>757</v>
      </c>
    </row>
    <row r="785">
      <c r="A785" s="80" t="s">
        <v>755</v>
      </c>
      <c r="B785" s="81" t="str">
        <f t="shared" si="23"/>
        <v>Live in Kwangsi廣西人·情·味</v>
      </c>
      <c r="C785" s="80" t="s">
        <v>949</v>
      </c>
      <c r="D785" s="81" t="str">
        <f>HYPERLINK("https://youtube.com/watch?v=MDWmfdwJZLM", "南寧粵語節目《老友傾偈之講古》第一期")</f>
        <v>南寧粵語節目《老友傾偈之講古》第一期</v>
      </c>
      <c r="E785" s="82">
        <v>41999.0</v>
      </c>
      <c r="F785" s="80">
        <v>1826.0</v>
      </c>
      <c r="G785" s="80" t="s">
        <v>63</v>
      </c>
      <c r="I785" s="80" t="s">
        <v>63</v>
      </c>
      <c r="J785" s="80">
        <v>390.0</v>
      </c>
      <c r="K785" s="80">
        <v>0.997442455242966</v>
      </c>
      <c r="L785" s="80" t="s">
        <v>757</v>
      </c>
    </row>
    <row r="786">
      <c r="A786" s="80" t="s">
        <v>755</v>
      </c>
      <c r="B786" s="81" t="str">
        <f t="shared" si="23"/>
        <v>Live in Kwangsi廣西人·情·味</v>
      </c>
      <c r="C786" s="80" t="s">
        <v>950</v>
      </c>
      <c r="D786" s="81" t="str">
        <f>HYPERLINK("https://youtube.com/watch?v=FezAZOyOZCw", "梧州台《民生老友記》2014.12.27")</f>
        <v>梧州台《民生老友記》2014.12.27</v>
      </c>
      <c r="E786" s="82">
        <v>41999.0</v>
      </c>
      <c r="F786" s="80">
        <v>1773.0</v>
      </c>
      <c r="G786" s="80" t="s">
        <v>63</v>
      </c>
      <c r="I786" s="80" t="s">
        <v>63</v>
      </c>
      <c r="J786" s="80">
        <v>5046.0</v>
      </c>
      <c r="K786" s="80">
        <v>0.989411764705882</v>
      </c>
      <c r="L786" s="80" t="s">
        <v>757</v>
      </c>
    </row>
    <row r="787">
      <c r="A787" s="80" t="s">
        <v>755</v>
      </c>
      <c r="B787" s="81" t="str">
        <f t="shared" si="23"/>
        <v>Live in Kwangsi廣西人·情·味</v>
      </c>
      <c r="C787" s="80" t="s">
        <v>951</v>
      </c>
      <c r="D787" s="81" t="str">
        <f>HYPERLINK("https://youtube.com/watch?v=zQLHEqEWL_M", "港男、北海仔對梧州感受")</f>
        <v>港男、北海仔對梧州感受</v>
      </c>
      <c r="E787" s="82">
        <v>41981.0</v>
      </c>
      <c r="F787" s="80">
        <v>469.0</v>
      </c>
      <c r="G787" s="80" t="s">
        <v>63</v>
      </c>
      <c r="I787" s="80" t="s">
        <v>63</v>
      </c>
      <c r="J787" s="80">
        <v>888.0</v>
      </c>
      <c r="K787" s="80">
        <v>0.96</v>
      </c>
      <c r="L787" s="80" t="s">
        <v>757</v>
      </c>
    </row>
    <row r="788">
      <c r="A788" s="80" t="s">
        <v>755</v>
      </c>
      <c r="B788" s="81" t="str">
        <f t="shared" si="23"/>
        <v>Live in Kwangsi廣西人·情·味</v>
      </c>
      <c r="C788" s="80" t="s">
        <v>952</v>
      </c>
      <c r="D788" s="81" t="str">
        <f>HYPERLINK("https://youtube.com/watch?v=NPY46notpos", "梧州《古郡尋夢》")</f>
        <v>梧州《古郡尋夢》</v>
      </c>
      <c r="E788" s="82">
        <v>41901.0</v>
      </c>
      <c r="F788" s="80">
        <v>630.0</v>
      </c>
      <c r="G788" s="80" t="s">
        <v>63</v>
      </c>
      <c r="I788" s="80" t="s">
        <v>63</v>
      </c>
      <c r="J788" s="80">
        <v>702.0</v>
      </c>
      <c r="K788" s="80">
        <v>0.984572230014025</v>
      </c>
      <c r="L788" s="80" t="s">
        <v>757</v>
      </c>
    </row>
    <row r="789">
      <c r="A789" s="80" t="s">
        <v>755</v>
      </c>
      <c r="B789" s="81" t="str">
        <f t="shared" si="23"/>
        <v>Live in Kwangsi廣西人·情·味</v>
      </c>
      <c r="C789" s="80" t="s">
        <v>953</v>
      </c>
      <c r="D789" s="81" t="str">
        <f>HYPERLINK("https://youtube.com/watch?v=gJXn2XBllEo", "廣西粵語現狀《不願講白話的孩子》")</f>
        <v>廣西粵語現狀《不願講白話的孩子》</v>
      </c>
      <c r="E789" s="82">
        <v>41883.0</v>
      </c>
      <c r="F789" s="80">
        <v>1431.0</v>
      </c>
      <c r="G789" s="80" t="s">
        <v>63</v>
      </c>
      <c r="I789" s="80" t="s">
        <v>63</v>
      </c>
      <c r="J789" s="80">
        <v>1045.0</v>
      </c>
      <c r="K789" s="80">
        <v>0.956084172003659</v>
      </c>
      <c r="L789" s="80" t="s">
        <v>757</v>
      </c>
    </row>
    <row r="790">
      <c r="A790" s="80" t="s">
        <v>954</v>
      </c>
      <c r="B790" s="81" t="str">
        <f>HYPERLINK("https://www.youtube.com/channel/UCsT0YIqwnpJCM-mx7-gSA4Q", "TEDx Talks")</f>
        <v>TEDx Talks</v>
      </c>
      <c r="C790" s="80" t="s">
        <v>955</v>
      </c>
      <c r="D790" s="81" t="str">
        <f>HYPERLINK("https://youtube.com/watch?v=OIJOa7kEViw", "语有荣焉 In Honour of Languages | 黄啟灝 Ooi Kee How | TEDxPetalingStreet")</f>
        <v>语有荣焉 In Honour of Languages | 黄啟灝 Ooi Kee How | TEDxPetalingStreet</v>
      </c>
      <c r="E790" s="82">
        <v>42020.0</v>
      </c>
      <c r="F790" s="80">
        <v>1008.0</v>
      </c>
      <c r="G790" s="80" t="s">
        <v>63</v>
      </c>
      <c r="I790" s="80" t="s">
        <v>63</v>
      </c>
      <c r="J790" s="80">
        <v>3937.0</v>
      </c>
      <c r="K790" s="80">
        <v>0.878010704727921</v>
      </c>
      <c r="L790" s="80" t="s">
        <v>64</v>
      </c>
    </row>
    <row r="791">
      <c r="A791" s="80" t="s">
        <v>61</v>
      </c>
      <c r="B791" s="81" t="str">
        <f>HYPERLINK("https://www.youtube.com/channel/UCJ4XVrJuqKHbc9yF9oUFseg", "MEeeep More")</f>
        <v>MEeeep More</v>
      </c>
      <c r="C791" s="80" t="s">
        <v>956</v>
      </c>
      <c r="D791" s="81" t="str">
        <f>HYPERLINK("https://youtube.com/watch?v=CkE8Gbl8OGw", "【5G】5G 服務咁多嘢玩！VR 技術 24 bit 串流即時睇！ HKT 1010 csl 5G Galaxy S20 5G")</f>
        <v>【5G】5G 服務咁多嘢玩！VR 技術 24 bit 串流即時睇！ HKT 1010 csl 5G Galaxy S20 5G</v>
      </c>
      <c r="E791" s="82">
        <v>43917.0</v>
      </c>
      <c r="F791" s="80">
        <v>162.0</v>
      </c>
      <c r="G791" s="80" t="s">
        <v>63</v>
      </c>
      <c r="I791" s="80" t="s">
        <v>63</v>
      </c>
      <c r="J791" s="80">
        <v>480.0</v>
      </c>
      <c r="K791" s="80">
        <v>0.814940577249575</v>
      </c>
      <c r="L791" s="80" t="s">
        <v>64</v>
      </c>
    </row>
    <row r="792">
      <c r="A792" s="80" t="s">
        <v>957</v>
      </c>
      <c r="B792" s="81" t="str">
        <f>HYPERLINK("https://www.youtube.com/channel/UCNdV5VO81YBe5rfhOz1wRmA", "Con爆TV")</f>
        <v>Con爆TV</v>
      </c>
      <c r="C792" s="80" t="s">
        <v>958</v>
      </c>
      <c r="D792" s="81" t="str">
        <f>HYPERLINK("https://youtube.com/watch?v=xf3KoRroAgY", "【PAD/Puzzle &amp; Dragons パズドラ】PAD回復強勢迎接7周年! 最新財報力證PAD回鍋熱潮、2018年手遊課金排行榜柝局")</f>
        <v>【PAD/Puzzle &amp; Dragons パズドラ】PAD回復強勢迎接7周年! 最新財報力證PAD回鍋熱潮、2018年手遊課金排行榜柝局</v>
      </c>
      <c r="E792" s="82">
        <v>43508.0</v>
      </c>
      <c r="F792" s="80">
        <v>827.0</v>
      </c>
      <c r="G792" s="80" t="s">
        <v>63</v>
      </c>
      <c r="H792" s="80" t="s">
        <v>63</v>
      </c>
      <c r="I792" s="80" t="s">
        <v>63</v>
      </c>
      <c r="J792" s="80">
        <v>3087.0</v>
      </c>
      <c r="K792" s="80">
        <v>0.883098186006334</v>
      </c>
      <c r="L792" s="80" t="s">
        <v>959</v>
      </c>
    </row>
    <row r="793">
      <c r="A793" s="80" t="s">
        <v>960</v>
      </c>
      <c r="B793" s="81" t="str">
        <f>HYPERLINK("https://www.youtube.com/channel/UCXf8jlTSP9kp6g4ROCfgvbQ", "堅離地球・沈旭暉・馮智政")</f>
        <v>堅離地球・沈旭暉・馮智政</v>
      </c>
      <c r="C793" s="80" t="s">
        <v>961</v>
      </c>
      <c r="D793" s="81" t="str">
        <f>HYPERLINK("https://youtube.com/watch?v=266GGMmzMrg", "【堅離地傾．沈旭暉 040💬】歐陽偉豪：保育廣東話：香港人的最後防線")</f>
        <v>【堅離地傾．沈旭暉 040💬】歐陽偉豪：保育廣東話：香港人的最後防線</v>
      </c>
      <c r="E793" s="82">
        <v>44082.0</v>
      </c>
      <c r="F793" s="80">
        <v>1190.0</v>
      </c>
      <c r="G793" s="80" t="s">
        <v>63</v>
      </c>
      <c r="H793" s="80" t="s">
        <v>63</v>
      </c>
      <c r="I793" s="80" t="s">
        <v>63</v>
      </c>
      <c r="J793" s="80">
        <v>5142.0</v>
      </c>
      <c r="K793" s="80">
        <v>0.963760612963346</v>
      </c>
      <c r="L793" s="80" t="s">
        <v>240</v>
      </c>
    </row>
    <row r="794">
      <c r="A794" s="80" t="s">
        <v>962</v>
      </c>
      <c r="B794" s="81" t="str">
        <f>HYPERLINK("https://www.youtube.com/channel/UCmdnX8KiF_5ZVmJXNhOXUtw", "foursonproduction")</f>
        <v>foursonproduction</v>
      </c>
      <c r="C794" s="80" t="s">
        <v>963</v>
      </c>
      <c r="D794" s="81" t="str">
        <f>HYPERLINK("https://youtube.com/watch?v=26k1o-g_Uic", "《我的HEHE室友》S2E7：「阿榮只是Steven以前的炮友而已啊，呵呵！」")</f>
        <v>《我的HEHE室友》S2E7：「阿榮只是Steven以前的炮友而已啊，呵呵！」</v>
      </c>
      <c r="E794" s="82">
        <v>44084.0</v>
      </c>
      <c r="F794" s="80">
        <v>945.0</v>
      </c>
      <c r="G794" s="80" t="s">
        <v>63</v>
      </c>
      <c r="I794" s="80" t="s">
        <v>63</v>
      </c>
      <c r="J794" s="80">
        <v>2716.0</v>
      </c>
      <c r="K794" s="80">
        <v>0.92822966507177</v>
      </c>
      <c r="L794" s="80" t="s">
        <v>64</v>
      </c>
    </row>
    <row r="795">
      <c r="A795" s="80" t="s">
        <v>61</v>
      </c>
      <c r="B795" s="81" t="str">
        <f>HYPERLINK("https://www.youtube.com/channel/UCJ4XVrJuqKHbc9yF9oUFseg", "MEeeep More")</f>
        <v>MEeeep More</v>
      </c>
      <c r="C795" s="80" t="s">
        <v>964</v>
      </c>
      <c r="D795" s="81" t="str">
        <f>HYPERLINK("https://youtube.com/watch?v=djy1i-jIEhE", "氣炸鍋食譜 - 氣炸鍋麵包系列 - 甜餐包 親子活動最啱！10分鐘內搓好！健康鬆軟又美味 手撕麵包 排包 自製麵包")</f>
        <v>氣炸鍋食譜 - 氣炸鍋麵包系列 - 甜餐包 親子活動最啱！10分鐘內搓好！健康鬆軟又美味 手撕麵包 排包 自製麵包</v>
      </c>
      <c r="E795" s="82">
        <v>44119.0</v>
      </c>
      <c r="F795" s="80">
        <v>228.0</v>
      </c>
      <c r="G795" s="80" t="s">
        <v>63</v>
      </c>
      <c r="I795" s="80" t="s">
        <v>63</v>
      </c>
      <c r="J795" s="80">
        <v>483.0</v>
      </c>
      <c r="K795" s="80">
        <v>0.901119402985074</v>
      </c>
      <c r="L795" s="80" t="s">
        <v>64</v>
      </c>
    </row>
    <row r="796">
      <c r="A796" s="80" t="s">
        <v>112</v>
      </c>
      <c r="B796" s="81" t="str">
        <f>HYPERLINK("https://www.youtube.com/channel/UCW_n_gfIv4HhRqCk8EnRhJA", "Happy Kongner")</f>
        <v>Happy Kongner</v>
      </c>
      <c r="C796" s="80" t="s">
        <v>965</v>
      </c>
      <c r="D796" s="81" t="str">
        <f>HYPERLINK("https://youtube.com/watch?v=dkuGucTy9QQ", "成王之路：無得著嘅魚人島  [公仔書與卡通片:海賊王特輯 第十一集]")</f>
        <v>成王之路：無得著嘅魚人島  [公仔書與卡通片:海賊王特輯 第十一集]</v>
      </c>
      <c r="E796" s="82">
        <v>43906.0</v>
      </c>
      <c r="F796" s="80">
        <v>879.0</v>
      </c>
      <c r="G796" s="80" t="s">
        <v>63</v>
      </c>
      <c r="I796" s="80" t="s">
        <v>63</v>
      </c>
      <c r="J796" s="80">
        <v>4329.0</v>
      </c>
      <c r="K796" s="80">
        <v>0.948510078878177</v>
      </c>
      <c r="L796" s="80" t="s">
        <v>64</v>
      </c>
    </row>
    <row r="797">
      <c r="A797" s="80" t="s">
        <v>94</v>
      </c>
      <c r="B797" s="81" t="str">
        <f>HYPERLINK("https://www.youtube.com/channel/UCT_dMyI3pNselsmfR6FC8tQ", "PrideLab")</f>
        <v>PrideLab</v>
      </c>
      <c r="C797" s="80" t="s">
        <v>966</v>
      </c>
      <c r="D797" s="81" t="str">
        <f>HYPERLINK("https://youtube.com/watch?v=aXcBCi3DC6k", "當兵聽過最多嘅說話")</f>
        <v>當兵聽過最多嘅說話</v>
      </c>
      <c r="E797" s="82">
        <v>42942.0</v>
      </c>
      <c r="F797" s="80">
        <v>113.0</v>
      </c>
      <c r="G797" s="80" t="s">
        <v>63</v>
      </c>
      <c r="I797" s="80" t="s">
        <v>63</v>
      </c>
      <c r="J797" s="80">
        <v>359.0</v>
      </c>
      <c r="K797" s="80">
        <v>0.962466487935656</v>
      </c>
      <c r="L797" s="80" t="s">
        <v>64</v>
      </c>
    </row>
    <row r="798">
      <c r="A798" s="80" t="s">
        <v>112</v>
      </c>
      <c r="B798" s="81" t="str">
        <f t="shared" ref="B798:B801" si="24">HYPERLINK("https://www.youtube.com/channel/UCW_n_gfIv4HhRqCk8EnRhJA", "Happy Kongner")</f>
        <v>Happy Kongner</v>
      </c>
      <c r="C798" s="80" t="s">
        <v>967</v>
      </c>
      <c r="D798" s="81" t="str">
        <f>HYPERLINK("https://youtube.com/watch?v=QjfSwUAsyKA", "[廣東話] 舊聞好刺激 Old News Is SO EXCITING 第二集 Episode 2 工聯會七個月上車大法教學")</f>
        <v>[廣東話] 舊聞好刺激 Old News Is SO EXCITING 第二集 Episode 2 工聯會七個月上車大法教學</v>
      </c>
      <c r="E798" s="82">
        <v>42814.0</v>
      </c>
      <c r="F798" s="80">
        <v>276.0</v>
      </c>
      <c r="G798" s="80" t="s">
        <v>63</v>
      </c>
      <c r="I798" s="80" t="s">
        <v>63</v>
      </c>
      <c r="J798" s="80">
        <v>1059.0</v>
      </c>
      <c r="K798" s="80">
        <v>0.931398416886543</v>
      </c>
      <c r="L798" s="80" t="s">
        <v>64</v>
      </c>
    </row>
    <row r="799">
      <c r="A799" s="80" t="s">
        <v>112</v>
      </c>
      <c r="B799" s="81" t="str">
        <f t="shared" si="24"/>
        <v>Happy Kongner</v>
      </c>
      <c r="C799" s="80" t="s">
        <v>968</v>
      </c>
      <c r="D799" s="81" t="str">
        <f>HYPERLINK("https://youtube.com/watch?v=4oR5AGf3mII", "[廣東話] 舊聞好刺激 Old News Is SO EXCITING 第三集 Episode 3 港鐵鳩柒折 揾邊個發洩")</f>
        <v>[廣東話] 舊聞好刺激 Old News Is SO EXCITING 第三集 Episode 3 港鐵鳩柒折 揾邊個發洩</v>
      </c>
      <c r="E799" s="82">
        <v>42821.0</v>
      </c>
      <c r="F799" s="80">
        <v>216.0</v>
      </c>
      <c r="G799" s="80" t="s">
        <v>63</v>
      </c>
      <c r="I799" s="80" t="s">
        <v>63</v>
      </c>
      <c r="J799" s="80">
        <v>987.0</v>
      </c>
      <c r="K799" s="80">
        <v>0.908839779005524</v>
      </c>
      <c r="L799" s="80" t="s">
        <v>64</v>
      </c>
    </row>
    <row r="800">
      <c r="A800" s="80" t="s">
        <v>112</v>
      </c>
      <c r="B800" s="81" t="str">
        <f t="shared" si="24"/>
        <v>Happy Kongner</v>
      </c>
      <c r="C800" s="80" t="s">
        <v>969</v>
      </c>
      <c r="D800" s="81" t="str">
        <f>HYPERLINK("https://youtube.com/watch?v=L80PpDRFcXY", "[廣東話] 舊聞好刺激 Old News Is SO EXCITING 特首選戰專題 林鄭做到咪幾好")</f>
        <v>[廣東話] 舊聞好刺激 Old News Is SO EXCITING 特首選戰專題 林鄭做到咪幾好</v>
      </c>
      <c r="E800" s="82">
        <v>42822.0</v>
      </c>
      <c r="F800" s="80">
        <v>138.0</v>
      </c>
      <c r="G800" s="80" t="s">
        <v>63</v>
      </c>
      <c r="I800" s="80" t="s">
        <v>63</v>
      </c>
      <c r="J800" s="80">
        <v>625.0</v>
      </c>
      <c r="K800" s="80">
        <v>0.951293759512937</v>
      </c>
      <c r="L800" s="80" t="s">
        <v>64</v>
      </c>
    </row>
    <row r="801">
      <c r="A801" s="80" t="s">
        <v>112</v>
      </c>
      <c r="B801" s="81" t="str">
        <f t="shared" si="24"/>
        <v>Happy Kongner</v>
      </c>
      <c r="C801" s="80" t="s">
        <v>970</v>
      </c>
      <c r="D801" s="81" t="str">
        <f>HYPERLINK("https://youtube.com/watch?v=Ym1W3jRvjr4", "[廣東話] 舊聞好刺激 Old News Is SO EXCITING 第四集 Episode 4 超級荀工發達大計 附送中美形勢鳩估")</f>
        <v>[廣東話] 舊聞好刺激 Old News Is SO EXCITING 第四集 Episode 4 超級荀工發達大計 附送中美形勢鳩估</v>
      </c>
      <c r="E801" s="82">
        <v>42846.0</v>
      </c>
      <c r="F801" s="80">
        <v>264.0</v>
      </c>
      <c r="G801" s="80" t="s">
        <v>63</v>
      </c>
      <c r="I801" s="80" t="s">
        <v>63</v>
      </c>
      <c r="J801" s="80">
        <v>1135.0</v>
      </c>
      <c r="K801" s="80">
        <v>0.816546762589928</v>
      </c>
      <c r="L801" s="80" t="s">
        <v>64</v>
      </c>
    </row>
    <row r="802">
      <c r="A802" s="80" t="s">
        <v>971</v>
      </c>
      <c r="B802" s="81" t="str">
        <f>HYPERLINK("https://www.youtube.com/channel/UC4nsi0oM9WBNFv1RdLh3c2g", "JASON")</f>
        <v>JASON</v>
      </c>
      <c r="C802" s="80" t="s">
        <v>972</v>
      </c>
      <c r="D802" s="81" t="str">
        <f>HYPERLINK("https://youtube.com/watch?v=29-Ew4I0lR4", "掉部iPhone 7落水！？")</f>
        <v>掉部iPhone 7落水！？</v>
      </c>
      <c r="E802" s="82">
        <v>42629.0</v>
      </c>
      <c r="F802" s="80">
        <v>248.0</v>
      </c>
      <c r="G802" s="80" t="s">
        <v>63</v>
      </c>
      <c r="H802" s="80" t="s">
        <v>63</v>
      </c>
      <c r="I802" s="80" t="s">
        <v>63</v>
      </c>
      <c r="J802" s="80">
        <v>977.0</v>
      </c>
      <c r="K802" s="80">
        <v>0.823628691983122</v>
      </c>
      <c r="L802" s="80" t="s">
        <v>973</v>
      </c>
    </row>
    <row r="803">
      <c r="A803" s="80" t="s">
        <v>69</v>
      </c>
      <c r="B803" s="81" t="str">
        <f>HYPERLINK("https://www.youtube.com/channel/UCoVycxbCXEsd-mrP83EqVWQ", "馬米高 Michael MMG")</f>
        <v>馬米高 Michael MMG</v>
      </c>
      <c r="C803" s="80" t="s">
        <v>974</v>
      </c>
      <c r="D803" s="81" t="str">
        <f>HYPERLINK("https://youtube.com/watch?v=CqwSfRnZ2Ds", "空姐空少常犯低級英文錯誤 I｜英該咁講")</f>
        <v>空姐空少常犯低級英文錯誤 I｜英該咁講</v>
      </c>
      <c r="E803" s="82">
        <v>42923.0</v>
      </c>
      <c r="F803" s="80">
        <v>278.0</v>
      </c>
      <c r="G803" s="80" t="s">
        <v>63</v>
      </c>
      <c r="I803" s="80" t="s">
        <v>63</v>
      </c>
      <c r="J803" s="80">
        <v>794.0</v>
      </c>
      <c r="K803" s="80">
        <v>0.591213700670141</v>
      </c>
      <c r="L803" s="80" t="s">
        <v>64</v>
      </c>
    </row>
    <row r="804">
      <c r="A804" s="80" t="s">
        <v>975</v>
      </c>
      <c r="B804" s="81" t="str">
        <f t="shared" ref="B804:B805" si="25">HYPERLINK("https://www.youtube.com/channel/UCvtIbNu3jnYc5wcU0-m6mxw", "AHMY")</f>
        <v>AHMY</v>
      </c>
      <c r="C804" s="80" t="s">
        <v>976</v>
      </c>
      <c r="D804" s="81" t="str">
        <f>HYPERLINK("https://youtube.com/watch?v=jFBYYqH3cL4", "【Ahmy分享系列]】爛GAG心得(二)之你今日爛咗未？")</f>
        <v>【Ahmy分享系列]】爛GAG心得(二)之你今日爛咗未？</v>
      </c>
      <c r="E804" s="82">
        <v>42827.0</v>
      </c>
      <c r="F804" s="80">
        <v>117.0</v>
      </c>
      <c r="G804" s="80" t="s">
        <v>63</v>
      </c>
      <c r="I804" s="80" t="s">
        <v>63</v>
      </c>
      <c r="J804" s="80">
        <v>535.0</v>
      </c>
      <c r="K804" s="80">
        <v>0.850556438791732</v>
      </c>
      <c r="L804" s="80" t="s">
        <v>64</v>
      </c>
    </row>
    <row r="805">
      <c r="A805" s="80" t="s">
        <v>975</v>
      </c>
      <c r="B805" s="81" t="str">
        <f t="shared" si="25"/>
        <v>AHMY</v>
      </c>
      <c r="C805" s="80" t="s">
        <v>977</v>
      </c>
      <c r="D805" s="81" t="str">
        <f>HYPERLINK("https://youtube.com/watch?v=VIVGNrWt3Rg", "【Ahmy分享系列]】爛gag心得(一)之你今日爛咗未？")</f>
        <v>【Ahmy分享系列]】爛gag心得(一)之你今日爛咗未？</v>
      </c>
      <c r="E805" s="82">
        <v>42818.0</v>
      </c>
      <c r="F805" s="80">
        <v>335.0</v>
      </c>
      <c r="G805" s="80" t="s">
        <v>63</v>
      </c>
      <c r="I805" s="80" t="s">
        <v>63</v>
      </c>
      <c r="J805" s="80">
        <v>1559.0</v>
      </c>
      <c r="K805" s="80">
        <v>0.890857142857142</v>
      </c>
      <c r="L805" s="80" t="s">
        <v>64</v>
      </c>
    </row>
    <row r="806">
      <c r="A806" s="80" t="s">
        <v>978</v>
      </c>
      <c r="B806" s="81" t="str">
        <f>HYPERLINK("https://www.youtube.com/channel/UCDMd6CHdLs8FoqZJoRHkJGQ", "Ray Ho")</f>
        <v>Ray Ho</v>
      </c>
      <c r="C806" s="80" t="s">
        <v>979</v>
      </c>
      <c r="D806" s="81" t="str">
        <f>HYPERLINK("https://youtube.com/watch?v=2DbsoK4zZcc", "【短劇】返學為咗啲咩？ | 歷史篇")</f>
        <v>【短劇】返學為咗啲咩？ | 歷史篇</v>
      </c>
      <c r="E806" s="82">
        <v>43798.0</v>
      </c>
      <c r="F806" s="80">
        <v>349.0</v>
      </c>
      <c r="G806" s="80" t="s">
        <v>63</v>
      </c>
      <c r="I806" s="80" t="s">
        <v>63</v>
      </c>
      <c r="J806" s="80">
        <v>174.0</v>
      </c>
      <c r="K806" s="80">
        <v>0.961325966850828</v>
      </c>
      <c r="L806" s="80" t="s">
        <v>980</v>
      </c>
    </row>
    <row r="807">
      <c r="A807" s="80" t="s">
        <v>74</v>
      </c>
      <c r="B807" s="81" t="str">
        <f>HYPERLINK("https://www.youtube.com/channel/UCO_5XP-qd-udNxBlzzSzgvw", "Handline Fishing")</f>
        <v>Handline Fishing</v>
      </c>
      <c r="C807" s="80" t="s">
        <v>981</v>
      </c>
      <c r="D807" s="81" t="str">
        <f>HYPERLINK("https://youtube.com/watch?v=CwBcuKOnQkI", "#116 假日釣泥鯭 + CHOK 屎筒好去處『香港釣魚 : 岸釣』西區公眾貨物裝卸區 {粵語旁白+中英文字幕}")</f>
        <v>#116 假日釣泥鯭 + CHOK 屎筒好去處『香港釣魚 : 岸釣』西區公眾貨物裝卸區 {粵語旁白+中英文字幕}</v>
      </c>
      <c r="E807" s="82">
        <v>43971.0</v>
      </c>
      <c r="F807" s="80">
        <v>224.0</v>
      </c>
      <c r="G807" s="80" t="s">
        <v>63</v>
      </c>
      <c r="I807" s="80" t="s">
        <v>63</v>
      </c>
      <c r="J807" s="80">
        <v>1002.0</v>
      </c>
      <c r="K807" s="80">
        <v>0.969990319457889</v>
      </c>
      <c r="L807" s="80" t="s">
        <v>76</v>
      </c>
    </row>
    <row r="808">
      <c r="A808" s="80" t="s">
        <v>112</v>
      </c>
      <c r="B808" s="81" t="str">
        <f t="shared" ref="B808:B809" si="26">HYPERLINK("https://www.youtube.com/channel/UCW_n_gfIv4HhRqCk8EnRhJA", "Happy Kongner")</f>
        <v>Happy Kongner</v>
      </c>
      <c r="C808" s="80" t="s">
        <v>982</v>
      </c>
      <c r="D808" s="81" t="str">
        <f>HYPERLINK("https://youtube.com/watch?v=khbdnVvzQdQ", "一塌糊塗—我心目中今季開季以嚟最唔掂嘅球隊—美帝的籃球 第三季 第一集")</f>
        <v>一塌糊塗—我心目中今季開季以嚟最唔掂嘅球隊—美帝的籃球 第三季 第一集</v>
      </c>
      <c r="E808" s="82">
        <v>43412.0</v>
      </c>
      <c r="F808" s="80">
        <v>1026.0</v>
      </c>
      <c r="G808" s="80" t="s">
        <v>63</v>
      </c>
      <c r="I808" s="80" t="s">
        <v>63</v>
      </c>
      <c r="J808" s="80">
        <v>4917.0</v>
      </c>
      <c r="K808" s="80">
        <v>0.814207650273224</v>
      </c>
      <c r="L808" s="80" t="s">
        <v>64</v>
      </c>
    </row>
    <row r="809">
      <c r="A809" s="80" t="s">
        <v>112</v>
      </c>
      <c r="B809" s="81" t="str">
        <f t="shared" si="26"/>
        <v>Happy Kongner</v>
      </c>
      <c r="C809" s="80" t="s">
        <v>983</v>
      </c>
      <c r="D809" s="81" t="str">
        <f>HYPERLINK("https://youtube.com/watch?v=Cy8edvSSnDs", "「廣東話講西洋書法」字得其樂 The ABC of Western Calligraphy 如何開尖 How to prepare a new nib")</f>
        <v>「廣東話講西洋書法」字得其樂 The ABC of Western Calligraphy 如何開尖 How to prepare a new nib</v>
      </c>
      <c r="E809" s="82">
        <v>43209.0</v>
      </c>
      <c r="F809" s="80">
        <v>503.0</v>
      </c>
      <c r="G809" s="80" t="s">
        <v>63</v>
      </c>
      <c r="I809" s="80" t="s">
        <v>63</v>
      </c>
      <c r="J809" s="80">
        <v>1047.0</v>
      </c>
      <c r="K809" s="80">
        <v>0.931494661921708</v>
      </c>
      <c r="L809" s="80" t="s">
        <v>64</v>
      </c>
    </row>
    <row r="810">
      <c r="A810" s="80" t="s">
        <v>71</v>
      </c>
      <c r="B810" s="81" t="str">
        <f>HYPERLINK("https://www.youtube.com/channel/UCXTE-gQCetfrx_lC9yFM2aw", "arhoTV")</f>
        <v>arhoTV</v>
      </c>
      <c r="C810" s="80" t="s">
        <v>984</v>
      </c>
      <c r="D810" s="81" t="str">
        <f>HYPERLINK("https://youtube.com/watch?v=CysYed3jbvI", "【日常】同亞悠睇日本富士山！？【亞悠去旅行】")</f>
        <v>【日常】同亞悠睇日本富士山！？【亞悠去旅行】</v>
      </c>
      <c r="E810" s="82">
        <v>42817.0</v>
      </c>
      <c r="F810" s="80">
        <v>207.0</v>
      </c>
      <c r="G810" s="80" t="s">
        <v>63</v>
      </c>
      <c r="H810" s="80" t="s">
        <v>63</v>
      </c>
      <c r="I810" s="80" t="s">
        <v>63</v>
      </c>
      <c r="J810" s="80">
        <v>978.0</v>
      </c>
      <c r="K810" s="80">
        <v>0.857894736842105</v>
      </c>
      <c r="L810" s="80" t="s">
        <v>86</v>
      </c>
    </row>
    <row r="811">
      <c r="A811" s="80" t="s">
        <v>61</v>
      </c>
      <c r="B811" s="81" t="str">
        <f>HYPERLINK("https://www.youtube.com/channel/UCJ4XVrJuqKHbc9yF9oUFseg", "MEeeep More")</f>
        <v>MEeeep More</v>
      </c>
      <c r="C811" s="80" t="s">
        <v>985</v>
      </c>
      <c r="D811" s="81" t="str">
        <f>HYPERLINK("https://youtube.com/watch?v=dzLxLZNC_v4", "三星 Samsung Galaxy Book Pro Galaxy Book Pro 360 輕巧登場 | Intel Evo 11代處理器 一步分屏連接藍牙裝置 支援S-Pen一機兩用")</f>
        <v>三星 Samsung Galaxy Book Pro Galaxy Book Pro 360 輕巧登場 | Intel Evo 11代處理器 一步分屏連接藍牙裝置 支援S-Pen一機兩用</v>
      </c>
      <c r="E811" s="82">
        <v>44316.0</v>
      </c>
      <c r="F811" s="80">
        <v>199.0</v>
      </c>
      <c r="G811" s="80" t="s">
        <v>63</v>
      </c>
      <c r="I811" s="80" t="s">
        <v>63</v>
      </c>
      <c r="J811" s="80">
        <v>458.0</v>
      </c>
      <c r="K811" s="80">
        <v>0.515185601799775</v>
      </c>
      <c r="L811" s="80" t="s">
        <v>64</v>
      </c>
    </row>
    <row r="812">
      <c r="A812" s="80" t="s">
        <v>986</v>
      </c>
      <c r="B812" s="81" t="str">
        <f>HYPERLINK("https://www.youtube.com/channel/UCAuUUnT6oDeKwE6v1NGQxug", "TED")</f>
        <v>TED</v>
      </c>
      <c r="C812" s="80" t="s">
        <v>987</v>
      </c>
      <c r="D812" s="81" t="str">
        <f>HYPERLINK("https://youtube.com/watch?v=RcGyVTAoXEU", "How to make stress your friend | Kelly McGonigal")</f>
        <v>How to make stress your friend | Kelly McGonigal</v>
      </c>
      <c r="E812" s="82">
        <v>41521.0</v>
      </c>
      <c r="F812" s="80">
        <v>869.0</v>
      </c>
      <c r="G812" s="80" t="s">
        <v>63</v>
      </c>
      <c r="H812" s="80" t="s">
        <v>63</v>
      </c>
      <c r="I812" s="80" t="s">
        <v>63</v>
      </c>
      <c r="J812" s="80">
        <v>3755.0</v>
      </c>
      <c r="K812" s="80">
        <v>0.989395546129374</v>
      </c>
      <c r="L812" s="80" t="s">
        <v>988</v>
      </c>
    </row>
    <row r="813">
      <c r="A813" s="80" t="s">
        <v>989</v>
      </c>
      <c r="B813" s="81" t="str">
        <f>HYPERLINK("https://www.youtube.com/channel/UCljo-rxFnc2gl9l8NhhJ66Q", "好青年荼毒室")</f>
        <v>好青年荼毒室</v>
      </c>
      <c r="C813" s="80" t="s">
        <v>990</v>
      </c>
      <c r="D813" s="81" t="str">
        <f>HYPERLINK("https://youtube.com/watch?v=e-KlUDBA2Ls", "真點有偈傾 |【會員討論活動試看，今次真喺得】")</f>
        <v>真點有偈傾 |【會員討論活動試看，今次真喺得】</v>
      </c>
      <c r="E813" s="82">
        <v>44006.0</v>
      </c>
      <c r="F813" s="80">
        <v>10464.0</v>
      </c>
      <c r="G813" s="80" t="s">
        <v>63</v>
      </c>
      <c r="I813" s="80" t="s">
        <v>63</v>
      </c>
      <c r="J813" s="80">
        <v>5689.0</v>
      </c>
      <c r="K813" s="80">
        <v>0.427070039786802</v>
      </c>
      <c r="L813" s="80" t="s">
        <v>64</v>
      </c>
    </row>
    <row r="814">
      <c r="A814" s="80" t="s">
        <v>991</v>
      </c>
      <c r="B814" s="81" t="str">
        <f>HYPERLINK("https://www.youtube.com/channel/UCsooa4yRKGN_zEE8iknghZA", "TED-Ed")</f>
        <v>TED-Ed</v>
      </c>
      <c r="C814" s="80" t="s">
        <v>992</v>
      </c>
      <c r="D814" s="81" t="str">
        <f>HYPERLINK("https://youtube.com/watch?v=cXNTArhA0Jg", "How interpreters juggle two languages at once - Ewandro Magalhaes")</f>
        <v>How interpreters juggle two languages at once - Ewandro Magalhaes</v>
      </c>
      <c r="E814" s="82">
        <v>42528.0</v>
      </c>
      <c r="F814" s="80">
        <v>296.0</v>
      </c>
      <c r="G814" s="80" t="s">
        <v>63</v>
      </c>
      <c r="H814" s="80" t="s">
        <v>63</v>
      </c>
      <c r="I814" s="80" t="s">
        <v>63</v>
      </c>
      <c r="J814" s="80">
        <v>1134.0</v>
      </c>
      <c r="K814" s="80">
        <v>0.985230234578627</v>
      </c>
      <c r="L814" s="80" t="s">
        <v>993</v>
      </c>
    </row>
    <row r="815">
      <c r="A815" s="80" t="s">
        <v>112</v>
      </c>
      <c r="B815" s="81" t="str">
        <f>HYPERLINK("https://www.youtube.com/channel/UCW_n_gfIv4HhRqCk8EnRhJA", "Happy Kongner")</f>
        <v>Happy Kongner</v>
      </c>
      <c r="C815" s="80" t="s">
        <v>994</v>
      </c>
      <c r="D815" s="81" t="str">
        <f>HYPERLINK("https://youtube.com/watch?v=D-vnGpF58sw", "咩係重製？Resident Evil 3 生化危機3 重製版 玩後感 [垃圾驚批鬥座]")</f>
        <v>咩係重製？Resident Evil 3 生化危機3 重製版 玩後感 [垃圾驚批鬥座]</v>
      </c>
      <c r="E815" s="82">
        <v>43928.0</v>
      </c>
      <c r="F815" s="80">
        <v>890.0</v>
      </c>
      <c r="G815" s="80" t="s">
        <v>63</v>
      </c>
      <c r="I815" s="80" t="s">
        <v>63</v>
      </c>
      <c r="J815" s="80">
        <v>4414.0</v>
      </c>
      <c r="K815" s="80">
        <v>0.828764551257979</v>
      </c>
      <c r="L815" s="80" t="s">
        <v>64</v>
      </c>
    </row>
    <row r="816">
      <c r="A816" s="80" t="s">
        <v>61</v>
      </c>
      <c r="B816" s="81" t="str">
        <f>HYPERLINK("https://www.youtube.com/channel/UCJ4XVrJuqKHbc9yF9oUFseg", "MEeeep More")</f>
        <v>MEeeep More</v>
      </c>
      <c r="C816" s="80" t="s">
        <v>995</v>
      </c>
      <c r="D816" s="81" t="str">
        <f>HYPERLINK("https://youtube.com/watch?v=e06mgNzpbnY", "Jabra Elite 85t 開箱評測 | 65t 75t 升級版 內置ANC主動降噪晶片 手機調控降噪及環境聲等級 | 85t jabra elite85t 真無線藍牙耳機")</f>
        <v>Jabra Elite 85t 開箱評測 | 65t 75t 升級版 內置ANC主動降噪晶片 手機調控降噪及環境聲等級 | 85t jabra elite85t 真無線藍牙耳機</v>
      </c>
      <c r="E816" s="82">
        <v>44258.0</v>
      </c>
      <c r="F816" s="80">
        <v>274.0</v>
      </c>
      <c r="G816" s="80" t="s">
        <v>63</v>
      </c>
      <c r="I816" s="80" t="s">
        <v>63</v>
      </c>
      <c r="J816" s="80">
        <v>839.0</v>
      </c>
      <c r="K816" s="80">
        <v>0.808285163776493</v>
      </c>
      <c r="L816" s="80" t="s">
        <v>64</v>
      </c>
    </row>
    <row r="817">
      <c r="A817" s="80" t="s">
        <v>996</v>
      </c>
      <c r="B817" s="81" t="str">
        <f>HYPERLINK("https://www.youtube.com/channel/UC8BzJM6_VbZTdiNLD4R1jxQ", "GMMTV OFFICIAL​​")</f>
        <v>GMMTV OFFICIAL​​</v>
      </c>
      <c r="C817" s="80" t="s">
        <v>997</v>
      </c>
      <c r="D817" s="81" t="str">
        <f>HYPERLINK("https://youtube.com/watch?v=-wOjGoLTyV8", "[Eng Sub] เขามาเชงเม้งข้างๆหลุมผมครับ | EP.3 [1/4]")</f>
        <v>[Eng Sub] เขามาเชงเม้งข้างๆหลุมผมครับ | EP.3 [1/4]</v>
      </c>
      <c r="E817" s="82">
        <v>44149.0</v>
      </c>
      <c r="F817" s="80">
        <v>1051.0</v>
      </c>
      <c r="G817" s="80" t="s">
        <v>63</v>
      </c>
      <c r="H817" s="80" t="s">
        <v>63</v>
      </c>
      <c r="I817" s="80" t="s">
        <v>63</v>
      </c>
      <c r="J817" s="80">
        <v>1962.0</v>
      </c>
      <c r="K817" s="80">
        <v>0.918248175182481</v>
      </c>
      <c r="L817" s="80" t="s">
        <v>998</v>
      </c>
    </row>
    <row r="818">
      <c r="A818" s="80" t="s">
        <v>74</v>
      </c>
      <c r="B818" s="81" t="str">
        <f>HYPERLINK("https://www.youtube.com/channel/UCO_5XP-qd-udNxBlzzSzgvw", "Handline Fishing")</f>
        <v>Handline Fishing</v>
      </c>
      <c r="C818" s="80" t="s">
        <v>999</v>
      </c>
      <c r="D818" s="81" t="str">
        <f>HYPERLINK("https://youtube.com/watch?v=e30AmCBQWbY", "#132 誘基｜『香港釣魚 : 艇釣』石澳大排/大浪排 {粵語旁白+中英文字幕}")</f>
        <v>#132 誘基｜『香港釣魚 : 艇釣』石澳大排/大浪排 {粵語旁白+中英文字幕}</v>
      </c>
      <c r="E818" s="82">
        <v>44029.0</v>
      </c>
      <c r="F818" s="80">
        <v>692.0</v>
      </c>
      <c r="G818" s="80" t="s">
        <v>63</v>
      </c>
      <c r="I818" s="80" t="s">
        <v>63</v>
      </c>
      <c r="J818" s="80">
        <v>1862.0</v>
      </c>
      <c r="K818" s="80">
        <v>0.977941176470588</v>
      </c>
      <c r="L818" s="80" t="s">
        <v>76</v>
      </c>
    </row>
    <row r="819">
      <c r="A819" s="80" t="s">
        <v>1000</v>
      </c>
      <c r="B819" s="81" t="str">
        <f>HYPERLINK("https://www.youtube.com/channel/UChJQlg1b_cOttPX3SiIh5gA", "Lau Dinha in Hong Kong - Hong Kong in the World")</f>
        <v>Lau Dinha in Hong Kong - Hong Kong in the World</v>
      </c>
      <c r="C819" s="80" t="s">
        <v>1001</v>
      </c>
      <c r="D819" s="81" t="str">
        <f>HYPERLINK("https://youtube.com/watch?v=e3xgKmqtfu0", "意識到自己喺香港嘅21個瞬間！")</f>
        <v>意識到自己喺香港嘅21個瞬間！</v>
      </c>
      <c r="E819" s="82">
        <v>44357.0</v>
      </c>
      <c r="F819" s="80">
        <v>139.0</v>
      </c>
      <c r="G819" s="80" t="s">
        <v>63</v>
      </c>
      <c r="I819" s="80" t="s">
        <v>63</v>
      </c>
      <c r="J819" s="80">
        <v>479.0</v>
      </c>
      <c r="K819" s="80">
        <v>0.926499032882011</v>
      </c>
      <c r="L819" s="80" t="s">
        <v>91</v>
      </c>
    </row>
    <row r="820">
      <c r="A820" s="80" t="s">
        <v>140</v>
      </c>
      <c r="B820" s="81" t="str">
        <f>HYPERLINK("https://www.youtube.com/channel/UCHK0CZf9HEXs42qIO1GUouA", "TechiCardia")</f>
        <v>TechiCardia</v>
      </c>
      <c r="C820" s="80" t="s">
        <v>1002</v>
      </c>
      <c r="D820" s="81" t="str">
        <f>HYPERLINK("https://youtube.com/watch?v=D3EpGsSSSmo", "用MSI Afterburner 做系統監控！輕鬆睇到打機有幾多FPS！！//簡易廣東話教學！//【TechiCardia】[CC廣東話字幕]")</f>
        <v>用MSI Afterburner 做系統監控！輕鬆睇到打機有幾多FPS！！//簡易廣東話教學！//【TechiCardia】[CC廣東話字幕]</v>
      </c>
      <c r="E820" s="82">
        <v>44191.0</v>
      </c>
      <c r="F820" s="80">
        <v>621.0</v>
      </c>
      <c r="G820" s="80" t="s">
        <v>63</v>
      </c>
      <c r="I820" s="80" t="s">
        <v>63</v>
      </c>
      <c r="J820" s="80">
        <v>2007.0</v>
      </c>
      <c r="K820" s="80">
        <v>0.684049079754601</v>
      </c>
      <c r="L820" s="80" t="s">
        <v>102</v>
      </c>
    </row>
    <row r="821">
      <c r="A821" s="80" t="s">
        <v>129</v>
      </c>
      <c r="B821" s="81" t="str">
        <f>HYPERLINK("https://www.youtube.com/channel/UCBbTnorwzva0ZIMGW0ttwVA", "阿豬 Ah Ju")</f>
        <v>阿豬 Ah Ju</v>
      </c>
      <c r="C821" s="80" t="s">
        <v>1003</v>
      </c>
      <c r="D821" s="81" t="str">
        <f>HYPERLINK("https://youtube.com/watch?v=--H1e5GNbrU", "幣圈大跌 如何部署？兩個必要開嘅交易平台 | 新手必看！手把手交易教學 | Bitcoin 比特幣 BTC ETH")</f>
        <v>幣圈大跌 如何部署？兩個必要開嘅交易平台 | 新手必看！手把手交易教學 | Bitcoin 比特幣 BTC ETH</v>
      </c>
      <c r="E821" s="82">
        <v>44336.0</v>
      </c>
      <c r="F821" s="80">
        <v>1308.0</v>
      </c>
      <c r="G821" s="80" t="s">
        <v>63</v>
      </c>
      <c r="I821" s="80" t="s">
        <v>63</v>
      </c>
      <c r="J821" s="80">
        <v>4110.0</v>
      </c>
      <c r="K821" s="80">
        <v>0.528074007452139</v>
      </c>
      <c r="L821" s="80" t="s">
        <v>1004</v>
      </c>
    </row>
    <row r="822">
      <c r="A822" s="80" t="s">
        <v>1005</v>
      </c>
      <c r="B822" s="81" t="str">
        <f>HYPERLINK("https://www.youtube.com/channel/UCOJ6DAid2DfCUlRpvAF1Ejw", "優化人生 Life Optimization")</f>
        <v>優化人生 Life Optimization</v>
      </c>
      <c r="C822" s="80" t="s">
        <v>1006</v>
      </c>
      <c r="D822" s="81" t="str">
        <f>HYPERLINK("https://youtube.com/watch?v=-8CpSkTweAg", "3個月達到標準體型同體重[有中文字幕]｜我和朋友如何不必運動、免費、輕鬆地做到")</f>
        <v>3個月達到標準體型同體重[有中文字幕]｜我和朋友如何不必運動、免費、輕鬆地做到</v>
      </c>
      <c r="E822" s="82">
        <v>43786.0</v>
      </c>
      <c r="F822" s="80">
        <v>766.0</v>
      </c>
      <c r="G822" s="80" t="s">
        <v>63</v>
      </c>
      <c r="I822" s="80" t="s">
        <v>63</v>
      </c>
      <c r="J822" s="80">
        <v>2837.0</v>
      </c>
      <c r="K822" s="80">
        <v>0.922001949951251</v>
      </c>
      <c r="L822" s="80" t="s">
        <v>64</v>
      </c>
    </row>
    <row r="823">
      <c r="A823" s="80" t="s">
        <v>1007</v>
      </c>
      <c r="B823" s="81" t="str">
        <f>HYPERLINK("https://www.youtube.com/channel/UCCzgNTkFyDel0FDJtVNgEtQ", "香港人. 德國讀書之【真.洗濕左個頭.無得返轉頭】Miss Chan Life in Germany")</f>
        <v>香港人. 德國讀書之【真.洗濕左個頭.無得返轉頭】Miss Chan Life in Germany</v>
      </c>
      <c r="C823" s="80" t="s">
        <v>1008</v>
      </c>
      <c r="D823" s="81" t="str">
        <f>HYPERLINK("https://youtube.com/watch?v=-9izMoKv-pE", "【Miss Chan 在德國對抗濕疹日記系列】(第二集: 皮膚護理篇) (香港人製作. 廣東話)")</f>
        <v>【Miss Chan 在德國對抗濕疹日記系列】(第二集: 皮膚護理篇) (香港人製作. 廣東話)</v>
      </c>
      <c r="E823" s="82">
        <v>44285.0</v>
      </c>
      <c r="F823" s="80">
        <v>590.0</v>
      </c>
      <c r="G823" s="80" t="s">
        <v>63</v>
      </c>
      <c r="I823" s="80" t="s">
        <v>63</v>
      </c>
      <c r="J823" s="80">
        <v>2024.0</v>
      </c>
      <c r="K823" s="80">
        <v>0.902362906821221</v>
      </c>
      <c r="L823" s="80" t="s">
        <v>64</v>
      </c>
    </row>
    <row r="824">
      <c r="A824" s="80" t="s">
        <v>975</v>
      </c>
      <c r="B824" s="81" t="str">
        <f>HYPERLINK("https://www.youtube.com/channel/UCvtIbNu3jnYc5wcU0-m6mxw", "AHMY")</f>
        <v>AHMY</v>
      </c>
      <c r="C824" s="80" t="s">
        <v>1009</v>
      </c>
      <c r="D824" s="81" t="str">
        <f>HYPERLINK("https://youtube.com/watch?v=-BO2uOtlUjM", "【街頭健身】入門篇：引體上升｜爆炸 Pull Up vs 普通 Pull Up｜背肌全靠自身重量")</f>
        <v>【街頭健身】入門篇：引體上升｜爆炸 Pull Up vs 普通 Pull Up｜背肌全靠自身重量</v>
      </c>
      <c r="E824" s="82">
        <v>42838.0</v>
      </c>
      <c r="F824" s="80">
        <v>260.0</v>
      </c>
      <c r="G824" s="80" t="s">
        <v>63</v>
      </c>
      <c r="I824" s="80" t="s">
        <v>63</v>
      </c>
      <c r="J824" s="80">
        <v>1055.0</v>
      </c>
      <c r="K824" s="80">
        <v>0.881370091896407</v>
      </c>
      <c r="L824" s="80" t="s">
        <v>64</v>
      </c>
    </row>
    <row r="825">
      <c r="A825" s="80" t="s">
        <v>1010</v>
      </c>
      <c r="B825" s="81" t="str">
        <f>HYPERLINK("https://www.youtube.com/channel/UC-nV0odAiVdjH3gB_uSeTcQ", "wepro180")</f>
        <v>wepro180</v>
      </c>
      <c r="C825" s="80" t="s">
        <v>1011</v>
      </c>
      <c r="D825" s="81" t="str">
        <f>HYPERLINK("https://youtube.com/watch?v=-IGeeHFYi5U", "edvance 特約【wepro 教室 03】嘉倩 180 ─ Brute Force Attack")</f>
        <v>edvance 特約【wepro 教室 03】嘉倩 180 ─ Brute Force Attack</v>
      </c>
      <c r="E825" s="82">
        <v>43214.0</v>
      </c>
      <c r="F825" s="80">
        <v>43.0</v>
      </c>
      <c r="G825" s="80" t="s">
        <v>63</v>
      </c>
      <c r="I825" s="80" t="s">
        <v>63</v>
      </c>
      <c r="J825" s="80">
        <v>134.0</v>
      </c>
      <c r="K825" s="80">
        <v>0.638095238095238</v>
      </c>
      <c r="L825" s="80" t="s">
        <v>64</v>
      </c>
    </row>
    <row r="826">
      <c r="A826" s="80" t="s">
        <v>233</v>
      </c>
      <c r="B826" s="81" t="str">
        <f>HYPERLINK("https://www.youtube.com/channel/UCjL61vw5qtDQudezRnnv-ig", "rickolam1")</f>
        <v>rickolam1</v>
      </c>
      <c r="C826" s="80" t="s">
        <v>1012</v>
      </c>
      <c r="D826" s="81" t="str">
        <f>HYPERLINK("https://youtube.com/watch?v=-IU0edSIH9I", "【真人show】港女六宗罪・孫中山溝兩條女?!")</f>
        <v>【真人show】港女六宗罪・孫中山溝兩條女?!</v>
      </c>
      <c r="E826" s="82">
        <v>42412.0</v>
      </c>
      <c r="F826" s="80">
        <v>321.0</v>
      </c>
      <c r="G826" s="80" t="s">
        <v>63</v>
      </c>
      <c r="H826" s="80" t="s">
        <v>63</v>
      </c>
      <c r="I826" s="80" t="s">
        <v>63</v>
      </c>
      <c r="J826" s="80">
        <v>1406.0</v>
      </c>
      <c r="K826" s="80">
        <v>0.926962457337884</v>
      </c>
      <c r="L826" s="80" t="s">
        <v>1013</v>
      </c>
    </row>
    <row r="827">
      <c r="A827" s="80" t="s">
        <v>74</v>
      </c>
      <c r="B827" s="81" t="str">
        <f>HYPERLINK("https://www.youtube.com/channel/UCO_5XP-qd-udNxBlzzSzgvw", "Handline Fishing")</f>
        <v>Handline Fishing</v>
      </c>
      <c r="C827" s="80" t="s">
        <v>1014</v>
      </c>
      <c r="D827" s="81" t="str">
        <f>HYPERLINK("https://youtube.com/watch?v=-LXe61ixy_E", "#135 經濟實惠的西貢大頭艇｜『香港釣魚 : 艇釣』西貢 【Surfshark】")</f>
        <v>#135 經濟實惠的西貢大頭艇｜『香港釣魚 : 艇釣』西貢 【Surfshark】</v>
      </c>
      <c r="E827" s="82">
        <v>44042.0</v>
      </c>
      <c r="F827" s="80">
        <v>679.0</v>
      </c>
      <c r="G827" s="80" t="s">
        <v>63</v>
      </c>
      <c r="I827" s="80" t="s">
        <v>63</v>
      </c>
      <c r="J827" s="80">
        <v>1567.0</v>
      </c>
      <c r="K827" s="80">
        <v>0.968479604449938</v>
      </c>
      <c r="L827" s="80" t="s">
        <v>76</v>
      </c>
    </row>
    <row r="828">
      <c r="A828" s="80" t="s">
        <v>121</v>
      </c>
      <c r="B828" s="81" t="str">
        <f>HYPERLINK("https://www.youtube.com/channel/UC-2hWXRgCg-o5Waz36Yt7BA", "Arm Channel TV")</f>
        <v>Arm Channel TV</v>
      </c>
      <c r="C828" s="80" t="s">
        <v>1015</v>
      </c>
      <c r="D828" s="81" t="str">
        <f>HYPERLINK("https://youtube.com/watch?v=-MSDlcfEnQg", "🇬🇧英國人真的歡迎香港人？ | 拍拍囉柚去英國#01")</f>
        <v>🇬🇧英國人真的歡迎香港人？ | 拍拍囉柚去英國#01</v>
      </c>
      <c r="E828" s="82">
        <v>44305.0</v>
      </c>
      <c r="F828" s="80">
        <v>850.0</v>
      </c>
      <c r="G828" s="80" t="s">
        <v>63</v>
      </c>
      <c r="I828" s="80" t="s">
        <v>63</v>
      </c>
      <c r="J828" s="80">
        <v>2768.0</v>
      </c>
      <c r="K828" s="80">
        <v>0.967832167832167</v>
      </c>
      <c r="L828" s="80" t="s">
        <v>64</v>
      </c>
    </row>
    <row r="829">
      <c r="A829" s="80" t="s">
        <v>1016</v>
      </c>
      <c r="B829" s="81" t="str">
        <f>HYPERLINK("https://www.youtube.com/channel/UCSbiR1l-cfzk44iTJVSAZVQ", "Rhapsody in Lingo")</f>
        <v>Rhapsody in Lingo</v>
      </c>
      <c r="C829" s="80" t="s">
        <v>1017</v>
      </c>
      <c r="D829" s="81" t="str">
        <f>HYPERLINK("https://youtube.com/watch?v=-NseOF954lw", "Speaking practice DOESN'T WORK* [en/粵字] Speak Every Day Challenge FINAL Q&amp;A")</f>
        <v>Speaking practice DOESN'T WORK* [en/粵字] Speak Every Day Challenge FINAL Q&amp;A</v>
      </c>
      <c r="E829" s="82">
        <v>44534.0</v>
      </c>
      <c r="F829" s="80">
        <v>601.0</v>
      </c>
      <c r="G829" s="80" t="s">
        <v>63</v>
      </c>
      <c r="I829" s="80" t="s">
        <v>63</v>
      </c>
      <c r="J829" s="80">
        <v>1406.0</v>
      </c>
      <c r="K829" s="80">
        <v>0.956462585034013</v>
      </c>
      <c r="L829" s="80" t="s">
        <v>757</v>
      </c>
    </row>
    <row r="830">
      <c r="A830" s="80" t="s">
        <v>1018</v>
      </c>
      <c r="B830" s="81" t="str">
        <f>HYPERLINK("https://www.youtube.com/channel/UCAov0-xtECNVYPn46Ltifeg", "Jodieee in UK")</f>
        <v>Jodieee in UK</v>
      </c>
      <c r="C830" s="80" t="s">
        <v>1019</v>
      </c>
      <c r="D830" s="81" t="str">
        <f>HYPERLINK("https://youtube.com/watch?v=-Rwew5YsWj0", "【在英廚神之路】日式大阪燒平過出面餐廳食幾倍！Jodie’s Kitchen #1")</f>
        <v>【在英廚神之路】日式大阪燒平過出面餐廳食幾倍！Jodie’s Kitchen #1</v>
      </c>
      <c r="E830" s="82">
        <v>44425.0</v>
      </c>
      <c r="F830" s="80">
        <v>509.0</v>
      </c>
      <c r="G830" s="80" t="s">
        <v>63</v>
      </c>
      <c r="I830" s="80" t="s">
        <v>63</v>
      </c>
      <c r="J830" s="80">
        <v>582.0</v>
      </c>
      <c r="K830" s="80">
        <v>0.858407079646017</v>
      </c>
      <c r="L830" s="80" t="s">
        <v>102</v>
      </c>
    </row>
    <row r="831">
      <c r="A831" s="80" t="s">
        <v>71</v>
      </c>
      <c r="B831" s="81" t="str">
        <f>HYPERLINK("https://www.youtube.com/channel/UCXTE-gQCetfrx_lC9yFM2aw", "arhoTV")</f>
        <v>arhoTV</v>
      </c>
      <c r="C831" s="80" t="s">
        <v>1020</v>
      </c>
      <c r="D831" s="81" t="str">
        <f>HYPERLINK("https://youtube.com/watch?v=-SMwCgc-ll4", "【日常】Q&amp;A ！超級常見問題解答！【Q&amp;A #2】")</f>
        <v>【日常】Q&amp;A ！超級常見問題解答！【Q&amp;A #2】</v>
      </c>
      <c r="E831" s="82">
        <v>42742.0</v>
      </c>
      <c r="F831" s="80">
        <v>159.0</v>
      </c>
      <c r="G831" s="80" t="s">
        <v>63</v>
      </c>
      <c r="H831" s="80" t="s">
        <v>63</v>
      </c>
      <c r="I831" s="80" t="s">
        <v>63</v>
      </c>
      <c r="J831" s="80">
        <v>872.0</v>
      </c>
      <c r="K831" s="80">
        <v>0.833333333333333</v>
      </c>
      <c r="L831" s="80" t="s">
        <v>86</v>
      </c>
    </row>
    <row r="832">
      <c r="A832" s="80" t="s">
        <v>103</v>
      </c>
      <c r="B832" s="81" t="str">
        <f>HYPERLINK("https://www.youtube.com/channel/UCTVpvSswSER2sq1USBTGfnw", "Brittany Chan")</f>
        <v>Brittany Chan</v>
      </c>
      <c r="C832" s="80" t="s">
        <v>1021</v>
      </c>
      <c r="D832" s="81" t="str">
        <f>HYPERLINK("https://youtube.com/watch?v=-YFzwyuuXPk", "Cantonese Diaspora Ep. 10 | Highlights")</f>
        <v>Cantonese Diaspora Ep. 10 | Highlights</v>
      </c>
      <c r="E832" s="82">
        <v>44559.0</v>
      </c>
      <c r="F832" s="80">
        <v>358.0</v>
      </c>
      <c r="G832" s="80" t="s">
        <v>63</v>
      </c>
      <c r="I832" s="80" t="s">
        <v>63</v>
      </c>
      <c r="J832" s="80">
        <v>1059.0</v>
      </c>
      <c r="K832" s="80">
        <v>0.680591259640102</v>
      </c>
      <c r="L832" s="80" t="s">
        <v>105</v>
      </c>
    </row>
    <row r="833">
      <c r="A833" s="80" t="s">
        <v>278</v>
      </c>
      <c r="B833" s="81" t="str">
        <f>HYPERLINK("https://www.youtube.com/channel/UCDoEdJo-PI-EKGNKomwLroQ", "mingjai14")</f>
        <v>mingjai14</v>
      </c>
      <c r="C833" s="80" t="s">
        <v>1022</v>
      </c>
      <c r="D833" s="81" t="str">
        <f>HYPERLINK("https://youtube.com/watch?v=-aA6_gEMMkU", "地上最大嘅鹽沼｜非南非旅｜Ep 8")</f>
        <v>地上最大嘅鹽沼｜非南非旅｜Ep 8</v>
      </c>
      <c r="E833" s="82">
        <v>42809.0</v>
      </c>
      <c r="F833" s="80">
        <v>598.0</v>
      </c>
      <c r="G833" s="80" t="s">
        <v>63</v>
      </c>
      <c r="H833" s="80" t="s">
        <v>63</v>
      </c>
      <c r="I833" s="80" t="s">
        <v>63</v>
      </c>
      <c r="J833" s="80">
        <v>950.0</v>
      </c>
      <c r="K833" s="80">
        <v>0.958627648839556</v>
      </c>
      <c r="L833" s="80" t="s">
        <v>120</v>
      </c>
    </row>
    <row r="834">
      <c r="A834" s="80" t="s">
        <v>1010</v>
      </c>
      <c r="B834" s="81" t="str">
        <f>HYPERLINK("https://www.youtube.com/channel/UC-nV0odAiVdjH3gB_uSeTcQ", "wepro180")</f>
        <v>wepro180</v>
      </c>
      <c r="C834" s="80" t="s">
        <v>1023</v>
      </c>
      <c r="D834" s="81" t="str">
        <f>HYPERLINK("https://youtube.com/watch?v=-cDj2uyjnbw", "專家示範極速 WiFi Hacking")</f>
        <v>專家示範極速 WiFi Hacking</v>
      </c>
      <c r="E834" s="82">
        <v>43368.0</v>
      </c>
      <c r="F834" s="80">
        <v>105.0</v>
      </c>
      <c r="G834" s="80" t="s">
        <v>63</v>
      </c>
      <c r="I834" s="80" t="s">
        <v>63</v>
      </c>
      <c r="J834" s="80">
        <v>230.0</v>
      </c>
      <c r="K834" s="80">
        <v>0.474226804123711</v>
      </c>
      <c r="L834" s="80" t="s">
        <v>64</v>
      </c>
    </row>
    <row r="835">
      <c r="A835" s="80" t="s">
        <v>71</v>
      </c>
      <c r="B835" s="81" t="str">
        <f>HYPERLINK("https://www.youtube.com/channel/UCXTE-gQCetfrx_lC9yFM2aw", "arhoTV")</f>
        <v>arhoTV</v>
      </c>
      <c r="C835" s="80" t="s">
        <v>1024</v>
      </c>
      <c r="D835" s="81" t="str">
        <f>HYPERLINK("https://youtube.com/watch?v=-eqv1DAJElU", "【遊戲】Super Mario Run 真玩法！")</f>
        <v>【遊戲】Super Mario Run 真玩法！</v>
      </c>
      <c r="E835" s="82">
        <v>42721.0</v>
      </c>
      <c r="F835" s="80">
        <v>150.0</v>
      </c>
      <c r="G835" s="80" t="s">
        <v>63</v>
      </c>
      <c r="H835" s="80" t="s">
        <v>63</v>
      </c>
      <c r="I835" s="80" t="s">
        <v>63</v>
      </c>
      <c r="J835" s="80">
        <v>578.0</v>
      </c>
      <c r="K835" s="80">
        <v>0.694711538461538</v>
      </c>
      <c r="L835" s="80" t="s">
        <v>86</v>
      </c>
    </row>
    <row r="836">
      <c r="A836" s="80" t="s">
        <v>112</v>
      </c>
      <c r="B836" s="81" t="str">
        <f>HYPERLINK("https://www.youtube.com/channel/UCW_n_gfIv4HhRqCk8EnRhJA", "Happy Kongner")</f>
        <v>Happy Kongner</v>
      </c>
      <c r="C836" s="80" t="s">
        <v>1025</v>
      </c>
      <c r="D836" s="81" t="str">
        <f>HYPERLINK("https://youtube.com/watch?v=-jrKvn543wQ", "一直進行光合作用的Youtube創作者奧雲、美茄與MK，正被Youtube的不公平機制掐住春袋，這樣的Channel你能救救它嗎？[號外]")</f>
        <v>一直進行光合作用的Youtube創作者奧雲、美茄與MK，正被Youtube的不公平機制掐住春袋，這樣的Channel你能救救它嗎？[號外]</v>
      </c>
      <c r="E836" s="82">
        <v>43701.0</v>
      </c>
      <c r="F836" s="80">
        <v>420.0</v>
      </c>
      <c r="G836" s="80" t="s">
        <v>63</v>
      </c>
      <c r="I836" s="80" t="s">
        <v>63</v>
      </c>
      <c r="J836" s="80">
        <v>1652.0</v>
      </c>
      <c r="K836" s="80">
        <v>0.777046095954844</v>
      </c>
      <c r="L836" s="80" t="s">
        <v>64</v>
      </c>
    </row>
    <row r="837">
      <c r="A837" s="80" t="s">
        <v>129</v>
      </c>
      <c r="B837" s="81" t="str">
        <f>HYPERLINK("https://www.youtube.com/channel/UCBbTnorwzva0ZIMGW0ttwVA", "阿豬 Ah Ju")</f>
        <v>阿豬 Ah Ju</v>
      </c>
      <c r="C837" s="80" t="s">
        <v>1026</v>
      </c>
      <c r="D837" s="81" t="str">
        <f>HYPERLINK("https://youtube.com/watch?v=-m8B2FVY6zo", "2021 股票開戶必看 邊個股票戶口最平靚正？")</f>
        <v>2021 股票開戶必看 邊個股票戶口最平靚正？</v>
      </c>
      <c r="E837" s="82">
        <v>44313.0</v>
      </c>
      <c r="F837" s="80">
        <v>862.0</v>
      </c>
      <c r="G837" s="80" t="s">
        <v>63</v>
      </c>
      <c r="I837" s="80" t="s">
        <v>63</v>
      </c>
      <c r="J837" s="80">
        <v>2844.0</v>
      </c>
      <c r="K837" s="80">
        <v>0.620283533260632</v>
      </c>
      <c r="L837" s="80" t="s">
        <v>751</v>
      </c>
    </row>
    <row r="838">
      <c r="A838" s="80" t="s">
        <v>94</v>
      </c>
      <c r="B838" s="81" t="str">
        <f>HYPERLINK("https://www.youtube.com/channel/UCT_dMyI3pNselsmfR6FC8tQ", "PrideLab")</f>
        <v>PrideLab</v>
      </c>
      <c r="C838" s="80" t="s">
        <v>1027</v>
      </c>
      <c r="D838" s="81" t="str">
        <f>HYPERLINK("https://youtube.com/watch?v=-o4WE7yz-AM", "《性·利者》")</f>
        <v>《性·利者》</v>
      </c>
      <c r="E838" s="82">
        <v>42742.0</v>
      </c>
      <c r="F838" s="80">
        <v>352.0</v>
      </c>
      <c r="G838" s="80" t="s">
        <v>63</v>
      </c>
      <c r="I838" s="80" t="s">
        <v>63</v>
      </c>
      <c r="J838" s="80">
        <v>861.0</v>
      </c>
      <c r="K838" s="80">
        <v>0.928802588996763</v>
      </c>
      <c r="L838" s="80" t="s">
        <v>64</v>
      </c>
    </row>
    <row r="839">
      <c r="A839" s="80" t="s">
        <v>71</v>
      </c>
      <c r="B839" s="81" t="str">
        <f>HYPERLINK("https://www.youtube.com/channel/UCXTE-gQCetfrx_lC9yFM2aw", "arhoTV")</f>
        <v>arhoTV</v>
      </c>
      <c r="C839" s="80" t="s">
        <v>1028</v>
      </c>
      <c r="D839" s="81" t="str">
        <f>HYPERLINK("https://youtube.com/watch?v=-rSj_NVTunc", "【日常】有觀眾用我做主角作故事？")</f>
        <v>【日常】有觀眾用我做主角作故事？</v>
      </c>
      <c r="E839" s="82">
        <v>42787.0</v>
      </c>
      <c r="F839" s="80">
        <v>203.0</v>
      </c>
      <c r="G839" s="80" t="s">
        <v>63</v>
      </c>
      <c r="H839" s="80" t="s">
        <v>63</v>
      </c>
      <c r="I839" s="80" t="s">
        <v>63</v>
      </c>
      <c r="J839" s="80">
        <v>982.0</v>
      </c>
      <c r="K839" s="80">
        <v>0.832203389830508</v>
      </c>
      <c r="L839" s="80" t="s">
        <v>86</v>
      </c>
    </row>
    <row r="840">
      <c r="A840" s="80" t="s">
        <v>61</v>
      </c>
      <c r="B840" s="81" t="str">
        <f>HYPERLINK("https://www.youtube.com/channel/UCJ4XVrJuqKHbc9yF9oUFseg", "MEeeep More")</f>
        <v>MEeeep More</v>
      </c>
      <c r="C840" s="80" t="s">
        <v>1029</v>
      </c>
      <c r="D840" s="81" t="str">
        <f>HYPERLINK("https://youtube.com/watch?v=-syjVvojqMw", "2020 突發！$78月費 5GB變8GB！3分鐘睇晒抵用4G 21mbps 月費計劃！香港5G pccw 中國移動香港 csl 1010 sunmobile 中移動 自由鳥 birdie 4.5g")</f>
        <v>2020 突發！$78月費 5GB變8GB！3分鐘睇晒抵用4G 21mbps 月費計劃！香港5G pccw 中國移動香港 csl 1010 sunmobile 中移動 自由鳥 birdie 4.5g</v>
      </c>
      <c r="E840" s="82">
        <v>44063.0</v>
      </c>
      <c r="F840" s="80">
        <v>158.0</v>
      </c>
      <c r="G840" s="80" t="s">
        <v>63</v>
      </c>
      <c r="I840" s="80" t="s">
        <v>63</v>
      </c>
      <c r="J840" s="80">
        <v>427.0</v>
      </c>
      <c r="K840" s="80">
        <v>0.74390243902439</v>
      </c>
      <c r="L840" s="80" t="s">
        <v>64</v>
      </c>
    </row>
    <row r="841">
      <c r="A841" s="80" t="s">
        <v>71</v>
      </c>
      <c r="B841" s="81" t="str">
        <f>HYPERLINK("https://www.youtube.com/channel/UCXTE-gQCetfrx_lC9yFM2aw", "arhoTV")</f>
        <v>arhoTV</v>
      </c>
      <c r="C841" s="80" t="s">
        <v>1030</v>
      </c>
      <c r="D841" s="81" t="str">
        <f>HYPERLINK("https://youtube.com/watch?v=-y_GQbTkmbs", "【飲食】食海膽三文魚刨冰消暑！")</f>
        <v>【飲食】食海膽三文魚刨冰消暑！</v>
      </c>
      <c r="E841" s="82">
        <v>42959.0</v>
      </c>
      <c r="F841" s="80">
        <v>183.0</v>
      </c>
      <c r="G841" s="80" t="s">
        <v>63</v>
      </c>
      <c r="I841" s="80" t="s">
        <v>63</v>
      </c>
      <c r="J841" s="80">
        <v>925.0</v>
      </c>
      <c r="K841" s="80">
        <v>0.908644400785854</v>
      </c>
      <c r="L841" s="80" t="s">
        <v>64</v>
      </c>
    </row>
    <row r="842">
      <c r="A842" s="80" t="s">
        <v>112</v>
      </c>
      <c r="B842" s="81" t="str">
        <f>HYPERLINK("https://www.youtube.com/channel/UCW_n_gfIv4HhRqCk8EnRhJA", "Happy Kongner")</f>
        <v>Happy Kongner</v>
      </c>
      <c r="C842" s="80" t="s">
        <v>1031</v>
      </c>
      <c r="D842" s="81" t="str">
        <f>HYPERLINK("https://youtube.com/watch?v=00u7U1r2wHQ", "賀壽送金猴系列：真﹒中國國民教育！牢記紅色政權從哪裡來 [做乜嘢懶人包]")</f>
        <v>賀壽送金猴系列：真﹒中國國民教育！牢記紅色政權從哪裡來 [做乜嘢懶人包]</v>
      </c>
      <c r="E842" s="82">
        <v>43737.0</v>
      </c>
      <c r="F842" s="80">
        <v>1760.0</v>
      </c>
      <c r="G842" s="80" t="s">
        <v>63</v>
      </c>
      <c r="I842" s="80" t="s">
        <v>63</v>
      </c>
      <c r="J842" s="80">
        <v>1286.0</v>
      </c>
      <c r="K842" s="80">
        <v>0.921863799283154</v>
      </c>
      <c r="L842" s="80" t="s">
        <v>64</v>
      </c>
    </row>
    <row r="843">
      <c r="A843" s="80" t="s">
        <v>121</v>
      </c>
      <c r="B843" s="81" t="str">
        <f t="shared" ref="B843:B844" si="27">HYPERLINK("https://www.youtube.com/channel/UC-2hWXRgCg-o5Waz36Yt7BA", "Arm Channel TV")</f>
        <v>Arm Channel TV</v>
      </c>
      <c r="C843" s="80" t="s">
        <v>1032</v>
      </c>
      <c r="D843" s="81" t="str">
        <f>HYPERLINK("https://youtube.com/watch?v=01JMSu0v3Gw", "🇬🇧 一個女仔去英國 | 拍拍囉柚去英國#04")</f>
        <v>🇬🇧 一個女仔去英國 | 拍拍囉柚去英國#04</v>
      </c>
      <c r="E843" s="82">
        <v>44326.0</v>
      </c>
      <c r="F843" s="80">
        <v>723.0</v>
      </c>
      <c r="G843" s="80" t="s">
        <v>63</v>
      </c>
      <c r="I843" s="80" t="s">
        <v>63</v>
      </c>
      <c r="J843" s="80">
        <v>2084.0</v>
      </c>
      <c r="K843" s="80">
        <v>0.962142197599261</v>
      </c>
      <c r="L843" s="80" t="s">
        <v>64</v>
      </c>
    </row>
    <row r="844">
      <c r="A844" s="80" t="s">
        <v>121</v>
      </c>
      <c r="B844" s="81" t="str">
        <f t="shared" si="27"/>
        <v>Arm Channel TV</v>
      </c>
      <c r="C844" s="80" t="s">
        <v>1033</v>
      </c>
      <c r="D844" s="81" t="str">
        <f>HYPERLINK("https://youtube.com/watch?v=01m6E3ztOUo", "【夜晚自遊EP05】老了又如何？😌 | 你曾經怕老嗎？")</f>
        <v>【夜晚自遊EP05】老了又如何？😌 | 你曾經怕老嗎？</v>
      </c>
      <c r="E844" s="82">
        <v>44403.0</v>
      </c>
      <c r="F844" s="80">
        <v>679.0</v>
      </c>
      <c r="G844" s="80" t="s">
        <v>63</v>
      </c>
      <c r="I844" s="80" t="s">
        <v>63</v>
      </c>
      <c r="J844" s="80">
        <v>2173.0</v>
      </c>
      <c r="K844" s="80">
        <v>0.950984682713347</v>
      </c>
      <c r="L844" s="80" t="s">
        <v>64</v>
      </c>
    </row>
    <row r="845">
      <c r="A845" s="80" t="s">
        <v>219</v>
      </c>
      <c r="B845" s="81" t="str">
        <f>HYPERLINK("https://www.youtube.com/channel/UC9_PnptBIpNF0JXbJjd8TsQ", "Brown's Channel")</f>
        <v>Brown's Channel</v>
      </c>
      <c r="C845" s="80" t="s">
        <v>1034</v>
      </c>
      <c r="D845" s="81" t="str">
        <f>HYPERLINK("https://youtube.com/watch?v=03Yro3NR6Nw", "【一隻熊在去旅行@澳門】#2 媽閣前地——除咗拜神仲有幾個博物館")</f>
        <v>【一隻熊在去旅行@澳門】#2 媽閣前地——除咗拜神仲有幾個博物館</v>
      </c>
      <c r="E845" s="82">
        <v>43828.0</v>
      </c>
      <c r="F845" s="80">
        <v>244.0</v>
      </c>
      <c r="G845" s="80" t="s">
        <v>63</v>
      </c>
      <c r="I845" s="80" t="s">
        <v>63</v>
      </c>
      <c r="J845" s="80">
        <v>897.0</v>
      </c>
      <c r="K845" s="80">
        <v>0.995560488346281</v>
      </c>
      <c r="L845" s="80" t="s">
        <v>64</v>
      </c>
    </row>
    <row r="846">
      <c r="A846" s="80" t="s">
        <v>96</v>
      </c>
      <c r="B846" s="81" t="str">
        <f>HYPERLINK("https://www.youtube.com/channel/UCGtyHJ-L_4RDIHe3XaLofQQ", "Anson Cheung")</f>
        <v>Anson Cheung</v>
      </c>
      <c r="C846" s="80" t="s">
        <v>1035</v>
      </c>
      <c r="D846" s="81" t="str">
        <f>HYPERLINK("https://youtube.com/watch?v=07Kh-NfJhZk", "四個 Sony Xperia 1 III 值得買的理由（但你聽完可能都未必會買🧐）")</f>
        <v>四個 Sony Xperia 1 III 值得買的理由（但你聽完可能都未必會買🧐）</v>
      </c>
      <c r="E846" s="82">
        <v>44443.0</v>
      </c>
      <c r="F846" s="80">
        <v>685.0</v>
      </c>
      <c r="G846" s="80" t="s">
        <v>63</v>
      </c>
      <c r="I846" s="80" t="s">
        <v>63</v>
      </c>
      <c r="J846" s="80">
        <v>2625.0</v>
      </c>
      <c r="K846" s="80">
        <v>0.721748693978553</v>
      </c>
      <c r="L846" s="80" t="s">
        <v>102</v>
      </c>
    </row>
    <row r="847">
      <c r="A847" s="80" t="s">
        <v>112</v>
      </c>
      <c r="B847" s="81" t="str">
        <f>HYPERLINK("https://www.youtube.com/channel/UCW_n_gfIv4HhRqCk8EnRhJA", "Happy Kongner")</f>
        <v>Happy Kongner</v>
      </c>
      <c r="C847" s="80" t="s">
        <v>1036</v>
      </c>
      <c r="D847" s="81" t="str">
        <f>HYPERLINK("https://youtube.com/watch?v=09OGY-16AnM", "驚世之作！《閨蜜2》呢套戲究竟點解可以咁驚為天人？[𠝹櫈電影學會]")</f>
        <v>驚世之作！《閨蜜2》呢套戲究竟點解可以咁驚為天人？[𠝹櫈電影學會]</v>
      </c>
      <c r="E847" s="82">
        <v>43178.0</v>
      </c>
      <c r="F847" s="80">
        <v>722.0</v>
      </c>
      <c r="G847" s="80" t="s">
        <v>63</v>
      </c>
      <c r="I847" s="80" t="s">
        <v>63</v>
      </c>
      <c r="J847" s="80">
        <v>3330.0</v>
      </c>
      <c r="K847" s="80">
        <v>0.936182175991003</v>
      </c>
      <c r="L847" s="80" t="s">
        <v>64</v>
      </c>
    </row>
    <row r="848">
      <c r="A848" s="80" t="s">
        <v>96</v>
      </c>
      <c r="B848" s="81" t="str">
        <f>HYPERLINK("https://www.youtube.com/channel/UCGtyHJ-L_4RDIHe3XaLofQQ", "Anson Cheung")</f>
        <v>Anson Cheung</v>
      </c>
      <c r="C848" s="80" t="s">
        <v>1037</v>
      </c>
      <c r="D848" s="81" t="str">
        <f>HYPERLINK("https://youtube.com/watch?v=09UA-sVxo-k", "公道講句，大家都錯怪了這部 iPhone 13！｜iPhone 13 評測｜Anson Cheung 手機評測")</f>
        <v>公道講句，大家都錯怪了這部 iPhone 13！｜iPhone 13 評測｜Anson Cheung 手機評測</v>
      </c>
      <c r="E848" s="82">
        <v>44482.0</v>
      </c>
      <c r="F848" s="80">
        <v>796.0</v>
      </c>
      <c r="G848" s="80" t="s">
        <v>63</v>
      </c>
      <c r="I848" s="80" t="s">
        <v>63</v>
      </c>
      <c r="J848" s="80">
        <v>3061.0</v>
      </c>
      <c r="K848" s="80">
        <v>0.660552438498057</v>
      </c>
      <c r="L848" s="80" t="s">
        <v>64</v>
      </c>
    </row>
    <row r="849">
      <c r="A849" s="80" t="s">
        <v>274</v>
      </c>
      <c r="B849" s="81" t="str">
        <f>HYPERLINK("https://www.youtube.com/channel/UC2oB9QCXs-RKtaKChrz4dKg", "MtzCherry")</f>
        <v>MtzCherry</v>
      </c>
      <c r="C849" s="80" t="s">
        <v>1038</v>
      </c>
      <c r="D849" s="81" t="str">
        <f>HYPERLINK("https://youtube.com/watch?v=0CZi4AmLmDE", "🇭🇰 Weekend Getaway @The Peninsula 去香港歷史最悠久嘅半島酒店睇下啦!  || LIVING in HONG KONG")</f>
        <v>🇭🇰 Weekend Getaway @The Peninsula 去香港歷史最悠久嘅半島酒店睇下啦!  || LIVING in HONG KONG</v>
      </c>
      <c r="E849" s="82">
        <v>44465.0</v>
      </c>
      <c r="F849" s="80">
        <v>410.0</v>
      </c>
      <c r="G849" s="80" t="s">
        <v>63</v>
      </c>
      <c r="I849" s="80" t="s">
        <v>63</v>
      </c>
      <c r="J849" s="80">
        <v>1182.0</v>
      </c>
      <c r="K849" s="80">
        <v>0.76853055916775</v>
      </c>
      <c r="L849" s="80" t="s">
        <v>287</v>
      </c>
    </row>
    <row r="850">
      <c r="A850" s="80" t="s">
        <v>1039</v>
      </c>
      <c r="B850" s="81" t="str">
        <f>HYPERLINK("https://www.youtube.com/channel/UCiKEIxbv4RTzyLCKG17N-AA", "Hunting Archer")</f>
        <v>Hunting Archer</v>
      </c>
      <c r="C850" s="80" t="s">
        <v>1040</v>
      </c>
      <c r="D850" s="81" t="str">
        <f>HYPERLINK("https://youtube.com/watch?v=0Cx5f1MvDXA", "【广州漫步】 寻找东华东路上的记忆 Walk in GuangZhou")</f>
        <v>【广州漫步】 寻找东华东路上的记忆 Walk in GuangZhou</v>
      </c>
      <c r="E850" s="82">
        <v>44374.0</v>
      </c>
      <c r="F850" s="80">
        <v>1577.0</v>
      </c>
      <c r="G850" s="80" t="s">
        <v>63</v>
      </c>
      <c r="I850" s="80" t="s">
        <v>63</v>
      </c>
      <c r="J850" s="80">
        <v>5112.0</v>
      </c>
      <c r="K850" s="80">
        <v>0.984212552945706</v>
      </c>
      <c r="L850" s="80" t="s">
        <v>776</v>
      </c>
    </row>
    <row r="851">
      <c r="A851" s="80" t="s">
        <v>74</v>
      </c>
      <c r="B851" s="81" t="str">
        <f>HYPERLINK("https://www.youtube.com/channel/UCO_5XP-qd-udNxBlzzSzgvw", "Handline Fishing")</f>
        <v>Handline Fishing</v>
      </c>
      <c r="C851" s="80" t="s">
        <v>1041</v>
      </c>
      <c r="D851" s="81" t="str">
        <f>HYPERLINK("https://youtube.com/watch?v=0GHG54kDagM", "#169 東水釣雞魚，可惜機會不屬於我哋 | 『香港釣魚 : 艇釣』維港東 {粵語旁白+中英文字幕}")</f>
        <v>#169 東水釣雞魚，可惜機會不屬於我哋 | 『香港釣魚 : 艇釣』維港東 {粵語旁白+中英文字幕}</v>
      </c>
      <c r="E851" s="82">
        <v>44166.0</v>
      </c>
      <c r="F851" s="80">
        <v>504.0</v>
      </c>
      <c r="G851" s="80" t="s">
        <v>63</v>
      </c>
      <c r="I851" s="80" t="s">
        <v>63</v>
      </c>
      <c r="J851" s="80">
        <v>638.0</v>
      </c>
      <c r="K851" s="80">
        <v>0.986089644513137</v>
      </c>
      <c r="L851" s="80" t="s">
        <v>271</v>
      </c>
    </row>
    <row r="852">
      <c r="A852" s="80" t="s">
        <v>94</v>
      </c>
      <c r="B852" s="81" t="str">
        <f>HYPERLINK("https://www.youtube.com/channel/UCT_dMyI3pNselsmfR6FC8tQ", "PrideLab")</f>
        <v>PrideLab</v>
      </c>
      <c r="C852" s="80" t="s">
        <v>1042</v>
      </c>
      <c r="D852" s="81" t="str">
        <f>HYPERLINK("https://youtube.com/watch?v=0Iq8KjJb0VA", "同志廣東歌  - 續集 - 滄海遺珠回應篇")</f>
        <v>同志廣東歌  - 續集 - 滄海遺珠回應篇</v>
      </c>
      <c r="E852" s="82">
        <v>42692.0</v>
      </c>
      <c r="F852" s="80">
        <v>354.0</v>
      </c>
      <c r="G852" s="80" t="s">
        <v>63</v>
      </c>
      <c r="I852" s="80" t="s">
        <v>63</v>
      </c>
      <c r="J852" s="80">
        <v>508.0</v>
      </c>
      <c r="K852" s="80">
        <v>0.78516228748068</v>
      </c>
      <c r="L852" s="80" t="s">
        <v>64</v>
      </c>
    </row>
    <row r="853">
      <c r="A853" s="80" t="s">
        <v>252</v>
      </c>
      <c r="B853" s="81" t="str">
        <f>HYPERLINK("https://www.youtube.com/channel/UCrISkBm7rgsRUAw8018eWvw", "MoYung 慕容公子")</f>
        <v>MoYung 慕容公子</v>
      </c>
      <c r="C853" s="80" t="s">
        <v>1043</v>
      </c>
      <c r="D853" s="81" t="str">
        <f>HYPERLINK("https://youtube.com/watch?v=0J9zgBveC3A", "【大開眼界】話抽中就抽中，點樣贏呀？我又好奇了 (中英字幕)")</f>
        <v>【大開眼界】話抽中就抽中，點樣贏呀？我又好奇了 (中英字幕)</v>
      </c>
      <c r="E853" s="82">
        <v>43136.0</v>
      </c>
      <c r="F853" s="80">
        <v>100.0</v>
      </c>
      <c r="G853" s="80" t="s">
        <v>63</v>
      </c>
      <c r="H853" s="80" t="s">
        <v>63</v>
      </c>
      <c r="I853" s="80" t="s">
        <v>63</v>
      </c>
      <c r="J853" s="80">
        <v>134.0</v>
      </c>
      <c r="K853" s="80">
        <v>0.978102189781021</v>
      </c>
      <c r="L853" s="80" t="s">
        <v>1044</v>
      </c>
    </row>
    <row r="854">
      <c r="A854" s="80" t="s">
        <v>96</v>
      </c>
      <c r="B854" s="81" t="str">
        <f>HYPERLINK("https://www.youtube.com/channel/UCGtyHJ-L_4RDIHe3XaLofQQ", "Anson Cheung")</f>
        <v>Anson Cheung</v>
      </c>
      <c r="C854" s="80" t="s">
        <v>1045</v>
      </c>
      <c r="D854" s="81" t="str">
        <f>HYPERLINK("https://youtube.com/watch?v=0Kz0OMTe3YY", "ASUS Zenfone 7 + ROG Phone 3 評測 - 不盡相同｜Anson Cheung 手機評測｜Zenfone 7 評測｜ROG Phone 3 評測")</f>
        <v>ASUS Zenfone 7 + ROG Phone 3 評測 - 不盡相同｜Anson Cheung 手機評測｜Zenfone 7 評測｜ROG Phone 3 評測</v>
      </c>
      <c r="E854" s="82">
        <v>44140.0</v>
      </c>
      <c r="F854" s="80">
        <v>646.0</v>
      </c>
      <c r="G854" s="80" t="s">
        <v>63</v>
      </c>
      <c r="I854" s="80" t="s">
        <v>63</v>
      </c>
      <c r="J854" s="80">
        <v>1968.0</v>
      </c>
      <c r="K854" s="80">
        <v>0.679558011049723</v>
      </c>
      <c r="L854" s="80" t="s">
        <v>64</v>
      </c>
    </row>
    <row r="855">
      <c r="A855" s="80" t="s">
        <v>217</v>
      </c>
      <c r="B855" s="81" t="str">
        <f>HYPERLINK("https://www.youtube.com/channel/UCXKg0qPRz32bs5Z4mTGF3TQ", "Stormtrooper白兵")</f>
        <v>Stormtrooper白兵</v>
      </c>
      <c r="C855" s="80" t="s">
        <v>1046</v>
      </c>
      <c r="D855" s="81" t="str">
        <f>HYPERLINK("https://youtube.com/watch?v=0RDXupXELH0", "香港價值－中國春袋？美國真心「幫」香港？中美兩國交惡，香港成為兵家必爭之地？知己知彼，百戰百勝！")</f>
        <v>香港價值－中國春袋？美國真心「幫」香港？中美兩國交惡，香港成為兵家必爭之地？知己知彼，百戰百勝！</v>
      </c>
      <c r="E855" s="82">
        <v>43905.0</v>
      </c>
      <c r="F855" s="80">
        <v>1277.0</v>
      </c>
      <c r="G855" s="80" t="s">
        <v>63</v>
      </c>
      <c r="H855" s="80" t="s">
        <v>63</v>
      </c>
      <c r="I855" s="80" t="s">
        <v>63</v>
      </c>
      <c r="J855" s="80">
        <v>5963.0</v>
      </c>
      <c r="K855" s="80">
        <v>0.976420501064352</v>
      </c>
      <c r="L855" s="80" t="s">
        <v>120</v>
      </c>
    </row>
    <row r="856">
      <c r="A856" s="80" t="s">
        <v>74</v>
      </c>
      <c r="B856" s="81" t="str">
        <f>HYPERLINK("https://www.youtube.com/channel/UCO_5XP-qd-udNxBlzzSzgvw", "Handline Fishing")</f>
        <v>Handline Fishing</v>
      </c>
      <c r="C856" s="80" t="s">
        <v>1047</v>
      </c>
      <c r="D856" s="81" t="str">
        <f>HYPERLINK("https://youtube.com/watch?v=0Sp7tu7MYWw", "#212 我完全沒有氣餒，一於再試 | 『香港釣魚 : 岸釣』灣仔臨時海濱花園 {粵語旁白+中英文字幕}")</f>
        <v>#212 我完全沒有氣餒，一於再試 | 『香港釣魚 : 岸釣』灣仔臨時海濱花園 {粵語旁白+中英文字幕}</v>
      </c>
      <c r="E856" s="82">
        <v>44333.0</v>
      </c>
      <c r="F856" s="80">
        <v>205.0</v>
      </c>
      <c r="G856" s="80" t="s">
        <v>63</v>
      </c>
      <c r="H856" s="80" t="s">
        <v>63</v>
      </c>
      <c r="I856" s="80" t="s">
        <v>63</v>
      </c>
      <c r="J856" s="80">
        <v>410.0</v>
      </c>
      <c r="K856" s="80">
        <v>0.966494845360824</v>
      </c>
      <c r="L856" s="80" t="s">
        <v>88</v>
      </c>
    </row>
    <row r="857">
      <c r="A857" s="80" t="s">
        <v>957</v>
      </c>
      <c r="B857" s="81" t="str">
        <f>HYPERLINK("https://www.youtube.com/channel/UCNdV5VO81YBe5rfhOz1wRmA", "Con爆TV")</f>
        <v>Con爆TV</v>
      </c>
      <c r="C857" s="80" t="s">
        <v>1048</v>
      </c>
      <c r="D857" s="81" t="str">
        <f>HYPERLINK("https://youtube.com/watch?v=0UfyzTXexMs", "【PAD】幽遊白書第2彈新進化+新角色預覽、7週年學問神財窟快刷攻略、闇魔女掉蛋率報告、每日換鑽石龍果+聖誕龍無限刷")</f>
        <v>【PAD】幽遊白書第2彈新進化+新角色預覽、7週年學問神財窟快刷攻略、闇魔女掉蛋率報告、每日換鑽石龍果+聖誕龍無限刷</v>
      </c>
      <c r="E857" s="82">
        <v>43528.0</v>
      </c>
      <c r="F857" s="80">
        <v>625.0</v>
      </c>
      <c r="G857" s="80" t="s">
        <v>63</v>
      </c>
      <c r="I857" s="80" t="s">
        <v>63</v>
      </c>
      <c r="J857" s="80">
        <v>2214.0</v>
      </c>
      <c r="K857" s="80">
        <v>0.948179871520342</v>
      </c>
      <c r="L857" s="80" t="s">
        <v>64</v>
      </c>
    </row>
    <row r="858">
      <c r="A858" s="80" t="s">
        <v>71</v>
      </c>
      <c r="B858" s="81" t="str">
        <f>HYPERLINK("https://www.youtube.com/channel/UCXTE-gQCetfrx_lC9yFM2aw", "arhoTV")</f>
        <v>arhoTV</v>
      </c>
      <c r="C858" s="80" t="s">
        <v>1049</v>
      </c>
      <c r="D858" s="81" t="str">
        <f>HYPERLINK("https://youtube.com/watch?v=0aH9lPT0fs4", "【開箱】不思議泥球扭蛋？！")</f>
        <v>【開箱】不思議泥球扭蛋？！</v>
      </c>
      <c r="E858" s="82">
        <v>42768.0</v>
      </c>
      <c r="F858" s="80">
        <v>214.0</v>
      </c>
      <c r="G858" s="80" t="s">
        <v>63</v>
      </c>
      <c r="H858" s="80" t="s">
        <v>63</v>
      </c>
      <c r="I858" s="80" t="s">
        <v>63</v>
      </c>
      <c r="J858" s="80">
        <v>1315.0</v>
      </c>
      <c r="K858" s="80">
        <v>0.900911161731207</v>
      </c>
      <c r="L858" s="80" t="s">
        <v>86</v>
      </c>
    </row>
    <row r="859">
      <c r="A859" s="80" t="s">
        <v>1050</v>
      </c>
      <c r="B859" s="81" t="str">
        <f>HYPERLINK("https://www.youtube.com/channel/UCNCwcNnkhHviS0xyJHbhX2Q", "Man The Fvck Up")</f>
        <v>Man The Fvck Up</v>
      </c>
      <c r="C859" s="80" t="s">
        <v>1051</v>
      </c>
      <c r="D859" s="81" t="str">
        <f>HYPERLINK("https://youtube.com/watch?v=0mf353tAOGE", "[溝女] Steve Jobs喬布斯溝唔溝到女? - Can Steve Jobs Attract Women?")</f>
        <v>[溝女] Steve Jobs喬布斯溝唔溝到女? - Can Steve Jobs Attract Women?</v>
      </c>
      <c r="E859" s="82">
        <v>42751.0</v>
      </c>
      <c r="F859" s="80">
        <v>298.0</v>
      </c>
      <c r="G859" s="80" t="s">
        <v>63</v>
      </c>
      <c r="I859" s="80" t="s">
        <v>63</v>
      </c>
      <c r="J859" s="80">
        <v>898.0</v>
      </c>
      <c r="K859" s="80">
        <v>0.744610281923714</v>
      </c>
      <c r="L859" s="80" t="s">
        <v>64</v>
      </c>
    </row>
    <row r="860">
      <c r="A860" s="80" t="s">
        <v>96</v>
      </c>
      <c r="B860" s="81" t="str">
        <f>HYPERLINK("https://www.youtube.com/channel/UCGtyHJ-L_4RDIHe3XaLofQQ", "Anson Cheung")</f>
        <v>Anson Cheung</v>
      </c>
      <c r="C860" s="80" t="s">
        <v>1052</v>
      </c>
      <c r="D860" s="81" t="str">
        <f>HYPERLINK("https://youtube.com/watch?v=0nV6MUNMGW8", "Apple M1 MacBook Air 評測 - 「大跌眼鏡」｜Apple M1 MacBook Air Review｜Anson Cheung")</f>
        <v>Apple M1 MacBook Air 評測 - 「大跌眼鏡」｜Apple M1 MacBook Air Review｜Anson Cheung</v>
      </c>
      <c r="E860" s="82">
        <v>44202.0</v>
      </c>
      <c r="F860" s="80">
        <v>602.0</v>
      </c>
      <c r="G860" s="80" t="s">
        <v>63</v>
      </c>
      <c r="I860" s="80" t="s">
        <v>63</v>
      </c>
      <c r="J860" s="80">
        <v>1636.0</v>
      </c>
      <c r="K860" s="80">
        <v>0.575043936731107</v>
      </c>
      <c r="L860" s="80" t="s">
        <v>64</v>
      </c>
    </row>
    <row r="861">
      <c r="A861" s="80" t="s">
        <v>61</v>
      </c>
      <c r="B861" s="81" t="str">
        <f>HYPERLINK("https://www.youtube.com/channel/UCJ4XVrJuqKHbc9yF9oUFseg", "MEeeep More")</f>
        <v>MEeeep More</v>
      </c>
      <c r="C861" s="80" t="s">
        <v>1053</v>
      </c>
      <c r="D861" s="81" t="str">
        <f>HYPERLINK("https://youtube.com/watch?v=0rAWwdlTxEY", "小米降噪耳機 Pro 旗艦登場 | 首款主動降噪耳機 RMB800 有找 | flipbuds pro 黑色airpods pro xiaomi airpods 3")</f>
        <v>小米降噪耳機 Pro 旗艦登場 | 首款主動降噪耳機 RMB800 有找 | flipbuds pro 黑色airpods pro xiaomi airpods 3</v>
      </c>
      <c r="E861" s="82">
        <v>44333.0</v>
      </c>
      <c r="F861" s="80">
        <v>176.0</v>
      </c>
      <c r="G861" s="80" t="s">
        <v>63</v>
      </c>
      <c r="I861" s="80" t="s">
        <v>63</v>
      </c>
      <c r="J861" s="80">
        <v>540.0</v>
      </c>
      <c r="K861" s="80">
        <v>0.855784469096671</v>
      </c>
      <c r="L861" s="80" t="s">
        <v>64</v>
      </c>
    </row>
    <row r="862">
      <c r="A862" s="80" t="s">
        <v>71</v>
      </c>
      <c r="B862" s="81" t="str">
        <f>HYPERLINK("https://www.youtube.com/channel/UCXTE-gQCetfrx_lC9yFM2aw", "arhoTV")</f>
        <v>arhoTV</v>
      </c>
      <c r="C862" s="80" t="s">
        <v>1054</v>
      </c>
      <c r="D862" s="81" t="str">
        <f>HYPERLINK("https://youtube.com/watch?v=0tfiRvbi7Jk", "【日常】點解我要做音樂")</f>
        <v>【日常】點解我要做音樂</v>
      </c>
      <c r="E862" s="82">
        <v>42782.0</v>
      </c>
      <c r="F862" s="80">
        <v>91.0</v>
      </c>
      <c r="G862" s="80" t="s">
        <v>63</v>
      </c>
      <c r="H862" s="80" t="s">
        <v>63</v>
      </c>
      <c r="I862" s="80" t="s">
        <v>63</v>
      </c>
      <c r="J862" s="80">
        <v>369.0</v>
      </c>
      <c r="K862" s="80">
        <v>1.0</v>
      </c>
      <c r="L862" s="80" t="s">
        <v>120</v>
      </c>
    </row>
    <row r="863">
      <c r="A863" s="80" t="s">
        <v>96</v>
      </c>
      <c r="B863" s="81" t="str">
        <f>HYPERLINK("https://www.youtube.com/channel/UCGtyHJ-L_4RDIHe3XaLofQQ", "Anson Cheung")</f>
        <v>Anson Cheung</v>
      </c>
      <c r="C863" s="80" t="s">
        <v>1055</v>
      </c>
      <c r="D863" s="81" t="str">
        <f>HYPERLINK("https://youtube.com/watch?v=0xYSUyQFfCE", "Apple AirTag 評測：功能 vs 私隱｜Apple AirTag Review")</f>
        <v>Apple AirTag 評測：功能 vs 私隱｜Apple AirTag Review</v>
      </c>
      <c r="E863" s="82">
        <v>44340.0</v>
      </c>
      <c r="F863" s="80">
        <v>865.0</v>
      </c>
      <c r="G863" s="80" t="s">
        <v>63</v>
      </c>
      <c r="I863" s="80" t="s">
        <v>63</v>
      </c>
      <c r="J863" s="80">
        <v>2538.0</v>
      </c>
      <c r="K863" s="80">
        <v>0.655136809499225</v>
      </c>
      <c r="L863" s="80" t="s">
        <v>64</v>
      </c>
    </row>
    <row r="864">
      <c r="A864" s="80" t="s">
        <v>61</v>
      </c>
      <c r="B864" s="81" t="str">
        <f>HYPERLINK("https://www.youtube.com/channel/UCJ4XVrJuqKHbc9yF9oUFseg", "MEeeep More")</f>
        <v>MEeeep More</v>
      </c>
      <c r="C864" s="80" t="s">
        <v>1056</v>
      </c>
      <c r="D864" s="81" t="str">
        <f>HYPERLINK("https://youtube.com/watch?v=108h2tKDqQo", "帶你食芒果糯米飯雪糕 - 《食玩飛常遊》")</f>
        <v>帶你食芒果糯米飯雪糕 - 《食玩飛常遊》</v>
      </c>
      <c r="E864" s="82">
        <v>43548.0</v>
      </c>
      <c r="F864" s="80">
        <v>113.0</v>
      </c>
      <c r="G864" s="80" t="s">
        <v>63</v>
      </c>
      <c r="I864" s="80" t="s">
        <v>63</v>
      </c>
      <c r="J864" s="80">
        <v>346.0</v>
      </c>
      <c r="K864" s="80">
        <v>0.852216748768472</v>
      </c>
      <c r="L864" s="80" t="s">
        <v>66</v>
      </c>
    </row>
    <row r="865">
      <c r="A865" s="80" t="s">
        <v>217</v>
      </c>
      <c r="B865" s="81" t="str">
        <f t="shared" ref="B865:B866" si="28">HYPERLINK("https://www.youtube.com/channel/UCXKg0qPRz32bs5Z4mTGF3TQ", "Stormtrooper白兵")</f>
        <v>Stormtrooper白兵</v>
      </c>
      <c r="C865" s="80" t="s">
        <v>1057</v>
      </c>
      <c r="D865" s="81" t="str">
        <f>HYPERLINK("https://youtube.com/watch?v=11Mvfmzfxhs", "[甘迺迪家族興盛之路]成功阻止第三次世界大戰！｜由窮困的愛爾蘭移民家庭，登上世界權力頂峰｜簡介約翰甘迺迪的政治生涯｜解構古巴導彈危機！「粵語中字」")</f>
        <v>[甘迺迪家族興盛之路]成功阻止第三次世界大戰！｜由窮困的愛爾蘭移民家庭，登上世界權力頂峰｜簡介約翰甘迺迪的政治生涯｜解構古巴導彈危機！「粵語中字」</v>
      </c>
      <c r="E865" s="82">
        <v>44224.0</v>
      </c>
      <c r="F865" s="80">
        <v>1213.0</v>
      </c>
      <c r="G865" s="80" t="s">
        <v>63</v>
      </c>
      <c r="H865" s="80" t="s">
        <v>63</v>
      </c>
      <c r="I865" s="80" t="s">
        <v>63</v>
      </c>
      <c r="J865" s="80">
        <v>5439.0</v>
      </c>
      <c r="K865" s="80">
        <v>0.905745212323064</v>
      </c>
      <c r="L865" s="80" t="s">
        <v>86</v>
      </c>
    </row>
    <row r="866">
      <c r="A866" s="80" t="s">
        <v>217</v>
      </c>
      <c r="B866" s="81" t="str">
        <f t="shared" si="28"/>
        <v>Stormtrooper白兵</v>
      </c>
      <c r="C866" s="80" t="s">
        <v>1058</v>
      </c>
      <c r="D866" s="81" t="str">
        <f>HYPERLINK("https://youtube.com/watch?v=11NdlYa8KC0", "[心理教室] 國之將亡，必有異象｜第十災死長子，中共一孩政策神配合？解構統治者心理，為何極權都要勞役人民，死不悔改？")</f>
        <v>[心理教室] 國之將亡，必有異象｜第十災死長子，中共一孩政策神配合？解構統治者心理，為何極權都要勞役人民，死不悔改？</v>
      </c>
      <c r="E866" s="82">
        <v>44105.0</v>
      </c>
      <c r="F866" s="80">
        <v>986.0</v>
      </c>
      <c r="G866" s="80" t="s">
        <v>63</v>
      </c>
      <c r="H866" s="80" t="s">
        <v>63</v>
      </c>
      <c r="I866" s="80" t="s">
        <v>63</v>
      </c>
      <c r="J866" s="80">
        <v>4327.0</v>
      </c>
      <c r="K866" s="80">
        <v>0.985557083906464</v>
      </c>
      <c r="L866" s="80" t="s">
        <v>86</v>
      </c>
    </row>
    <row r="867">
      <c r="A867" s="80" t="s">
        <v>112</v>
      </c>
      <c r="B867" s="81" t="str">
        <f>HYPERLINK("https://www.youtube.com/channel/UCW_n_gfIv4HhRqCk8EnRhJA", "Happy Kongner")</f>
        <v>Happy Kongner</v>
      </c>
      <c r="C867" s="80" t="s">
        <v>1059</v>
      </c>
      <c r="D867" s="81" t="str">
        <f>HYPERLINK("https://youtube.com/watch?v=14hcySUmLAk", "[少量劇透] Us《我們・異》簡評/劇情與象徵意義解讀 [𠝹櫈電影學會]")</f>
        <v>[少量劇透] Us《我們・異》簡評/劇情與象徵意義解讀 [𠝹櫈電影學會]</v>
      </c>
      <c r="E867" s="82">
        <v>43550.0</v>
      </c>
      <c r="F867" s="80">
        <v>1185.0</v>
      </c>
      <c r="G867" s="80" t="s">
        <v>63</v>
      </c>
      <c r="I867" s="80" t="s">
        <v>63</v>
      </c>
      <c r="J867" s="80">
        <v>5989.0</v>
      </c>
      <c r="K867" s="80">
        <v>0.830421519689406</v>
      </c>
      <c r="L867" s="80" t="s">
        <v>64</v>
      </c>
    </row>
    <row r="868">
      <c r="A868" s="80" t="s">
        <v>975</v>
      </c>
      <c r="B868" s="81" t="str">
        <f>HYPERLINK("https://www.youtube.com/channel/UCvtIbNu3jnYc5wcU0-m6mxw", "AHMY")</f>
        <v>AHMY</v>
      </c>
      <c r="C868" s="80" t="s">
        <v>1060</v>
      </c>
      <c r="D868" s="81" t="str">
        <f>HYPERLINK("https://youtube.com/watch?v=14zJLiYMIV4", "【Jupas聯招放榜】由Retake到中大｜由文學到物理｜人生不一定一成不變？")</f>
        <v>【Jupas聯招放榜】由Retake到中大｜由文學到物理｜人生不一定一成不變？</v>
      </c>
      <c r="E868" s="82">
        <v>42952.0</v>
      </c>
      <c r="F868" s="80">
        <v>454.0</v>
      </c>
      <c r="G868" s="80" t="s">
        <v>63</v>
      </c>
      <c r="I868" s="80" t="s">
        <v>63</v>
      </c>
      <c r="J868" s="80">
        <v>2191.0</v>
      </c>
      <c r="K868" s="80">
        <v>0.873604465709728</v>
      </c>
      <c r="L868" s="80" t="s">
        <v>64</v>
      </c>
    </row>
    <row r="869">
      <c r="A869" s="80" t="s">
        <v>1061</v>
      </c>
      <c r="B869" s="81" t="str">
        <f>HYPERLINK("https://www.youtube.com/channel/UCpgb6oSJR0AXWVKWQ0PmeBw", "Innovation Works Studio")</f>
        <v>Innovation Works Studio</v>
      </c>
      <c r="C869" s="80" t="s">
        <v>1062</v>
      </c>
      <c r="D869" s="81" t="str">
        <f>HYPERLINK("https://youtube.com/watch?v=18tz3UghGIw", "[財經系列]香港prepaid card大比拼(neat/Tap&amp;Go)(附中文字幕)")</f>
        <v>[財經系列]香港prepaid card大比拼(neat/Tap&amp;Go)(附中文字幕)</v>
      </c>
      <c r="E869" s="82">
        <v>43446.0</v>
      </c>
      <c r="F869" s="80">
        <v>470.0</v>
      </c>
      <c r="G869" s="80" t="s">
        <v>63</v>
      </c>
      <c r="I869" s="80" t="s">
        <v>63</v>
      </c>
      <c r="J869" s="80">
        <v>1841.0</v>
      </c>
      <c r="K869" s="80">
        <v>0.667028985507246</v>
      </c>
      <c r="L869" s="80" t="s">
        <v>64</v>
      </c>
    </row>
    <row r="870">
      <c r="A870" s="80" t="s">
        <v>274</v>
      </c>
      <c r="B870" s="81" t="str">
        <f>HYPERLINK("https://www.youtube.com/channel/UC2oB9QCXs-RKtaKChrz4dKg", "MtzCherry")</f>
        <v>MtzCherry</v>
      </c>
      <c r="C870" s="80" t="s">
        <v>1063</v>
      </c>
      <c r="D870" s="81" t="str">
        <f>HYPERLINK("https://youtube.com/watch?v=1A0Vnz1JmUw", "[DAY 157] 현대자동차 공장 견학 Hyundai Car Factory visit")</f>
        <v>[DAY 157] 현대자동차 공장 견학 Hyundai Car Factory visit</v>
      </c>
      <c r="E870" s="82">
        <v>42774.0</v>
      </c>
      <c r="F870" s="80">
        <v>177.0</v>
      </c>
      <c r="G870" s="80" t="s">
        <v>63</v>
      </c>
      <c r="I870" s="80" t="s">
        <v>63</v>
      </c>
      <c r="J870" s="80">
        <v>645.0</v>
      </c>
      <c r="K870" s="80">
        <v>0.955555555555555</v>
      </c>
      <c r="L870" s="80" t="s">
        <v>287</v>
      </c>
    </row>
    <row r="871">
      <c r="A871" s="80" t="s">
        <v>1064</v>
      </c>
      <c r="B871" s="81" t="str">
        <f>HYPERLINK("https://www.youtube.com/channel/UCmIVY_RMlQ0-86vrwdI9gFA", "威武WHEREWOLF")</f>
        <v>威武WHEREWOLF</v>
      </c>
      <c r="C871" s="80" t="s">
        <v>1065</v>
      </c>
      <c r="D871" s="81" t="str">
        <f>HYPERLINK("https://youtube.com/watch?v=1APaxw9YHz0", "《威武第一集預告》狼王局!引爆林家大亂戰!｜狼人殺｜香港｜威武WHEREWOLF｜")</f>
        <v>《威武第一集預告》狼王局!引爆林家大亂戰!｜狼人殺｜香港｜威武WHEREWOLF｜</v>
      </c>
      <c r="E871" s="82">
        <v>43687.0</v>
      </c>
      <c r="F871" s="80">
        <v>40.0</v>
      </c>
      <c r="G871" s="80" t="s">
        <v>63</v>
      </c>
      <c r="I871" s="80" t="s">
        <v>63</v>
      </c>
      <c r="J871" s="80">
        <v>94.0</v>
      </c>
      <c r="K871" s="80">
        <v>0.862385321100917</v>
      </c>
      <c r="L871" s="80" t="s">
        <v>64</v>
      </c>
    </row>
    <row r="872">
      <c r="A872" s="80" t="s">
        <v>1000</v>
      </c>
      <c r="B872" s="81" t="str">
        <f>HYPERLINK("https://www.youtube.com/channel/UChJQlg1b_cOttPX3SiIh5gA", "Lau Dinha in Hong Kong - Hong Kong in the World")</f>
        <v>Lau Dinha in Hong Kong - Hong Kong in the World</v>
      </c>
      <c r="C872" s="80" t="s">
        <v>1066</v>
      </c>
      <c r="D872" s="81" t="str">
        <f>HYPERLINK("https://youtube.com/watch?v=1B-LzRBqKT4", "自學語言的第一天｜Tự học ngôn ngữ Day1｜Self Learning Language at Day1")</f>
        <v>自學語言的第一天｜Tự học ngôn ngữ Day1｜Self Learning Language at Day1</v>
      </c>
      <c r="E872" s="82">
        <v>43498.0</v>
      </c>
      <c r="F872" s="80">
        <v>135.0</v>
      </c>
      <c r="G872" s="80" t="s">
        <v>63</v>
      </c>
      <c r="I872" s="80" t="s">
        <v>63</v>
      </c>
      <c r="J872" s="80">
        <v>368.0</v>
      </c>
      <c r="K872" s="80">
        <v>0.960835509138381</v>
      </c>
      <c r="L872" s="80" t="s">
        <v>64</v>
      </c>
    </row>
    <row r="873">
      <c r="A873" s="80" t="s">
        <v>71</v>
      </c>
      <c r="B873" s="81" t="str">
        <f>HYPERLINK("https://www.youtube.com/channel/UCXTE-gQCetfrx_lC9yFM2aw", "arhoTV")</f>
        <v>arhoTV</v>
      </c>
      <c r="C873" s="80" t="s">
        <v>1067</v>
      </c>
      <c r="D873" s="81" t="str">
        <f>HYPERLINK("https://youtube.com/watch?v=1CyjoI8rybs", "【挑戰】玩命挑戰！人生首次行山 !鳳凰山 !")</f>
        <v>【挑戰】玩命挑戰！人生首次行山 !鳳凰山 !</v>
      </c>
      <c r="E873" s="82">
        <v>42831.0</v>
      </c>
      <c r="F873" s="80">
        <v>214.0</v>
      </c>
      <c r="G873" s="80" t="s">
        <v>63</v>
      </c>
      <c r="H873" s="80" t="s">
        <v>63</v>
      </c>
      <c r="I873" s="80" t="s">
        <v>63</v>
      </c>
      <c r="J873" s="80">
        <v>799.0</v>
      </c>
      <c r="K873" s="80">
        <v>0.865408805031446</v>
      </c>
      <c r="L873" s="80" t="s">
        <v>86</v>
      </c>
    </row>
    <row r="874">
      <c r="A874" s="80" t="s">
        <v>96</v>
      </c>
      <c r="B874" s="81" t="str">
        <f>HYPERLINK("https://www.youtube.com/channel/UCGtyHJ-L_4RDIHe3XaLofQQ", "Anson Cheung")</f>
        <v>Anson Cheung</v>
      </c>
      <c r="C874" s="80" t="s">
        <v>1068</v>
      </c>
      <c r="D874" s="81" t="str">
        <f>HYPERLINK("https://youtube.com/watch?v=1ErYtJRa9sg", "好有驚喜嘅一部中階機 - Samsung Galaxy A52 5G 試玩/第一印象｜Samsung Galaxy A52 5G")</f>
        <v>好有驚喜嘅一部中階機 - Samsung Galaxy A52 5G 試玩/第一印象｜Samsung Galaxy A52 5G</v>
      </c>
      <c r="E874" s="82">
        <v>44280.0</v>
      </c>
      <c r="F874" s="80">
        <v>572.0</v>
      </c>
      <c r="G874" s="80" t="s">
        <v>63</v>
      </c>
      <c r="I874" s="80" t="s">
        <v>63</v>
      </c>
      <c r="J874" s="80">
        <v>1948.0</v>
      </c>
      <c r="K874" s="80">
        <v>0.655892255892255</v>
      </c>
      <c r="L874" s="80" t="s">
        <v>64</v>
      </c>
    </row>
    <row r="875">
      <c r="A875" s="80" t="s">
        <v>1069</v>
      </c>
      <c r="B875" s="81" t="str">
        <f>HYPERLINK("https://www.youtube.com/channel/UCAnpoZYvOIZUPp66LrWl9OA", "Leave Your Mark")</f>
        <v>Leave Your Mark</v>
      </c>
      <c r="C875" s="80" t="s">
        <v>1070</v>
      </c>
      <c r="D875" s="81" t="str">
        <f>HYPERLINK("https://youtube.com/watch?v=1JKrMNcEPuM", "#4 伍廣圖  //仲係咪獅子山？//")</f>
        <v>#4 伍廣圖  //仲係咪獅子山？//</v>
      </c>
      <c r="E875" s="82">
        <v>42600.0</v>
      </c>
      <c r="F875" s="80">
        <v>121.0</v>
      </c>
      <c r="G875" s="80" t="s">
        <v>63</v>
      </c>
      <c r="I875" s="80" t="s">
        <v>63</v>
      </c>
      <c r="J875" s="80">
        <v>332.0</v>
      </c>
      <c r="K875" s="80">
        <v>0.71551724137931</v>
      </c>
      <c r="L875" s="80" t="s">
        <v>1071</v>
      </c>
    </row>
    <row r="876">
      <c r="A876" s="80" t="s">
        <v>61</v>
      </c>
      <c r="B876" s="81" t="str">
        <f>HYPERLINK("https://www.youtube.com/channel/UCJ4XVrJuqKHbc9yF9oUFseg", "MEeeep More")</f>
        <v>MEeeep More</v>
      </c>
      <c r="C876" s="80" t="s">
        <v>1072</v>
      </c>
      <c r="D876" s="81" t="str">
        <f>HYPERLINK("https://youtube.com/watch?v=1JQu_bCBpCQ", "Belkin SOUNDFORM Freedom 真無線耳機 環境消噪 aptX 防水功能 樣樣齊備 支援 Apple Find My 功能 soundform true wireless 2021")</f>
        <v>Belkin SOUNDFORM Freedom 真無線耳機 環境消噪 aptX 防水功能 樣樣齊備 支援 Apple Find My 功能 soundform true wireless 2021</v>
      </c>
      <c r="E876" s="82">
        <v>44222.0</v>
      </c>
      <c r="F876" s="80">
        <v>127.0</v>
      </c>
      <c r="G876" s="80" t="s">
        <v>63</v>
      </c>
      <c r="I876" s="80" t="s">
        <v>63</v>
      </c>
      <c r="J876" s="80">
        <v>357.0</v>
      </c>
      <c r="K876" s="80">
        <v>0.664804469273743</v>
      </c>
      <c r="L876" s="80" t="s">
        <v>64</v>
      </c>
    </row>
    <row r="877">
      <c r="A877" s="80" t="s">
        <v>118</v>
      </c>
      <c r="B877" s="81" t="str">
        <f>HYPERLINK("https://www.youtube.com/channel/UCHrgHYFc5KShMJDZNsDZh4g", "BETHNI Y")</f>
        <v>BETHNI Y</v>
      </c>
      <c r="C877" s="80" t="s">
        <v>1073</v>
      </c>
      <c r="D877" s="81" t="str">
        <f>HYPERLINK("https://youtube.com/watch?v=1K44pi6QzJQ", "最難忘的驚喜 | [9-11 NOV, 2016] |  BethniVlogs")</f>
        <v>最難忘的驚喜 | [9-11 NOV, 2016] |  BethniVlogs</v>
      </c>
      <c r="E877" s="82">
        <v>42698.0</v>
      </c>
      <c r="F877" s="80">
        <v>561.0</v>
      </c>
      <c r="G877" s="80" t="s">
        <v>63</v>
      </c>
      <c r="H877" s="80" t="s">
        <v>63</v>
      </c>
      <c r="I877" s="80" t="s">
        <v>63</v>
      </c>
      <c r="J877" s="80">
        <v>1370.0</v>
      </c>
      <c r="K877" s="80">
        <v>0.909694555112881</v>
      </c>
      <c r="L877" s="80" t="s">
        <v>1074</v>
      </c>
    </row>
    <row r="878">
      <c r="A878" s="80" t="s">
        <v>140</v>
      </c>
      <c r="B878" s="81" t="str">
        <f>HYPERLINK("https://www.youtube.com/channel/UCHK0CZf9HEXs42qIO1GUouA", "TechiCardia")</f>
        <v>TechiCardia</v>
      </c>
      <c r="C878" s="80" t="s">
        <v>1075</v>
      </c>
      <c r="D878" s="81" t="str">
        <f>HYPERLINK("https://youtube.com/watch?v=1OJlcZgnbZ8", "COOLER MASTER MM731 真實評測！請看置頂留言 - $455的超輕無線滑鼠 - 2021輕量新標準//4K 【TechiCardia】[CC廣東話字幕]")</f>
        <v>COOLER MASTER MM731 真實評測！請看置頂留言 - $455的超輕無線滑鼠 - 2021輕量新標準//4K 【TechiCardia】[CC廣東話字幕]</v>
      </c>
      <c r="E878" s="82">
        <v>44391.0</v>
      </c>
      <c r="F878" s="80">
        <v>753.0</v>
      </c>
      <c r="G878" s="80" t="s">
        <v>63</v>
      </c>
      <c r="I878" s="80" t="s">
        <v>63</v>
      </c>
      <c r="J878" s="80">
        <v>2833.0</v>
      </c>
      <c r="K878" s="80">
        <v>0.775526964139063</v>
      </c>
      <c r="L878" s="80" t="s">
        <v>102</v>
      </c>
    </row>
    <row r="879">
      <c r="A879" s="80" t="s">
        <v>74</v>
      </c>
      <c r="B879" s="81" t="str">
        <f>HYPERLINK("https://www.youtube.com/channel/UCO_5XP-qd-udNxBlzzSzgvw", "Handline Fishing")</f>
        <v>Handline Fishing</v>
      </c>
      <c r="C879" s="80" t="s">
        <v>1076</v>
      </c>
      <c r="D879" s="81" t="str">
        <f>HYPERLINK("https://youtube.com/watch?v=1Wxg9aLlEVA", "#66 終於龜🐢了! 繼續尋找沙灘邊釣魚仔《第三集》| 『香港釣魚 : 岸釣』淺水灣  {粵語旁白+中英文字幕}🐢")</f>
        <v>#66 終於龜🐢了! 繼續尋找沙灘邊釣魚仔《第三集》| 『香港釣魚 : 岸釣』淺水灣  {粵語旁白+中英文字幕}🐢</v>
      </c>
      <c r="E879" s="82">
        <v>43800.0</v>
      </c>
      <c r="F879" s="80">
        <v>186.0</v>
      </c>
      <c r="G879" s="80" t="s">
        <v>63</v>
      </c>
      <c r="I879" s="80" t="s">
        <v>63</v>
      </c>
      <c r="J879" s="80">
        <v>668.0</v>
      </c>
      <c r="K879" s="80">
        <v>0.952924393723252</v>
      </c>
      <c r="L879" s="80" t="s">
        <v>76</v>
      </c>
    </row>
    <row r="880">
      <c r="A880" s="80" t="s">
        <v>112</v>
      </c>
      <c r="B880" s="81" t="str">
        <f t="shared" ref="B880:B881" si="29">HYPERLINK("https://www.youtube.com/channel/UCW_n_gfIv4HhRqCk8EnRhJA", "Happy Kongner")</f>
        <v>Happy Kongner</v>
      </c>
      <c r="C880" s="80" t="s">
        <v>1077</v>
      </c>
      <c r="D880" s="81" t="str">
        <f>HYPERLINK("https://youtube.com/watch?v=1maVE70LfD0", "睇數碼暴龍都不忘食RED PILLS—《數碼暴龍 LAST EVOLUTION 絆》觀後感 [公仔書與卡通片]")</f>
        <v>睇數碼暴龍都不忘食RED PILLS—《數碼暴龍 LAST EVOLUTION 絆》觀後感 [公仔書與卡通片]</v>
      </c>
      <c r="E880" s="82">
        <v>43984.0</v>
      </c>
      <c r="F880" s="80">
        <v>960.0</v>
      </c>
      <c r="G880" s="80" t="s">
        <v>63</v>
      </c>
      <c r="I880" s="80" t="s">
        <v>63</v>
      </c>
      <c r="J880" s="80">
        <v>4991.0</v>
      </c>
      <c r="K880" s="80">
        <v>0.917126056596839</v>
      </c>
      <c r="L880" s="80" t="s">
        <v>64</v>
      </c>
    </row>
    <row r="881">
      <c r="A881" s="80" t="s">
        <v>112</v>
      </c>
      <c r="B881" s="81" t="str">
        <f t="shared" si="29"/>
        <v>Happy Kongner</v>
      </c>
      <c r="C881" s="80" t="s">
        <v>1078</v>
      </c>
      <c r="D881" s="81" t="str">
        <f>HYPERLINK("https://youtube.com/watch?v=1nbJwOUT7fs", "米迦精選集：人是被困在社會的野獸—的士司機 Taxi Driver  [𠝹櫈電影學會]")</f>
        <v>米迦精選集：人是被困在社會的野獸—的士司機 Taxi Driver  [𠝹櫈電影學會]</v>
      </c>
      <c r="E881" s="82">
        <v>43761.0</v>
      </c>
      <c r="F881" s="80">
        <v>1570.0</v>
      </c>
      <c r="G881" s="80" t="s">
        <v>63</v>
      </c>
      <c r="I881" s="80" t="s">
        <v>63</v>
      </c>
      <c r="J881" s="80">
        <v>7632.0</v>
      </c>
      <c r="K881" s="80">
        <v>0.804554079696394</v>
      </c>
      <c r="L881" s="80" t="s">
        <v>64</v>
      </c>
    </row>
    <row r="882">
      <c r="A882" s="80" t="s">
        <v>94</v>
      </c>
      <c r="B882" s="81" t="str">
        <f>HYPERLINK("https://www.youtube.com/channel/UCT_dMyI3pNselsmfR6FC8tQ", "PrideLab")</f>
        <v>PrideLab</v>
      </c>
      <c r="C882" s="80" t="s">
        <v>1079</v>
      </c>
      <c r="D882" s="81" t="str">
        <f>HYPERLINK("https://youtube.com/watch?v=1qshAyhsSyc", "性別承認諮詢懶人包 第二集： 點為性別定分界")</f>
        <v>性別承認諮詢懶人包 第二集： 點為性別定分界</v>
      </c>
      <c r="E882" s="82">
        <v>42995.0</v>
      </c>
      <c r="F882" s="80">
        <v>649.0</v>
      </c>
      <c r="G882" s="80" t="s">
        <v>63</v>
      </c>
      <c r="I882" s="80" t="s">
        <v>63</v>
      </c>
      <c r="J882" s="80">
        <v>2744.0</v>
      </c>
      <c r="K882" s="80">
        <v>0.97374024130589</v>
      </c>
      <c r="L882" s="80" t="s">
        <v>64</v>
      </c>
    </row>
    <row r="883">
      <c r="A883" s="80" t="s">
        <v>1010</v>
      </c>
      <c r="B883" s="81" t="str">
        <f>HYPERLINK("https://www.youtube.com/channel/UC-nV0odAiVdjH3gB_uSeTcQ", "wepro180")</f>
        <v>wepro180</v>
      </c>
      <c r="C883" s="80" t="s">
        <v>1080</v>
      </c>
      <c r="D883" s="81" t="str">
        <f>HYPERLINK("https://youtube.com/watch?v=1syR-7YwtKQ", "edvance 特約【wepro 教室 15】嘉倩 180 ─ UEBA")</f>
        <v>edvance 特約【wepro 教室 15】嘉倩 180 ─ UEBA</v>
      </c>
      <c r="E883" s="82">
        <v>43230.0</v>
      </c>
      <c r="F883" s="80">
        <v>82.0</v>
      </c>
      <c r="G883" s="80" t="s">
        <v>63</v>
      </c>
      <c r="I883" s="80" t="s">
        <v>63</v>
      </c>
      <c r="J883" s="80">
        <v>300.0</v>
      </c>
      <c r="K883" s="80">
        <v>0.696055684454756</v>
      </c>
      <c r="L883" s="80" t="s">
        <v>64</v>
      </c>
    </row>
    <row r="884">
      <c r="A884" s="80" t="s">
        <v>112</v>
      </c>
      <c r="B884" s="81" t="str">
        <f>HYPERLINK("https://www.youtube.com/channel/UCW_n_gfIv4HhRqCk8EnRhJA", "Happy Kongner")</f>
        <v>Happy Kongner</v>
      </c>
      <c r="C884" s="80" t="s">
        <v>1081</v>
      </c>
      <c r="D884" s="81" t="str">
        <f>HYPERLINK("https://youtube.com/watch?v=1v00JuKoTLw", "[廣東話講動漫] 公仔書與卡通片 第四集 Comic &amp; Cartoon Episode 4 海賊王面臨爛尾？")</f>
        <v>[廣東話講動漫] 公仔書與卡通片 第四集 Comic &amp; Cartoon Episode 4 海賊王面臨爛尾？</v>
      </c>
      <c r="E884" s="82">
        <v>43167.0</v>
      </c>
      <c r="F884" s="80">
        <v>425.0</v>
      </c>
      <c r="G884" s="80" t="s">
        <v>63</v>
      </c>
      <c r="I884" s="80" t="s">
        <v>63</v>
      </c>
      <c r="J884" s="80">
        <v>2342.0</v>
      </c>
      <c r="K884" s="80">
        <v>0.970978441127694</v>
      </c>
      <c r="L884" s="80" t="s">
        <v>64</v>
      </c>
    </row>
    <row r="885">
      <c r="A885" s="80" t="s">
        <v>1082</v>
      </c>
      <c r="B885" s="81" t="str">
        <f>HYPERLINK("https://www.youtube.com/channel/UCMosCy_NDf55rDQhzdX_h3w", "熊熊兒童音樂 Bear Music Ltd.")</f>
        <v>熊熊兒童音樂 Bear Music Ltd.</v>
      </c>
      <c r="C885" s="80" t="s">
        <v>1083</v>
      </c>
      <c r="D885" s="81" t="str">
        <f>HYPERLINK("https://youtube.com/watch?v=223Z6yHeRGw", "熊熊粵語兒童故事精選｜中國民間故事｜魯班拜師")</f>
        <v>熊熊粵語兒童故事精選｜中國民間故事｜魯班拜師</v>
      </c>
      <c r="E885" s="82">
        <v>43508.0</v>
      </c>
      <c r="F885" s="80">
        <v>664.0</v>
      </c>
      <c r="G885" s="80" t="s">
        <v>63</v>
      </c>
      <c r="I885" s="80" t="s">
        <v>63</v>
      </c>
      <c r="J885" s="80">
        <v>1525.0</v>
      </c>
      <c r="K885" s="80">
        <v>0.998036649214659</v>
      </c>
      <c r="L885" s="80" t="s">
        <v>64</v>
      </c>
    </row>
    <row r="886">
      <c r="A886" s="80" t="s">
        <v>74</v>
      </c>
      <c r="B886" s="81" t="str">
        <f>HYPERLINK("https://www.youtube.com/channel/UCO_5XP-qd-udNxBlzzSzgvw", "Handline Fishing")</f>
        <v>Handline Fishing</v>
      </c>
      <c r="C886" s="80" t="s">
        <v>1084</v>
      </c>
      <c r="D886" s="81" t="str">
        <f>HYPERLINK("https://youtube.com/watch?v=22LwGqjpJsw", "#223 大西南流，在本季黑潮到來前的釣況 | 『香港釣魚 : 艇釣』青龍頭 {粵語旁白+中英文字幕}")</f>
        <v>#223 大西南流，在本季黑潮到來前的釣況 | 『香港釣魚 : 艇釣』青龍頭 {粵語旁白+中英文字幕}</v>
      </c>
      <c r="E886" s="82">
        <v>44384.0</v>
      </c>
      <c r="F886" s="80">
        <v>871.0</v>
      </c>
      <c r="G886" s="80" t="s">
        <v>63</v>
      </c>
      <c r="H886" s="80" t="s">
        <v>63</v>
      </c>
      <c r="I886" s="80" t="s">
        <v>63</v>
      </c>
      <c r="J886" s="80">
        <v>489.0</v>
      </c>
      <c r="K886" s="80">
        <v>0.956947162426614</v>
      </c>
      <c r="L886" s="80" t="s">
        <v>88</v>
      </c>
    </row>
    <row r="887">
      <c r="A887" s="80" t="s">
        <v>1007</v>
      </c>
      <c r="B887" s="81" t="str">
        <f>HYPERLINK("https://www.youtube.com/channel/UCCzgNTkFyDel0FDJtVNgEtQ", "香港人. 德國讀書之【真.洗濕左個頭.無得返轉頭】Miss Chan Life in Germany")</f>
        <v>香港人. 德國讀書之【真.洗濕左個頭.無得返轉頭】Miss Chan Life in Germany</v>
      </c>
      <c r="C887" s="80" t="s">
        <v>1085</v>
      </c>
      <c r="D887" s="81" t="str">
        <f>HYPERLINK("https://youtube.com/watch?v=23DYFxEe4gI", "【Miss Chan 在德國對抗濕疹日記系列】(第三集: 營養補充品 + 沖涼篇 + 心態篇) (香港人製作. 廣東話)")</f>
        <v>【Miss Chan 在德國對抗濕疹日記系列】(第三集: 營養補充品 + 沖涼篇 + 心態篇) (香港人製作. 廣東話)</v>
      </c>
      <c r="E887" s="82">
        <v>44288.0</v>
      </c>
      <c r="F887" s="80">
        <v>531.0</v>
      </c>
      <c r="G887" s="80" t="s">
        <v>63</v>
      </c>
      <c r="I887" s="80" t="s">
        <v>63</v>
      </c>
      <c r="J887" s="80">
        <v>1751.0</v>
      </c>
      <c r="K887" s="80">
        <v>0.976031215161649</v>
      </c>
      <c r="L887" s="80" t="s">
        <v>64</v>
      </c>
    </row>
    <row r="888">
      <c r="A888" s="80" t="s">
        <v>61</v>
      </c>
      <c r="B888" s="81" t="str">
        <f t="shared" ref="B888:B889" si="30">HYPERLINK("https://www.youtube.com/channel/UCJ4XVrJuqKHbc9yF9oUFseg", "MEeeep More")</f>
        <v>MEeeep More</v>
      </c>
      <c r="C888" s="80" t="s">
        <v>1086</v>
      </c>
      <c r="D888" s="81" t="str">
        <f>HYPERLINK("https://youtube.com/watch?v=242HuMTZG0I", "2020 全新 iPhone SE 終於現身！3分鐘懶人包睇晒新機詳情！iPhone8 vs iPhone SE iPhone SE2 iPhone9 iPhoneSE 第二代")</f>
        <v>2020 全新 iPhone SE 終於現身！3分鐘懶人包睇晒新機詳情！iPhone8 vs iPhone SE iPhone SE2 iPhone9 iPhoneSE 第二代</v>
      </c>
      <c r="E888" s="82">
        <v>43938.0</v>
      </c>
      <c r="F888" s="80">
        <v>220.0</v>
      </c>
      <c r="G888" s="80" t="s">
        <v>63</v>
      </c>
      <c r="I888" s="80" t="s">
        <v>63</v>
      </c>
      <c r="J888" s="80">
        <v>595.0</v>
      </c>
      <c r="K888" s="80">
        <v>0.6815578465063</v>
      </c>
      <c r="L888" s="80" t="s">
        <v>64</v>
      </c>
    </row>
    <row r="889">
      <c r="A889" s="80" t="s">
        <v>61</v>
      </c>
      <c r="B889" s="81" t="str">
        <f t="shared" si="30"/>
        <v>MEeeep More</v>
      </c>
      <c r="C889" s="80" t="s">
        <v>1087</v>
      </c>
      <c r="D889" s="81" t="str">
        <f>HYPERLINK("https://youtube.com/watch?v=26UkQmihcHc", "新加坡必食隱世米之蓮大排檔！ 咖哩雞米粉有幾好食？- 《食玩飛常遊》")</f>
        <v>新加坡必食隱世米之蓮大排檔！ 咖哩雞米粉有幾好食？- 《食玩飛常遊》</v>
      </c>
      <c r="E889" s="82">
        <v>43394.0</v>
      </c>
      <c r="F889" s="80">
        <v>165.0</v>
      </c>
      <c r="G889" s="80" t="s">
        <v>63</v>
      </c>
      <c r="I889" s="80" t="s">
        <v>63</v>
      </c>
      <c r="J889" s="80">
        <v>419.0</v>
      </c>
      <c r="K889" s="80">
        <v>0.941573033707865</v>
      </c>
      <c r="L889" s="80" t="s">
        <v>64</v>
      </c>
    </row>
    <row r="890">
      <c r="A890" s="80" t="s">
        <v>112</v>
      </c>
      <c r="B890" s="81" t="str">
        <f>HYPERLINK("https://www.youtube.com/channel/UCW_n_gfIv4HhRqCk8EnRhJA", "Happy Kongner")</f>
        <v>Happy Kongner</v>
      </c>
      <c r="C890" s="80" t="s">
        <v>1088</v>
      </c>
      <c r="D890" s="81" t="str">
        <f>HYPERLINK("https://youtube.com/watch?v=28nhDRVuuYs", "LEON竟是最強人類！？估唔到從前生化危機2漫畫嘅結局居然係.....[真．公仔書與卡通片]")</f>
        <v>LEON竟是最強人類！？估唔到從前生化危機2漫畫嘅結局居然係.....[真．公仔書與卡通片]</v>
      </c>
      <c r="E890" s="82">
        <v>43499.0</v>
      </c>
      <c r="F890" s="80">
        <v>1085.0</v>
      </c>
      <c r="G890" s="80" t="s">
        <v>63</v>
      </c>
      <c r="I890" s="80" t="s">
        <v>63</v>
      </c>
      <c r="J890" s="80">
        <v>4908.0</v>
      </c>
      <c r="K890" s="80">
        <v>0.886080519949449</v>
      </c>
      <c r="L890" s="80" t="s">
        <v>64</v>
      </c>
    </row>
    <row r="891">
      <c r="A891" s="80" t="s">
        <v>217</v>
      </c>
      <c r="B891" s="81" t="str">
        <f>HYPERLINK("https://www.youtube.com/channel/UCXKg0qPRz32bs5Z4mTGF3TQ", "Stormtrooper白兵")</f>
        <v>Stormtrooper白兵</v>
      </c>
      <c r="C891" s="80" t="s">
        <v>1089</v>
      </c>
      <c r="D891" s="81" t="str">
        <f>HYPERLINK("https://youtube.com/watch?v=29vhlupg0hU", "[心理小教室]造成玻璃心的三大主因！｜拆解中共為何將國民變成玻璃心？｜分析黃明志歌詞如何花式擊碎玻璃心｜你有玻璃心嗎？｜粵語中字")</f>
        <v>[心理小教室]造成玻璃心的三大主因！｜拆解中共為何將國民變成玻璃心？｜分析黃明志歌詞如何花式擊碎玻璃心｜你有玻璃心嗎？｜粵語中字</v>
      </c>
      <c r="E891" s="82">
        <v>44525.0</v>
      </c>
      <c r="F891" s="80">
        <v>1010.0</v>
      </c>
      <c r="G891" s="80" t="s">
        <v>63</v>
      </c>
      <c r="I891" s="80" t="s">
        <v>63</v>
      </c>
      <c r="J891" s="80">
        <v>3659.0</v>
      </c>
      <c r="K891" s="80">
        <v>0.952120739005984</v>
      </c>
      <c r="L891" s="80" t="s">
        <v>64</v>
      </c>
    </row>
    <row r="892">
      <c r="A892" s="80" t="s">
        <v>278</v>
      </c>
      <c r="B892" s="81" t="str">
        <f>HYPERLINK("https://www.youtube.com/channel/UCDoEdJo-PI-EKGNKomwLroQ", "mingjai14")</f>
        <v>mingjai14</v>
      </c>
      <c r="C892" s="80" t="s">
        <v>1090</v>
      </c>
      <c r="D892" s="81" t="str">
        <f>HYPERLINK("https://youtube.com/watch?v=2FCsR8yC2Ms", "我發誓，我係黎睇賽車架咋🏁(ft. Jon Olsson)| Vlog")</f>
        <v>我發誓，我係黎睇賽車架咋🏁(ft. Jon Olsson)| Vlog</v>
      </c>
      <c r="E892" s="82">
        <v>43074.0</v>
      </c>
      <c r="F892" s="80">
        <v>602.0</v>
      </c>
      <c r="G892" s="80" t="s">
        <v>63</v>
      </c>
      <c r="I892" s="80" t="s">
        <v>63</v>
      </c>
      <c r="J892" s="80">
        <v>1509.0</v>
      </c>
      <c r="K892" s="80">
        <v>0.686221009549795</v>
      </c>
      <c r="L892" s="80" t="s">
        <v>64</v>
      </c>
    </row>
    <row r="893">
      <c r="A893" s="80" t="s">
        <v>743</v>
      </c>
      <c r="B893" s="81" t="str">
        <f>HYPERLINK("https://www.youtube.com/channel/UCe6qQ8zbYQJgTBnZ9wBzm9w", "Willy Lee")</f>
        <v>Willy Lee</v>
      </c>
      <c r="C893" s="80" t="s">
        <v>1091</v>
      </c>
      <c r="D893" s="81" t="str">
        <f>HYPERLINK("https://youtube.com/watch?v=2HcYeQOi__s", "🇯🇵【日本】初嘗滑雪板跌到周身酸痛！免費野澤公共溫泉！2019跨年遊EP1 - 野澤溫泉篇 - Willy Lee")</f>
        <v>🇯🇵【日本】初嘗滑雪板跌到周身酸痛！免費野澤公共溫泉！2019跨年遊EP1 - 野澤溫泉篇 - Willy Lee</v>
      </c>
      <c r="E893" s="82">
        <v>44200.0</v>
      </c>
      <c r="F893" s="80">
        <v>656.0</v>
      </c>
      <c r="G893" s="80" t="s">
        <v>63</v>
      </c>
      <c r="I893" s="80" t="s">
        <v>63</v>
      </c>
      <c r="J893" s="80">
        <v>3086.0</v>
      </c>
      <c r="K893" s="80">
        <v>0.912477823772915</v>
      </c>
      <c r="L893" s="80" t="s">
        <v>745</v>
      </c>
    </row>
    <row r="894">
      <c r="A894" s="80" t="s">
        <v>61</v>
      </c>
      <c r="B894" s="81" t="str">
        <f>HYPERLINK("https://www.youtube.com/channel/UCJ4XVrJuqKHbc9yF9oUFseg", "MEeeep More")</f>
        <v>MEeeep More</v>
      </c>
      <c r="C894" s="80" t="s">
        <v>1092</v>
      </c>
      <c r="D894" s="81" t="str">
        <f>HYPERLINK("https://youtube.com/watch?v=2KU8yk-WhQQ", "大大粒士多啤梨又食又拎！ Sorell Fruit Farm 果園任你玩！")</f>
        <v>大大粒士多啤梨又食又拎！ Sorell Fruit Farm 果園任你玩！</v>
      </c>
      <c r="E894" s="82">
        <v>43793.0</v>
      </c>
      <c r="F894" s="80">
        <v>205.0</v>
      </c>
      <c r="G894" s="80" t="s">
        <v>63</v>
      </c>
      <c r="I894" s="80" t="s">
        <v>63</v>
      </c>
      <c r="J894" s="80">
        <v>557.0</v>
      </c>
      <c r="K894" s="80">
        <v>0.803751803751803</v>
      </c>
      <c r="L894" s="80" t="s">
        <v>64</v>
      </c>
    </row>
    <row r="895">
      <c r="A895" s="80" t="s">
        <v>1069</v>
      </c>
      <c r="B895" s="81" t="str">
        <f>HYPERLINK("https://www.youtube.com/channel/UCAnpoZYvOIZUPp66LrWl9OA", "Leave Your Mark")</f>
        <v>Leave Your Mark</v>
      </c>
      <c r="C895" s="80" t="s">
        <v>1093</v>
      </c>
      <c r="D895" s="81" t="str">
        <f>HYPERLINK("https://youtube.com/watch?v=2S4C-XDF-GE", "#11 關祖堯 //由零  賣向全世界//")</f>
        <v>#11 關祖堯 //由零  賣向全世界//</v>
      </c>
      <c r="E895" s="82">
        <v>42643.0</v>
      </c>
      <c r="F895" s="80">
        <v>123.0</v>
      </c>
      <c r="G895" s="80" t="s">
        <v>63</v>
      </c>
      <c r="I895" s="80" t="s">
        <v>63</v>
      </c>
      <c r="J895" s="80">
        <v>364.0</v>
      </c>
      <c r="K895" s="80">
        <v>0.676579925650557</v>
      </c>
      <c r="L895" s="80" t="s">
        <v>1071</v>
      </c>
    </row>
    <row r="896">
      <c r="A896" s="80" t="s">
        <v>1094</v>
      </c>
      <c r="B896" s="81" t="str">
        <f>HYPERLINK("https://www.youtube.com/channel/UCf_jdBZdeOT5esJ2ckHV8OA", "淳拍")</f>
        <v>淳拍</v>
      </c>
      <c r="C896" s="80" t="s">
        <v>1095</v>
      </c>
      <c r="D896" s="81" t="str">
        <f>HYPERLINK("https://youtube.com/watch?v=2SEWjeWjhgY", "淳電影 | 最後晚餐")</f>
        <v>淳電影 | 最後晚餐</v>
      </c>
      <c r="E896" s="82">
        <v>44367.0</v>
      </c>
      <c r="F896" s="80">
        <v>866.0</v>
      </c>
      <c r="G896" s="80" t="s">
        <v>63</v>
      </c>
      <c r="H896" s="80" t="s">
        <v>63</v>
      </c>
      <c r="I896" s="80" t="s">
        <v>63</v>
      </c>
      <c r="J896" s="80">
        <v>1066.0</v>
      </c>
      <c r="K896" s="80">
        <v>0.99500998003992</v>
      </c>
      <c r="L896" s="80" t="s">
        <v>439</v>
      </c>
    </row>
    <row r="897">
      <c r="A897" s="80" t="s">
        <v>74</v>
      </c>
      <c r="B897" s="81" t="str">
        <f>HYPERLINK("https://www.youtube.com/channel/UCO_5XP-qd-udNxBlzzSzgvw", "Handline Fishing")</f>
        <v>Handline Fishing</v>
      </c>
      <c r="C897" s="80" t="s">
        <v>1096</v>
      </c>
      <c r="D897" s="81" t="str">
        <f>HYPERLINK("https://youtube.com/watch?v=2V_C19vnp-E", "#117 2020年屎季開鑼釣黃昏夜水『香港釣魚 : 艇釣』櫃底 {粵語旁白+中英文字幕}")</f>
        <v>#117 2020年屎季開鑼釣黃昏夜水『香港釣魚 : 艇釣』櫃底 {粵語旁白+中英文字幕}</v>
      </c>
      <c r="E897" s="82">
        <v>43975.0</v>
      </c>
      <c r="F897" s="80">
        <v>185.0</v>
      </c>
      <c r="G897" s="80" t="s">
        <v>63</v>
      </c>
      <c r="I897" s="80" t="s">
        <v>63</v>
      </c>
      <c r="J897" s="80">
        <v>649.0</v>
      </c>
      <c r="K897" s="80">
        <v>0.961481481481481</v>
      </c>
      <c r="L897" s="80" t="s">
        <v>76</v>
      </c>
    </row>
    <row r="898">
      <c r="A898" s="80" t="s">
        <v>82</v>
      </c>
      <c r="B898" s="81" t="str">
        <f>HYPERLINK("https://www.youtube.com/channel/UC6C2hkbggXIgapf5jn_V2Dw", "SpongeMob 852")</f>
        <v>SpongeMob 852</v>
      </c>
      <c r="C898" s="80" t="s">
        <v>1097</v>
      </c>
      <c r="D898" s="81" t="str">
        <f>HYPERLINK("https://youtube.com/watch?v=2WXqca8ZKUg", "SpongeMob X Miss Black Tiger - Diamond [Official Lyric Video]")</f>
        <v>SpongeMob X Miss Black Tiger - Diamond [Official Lyric Video]</v>
      </c>
      <c r="E898" s="82">
        <v>43658.0</v>
      </c>
      <c r="F898" s="80">
        <v>107.0</v>
      </c>
      <c r="G898" s="80" t="s">
        <v>63</v>
      </c>
      <c r="I898" s="80" t="s">
        <v>63</v>
      </c>
      <c r="J898" s="80">
        <v>396.0</v>
      </c>
      <c r="K898" s="80">
        <v>0.431372549019607</v>
      </c>
      <c r="L898" s="80" t="s">
        <v>64</v>
      </c>
    </row>
    <row r="899">
      <c r="A899" s="80" t="s">
        <v>112</v>
      </c>
      <c r="B899" s="81" t="str">
        <f>HYPERLINK("https://www.youtube.com/channel/UCW_n_gfIv4HhRqCk8EnRhJA", "Happy Kongner")</f>
        <v>Happy Kongner</v>
      </c>
      <c r="C899" s="80" t="s">
        <v>1098</v>
      </c>
      <c r="D899" s="81" t="str">
        <f>HYPERLINK("https://youtube.com/watch?v=2X5W8mM_Wek", "[路西法效應上集] 路西法效應 The Lucifer Effect 好人如何墮落成為惡魔  [做乜嘢懶人包]")</f>
        <v>[路西法效應上集] 路西法效應 The Lucifer Effect 好人如何墮落成為惡魔  [做乜嘢懶人包]</v>
      </c>
      <c r="E899" s="82">
        <v>43647.0</v>
      </c>
      <c r="F899" s="80">
        <v>1380.0</v>
      </c>
      <c r="G899" s="80" t="s">
        <v>63</v>
      </c>
      <c r="H899" s="80" t="s">
        <v>63</v>
      </c>
      <c r="I899" s="80" t="s">
        <v>63</v>
      </c>
      <c r="J899" s="80">
        <v>7013.0</v>
      </c>
      <c r="K899" s="80">
        <v>0.990117181985034</v>
      </c>
      <c r="L899" s="80" t="s">
        <v>86</v>
      </c>
    </row>
    <row r="900">
      <c r="A900" s="80" t="s">
        <v>278</v>
      </c>
      <c r="B900" s="81" t="str">
        <f>HYPERLINK("https://www.youtube.com/channel/UCDoEdJo-PI-EKGNKomwLroQ", "mingjai14")</f>
        <v>mingjai14</v>
      </c>
      <c r="C900" s="80" t="s">
        <v>1099</v>
      </c>
      <c r="D900" s="81" t="str">
        <f>HYPERLINK("https://youtube.com/watch?v=2bdC-fxh3oQ", "*跳橋*告別45天長征｜非南非旅2｜最終回")</f>
        <v>*跳橋*告別45天長征｜非南非旅2｜最終回</v>
      </c>
      <c r="E900" s="82">
        <v>43005.0</v>
      </c>
      <c r="F900" s="80">
        <v>510.0</v>
      </c>
      <c r="G900" s="80" t="s">
        <v>63</v>
      </c>
      <c r="H900" s="80" t="s">
        <v>63</v>
      </c>
      <c r="I900" s="80" t="s">
        <v>63</v>
      </c>
      <c r="J900" s="80">
        <v>990.0</v>
      </c>
      <c r="K900" s="80">
        <v>0.972495088408644</v>
      </c>
      <c r="L900" s="80" t="s">
        <v>86</v>
      </c>
    </row>
    <row r="901">
      <c r="A901" s="80" t="s">
        <v>219</v>
      </c>
      <c r="B901" s="81" t="str">
        <f>HYPERLINK("https://www.youtube.com/channel/UC9_PnptBIpNF0JXbJjd8TsQ", "Brown's Channel")</f>
        <v>Brown's Channel</v>
      </c>
      <c r="C901" s="80" t="s">
        <v>1100</v>
      </c>
      <c r="D901" s="81" t="str">
        <f>HYPERLINK("https://youtube.com/watch?v=2eLZS9Jlqb8", "【一隻熊仔去搵食@香港】#2-1 無印良品 －－ 全港最大間無印 超多獨家產品")</f>
        <v>【一隻熊仔去搵食@香港】#2-1 無印良品 －－ 全港最大間無印 超多獨家產品</v>
      </c>
      <c r="E901" s="82">
        <v>44010.0</v>
      </c>
      <c r="F901" s="80">
        <v>428.0</v>
      </c>
      <c r="G901" s="80" t="s">
        <v>63</v>
      </c>
      <c r="I901" s="80" t="s">
        <v>63</v>
      </c>
      <c r="J901" s="80">
        <v>1668.0</v>
      </c>
      <c r="K901" s="80">
        <v>0.894369973190348</v>
      </c>
      <c r="L901" s="80" t="s">
        <v>64</v>
      </c>
    </row>
    <row r="902">
      <c r="A902" s="80" t="s">
        <v>69</v>
      </c>
      <c r="B902" s="81" t="str">
        <f>HYPERLINK("https://www.youtube.com/channel/UCoVycxbCXEsd-mrP83EqVWQ", "馬米高 Michael MMG")</f>
        <v>馬米高 Michael MMG</v>
      </c>
      <c r="C902" s="80" t="s">
        <v>1101</v>
      </c>
      <c r="D902" s="81" t="str">
        <f>HYPERLINK("https://youtube.com/watch?v=2k8bmkv52_I", "【唔好再this this this】常見高級菜英文讀法點記 | 西餐約會心理學")</f>
        <v>【唔好再this this this】常見高級菜英文讀法點記 | 西餐約會心理學</v>
      </c>
      <c r="E902" s="82">
        <v>43536.0</v>
      </c>
      <c r="F902" s="80">
        <v>204.0</v>
      </c>
      <c r="G902" s="80" t="s">
        <v>63</v>
      </c>
      <c r="I902" s="80" t="s">
        <v>63</v>
      </c>
      <c r="J902" s="80">
        <v>22.0</v>
      </c>
      <c r="K902" s="80">
        <v>0.564102564102564</v>
      </c>
      <c r="L902" s="80" t="s">
        <v>64</v>
      </c>
    </row>
    <row r="903">
      <c r="A903" s="80" t="s">
        <v>96</v>
      </c>
      <c r="B903" s="81" t="str">
        <f>HYPERLINK("https://www.youtube.com/channel/UCGtyHJ-L_4RDIHe3XaLofQQ", "Anson Cheung")</f>
        <v>Anson Cheung</v>
      </c>
      <c r="C903" s="80" t="s">
        <v>1102</v>
      </c>
      <c r="D903" s="81" t="str">
        <f>HYPERLINK("https://youtube.com/watch?v=2q2uYUYxezE", "我用過最好的真無線耳機⋯⋯暫時 - Jabra Elite 85t 評測｜Jabra Elite 85t Review")</f>
        <v>我用過最好的真無線耳機⋯⋯暫時 - Jabra Elite 85t 評測｜Jabra Elite 85t Review</v>
      </c>
      <c r="E903" s="82">
        <v>44317.0</v>
      </c>
      <c r="F903" s="80">
        <v>803.0</v>
      </c>
      <c r="G903" s="80" t="s">
        <v>63</v>
      </c>
      <c r="I903" s="80" t="s">
        <v>63</v>
      </c>
      <c r="J903" s="80">
        <v>2940.0</v>
      </c>
      <c r="K903" s="80">
        <v>0.751918158567774</v>
      </c>
      <c r="L903" s="80" t="s">
        <v>64</v>
      </c>
    </row>
    <row r="904">
      <c r="A904" s="80" t="s">
        <v>82</v>
      </c>
      <c r="B904" s="81" t="str">
        <f>HYPERLINK("https://www.youtube.com/channel/UC6C2hkbggXIgapf5jn_V2Dw", "SpongeMob 852")</f>
        <v>SpongeMob 852</v>
      </c>
      <c r="C904" s="80" t="s">
        <v>1103</v>
      </c>
      <c r="D904" s="81" t="str">
        <f>HYPERLINK("https://youtube.com/watch?v=2q_XmGfb9tY", "Novel Flash X Teddy Beer - Bitch")</f>
        <v>Novel Flash X Teddy Beer - Bitch</v>
      </c>
      <c r="E904" s="82">
        <v>43960.0</v>
      </c>
      <c r="F904" s="80">
        <v>205.0</v>
      </c>
      <c r="G904" s="80" t="s">
        <v>63</v>
      </c>
      <c r="I904" s="80" t="s">
        <v>63</v>
      </c>
      <c r="J904" s="80">
        <v>432.0</v>
      </c>
      <c r="K904" s="80">
        <v>0.470588235294117</v>
      </c>
      <c r="L904" s="80" t="s">
        <v>64</v>
      </c>
    </row>
    <row r="905">
      <c r="A905" s="80" t="s">
        <v>74</v>
      </c>
      <c r="B905" s="81" t="str">
        <f>HYPERLINK("https://www.youtube.com/channel/UCO_5XP-qd-udNxBlzzSzgvw", "Handline Fishing")</f>
        <v>Handline Fishing</v>
      </c>
      <c r="C905" s="80" t="s">
        <v>1104</v>
      </c>
      <c r="D905" s="81" t="str">
        <f>HYPERLINK("https://youtube.com/watch?v=2tM4_ezFdgI", "#144 全維港最大一條魚，俾我釣咗，撈箕都唔夠大! 大懵仔 | 『香港釣魚 : 艇釣』維港 {粵語旁白+中英文字幕}")</f>
        <v>#144 全維港最大一條魚，俾我釣咗，撈箕都唔夠大! 大懵仔 | 『香港釣魚 : 艇釣』維港 {粵語旁白+中英文字幕}</v>
      </c>
      <c r="E905" s="82">
        <v>44075.0</v>
      </c>
      <c r="F905" s="80">
        <v>687.0</v>
      </c>
      <c r="G905" s="80" t="s">
        <v>63</v>
      </c>
      <c r="I905" s="80" t="s">
        <v>63</v>
      </c>
      <c r="J905" s="80">
        <v>671.0</v>
      </c>
      <c r="K905" s="80">
        <v>0.961318051575931</v>
      </c>
      <c r="L905" s="80" t="s">
        <v>1105</v>
      </c>
    </row>
    <row r="906">
      <c r="A906" s="80" t="s">
        <v>103</v>
      </c>
      <c r="B906" s="81" t="str">
        <f>HYPERLINK("https://www.youtube.com/channel/UCTVpvSswSER2sq1USBTGfnw", "Brittany Chan")</f>
        <v>Brittany Chan</v>
      </c>
      <c r="C906" s="80" t="s">
        <v>1106</v>
      </c>
      <c r="D906" s="81" t="str">
        <f>HYPERLINK("https://youtube.com/watch?v=2yV8HG47-Fg", "Reviewing Asian snacks with my American husband 😋")</f>
        <v>Reviewing Asian snacks with my American husband 😋</v>
      </c>
      <c r="E906" s="82">
        <v>44509.0</v>
      </c>
      <c r="F906" s="80">
        <v>724.0</v>
      </c>
      <c r="G906" s="80" t="s">
        <v>63</v>
      </c>
      <c r="I906" s="80" t="s">
        <v>63</v>
      </c>
      <c r="J906" s="80">
        <v>1027.0</v>
      </c>
      <c r="K906" s="80">
        <v>0.250365675280351</v>
      </c>
      <c r="L906" s="80" t="s">
        <v>105</v>
      </c>
    </row>
    <row r="907">
      <c r="A907" s="80" t="s">
        <v>61</v>
      </c>
      <c r="B907" s="81" t="str">
        <f t="shared" ref="B907:B908" si="31">HYPERLINK("https://www.youtube.com/channel/UCJ4XVrJuqKHbc9yF9oUFseg", "MEeeep More")</f>
        <v>MEeeep More</v>
      </c>
      <c r="C907" s="80" t="s">
        <v>1107</v>
      </c>
      <c r="D907" s="81" t="str">
        <f>HYPERLINK("https://youtube.com/watch?v=2zexGJ9R8CY", "置富Malls X 白爛貓87旅行團 | 一齊同白爛貓「出國觀光」 享受奇妙「白爛之旅」 | 5000電子消費券 消費券優惠 白爛貓 whatsapp sticker")</f>
        <v>置富Malls X 白爛貓87旅行團 | 一齊同白爛貓「出國觀光」 享受奇妙「白爛之旅」 | 5000電子消費券 消費券優惠 白爛貓 whatsapp sticker</v>
      </c>
      <c r="E907" s="82">
        <v>44383.0</v>
      </c>
      <c r="F907" s="80">
        <v>145.0</v>
      </c>
      <c r="G907" s="80" t="s">
        <v>63</v>
      </c>
      <c r="I907" s="80" t="s">
        <v>63</v>
      </c>
      <c r="J907" s="80">
        <v>456.0</v>
      </c>
      <c r="K907" s="80">
        <v>0.81283422459893</v>
      </c>
      <c r="L907" s="80" t="s">
        <v>64</v>
      </c>
    </row>
    <row r="908">
      <c r="A908" s="80" t="s">
        <v>61</v>
      </c>
      <c r="B908" s="81" t="str">
        <f t="shared" si="31"/>
        <v>MEeeep More</v>
      </c>
      <c r="C908" s="80" t="s">
        <v>1108</v>
      </c>
      <c r="D908" s="81" t="str">
        <f>HYPERLINK("https://youtube.com/watch?v=30NFdhc4P3g", "【氣炸鍋叉燒】空氣炸鍋食譜 燶邊叉燒在家做 用氣炸鍋 20 分鐘食得？簡單自製 港式叉燒食譜 - 燶邊秘訣話你知 Cha Siu Recipe")</f>
        <v>【氣炸鍋叉燒】空氣炸鍋食譜 燶邊叉燒在家做 用氣炸鍋 20 分鐘食得？簡單自製 港式叉燒食譜 - 燶邊秘訣話你知 Cha Siu Recipe</v>
      </c>
      <c r="E908" s="82">
        <v>43962.0</v>
      </c>
      <c r="F908" s="80">
        <v>201.0</v>
      </c>
      <c r="G908" s="80" t="s">
        <v>63</v>
      </c>
      <c r="I908" s="80" t="s">
        <v>63</v>
      </c>
      <c r="J908" s="80">
        <v>527.0</v>
      </c>
      <c r="K908" s="80">
        <v>0.89778534923339</v>
      </c>
      <c r="L908" s="80" t="s">
        <v>64</v>
      </c>
    </row>
    <row r="909">
      <c r="A909" s="80" t="s">
        <v>221</v>
      </c>
      <c r="B909" s="81" t="str">
        <f>HYPERLINK("https://www.youtube.com/channel/UCBgWgQyEb5eTzvh4lLcuipQ", "Wikitongues")</f>
        <v>Wikitongues</v>
      </c>
      <c r="C909" s="80" t="s">
        <v>1109</v>
      </c>
      <c r="D909" s="81" t="str">
        <f>HYPERLINK("https://youtube.com/watch?v=3428HkaqA94", "Edward speaking Hong Kong Cantonese | Sino-Tibetan languages | Wikitongues")</f>
        <v>Edward speaking Hong Kong Cantonese | Sino-Tibetan languages | Wikitongues</v>
      </c>
      <c r="E909" s="82">
        <v>44027.0</v>
      </c>
      <c r="F909" s="80">
        <v>170.0</v>
      </c>
      <c r="G909" s="80" t="s">
        <v>63</v>
      </c>
      <c r="I909" s="80" t="s">
        <v>63</v>
      </c>
      <c r="J909" s="80">
        <v>713.0</v>
      </c>
      <c r="K909" s="80">
        <v>0.929595827900912</v>
      </c>
      <c r="L909" s="80" t="s">
        <v>287</v>
      </c>
    </row>
    <row r="910">
      <c r="A910" s="80" t="s">
        <v>743</v>
      </c>
      <c r="B910" s="81" t="str">
        <f>HYPERLINK("https://www.youtube.com/channel/UCe6qQ8zbYQJgTBnZ9wBzm9w", "Willy Lee")</f>
        <v>Willy Lee</v>
      </c>
      <c r="C910" s="80" t="s">
        <v>1110</v>
      </c>
      <c r="D910" s="81" t="str">
        <f>HYPERLINK("https://youtube.com/watch?v=348auSXwGwE", "🇭🇰【行山】中級！獅子山攀爬路線、岩哂唔想再行樓梯上獅子山既你！石馬正脊、獅肚棧道、雄獅拉矢脊 - 航拍, 路線, 打卡位分享 - Braven BRV MINI - Willy Lee")</f>
        <v>🇭🇰【行山】中級！獅子山攀爬路線、岩哂唔想再行樓梯上獅子山既你！石馬正脊、獅肚棧道、雄獅拉矢脊 - 航拍, 路線, 打卡位分享 - Braven BRV MINI - Willy Lee</v>
      </c>
      <c r="E910" s="82">
        <v>44501.0</v>
      </c>
      <c r="F910" s="80">
        <v>459.0</v>
      </c>
      <c r="G910" s="80" t="s">
        <v>63</v>
      </c>
      <c r="I910" s="80" t="s">
        <v>63</v>
      </c>
      <c r="J910" s="80">
        <v>2336.0</v>
      </c>
      <c r="K910" s="80">
        <v>0.915001958480219</v>
      </c>
      <c r="L910" s="80" t="s">
        <v>582</v>
      </c>
    </row>
    <row r="911">
      <c r="A911" s="80" t="s">
        <v>1000</v>
      </c>
      <c r="B911" s="81" t="str">
        <f>HYPERLINK("https://www.youtube.com/channel/UChJQlg1b_cOttPX3SiIh5gA", "Lau Dinha in Hong Kong - Hong Kong in the World")</f>
        <v>Lau Dinha in Hong Kong - Hong Kong in the World</v>
      </c>
      <c r="C911" s="80" t="s">
        <v>1111</v>
      </c>
      <c r="D911" s="81" t="str">
        <f>HYPERLINK("https://youtube.com/watch?v=34EQAv5wW8g", "香港人應該如何學習英文【訪問Chris Lonsdale/龍飛虎先生】")</f>
        <v>香港人應該如何學習英文【訪問Chris Lonsdale/龍飛虎先生】</v>
      </c>
      <c r="E911" s="82">
        <v>44041.0</v>
      </c>
      <c r="F911" s="80">
        <v>552.0</v>
      </c>
      <c r="G911" s="80" t="s">
        <v>63</v>
      </c>
      <c r="H911" s="80" t="s">
        <v>63</v>
      </c>
      <c r="I911" s="80" t="s">
        <v>63</v>
      </c>
      <c r="J911" s="80">
        <v>1555.0</v>
      </c>
      <c r="K911" s="80">
        <v>0.976145637162586</v>
      </c>
      <c r="L911" s="80" t="s">
        <v>434</v>
      </c>
    </row>
    <row r="912">
      <c r="A912" s="80" t="s">
        <v>252</v>
      </c>
      <c r="B912" s="81" t="str">
        <f>HYPERLINK("https://www.youtube.com/channel/UCrISkBm7rgsRUAw8018eWvw", "MoYung 慕容公子")</f>
        <v>MoYung 慕容公子</v>
      </c>
      <c r="C912" s="80" t="s">
        <v>1112</v>
      </c>
      <c r="D912" s="81" t="str">
        <f>HYPERLINK("https://youtube.com/watch?v=36ICsWUnoRs", "【股票】輸14萬！？被迫戒賭了......(中文字幕)")</f>
        <v>【股票】輸14萬！？被迫戒賭了......(中文字幕)</v>
      </c>
      <c r="E912" s="82">
        <v>43229.0</v>
      </c>
      <c r="F912" s="80">
        <v>367.0</v>
      </c>
      <c r="G912" s="80" t="s">
        <v>63</v>
      </c>
      <c r="I912" s="80" t="s">
        <v>63</v>
      </c>
      <c r="J912" s="80">
        <v>1362.0</v>
      </c>
      <c r="K912" s="80">
        <v>0.996342355523043</v>
      </c>
      <c r="L912" s="80" t="s">
        <v>64</v>
      </c>
    </row>
    <row r="913">
      <c r="A913" s="80" t="s">
        <v>112</v>
      </c>
      <c r="B913" s="81" t="str">
        <f>HYPERLINK("https://www.youtube.com/channel/UCW_n_gfIv4HhRqCk8EnRhJA", "Happy Kongner")</f>
        <v>Happy Kongner</v>
      </c>
      <c r="C913" s="80" t="s">
        <v>1113</v>
      </c>
      <c r="D913" s="81" t="str">
        <f>HYPERLINK("https://youtube.com/watch?v=39e7bFGn8K0", "甚麼是社會學？1分鐘入門社會學 [小學雞掃盲包]")</f>
        <v>甚麼是社會學？1分鐘入門社會學 [小學雞掃盲包]</v>
      </c>
      <c r="E913" s="82">
        <v>43940.0</v>
      </c>
      <c r="F913" s="80">
        <v>650.0</v>
      </c>
      <c r="G913" s="80" t="s">
        <v>63</v>
      </c>
      <c r="H913" s="80" t="s">
        <v>63</v>
      </c>
      <c r="I913" s="80" t="s">
        <v>63</v>
      </c>
      <c r="J913" s="80">
        <v>3612.0</v>
      </c>
      <c r="K913" s="80">
        <v>0.977272727272727</v>
      </c>
      <c r="L913" s="80" t="s">
        <v>66</v>
      </c>
    </row>
    <row r="914">
      <c r="A914" s="80" t="s">
        <v>1114</v>
      </c>
      <c r="B914" s="81" t="str">
        <f>HYPERLINK("https://www.youtube.com/channel/UC9NrLPKByyTyjNa41FCtV1Q", "Miss Tiara")</f>
        <v>Miss Tiara</v>
      </c>
      <c r="C914" s="80" t="s">
        <v>1115</v>
      </c>
      <c r="D914" s="81" t="str">
        <f>HYPERLINK("https://youtube.com/watch?v=3CfQSWniWLc", "Miss Tiara x THEi 教你運動修身：健美背肌緩酸痛")</f>
        <v>Miss Tiara x THEi 教你運動修身：健美背肌緩酸痛</v>
      </c>
      <c r="E914" s="82">
        <v>42127.0</v>
      </c>
      <c r="F914" s="80">
        <v>94.0</v>
      </c>
      <c r="G914" s="80" t="s">
        <v>63</v>
      </c>
      <c r="I914" s="80" t="s">
        <v>63</v>
      </c>
      <c r="J914" s="80">
        <v>53.0</v>
      </c>
      <c r="K914" s="80">
        <v>0.706666666666666</v>
      </c>
      <c r="L914" s="80" t="s">
        <v>64</v>
      </c>
    </row>
    <row r="915">
      <c r="A915" s="80" t="s">
        <v>140</v>
      </c>
      <c r="B915" s="81" t="str">
        <f>HYPERLINK("https://www.youtube.com/channel/UCHK0CZf9HEXs42qIO1GUouA", "TechiCardia")</f>
        <v>TechiCardia</v>
      </c>
      <c r="C915" s="80" t="s">
        <v>1116</v>
      </c>
      <c r="D915" s="81" t="str">
        <f>HYPERLINK("https://youtube.com/watch?v=3ETjslcgz0g", "今日12點開放連結！10000蚊5600X、3060義賣電腦砌機精華、溫度遊戲試玩實測！//4K 【TechiCardia】[CC 廣東話字幕]")</f>
        <v>今日12點開放連結！10000蚊5600X、3060義賣電腦砌機精華、溫度遊戲試玩實測！//4K 【TechiCardia】[CC 廣東話字幕]</v>
      </c>
      <c r="E915" s="82">
        <v>44379.0</v>
      </c>
      <c r="F915" s="80">
        <v>482.0</v>
      </c>
      <c r="G915" s="80" t="s">
        <v>63</v>
      </c>
      <c r="I915" s="80" t="s">
        <v>63</v>
      </c>
      <c r="J915" s="80">
        <v>532.0</v>
      </c>
      <c r="K915" s="80">
        <v>0.747191011235955</v>
      </c>
      <c r="L915" s="80" t="s">
        <v>102</v>
      </c>
    </row>
    <row r="916">
      <c r="A916" s="80" t="s">
        <v>74</v>
      </c>
      <c r="B916" s="81" t="str">
        <f>HYPERLINK("https://www.youtube.com/channel/UCO_5XP-qd-udNxBlzzSzgvw", "Handline Fishing")</f>
        <v>Handline Fishing</v>
      </c>
      <c r="C916" s="80" t="s">
        <v>1117</v>
      </c>
      <c r="D916" s="81" t="str">
        <f>HYPERLINK("https://youtube.com/watch?v=3G8PpeRoNhU", "#178 可能係CP值最高的艇釣，幾乎次次都有斤頭雞魚 | 『香港釣魚 : 艇釣』維港東 {粵語旁白+中英文字幕}")</f>
        <v>#178 可能係CP值最高的艇釣，幾乎次次都有斤頭雞魚 | 『香港釣魚 : 艇釣』維港東 {粵語旁白+中英文字幕}</v>
      </c>
      <c r="E916" s="82">
        <v>44201.0</v>
      </c>
      <c r="F916" s="80">
        <v>600.0</v>
      </c>
      <c r="G916" s="80" t="s">
        <v>63</v>
      </c>
      <c r="I916" s="80" t="s">
        <v>63</v>
      </c>
      <c r="J916" s="80">
        <v>898.0</v>
      </c>
      <c r="K916" s="80">
        <v>0.971861471861471</v>
      </c>
      <c r="L916" s="80" t="s">
        <v>271</v>
      </c>
    </row>
    <row r="917">
      <c r="A917" s="80" t="s">
        <v>1118</v>
      </c>
      <c r="B917" s="81" t="str">
        <f>HYPERLINK("https://www.youtube.com/channel/UCeyXZA7ofepOhL9Z9BATC1w", "80後夫婦移英日記 80s Couple UK Diary")</f>
        <v>80後夫婦移英日記 80s Couple UK Diary</v>
      </c>
      <c r="C917" s="80" t="s">
        <v>1119</v>
      </c>
      <c r="D917" s="81" t="str">
        <f>HYPERLINK("https://youtube.com/watch?v=3ITFuPulINA", "再見香港 Goodbye Hong Kong~~~咁多行李點執好???離開香港既感受~~~")</f>
        <v>再見香港 Goodbye Hong Kong~~~咁多行李點執好???離開香港既感受~~~</v>
      </c>
      <c r="E917" s="82">
        <v>44389.0</v>
      </c>
      <c r="F917" s="80">
        <v>401.0</v>
      </c>
      <c r="G917" s="80" t="s">
        <v>63</v>
      </c>
      <c r="I917" s="80" t="s">
        <v>63</v>
      </c>
      <c r="J917" s="80">
        <v>1263.0</v>
      </c>
      <c r="K917" s="80">
        <v>0.923245614035087</v>
      </c>
      <c r="L917" s="80" t="s">
        <v>102</v>
      </c>
    </row>
    <row r="918">
      <c r="A918" s="80" t="s">
        <v>74</v>
      </c>
      <c r="B918" s="81" t="str">
        <f t="shared" ref="B918:B919" si="32">HYPERLINK("https://www.youtube.com/channel/UCO_5XP-qd-udNxBlzzSzgvw", "Handline Fishing")</f>
        <v>Handline Fishing</v>
      </c>
      <c r="C918" s="80" t="s">
        <v>1120</v>
      </c>
      <c r="D918" s="81" t="str">
        <f>HYPERLINK("https://youtube.com/watch?v=3KSdkFWjn_w", "#224 大師麻甩櫃底團..再續『香港釣魚 : 艇釣』櫃底 {粵語旁白+中英文字幕}")</f>
        <v>#224 大師麻甩櫃底團..再續『香港釣魚 : 艇釣』櫃底 {粵語旁白+中英文字幕}</v>
      </c>
      <c r="E918" s="82">
        <v>44392.0</v>
      </c>
      <c r="F918" s="80">
        <v>376.0</v>
      </c>
      <c r="G918" s="80" t="s">
        <v>63</v>
      </c>
      <c r="H918" s="80" t="s">
        <v>63</v>
      </c>
      <c r="I918" s="80" t="s">
        <v>63</v>
      </c>
      <c r="J918" s="80">
        <v>439.0</v>
      </c>
      <c r="K918" s="80">
        <v>0.94816414686825</v>
      </c>
      <c r="L918" s="80" t="s">
        <v>88</v>
      </c>
    </row>
    <row r="919">
      <c r="A919" s="80" t="s">
        <v>74</v>
      </c>
      <c r="B919" s="81" t="str">
        <f t="shared" si="32"/>
        <v>Handline Fishing</v>
      </c>
      <c r="C919" s="80" t="s">
        <v>1121</v>
      </c>
      <c r="D919" s="81" t="str">
        <f>HYPERLINK("https://youtube.com/watch?v=3LKG0Jp5PMg", "#143 日夜水櫃底之旅...續釣牛屎 | 『香港釣魚 : 艇釣』櫃底 {粵語旁白+中英文字幕}")</f>
        <v>#143 日夜水櫃底之旅...續釣牛屎 | 『香港釣魚 : 艇釣』櫃底 {粵語旁白+中英文字幕}</v>
      </c>
      <c r="E919" s="82">
        <v>44071.0</v>
      </c>
      <c r="F919" s="80">
        <v>344.0</v>
      </c>
      <c r="G919" s="80" t="s">
        <v>63</v>
      </c>
      <c r="I919" s="80" t="s">
        <v>63</v>
      </c>
      <c r="J919" s="80">
        <v>562.0</v>
      </c>
      <c r="K919" s="80">
        <v>0.959044368600682</v>
      </c>
      <c r="L919" s="80" t="s">
        <v>1105</v>
      </c>
    </row>
    <row r="920">
      <c r="A920" s="80" t="s">
        <v>278</v>
      </c>
      <c r="B920" s="81" t="str">
        <f>HYPERLINK("https://www.youtube.com/channel/UCDoEdJo-PI-EKGNKomwLroQ", "mingjai14")</f>
        <v>mingjai14</v>
      </c>
      <c r="C920" s="80" t="s">
        <v>1122</v>
      </c>
      <c r="D920" s="81" t="str">
        <f>HYPERLINK("https://youtube.com/watch?v=3M0E0DwB1eU", "潛入三不管毒品天堂💊丹麥都有九龍城寨❓| 歐遊列國6｜Day3")</f>
        <v>潛入三不管毒品天堂💊丹麥都有九龍城寨❓| 歐遊列國6｜Day3</v>
      </c>
      <c r="E920" s="82">
        <v>43563.0</v>
      </c>
      <c r="F920" s="80">
        <v>871.0</v>
      </c>
      <c r="G920" s="80" t="s">
        <v>63</v>
      </c>
      <c r="H920" s="80" t="s">
        <v>63</v>
      </c>
      <c r="I920" s="80" t="s">
        <v>63</v>
      </c>
      <c r="J920" s="80">
        <v>2774.0</v>
      </c>
      <c r="K920" s="80">
        <v>0.883578871721164</v>
      </c>
      <c r="L920" s="80" t="s">
        <v>86</v>
      </c>
    </row>
    <row r="921">
      <c r="A921" s="80" t="s">
        <v>743</v>
      </c>
      <c r="B921" s="81" t="str">
        <f>HYPERLINK("https://www.youtube.com/channel/UCe6qQ8zbYQJgTBnZ9wBzm9w", "Willy Lee")</f>
        <v>Willy Lee</v>
      </c>
      <c r="C921" s="80" t="s">
        <v>1123</v>
      </c>
      <c r="D921" s="81" t="str">
        <f>HYPERLINK("https://youtube.com/watch?v=3Q06-gVdpDM", "🇭🇰【行山】中級！南丫島尋找獅子大笨象、就黎跌落海既飛來石！獅象鬥法 - 航拍, 路線, 打卡位分享 - Willy Lee")</f>
        <v>🇭🇰【行山】中級！南丫島尋找獅子大笨象、就黎跌落海既飛來石！獅象鬥法 - 航拍, 路線, 打卡位分享 - Willy Lee</v>
      </c>
      <c r="E921" s="82">
        <v>44467.0</v>
      </c>
      <c r="F921" s="80">
        <v>358.0</v>
      </c>
      <c r="G921" s="80" t="s">
        <v>63</v>
      </c>
      <c r="I921" s="80" t="s">
        <v>63</v>
      </c>
      <c r="J921" s="80">
        <v>1829.0</v>
      </c>
      <c r="K921" s="80">
        <v>0.929842399593289</v>
      </c>
      <c r="L921" s="80" t="s">
        <v>64</v>
      </c>
    </row>
    <row r="922">
      <c r="A922" s="80" t="s">
        <v>112</v>
      </c>
      <c r="B922" s="81" t="str">
        <f>HYPERLINK("https://www.youtube.com/channel/UCW_n_gfIv4HhRqCk8EnRhJA", "Happy Kongner")</f>
        <v>Happy Kongner</v>
      </c>
      <c r="C922" s="80" t="s">
        <v>1124</v>
      </c>
      <c r="D922" s="81" t="str">
        <f>HYPERLINK("https://youtube.com/watch?v=3RNe-oHEZvw", "（無劇透影評）Spider-Man: Into the Spider-Verse《蜘蛛俠：跳入蜘蛛宇宙》：最好嘅蜘蛛俠電影？[𠝹櫈電影學會]")</f>
        <v>（無劇透影評）Spider-Man: Into the Spider-Verse《蜘蛛俠：跳入蜘蛛宇宙》：最好嘅蜘蛛俠電影？[𠝹櫈電影學會]</v>
      </c>
      <c r="E922" s="82">
        <v>43441.0</v>
      </c>
      <c r="F922" s="80">
        <v>911.0</v>
      </c>
      <c r="G922" s="80" t="s">
        <v>63</v>
      </c>
      <c r="I922" s="80" t="s">
        <v>63</v>
      </c>
      <c r="J922" s="80">
        <v>4269.0</v>
      </c>
      <c r="K922" s="80">
        <v>0.775899672846237</v>
      </c>
      <c r="L922" s="80" t="s">
        <v>64</v>
      </c>
    </row>
    <row r="923">
      <c r="A923" s="80" t="s">
        <v>274</v>
      </c>
      <c r="B923" s="81" t="str">
        <f>HYPERLINK("https://www.youtube.com/channel/UC2oB9QCXs-RKtaKChrz4dKg", "MtzCherry")</f>
        <v>MtzCherry</v>
      </c>
      <c r="C923" s="80" t="s">
        <v>1125</v>
      </c>
      <c r="D923" s="81" t="str">
        <f>HYPERLINK("https://youtube.com/watch?v=3Rg0q7_PDx4", "[UNBOXING+REVIEW] Google HK Share Joy Package + AR App || 有廣東話字幕")</f>
        <v>[UNBOXING+REVIEW] Google HK Share Joy Package + AR App || 有廣東話字幕</v>
      </c>
      <c r="E923" s="82">
        <v>44130.0</v>
      </c>
      <c r="F923" s="80">
        <v>683.0</v>
      </c>
      <c r="G923" s="80" t="s">
        <v>63</v>
      </c>
      <c r="H923" s="80" t="s">
        <v>63</v>
      </c>
      <c r="I923" s="80" t="s">
        <v>63</v>
      </c>
      <c r="J923" s="80">
        <v>2039.0</v>
      </c>
      <c r="K923" s="80">
        <v>0.879637618636755</v>
      </c>
      <c r="L923" s="80" t="s">
        <v>1126</v>
      </c>
    </row>
    <row r="924">
      <c r="A924" s="80" t="s">
        <v>74</v>
      </c>
      <c r="B924" s="81" t="str">
        <f>HYPERLINK("https://www.youtube.com/channel/UCO_5XP-qd-udNxBlzzSzgvw", "Handline Fishing")</f>
        <v>Handline Fishing</v>
      </c>
      <c r="C924" s="80" t="s">
        <v>1127</v>
      </c>
      <c r="D924" s="81" t="str">
        <f>HYPERLINK("https://youtube.com/watch?v=3S-icubnUuw", "#239 我要奪金! | 香港釣魚 | 岸釣 | 港珠澳橋墩 【ActiveDim 太陽眼鏡】")</f>
        <v>#239 我要奪金! | 香港釣魚 | 岸釣 | 港珠澳橋墩 【ActiveDim 太陽眼鏡】</v>
      </c>
      <c r="E924" s="82">
        <v>44460.0</v>
      </c>
      <c r="F924" s="80">
        <v>547.0</v>
      </c>
      <c r="G924" s="80" t="s">
        <v>63</v>
      </c>
      <c r="H924" s="80" t="s">
        <v>63</v>
      </c>
      <c r="I924" s="80" t="s">
        <v>63</v>
      </c>
      <c r="J924" s="80">
        <v>333.0</v>
      </c>
      <c r="K924" s="80">
        <v>0.938028169014084</v>
      </c>
      <c r="L924" s="80" t="s">
        <v>88</v>
      </c>
    </row>
    <row r="925">
      <c r="A925" s="80" t="s">
        <v>1128</v>
      </c>
      <c r="B925" s="81" t="str">
        <f>HYPERLINK("https://www.youtube.com/channel/UCe8jZzHeq8gGiqk5bESfpIw", "前線科技人員")</f>
        <v>前線科技人員</v>
      </c>
      <c r="C925" s="80" t="s">
        <v>1129</v>
      </c>
      <c r="D925" s="81" t="str">
        <f>HYPERLINK("https://youtube.com/watch?v=3TtbWGIK4D8", "2017特首選舉 過半決")</f>
        <v>2017特首選舉 過半決</v>
      </c>
      <c r="E925" s="82">
        <v>42786.0</v>
      </c>
      <c r="F925" s="80">
        <v>95.0</v>
      </c>
      <c r="G925" s="80" t="s">
        <v>63</v>
      </c>
      <c r="I925" s="80" t="s">
        <v>63</v>
      </c>
      <c r="J925" s="80">
        <v>397.0</v>
      </c>
      <c r="K925" s="80">
        <v>0.997487437185929</v>
      </c>
      <c r="L925" s="80" t="s">
        <v>64</v>
      </c>
    </row>
    <row r="926">
      <c r="A926" s="80" t="s">
        <v>1000</v>
      </c>
      <c r="B926" s="81" t="str">
        <f>HYPERLINK("https://www.youtube.com/channel/UChJQlg1b_cOttPX3SiIh5gA", "Lau Dinha in Hong Kong - Hong Kong in the World")</f>
        <v>Lau Dinha in Hong Kong - Hong Kong in the World</v>
      </c>
      <c r="C926" s="80" t="s">
        <v>1130</v>
      </c>
      <c r="D926" s="81" t="str">
        <f>HYPERLINK("https://youtube.com/watch?v=3TyLiKULxH8", "自學語言的第5小時｜Tự học ngôn ngữ Giờ thứ 5｜Self-Learning Language at 5th hour")</f>
        <v>自學語言的第5小時｜Tự học ngôn ngữ Giờ thứ 5｜Self-Learning Language at 5th hour</v>
      </c>
      <c r="E926" s="82">
        <v>43507.0</v>
      </c>
      <c r="F926" s="80">
        <v>92.0</v>
      </c>
      <c r="G926" s="80" t="s">
        <v>63</v>
      </c>
      <c r="I926" s="80" t="s">
        <v>63</v>
      </c>
      <c r="J926" s="80">
        <v>268.0</v>
      </c>
      <c r="K926" s="80">
        <v>0.99628252788104</v>
      </c>
      <c r="L926" s="80" t="s">
        <v>64</v>
      </c>
    </row>
    <row r="927">
      <c r="A927" s="80" t="s">
        <v>274</v>
      </c>
      <c r="B927" s="81" t="str">
        <f>HYPERLINK("https://www.youtube.com/channel/UC2oB9QCXs-RKtaKChrz4dKg", "MtzCherry")</f>
        <v>MtzCherry</v>
      </c>
      <c r="C927" s="80" t="s">
        <v>1131</v>
      </c>
      <c r="D927" s="81" t="str">
        <f>HYPERLINK("https://youtube.com/watch?v=3V0W_oWLrfo", "[VLOG] 去秋日市集+幫襯本地良心小店食食食 || Support Small Business &amp; Eating through the long weekend!")</f>
        <v>[VLOG] 去秋日市集+幫襯本地良心小店食食食 || Support Small Business &amp; Eating through the long weekend!</v>
      </c>
      <c r="E927" s="82">
        <v>44113.0</v>
      </c>
      <c r="F927" s="80">
        <v>576.0</v>
      </c>
      <c r="G927" s="80" t="s">
        <v>63</v>
      </c>
      <c r="H927" s="80" t="s">
        <v>63</v>
      </c>
      <c r="I927" s="80" t="s">
        <v>63</v>
      </c>
      <c r="J927" s="80">
        <v>1646.0</v>
      </c>
      <c r="K927" s="80">
        <v>0.848453608247422</v>
      </c>
      <c r="L927" s="80" t="s">
        <v>1132</v>
      </c>
    </row>
    <row r="928">
      <c r="A928" s="80" t="s">
        <v>74</v>
      </c>
      <c r="B928" s="81" t="str">
        <f>HYPERLINK("https://www.youtube.com/channel/UCO_5XP-qd-udNxBlzzSzgvw", "Handline Fishing")</f>
        <v>Handline Fishing</v>
      </c>
      <c r="C928" s="80" t="s">
        <v>1133</v>
      </c>
      <c r="D928" s="81" t="str">
        <f>HYPERLINK("https://youtube.com/watch?v=3XCRbIW3qYI", "#73 大角咀三寶之一，我哋齊齊去通佢∙∙∙秘位『香港釣魚  艇釣』港珠澳人工島 {粵語旁白+中英文字幕}")</f>
        <v>#73 大角咀三寶之一，我哋齊齊去通佢∙∙∙秘位『香港釣魚  艇釣』港珠澳人工島 {粵語旁白+中英文字幕}</v>
      </c>
      <c r="E928" s="82">
        <v>43827.0</v>
      </c>
      <c r="F928" s="80">
        <v>287.0</v>
      </c>
      <c r="G928" s="80" t="s">
        <v>63</v>
      </c>
      <c r="I928" s="80" t="s">
        <v>63</v>
      </c>
      <c r="J928" s="80">
        <v>1217.0</v>
      </c>
      <c r="K928" s="80">
        <v>0.972044728434504</v>
      </c>
      <c r="L928" s="80" t="s">
        <v>1134</v>
      </c>
    </row>
    <row r="929">
      <c r="A929" s="80" t="s">
        <v>112</v>
      </c>
      <c r="B929" s="81" t="str">
        <f>HYPERLINK("https://www.youtube.com/channel/UCW_n_gfIv4HhRqCk8EnRhJA", "Happy Kongner")</f>
        <v>Happy Kongner</v>
      </c>
      <c r="C929" s="80" t="s">
        <v>1135</v>
      </c>
      <c r="D929" s="81" t="str">
        <f>HYPERLINK("https://youtube.com/watch?v=3Y4erkJL7NQ", "Coco 點解咁好睇？深度分析 Coco《玩轉極樂園 》[𠝹櫈電影學會]")</f>
        <v>Coco 點解咁好睇？深度分析 Coco《玩轉極樂園 》[𠝹櫈電影學會]</v>
      </c>
      <c r="E929" s="82">
        <v>43135.0</v>
      </c>
      <c r="F929" s="80">
        <v>729.0</v>
      </c>
      <c r="G929" s="80" t="s">
        <v>63</v>
      </c>
      <c r="I929" s="80" t="s">
        <v>63</v>
      </c>
      <c r="J929" s="80">
        <v>2862.0</v>
      </c>
      <c r="K929" s="80">
        <v>0.746673623793373</v>
      </c>
      <c r="L929" s="80" t="s">
        <v>64</v>
      </c>
    </row>
    <row r="930">
      <c r="A930" s="80" t="s">
        <v>278</v>
      </c>
      <c r="B930" s="81" t="str">
        <f>HYPERLINK("https://www.youtube.com/channel/UCDoEdJo-PI-EKGNKomwLroQ", "mingjai14")</f>
        <v>mingjai14</v>
      </c>
      <c r="C930" s="80" t="s">
        <v>1136</v>
      </c>
      <c r="D930" s="81" t="str">
        <f>HYPERLINK("https://youtube.com/watch?v=3ZzYh93uBAc", "十號風球後，恢復原貌要幾耐？")</f>
        <v>十號風球後，恢復原貌要幾耐？</v>
      </c>
      <c r="E930" s="82">
        <v>42972.0</v>
      </c>
      <c r="F930" s="80">
        <v>182.0</v>
      </c>
      <c r="G930" s="80" t="s">
        <v>63</v>
      </c>
      <c r="H930" s="80" t="s">
        <v>63</v>
      </c>
      <c r="I930" s="80" t="s">
        <v>63</v>
      </c>
      <c r="J930" s="80">
        <v>683.0</v>
      </c>
      <c r="K930" s="80">
        <v>0.929251700680272</v>
      </c>
      <c r="L930" s="80" t="s">
        <v>86</v>
      </c>
    </row>
    <row r="931">
      <c r="A931" s="80" t="s">
        <v>274</v>
      </c>
      <c r="B931" s="81" t="str">
        <f>HYPERLINK("https://www.youtube.com/channel/UC2oB9QCXs-RKtaKChrz4dKg", "MtzCherry")</f>
        <v>MtzCherry</v>
      </c>
      <c r="C931" s="80" t="s">
        <v>1137</v>
      </c>
      <c r="D931" s="81" t="str">
        <f>HYPERLINK("https://youtube.com/watch?v=3avKHd32sjA", "🇭🇰 Indie Cafe &amp; Shophouses in Tai Hang ☕️ 一齊發掘吓大坑嘅cafe同小店 || LIVING IN HONG KONG")</f>
        <v>🇭🇰 Indie Cafe &amp; Shophouses in Tai Hang ☕️ 一齊發掘吓大坑嘅cafe同小店 || LIVING IN HONG KONG</v>
      </c>
      <c r="E931" s="82">
        <v>44352.0</v>
      </c>
      <c r="F931" s="80">
        <v>280.0</v>
      </c>
      <c r="G931" s="80" t="s">
        <v>63</v>
      </c>
      <c r="I931" s="80" t="s">
        <v>63</v>
      </c>
      <c r="J931" s="80">
        <v>716.0</v>
      </c>
      <c r="K931" s="80">
        <v>0.790286975717439</v>
      </c>
      <c r="L931" s="80" t="s">
        <v>439</v>
      </c>
    </row>
    <row r="932">
      <c r="A932" s="80" t="s">
        <v>61</v>
      </c>
      <c r="B932" s="81" t="str">
        <f>HYPERLINK("https://www.youtube.com/channel/UCJ4XVrJuqKHbc9yF9oUFseg", "MEeeep More")</f>
        <v>MEeeep More</v>
      </c>
      <c r="C932" s="80" t="s">
        <v>1138</v>
      </c>
      <c r="D932" s="81" t="str">
        <f>HYPERLINK("https://youtube.com/watch?v=3eiCyF8fobs", "小米12X 入門款同步推出 同小米 12 Pro邊部機好啲?  | 小米12x xiaomi 12 mi12x Snapdragon 870 5G雙卡雙待")</f>
        <v>小米12X 入門款同步推出 同小米 12 Pro邊部機好啲?  | 小米12x xiaomi 12 mi12x Snapdragon 870 5G雙卡雙待</v>
      </c>
      <c r="E932" s="82">
        <v>44563.0</v>
      </c>
      <c r="F932" s="80">
        <v>136.0</v>
      </c>
      <c r="G932" s="80" t="s">
        <v>63</v>
      </c>
      <c r="I932" s="80" t="s">
        <v>63</v>
      </c>
      <c r="J932" s="80">
        <v>314.0</v>
      </c>
      <c r="K932" s="80">
        <v>0.713636363636363</v>
      </c>
      <c r="L932" s="80" t="s">
        <v>64</v>
      </c>
    </row>
    <row r="933">
      <c r="A933" s="80" t="s">
        <v>1139</v>
      </c>
      <c r="B933" s="81" t="str">
        <f>HYPERLINK("https://www.youtube.com/channel/UCw51gVFijIewmXH4tIR0ufw", "Crystal Zen")</f>
        <v>Crystal Zen</v>
      </c>
      <c r="C933" s="80" t="s">
        <v>1140</v>
      </c>
      <c r="D933" s="81" t="str">
        <f>HYPERLINK("https://youtube.com/watch?v=601GASTCeW0", "[淨思淨心] ANGUS的愛情觀。相識。拍拖。結婚。復合")</f>
        <v>[淨思淨心] ANGUS的愛情觀。相識。拍拖。結婚。復合</v>
      </c>
      <c r="E933" s="82">
        <v>44154.0</v>
      </c>
      <c r="F933" s="80">
        <v>533.0</v>
      </c>
      <c r="G933" s="80" t="s">
        <v>63</v>
      </c>
      <c r="I933" s="80" t="s">
        <v>63</v>
      </c>
      <c r="J933" s="80">
        <v>2253.0</v>
      </c>
      <c r="K933" s="80">
        <v>0.912145748987854</v>
      </c>
      <c r="L933" s="80" t="s">
        <v>64</v>
      </c>
    </row>
    <row r="934">
      <c r="A934" s="80" t="s">
        <v>1016</v>
      </c>
      <c r="B934" s="81" t="str">
        <f>HYPERLINK("https://www.youtube.com/channel/UCSbiR1l-cfzk44iTJVSAZVQ", "Rhapsody in Lingo")</f>
        <v>Rhapsody in Lingo</v>
      </c>
      <c r="C934" s="80" t="s">
        <v>1141</v>
      </c>
      <c r="D934" s="81" t="str">
        <f>HYPERLINK("https://youtube.com/watch?v=3gKLGxHLgcs", "英國最兇狠嘅動物竟然係……？約克York半日遊【粵字】")</f>
        <v>英國最兇狠嘅動物竟然係……？約克York半日遊【粵字】</v>
      </c>
      <c r="E934" s="82">
        <v>44396.0</v>
      </c>
      <c r="F934" s="80">
        <v>595.0</v>
      </c>
      <c r="G934" s="80" t="s">
        <v>63</v>
      </c>
      <c r="I934" s="80" t="s">
        <v>63</v>
      </c>
      <c r="J934" s="80">
        <v>1540.0</v>
      </c>
      <c r="K934" s="80">
        <v>0.912322274881516</v>
      </c>
      <c r="L934" s="80" t="s">
        <v>1142</v>
      </c>
    </row>
    <row r="935">
      <c r="A935" s="80" t="s">
        <v>61</v>
      </c>
      <c r="B935" s="81" t="str">
        <f t="shared" ref="B935:B936" si="33">HYPERLINK("https://www.youtube.com/channel/UCJ4XVrJuqKHbc9yF9oUFseg", "MEeeep More")</f>
        <v>MEeeep More</v>
      </c>
      <c r="C935" s="80" t="s">
        <v>1143</v>
      </c>
      <c r="D935" s="81" t="str">
        <f>HYPERLINK("https://youtube.com/watch?v=3k5t91XP7wQ", "香港5G真無限Plan $263月費點上台？5G競爭白熱化！｜ csl. 1010 3HK 中移 smartone")</f>
        <v>香港5G真無限Plan $263月費點上台？5G競爭白熱化！｜ csl. 1010 3HK 中移 smartone</v>
      </c>
      <c r="E935" s="82">
        <v>44466.0</v>
      </c>
      <c r="F935" s="80">
        <v>133.0</v>
      </c>
      <c r="G935" s="80" t="s">
        <v>63</v>
      </c>
      <c r="I935" s="80" t="s">
        <v>63</v>
      </c>
      <c r="J935" s="80">
        <v>330.0</v>
      </c>
      <c r="K935" s="80">
        <v>0.700636942675159</v>
      </c>
      <c r="L935" s="80" t="s">
        <v>64</v>
      </c>
    </row>
    <row r="936">
      <c r="A936" s="80" t="s">
        <v>61</v>
      </c>
      <c r="B936" s="81" t="str">
        <f t="shared" si="33"/>
        <v>MEeeep More</v>
      </c>
      <c r="C936" s="80" t="s">
        <v>1144</v>
      </c>
      <c r="D936" s="81" t="str">
        <f>HYPERLINK("https://youtube.com/watch?v=3mCGoPnr4g4", "國泰貴賓室系列 - 台北桃園機場國泰貴賓室 CX Lounge Taipei [2019]")</f>
        <v>國泰貴賓室系列 - 台北桃園機場國泰貴賓室 CX Lounge Taipei [2019]</v>
      </c>
      <c r="E936" s="82">
        <v>43772.0</v>
      </c>
      <c r="F936" s="80">
        <v>196.0</v>
      </c>
      <c r="G936" s="80" t="s">
        <v>63</v>
      </c>
      <c r="I936" s="80" t="s">
        <v>63</v>
      </c>
      <c r="J936" s="80">
        <v>560.0</v>
      </c>
      <c r="K936" s="80">
        <v>0.880503144654088</v>
      </c>
      <c r="L936" s="80" t="s">
        <v>64</v>
      </c>
    </row>
    <row r="937">
      <c r="A937" s="80" t="s">
        <v>219</v>
      </c>
      <c r="B937" s="81" t="str">
        <f>HYPERLINK("https://www.youtube.com/channel/UC9_PnptBIpNF0JXbJjd8TsQ", "Brown's Channel")</f>
        <v>Brown's Channel</v>
      </c>
      <c r="C937" s="80" t="s">
        <v>1145</v>
      </c>
      <c r="D937" s="81" t="str">
        <f>HYPERLINK("https://youtube.com/watch?v=3o0U8P-qJuM", "【一隻熊仔去旅行@澳門】#4 東望洋砲台——澳門最好嘅免費觀景台 全世界最短嘅纜車")</f>
        <v>【一隻熊仔去旅行@澳門】#4 東望洋砲台——澳門最好嘅免費觀景台 全世界最短嘅纜車</v>
      </c>
      <c r="E937" s="82">
        <v>43904.0</v>
      </c>
      <c r="F937" s="80">
        <v>380.0</v>
      </c>
      <c r="G937" s="80" t="s">
        <v>63</v>
      </c>
      <c r="I937" s="80" t="s">
        <v>63</v>
      </c>
      <c r="J937" s="80">
        <v>1386.0</v>
      </c>
      <c r="K937" s="80">
        <v>0.965853658536585</v>
      </c>
      <c r="L937" s="80" t="s">
        <v>64</v>
      </c>
    </row>
    <row r="938">
      <c r="A938" s="80" t="s">
        <v>112</v>
      </c>
      <c r="B938" s="81" t="str">
        <f>HYPERLINK("https://www.youtube.com/channel/UCW_n_gfIv4HhRqCk8EnRhJA", "Happy Kongner")</f>
        <v>Happy Kongner</v>
      </c>
      <c r="C938" s="80" t="s">
        <v>1146</v>
      </c>
      <c r="D938" s="81" t="str">
        <f>HYPERLINK("https://youtube.com/watch?v=3phiNSBFfLU", "米迦精選集：瘋狂的不是我而是這個世界—喜劇之王 The King of Comedy [𠝹櫈電影學會]")</f>
        <v>米迦精選集：瘋狂的不是我而是這個世界—喜劇之王 The King of Comedy [𠝹櫈電影學會]</v>
      </c>
      <c r="E938" s="82">
        <v>43779.0</v>
      </c>
      <c r="F938" s="80">
        <v>1665.0</v>
      </c>
      <c r="G938" s="80" t="s">
        <v>63</v>
      </c>
      <c r="I938" s="80" t="s">
        <v>63</v>
      </c>
      <c r="J938" s="80">
        <v>7818.0</v>
      </c>
      <c r="K938" s="80">
        <v>0.812512991062149</v>
      </c>
      <c r="L938" s="80" t="s">
        <v>64</v>
      </c>
    </row>
    <row r="939">
      <c r="A939" s="80" t="s">
        <v>61</v>
      </c>
      <c r="B939" s="81" t="str">
        <f>HYPERLINK("https://www.youtube.com/channel/UCJ4XVrJuqKHbc9yF9oUFseg", "MEeeep More")</f>
        <v>MEeeep More</v>
      </c>
      <c r="C939" s="80" t="s">
        <v>1147</v>
      </c>
      <c r="D939" s="81" t="str">
        <f>HYPERLINK("https://youtube.com/watch?v=3qYURm__QgM", "三星 Samsung Galaxy A12 入門機壓軸登場！ 千元機價 四攝鏡頭 超高性價比之選！GalaxyA12 SamsungA12 入門機 A12開箱 新機介紹")</f>
        <v>三星 Samsung Galaxy A12 入門機壓軸登場！ 千元機價 四攝鏡頭 超高性價比之選！GalaxyA12 SamsungA12 入門機 A12開箱 新機介紹</v>
      </c>
      <c r="E939" s="82">
        <v>44178.0</v>
      </c>
      <c r="F939" s="80">
        <v>134.0</v>
      </c>
      <c r="G939" s="80" t="s">
        <v>63</v>
      </c>
      <c r="I939" s="80" t="s">
        <v>63</v>
      </c>
      <c r="J939" s="80">
        <v>331.0</v>
      </c>
      <c r="K939" s="80">
        <v>0.698312236286919</v>
      </c>
      <c r="L939" s="80" t="s">
        <v>64</v>
      </c>
    </row>
    <row r="940">
      <c r="A940" s="80" t="s">
        <v>112</v>
      </c>
      <c r="B940" s="81" t="str">
        <f t="shared" ref="B940:B941" si="34">HYPERLINK("https://www.youtube.com/channel/UCW_n_gfIv4HhRqCk8EnRhJA", "Happy Kongner")</f>
        <v>Happy Kongner</v>
      </c>
      <c r="C940" s="80" t="s">
        <v>1148</v>
      </c>
      <c r="D940" s="81" t="str">
        <f>HYPERLINK("https://youtube.com/watch?v=3vBeWgrryZY", "成王之路：偉大航道  [公仔書與卡通片:海賊王特輯 第二集]")</f>
        <v>成王之路：偉大航道  [公仔書與卡通片:海賊王特輯 第二集]</v>
      </c>
      <c r="E940" s="82">
        <v>43321.0</v>
      </c>
      <c r="F940" s="80">
        <v>1171.0</v>
      </c>
      <c r="G940" s="80" t="s">
        <v>63</v>
      </c>
      <c r="I940" s="80" t="s">
        <v>63</v>
      </c>
      <c r="J940" s="80">
        <v>5204.0</v>
      </c>
      <c r="K940" s="80">
        <v>0.965312557966982</v>
      </c>
      <c r="L940" s="80" t="s">
        <v>64</v>
      </c>
    </row>
    <row r="941">
      <c r="A941" s="80" t="s">
        <v>112</v>
      </c>
      <c r="B941" s="81" t="str">
        <f t="shared" si="34"/>
        <v>Happy Kongner</v>
      </c>
      <c r="C941" s="80" t="s">
        <v>1149</v>
      </c>
      <c r="D941" s="81" t="str">
        <f>HYPERLINK("https://youtube.com/watch?v=4-8aBAOQA-s", "本土定中國「主旋律」？《明月幾時有》背景設定解剖 [𠝹櫈電影學會]")</f>
        <v>本土定中國「主旋律」？《明月幾時有》背景設定解剖 [𠝹櫈電影學會]</v>
      </c>
      <c r="E941" s="82">
        <v>43213.0</v>
      </c>
      <c r="F941" s="80">
        <v>915.0</v>
      </c>
      <c r="G941" s="80" t="s">
        <v>63</v>
      </c>
      <c r="I941" s="80" t="s">
        <v>63</v>
      </c>
      <c r="J941" s="80">
        <v>4374.0</v>
      </c>
      <c r="K941" s="80">
        <v>0.945525291828793</v>
      </c>
      <c r="L941" s="80" t="s">
        <v>64</v>
      </c>
    </row>
    <row r="942">
      <c r="A942" s="80" t="s">
        <v>61</v>
      </c>
      <c r="B942" s="81" t="str">
        <f>HYPERLINK("https://www.youtube.com/channel/UCJ4XVrJuqKHbc9yF9oUFseg", "MEeeep More")</f>
        <v>MEeeep More</v>
      </c>
      <c r="C942" s="80" t="s">
        <v>1150</v>
      </c>
      <c r="D942" s="81" t="str">
        <f>HYPERLINK("https://youtube.com/watch?v=4-e9vtn7Jvo", "【湯水食譜】沙參玉竹 菜乾雪耳豬骨湯 - Step-by-Step 港式湯水 簡單湯水 煲湯食譜 滾湯 菜乾雪耳湯 沙參玉竹菜乾湯 Chinese Soup Recipe 今晚食乜餸 滋潤湯水")</f>
        <v>【湯水食譜】沙參玉竹 菜乾雪耳豬骨湯 - Step-by-Step 港式湯水 簡單湯水 煲湯食譜 滾湯 菜乾雪耳湯 沙參玉竹菜乾湯 Chinese Soup Recipe 今晚食乜餸 滋潤湯水</v>
      </c>
      <c r="E942" s="82">
        <v>44024.0</v>
      </c>
      <c r="F942" s="80">
        <v>193.0</v>
      </c>
      <c r="G942" s="80" t="s">
        <v>63</v>
      </c>
      <c r="I942" s="80" t="s">
        <v>63</v>
      </c>
      <c r="J942" s="80">
        <v>380.0</v>
      </c>
      <c r="K942" s="80">
        <v>0.879629629629629</v>
      </c>
      <c r="L942" s="80" t="s">
        <v>64</v>
      </c>
    </row>
    <row r="943">
      <c r="A943" s="80" t="s">
        <v>1151</v>
      </c>
      <c r="B943" s="81" t="str">
        <f>HYPERLINK("https://www.youtube.com/channel/UCYfkcllte2OCuDxDycQxsEA", "The Champ")</f>
        <v>The Champ</v>
      </c>
      <c r="C943" s="80" t="s">
        <v>1152</v>
      </c>
      <c r="D943" s="81" t="str">
        <f>HYPERLINK("https://youtube.com/watch?v=40HyCh6hFSQ", "《祖哥早晨》第一期 第四集：大馬嘅鐵打醫術連香港人都慕名嚟醫治！")</f>
        <v>《祖哥早晨》第一期 第四集：大馬嘅鐵打醫術連香港人都慕名嚟醫治！</v>
      </c>
      <c r="E943" s="82">
        <v>43364.0</v>
      </c>
      <c r="F943" s="80">
        <v>309.0</v>
      </c>
      <c r="G943" s="80" t="s">
        <v>63</v>
      </c>
      <c r="H943" s="80" t="s">
        <v>63</v>
      </c>
      <c r="I943" s="80" t="s">
        <v>63</v>
      </c>
      <c r="J943" s="80">
        <v>1205.0</v>
      </c>
      <c r="K943" s="80">
        <v>0.918320610687022</v>
      </c>
      <c r="L943" s="80" t="s">
        <v>1153</v>
      </c>
    </row>
    <row r="944">
      <c r="A944" s="80" t="s">
        <v>1000</v>
      </c>
      <c r="B944" s="81" t="str">
        <f>HYPERLINK("https://www.youtube.com/channel/UChJQlg1b_cOttPX3SiIh5gA", "Lau Dinha in Hong Kong - Hong Kong in the World")</f>
        <v>Lau Dinha in Hong Kong - Hong Kong in the World</v>
      </c>
      <c r="C944" s="80" t="s">
        <v>1154</v>
      </c>
      <c r="D944" s="81" t="str">
        <f>HYPERLINK("https://youtube.com/watch?v=40hSGLj7J4o", "識講廣東話嘅日本女仔特別吸引！｜仲幫手教日本人講廣東話，究竟點解？(feat. CatOnKnees)")</f>
        <v>識講廣東話嘅日本女仔特別吸引！｜仲幫手教日本人講廣東話，究竟點解？(feat. CatOnKnees)</v>
      </c>
      <c r="E944" s="82">
        <v>44180.0</v>
      </c>
      <c r="F944" s="80">
        <v>521.0</v>
      </c>
      <c r="G944" s="80" t="s">
        <v>63</v>
      </c>
      <c r="H944" s="80" t="s">
        <v>63</v>
      </c>
      <c r="I944" s="80" t="s">
        <v>63</v>
      </c>
      <c r="J944" s="80">
        <v>1637.0</v>
      </c>
      <c r="K944" s="80">
        <v>0.86522198731501</v>
      </c>
      <c r="L944" s="80" t="s">
        <v>1155</v>
      </c>
    </row>
    <row r="945">
      <c r="A945" s="80" t="s">
        <v>252</v>
      </c>
      <c r="B945" s="81" t="str">
        <f>HYPERLINK("https://www.youtube.com/channel/UCrISkBm7rgsRUAw8018eWvw", "MoYung 慕容公子")</f>
        <v>MoYung 慕容公子</v>
      </c>
      <c r="C945" s="80" t="s">
        <v>1156</v>
      </c>
      <c r="D945" s="81" t="str">
        <f>HYPERLINK("https://youtube.com/watch?v=44OGCdz-NEE", "快啲過黎！上車！《絕地求生 PUBG精華#6》")</f>
        <v>快啲過黎！上車！《絕地求生 PUBG精華#6》</v>
      </c>
      <c r="E945" s="82">
        <v>42890.0</v>
      </c>
      <c r="F945" s="80">
        <v>84.0</v>
      </c>
      <c r="G945" s="80" t="s">
        <v>63</v>
      </c>
      <c r="H945" s="80" t="s">
        <v>63</v>
      </c>
      <c r="I945" s="80" t="s">
        <v>63</v>
      </c>
      <c r="J945" s="80">
        <v>167.0</v>
      </c>
      <c r="K945" s="80">
        <v>0.970930232558139</v>
      </c>
      <c r="L945" s="80" t="s">
        <v>86</v>
      </c>
    </row>
    <row r="946">
      <c r="A946" s="80" t="s">
        <v>74</v>
      </c>
      <c r="B946" s="81" t="str">
        <f>HYPERLINK("https://www.youtube.com/channel/UCO_5XP-qd-udNxBlzzSzgvw", "Handline Fishing")</f>
        <v>Handline Fishing</v>
      </c>
      <c r="C946" s="80" t="s">
        <v>1157</v>
      </c>
      <c r="D946" s="81" t="str">
        <f>HYPERLINK("https://youtube.com/watch?v=47ccUlv21pE", "#123 朱古力男神，暴風雨前火熱登陸維港『香港釣魚 : 艇釣』維港 {粵語旁白+中英文字幕}")</f>
        <v>#123 朱古力男神，暴風雨前火熱登陸維港『香港釣魚 : 艇釣』維港 {粵語旁白+中英文字幕}</v>
      </c>
      <c r="E946" s="82">
        <v>43997.0</v>
      </c>
      <c r="F946" s="80">
        <v>455.0</v>
      </c>
      <c r="G946" s="80" t="s">
        <v>63</v>
      </c>
      <c r="I946" s="80" t="s">
        <v>63</v>
      </c>
      <c r="J946" s="80">
        <v>1261.0</v>
      </c>
      <c r="K946" s="80">
        <v>0.964067278287461</v>
      </c>
      <c r="L946" s="80" t="s">
        <v>76</v>
      </c>
    </row>
    <row r="947">
      <c r="A947" s="80" t="s">
        <v>112</v>
      </c>
      <c r="B947" s="81" t="str">
        <f>HYPERLINK("https://www.youtube.com/channel/UCW_n_gfIv4HhRqCk8EnRhJA", "Happy Kongner")</f>
        <v>Happy Kongner</v>
      </c>
      <c r="C947" s="80" t="s">
        <v>1158</v>
      </c>
      <c r="D947" s="81" t="str">
        <f>HYPERLINK("https://youtube.com/watch?v=4FypxbeUNM0", "米迦精選集：談教育的意義—The History Boys [𠝹櫈電影學會]")</f>
        <v>米迦精選集：談教育的意義—The History Boys [𠝹櫈電影學會]</v>
      </c>
      <c r="E947" s="82">
        <v>43356.0</v>
      </c>
      <c r="F947" s="80">
        <v>1079.0</v>
      </c>
      <c r="G947" s="80" t="s">
        <v>63</v>
      </c>
      <c r="I947" s="80" t="s">
        <v>63</v>
      </c>
      <c r="J947" s="80">
        <v>4904.0</v>
      </c>
      <c r="K947" s="80">
        <v>0.418894678397539</v>
      </c>
      <c r="L947" s="80" t="s">
        <v>64</v>
      </c>
    </row>
    <row r="948">
      <c r="A948" s="80" t="s">
        <v>260</v>
      </c>
      <c r="B948" s="81" t="str">
        <f>HYPERLINK("https://www.youtube.com/channel/UC-HXOikkLx7BGEfILGIpYOg", "港短 . 英移")</f>
        <v>港短 . 英移</v>
      </c>
      <c r="C948" s="80" t="s">
        <v>1159</v>
      </c>
      <c r="D948" s="81" t="str">
        <f>HYPERLINK("https://youtube.com/watch?v=4H7jLptszZc", "[搵啱心水英國地區] 英國租樓搵地區要睇d咩?? [英國地區分析攻略] | 港短.英移​​​​ #HongKonger #英國租樓  #英國移民")</f>
        <v>[搵啱心水英國地區] 英國租樓搵地區要睇d咩?? [英國地區分析攻略] | 港短.英移​​​​ #HongKonger #英國租樓  #英國移民</v>
      </c>
      <c r="E948" s="82">
        <v>44402.0</v>
      </c>
      <c r="F948" s="80">
        <v>691.0</v>
      </c>
      <c r="G948" s="80" t="s">
        <v>63</v>
      </c>
      <c r="I948" s="80" t="s">
        <v>63</v>
      </c>
      <c r="J948" s="80">
        <v>2525.0</v>
      </c>
      <c r="K948" s="80">
        <v>0.841386204598467</v>
      </c>
      <c r="L948" s="80" t="s">
        <v>102</v>
      </c>
    </row>
    <row r="949">
      <c r="A949" s="80" t="s">
        <v>112</v>
      </c>
      <c r="B949" s="81" t="str">
        <f>HYPERLINK("https://www.youtube.com/channel/UCW_n_gfIv4HhRqCk8EnRhJA", "Happy Kongner")</f>
        <v>Happy Kongner</v>
      </c>
      <c r="C949" s="80" t="s">
        <v>1160</v>
      </c>
      <c r="D949" s="81" t="str">
        <f>HYPERLINK("https://youtube.com/watch?v=4I2MJtf5Rgo", "字得其樂 The ABC of Western Calligraphy 寫張聖誕卡 Let's Write a Christmas Card")</f>
        <v>字得其樂 The ABC of Western Calligraphy 寫張聖誕卡 Let's Write a Christmas Card</v>
      </c>
      <c r="E949" s="82">
        <v>43812.0</v>
      </c>
      <c r="F949" s="80">
        <v>480.0</v>
      </c>
      <c r="G949" s="80" t="s">
        <v>63</v>
      </c>
      <c r="I949" s="80" t="s">
        <v>63</v>
      </c>
      <c r="J949" s="80">
        <v>1731.0</v>
      </c>
      <c r="K949" s="80">
        <v>0.919766206163655</v>
      </c>
      <c r="L949" s="80" t="s">
        <v>64</v>
      </c>
    </row>
    <row r="950">
      <c r="A950" s="80" t="s">
        <v>67</v>
      </c>
      <c r="B950" s="81" t="str">
        <f>HYPERLINK("https://www.youtube.com/channel/UC7U6-j2DrKRIKXmPo4kE7YA", "雞WING")</f>
        <v>雞WING</v>
      </c>
      <c r="C950" s="80" t="s">
        <v>1161</v>
      </c>
      <c r="D950" s="81" t="str">
        <f>HYPERLINK("https://youtube.com/watch?v=4IL77Y2vYrA", "【Fun身日記】23 R老師為結婚前做好準備！｜ Rosalina")</f>
        <v>【Fun身日記】23 R老師為結婚前做好準備！｜ Rosalina</v>
      </c>
      <c r="E950" s="82">
        <v>44192.0</v>
      </c>
      <c r="F950" s="80">
        <v>1616.0</v>
      </c>
      <c r="G950" s="80" t="s">
        <v>63</v>
      </c>
      <c r="I950" s="80" t="s">
        <v>63</v>
      </c>
      <c r="J950" s="80">
        <v>6094.0</v>
      </c>
      <c r="K950" s="80">
        <v>0.94159456118665</v>
      </c>
      <c r="L950" s="80" t="s">
        <v>64</v>
      </c>
    </row>
    <row r="951">
      <c r="A951" s="80" t="s">
        <v>233</v>
      </c>
      <c r="B951" s="81" t="str">
        <f>HYPERLINK("https://www.youtube.com/channel/UCjL61vw5qtDQudezRnnv-ig", "rickolam1")</f>
        <v>rickolam1</v>
      </c>
      <c r="C951" s="80" t="s">
        <v>1162</v>
      </c>
      <c r="D951" s="81" t="str">
        <f>HYPERLINK("https://youtube.com/watch?v=4Kvjx9mfcc4", "【真人show】留學理想與現實 ・ 講中文多過英文?!")</f>
        <v>【真人show】留學理想與現實 ・ 講中文多過英文?!</v>
      </c>
      <c r="E951" s="82">
        <v>42720.0</v>
      </c>
      <c r="F951" s="80">
        <v>410.0</v>
      </c>
      <c r="G951" s="80" t="s">
        <v>63</v>
      </c>
      <c r="H951" s="80" t="s">
        <v>63</v>
      </c>
      <c r="I951" s="80" t="s">
        <v>63</v>
      </c>
      <c r="J951" s="80">
        <v>1219.0</v>
      </c>
      <c r="K951" s="80">
        <v>0.947368421052631</v>
      </c>
      <c r="L951" s="80" t="s">
        <v>1105</v>
      </c>
    </row>
    <row r="952">
      <c r="A952" s="80" t="s">
        <v>61</v>
      </c>
      <c r="B952" s="81" t="str">
        <f>HYPERLINK("https://www.youtube.com/channel/UCJ4XVrJuqKHbc9yF9oUFseg", "MEeeep More")</f>
        <v>MEeeep More</v>
      </c>
      <c r="C952" s="80" t="s">
        <v>1163</v>
      </c>
      <c r="D952" s="81" t="str">
        <f>HYPERLINK("https://youtube.com/watch?v=4MDnzH6AVNU", "蕃茄濃湯 - 健康神湯來了！增強免疫力 瘦身 抗氧化 皮膚靚！健康湯水 蕃茄湯 2020 蕃茄西椒湯 西椒食譜 瘦身湯水 tomato soup")</f>
        <v>蕃茄濃湯 - 健康神湯來了！增強免疫力 瘦身 抗氧化 皮膚靚！健康湯水 蕃茄湯 2020 蕃茄西椒湯 西椒食譜 瘦身湯水 tomato soup</v>
      </c>
      <c r="E952" s="82">
        <v>44052.0</v>
      </c>
      <c r="F952" s="80">
        <v>193.0</v>
      </c>
      <c r="G952" s="80" t="s">
        <v>63</v>
      </c>
      <c r="I952" s="80" t="s">
        <v>63</v>
      </c>
      <c r="J952" s="80">
        <v>465.0</v>
      </c>
      <c r="K952" s="80">
        <v>0.894230769230769</v>
      </c>
      <c r="L952" s="80" t="s">
        <v>64</v>
      </c>
    </row>
    <row r="953">
      <c r="A953" s="80" t="s">
        <v>140</v>
      </c>
      <c r="B953" s="81" t="str">
        <f>HYPERLINK("https://www.youtube.com/channel/UCHK0CZf9HEXs42qIO1GUouA", "TechiCardia")</f>
        <v>TechiCardia</v>
      </c>
      <c r="C953" s="80" t="s">
        <v>1164</v>
      </c>
      <c r="D953" s="81" t="str">
        <f>HYPERLINK("https://youtube.com/watch?v=4Q5CcLs7Ohc", "砌機！最正嘅純白打機電腦！！Corsair 5000X、RTX 3080、Z590！//4K 【TechiCardia】[CC 廣東話字幕]")</f>
        <v>砌機！最正嘅純白打機電腦！！Corsair 5000X、RTX 3080、Z590！//4K 【TechiCardia】[CC 廣東話字幕]</v>
      </c>
      <c r="E953" s="82">
        <v>44261.0</v>
      </c>
      <c r="F953" s="80">
        <v>1298.0</v>
      </c>
      <c r="G953" s="80" t="s">
        <v>63</v>
      </c>
      <c r="I953" s="80" t="s">
        <v>63</v>
      </c>
      <c r="J953" s="80">
        <v>4136.0</v>
      </c>
      <c r="K953" s="80">
        <v>0.718429737710613</v>
      </c>
      <c r="L953" s="80" t="s">
        <v>102</v>
      </c>
    </row>
    <row r="954">
      <c r="A954" s="80" t="s">
        <v>1069</v>
      </c>
      <c r="B954" s="81" t="str">
        <f>HYPERLINK("https://www.youtube.com/channel/UCAnpoZYvOIZUPp66LrWl9OA", "Leave Your Mark")</f>
        <v>Leave Your Mark</v>
      </c>
      <c r="C954" s="80" t="s">
        <v>1165</v>
      </c>
      <c r="D954" s="81" t="str">
        <f>HYPERLINK("https://youtube.com/watch?v=4Vy1R0lI8z4", "#2 康家俊 //我是監製 不是導演//")</f>
        <v>#2 康家俊 //我是監製 不是導演//</v>
      </c>
      <c r="E954" s="82">
        <v>42600.0</v>
      </c>
      <c r="F954" s="80">
        <v>135.0</v>
      </c>
      <c r="G954" s="80" t="s">
        <v>63</v>
      </c>
      <c r="I954" s="80" t="s">
        <v>63</v>
      </c>
      <c r="J954" s="80">
        <v>436.0</v>
      </c>
      <c r="K954" s="80">
        <v>0.838461538461538</v>
      </c>
      <c r="L954" s="80" t="s">
        <v>1071</v>
      </c>
    </row>
    <row r="955">
      <c r="A955" s="80" t="s">
        <v>61</v>
      </c>
      <c r="B955" s="81" t="str">
        <f>HYPERLINK("https://www.youtube.com/channel/UCJ4XVrJuqKHbc9yF9oUFseg", "MEeeep More")</f>
        <v>MEeeep More</v>
      </c>
      <c r="C955" s="80" t="s">
        <v>1166</v>
      </c>
      <c r="D955" s="81" t="str">
        <f>HYPERLINK("https://youtube.com/watch?v=4YOJGHrHY6E", "【2021新機】三星Samsung Galaxy S21+ 5G / Galaxy S21 5G 旗艦級手機屏幕 30倍 SpaceZoom 加 ZoomLock 影遠嘢一樣掂！ S21plus")</f>
        <v>【2021新機】三星Samsung Galaxy S21+ 5G / Galaxy S21 5G 旗艦級手機屏幕 30倍 SpaceZoom 加 ZoomLock 影遠嘢一樣掂！ S21plus</v>
      </c>
      <c r="E955" s="82">
        <v>44211.0</v>
      </c>
      <c r="F955" s="80">
        <v>306.0</v>
      </c>
      <c r="G955" s="80" t="s">
        <v>63</v>
      </c>
      <c r="I955" s="80" t="s">
        <v>63</v>
      </c>
      <c r="J955" s="80">
        <v>753.0</v>
      </c>
      <c r="K955" s="80">
        <v>0.635443037974683</v>
      </c>
      <c r="L955" s="80" t="s">
        <v>64</v>
      </c>
    </row>
    <row r="956">
      <c r="A956" s="80" t="s">
        <v>69</v>
      </c>
      <c r="B956" s="81" t="str">
        <f>HYPERLINK("https://www.youtube.com/channel/UCoVycxbCXEsd-mrP83EqVWQ", "馬米高 Michael MMG")</f>
        <v>馬米高 Michael MMG</v>
      </c>
      <c r="C956" s="80" t="s">
        <v>1167</v>
      </c>
      <c r="D956" s="81" t="str">
        <f>HYPERLINK("https://youtube.com/watch?v=4YhacmxDIp4", "【BNO平權】我在英國受歧視的日子（內含從未曝光醜照）")</f>
        <v>【BNO平權】我在英國受歧視的日子（內含從未曝光醜照）</v>
      </c>
      <c r="E956" s="82">
        <v>44066.0</v>
      </c>
      <c r="F956" s="80">
        <v>647.0</v>
      </c>
      <c r="G956" s="80" t="s">
        <v>63</v>
      </c>
      <c r="I956" s="80" t="s">
        <v>63</v>
      </c>
      <c r="J956" s="80">
        <v>1673.0</v>
      </c>
      <c r="K956" s="80">
        <v>0.876834381551362</v>
      </c>
      <c r="L956" s="80" t="s">
        <v>820</v>
      </c>
    </row>
    <row r="957">
      <c r="A957" s="80" t="s">
        <v>1168</v>
      </c>
      <c r="B957" s="81" t="str">
        <f>HYPERLINK("https://www.youtube.com/channel/UCbu2FeFXZ1RAuhioQDF-npQ", "英倫爸爸")</f>
        <v>英倫爸爸</v>
      </c>
      <c r="C957" s="80" t="s">
        <v>1169</v>
      </c>
      <c r="D957" s="81" t="str">
        <f>HYPERLINK("https://youtube.com/watch?v=4Yj0pBT8lWI", "Tesco 網上超市幾好用 夜晚10點都送貨")</f>
        <v>Tesco 網上超市幾好用 夜晚10點都送貨</v>
      </c>
      <c r="E957" s="82">
        <v>44234.0</v>
      </c>
      <c r="F957" s="80">
        <v>213.0</v>
      </c>
      <c r="G957" s="80" t="s">
        <v>63</v>
      </c>
      <c r="I957" s="80" t="s">
        <v>63</v>
      </c>
      <c r="J957" s="80">
        <v>421.0</v>
      </c>
      <c r="K957" s="80">
        <v>0.886315789473684</v>
      </c>
      <c r="L957" s="80" t="s">
        <v>64</v>
      </c>
    </row>
    <row r="958">
      <c r="A958" s="80" t="s">
        <v>78</v>
      </c>
      <c r="B958" s="81" t="str">
        <f>HYPERLINK("https://www.youtube.com/channel/UCXnWjmQ8BDE0sDIeZLK5yJg", "點 Cook Guide")</f>
        <v>點 Cook Guide</v>
      </c>
      <c r="C958" s="80" t="s">
        <v>1170</v>
      </c>
      <c r="D958" s="81" t="str">
        <f>HYPERLINK("https://youtube.com/watch?v=4bpV1wiEBJU", "【痴L線】你個腦壞左呀！ft.Mira's Garden")</f>
        <v>【痴L線】你個腦壞左呀！ft.Mira's Garden</v>
      </c>
      <c r="E958" s="82">
        <v>43188.0</v>
      </c>
      <c r="F958" s="80">
        <v>197.0</v>
      </c>
      <c r="G958" s="80" t="s">
        <v>63</v>
      </c>
      <c r="H958" s="80" t="s">
        <v>63</v>
      </c>
      <c r="I958" s="80" t="s">
        <v>63</v>
      </c>
      <c r="J958" s="80">
        <v>468.0</v>
      </c>
      <c r="K958" s="80">
        <v>0.943548387096774</v>
      </c>
      <c r="L958" s="80" t="s">
        <v>86</v>
      </c>
    </row>
    <row r="959">
      <c r="A959" s="80" t="s">
        <v>71</v>
      </c>
      <c r="B959" s="81" t="str">
        <f>HYPERLINK("https://www.youtube.com/channel/UCXTE-gQCetfrx_lC9yFM2aw", "arhoTV")</f>
        <v>arhoTV</v>
      </c>
      <c r="C959" s="80" t="s">
        <v>1171</v>
      </c>
      <c r="D959" s="81" t="str">
        <f>HYPERLINK("https://youtube.com/watch?v=4caFgQv-Qn8", "【日常】找數！六萬五訂閱跳TT！【TWICE (트와이스) TT DANCE COVER 】")</f>
        <v>【日常】找數！六萬五訂閱跳TT！【TWICE (트와이스) TT DANCE COVER 】</v>
      </c>
      <c r="E959" s="82">
        <v>42836.0</v>
      </c>
      <c r="F959" s="80">
        <v>107.0</v>
      </c>
      <c r="G959" s="80" t="s">
        <v>63</v>
      </c>
      <c r="H959" s="80" t="s">
        <v>63</v>
      </c>
      <c r="I959" s="80" t="s">
        <v>63</v>
      </c>
      <c r="J959" s="80">
        <v>237.0</v>
      </c>
      <c r="K959" s="80">
        <v>0.933070866141732</v>
      </c>
      <c r="L959" s="80" t="s">
        <v>1172</v>
      </c>
    </row>
    <row r="960">
      <c r="A960" s="80" t="s">
        <v>1050</v>
      </c>
      <c r="B960" s="81" t="str">
        <f>HYPERLINK("https://www.youtube.com/channel/UCNCwcNnkhHviS0xyJHbhX2Q", "Man The Fvck Up")</f>
        <v>Man The Fvck Up</v>
      </c>
      <c r="C960" s="80" t="s">
        <v>1173</v>
      </c>
      <c r="D960" s="81" t="str">
        <f>HYPERLINK("https://youtube.com/watch?v=4eHonmEz5SM", "[溝女] 我點樣先可以好玩啲? - How Do I Be More Fun?")</f>
        <v>[溝女] 我點樣先可以好玩啲? - How Do I Be More Fun?</v>
      </c>
      <c r="E960" s="82">
        <v>42756.0</v>
      </c>
      <c r="F960" s="80">
        <v>138.0</v>
      </c>
      <c r="G960" s="80" t="s">
        <v>63</v>
      </c>
      <c r="I960" s="80" t="s">
        <v>63</v>
      </c>
      <c r="J960" s="80">
        <v>479.0</v>
      </c>
      <c r="K960" s="80">
        <v>0.838879159369527</v>
      </c>
      <c r="L960" s="80" t="s">
        <v>64</v>
      </c>
    </row>
    <row r="961">
      <c r="A961" s="80" t="s">
        <v>252</v>
      </c>
      <c r="B961" s="81" t="str">
        <f>HYPERLINK("https://www.youtube.com/channel/UCrISkBm7rgsRUAw8018eWvw", "MoYung 慕容公子")</f>
        <v>MoYung 慕容公子</v>
      </c>
      <c r="C961" s="80" t="s">
        <v>1174</v>
      </c>
      <c r="D961" s="81" t="str">
        <f>HYPERLINK("https://youtube.com/watch?v=4fjtz5ldW28", "狂野時速！三個去，兩個返 ft.波子 Dee《Playerunknown's Battlegrounds》精華")</f>
        <v>狂野時速！三個去，兩個返 ft.波子 Dee《Playerunknown's Battlegrounds》精華</v>
      </c>
      <c r="E961" s="82">
        <v>42826.0</v>
      </c>
      <c r="F961" s="80">
        <v>128.0</v>
      </c>
      <c r="G961" s="80" t="s">
        <v>63</v>
      </c>
      <c r="I961" s="80" t="s">
        <v>63</v>
      </c>
      <c r="J961" s="80">
        <v>300.0</v>
      </c>
      <c r="K961" s="80">
        <v>0.91743119266055</v>
      </c>
      <c r="L961" s="80" t="s">
        <v>64</v>
      </c>
    </row>
    <row r="962">
      <c r="A962" s="80" t="s">
        <v>219</v>
      </c>
      <c r="B962" s="81" t="str">
        <f>HYPERLINK("https://www.youtube.com/channel/UC9_PnptBIpNF0JXbJjd8TsQ", "Brown's Channel")</f>
        <v>Brown's Channel</v>
      </c>
      <c r="C962" s="80" t="s">
        <v>1175</v>
      </c>
      <c r="D962" s="81" t="str">
        <f>HYPERLINK("https://youtube.com/watch?v=4gr37YLiVhw", "【一隻熊仔去旅行@香港】#1 宋王臺花園 -- 地鐵站因佢改名 建於清朝嘅宋朝古蹟！？")</f>
        <v>【一隻熊仔去旅行@香港】#1 宋王臺花園 -- 地鐵站因佢改名 建於清朝嘅宋朝古蹟！？</v>
      </c>
      <c r="E962" s="82">
        <v>44402.0</v>
      </c>
      <c r="F962" s="80">
        <v>299.0</v>
      </c>
      <c r="G962" s="80" t="s">
        <v>63</v>
      </c>
      <c r="I962" s="80" t="s">
        <v>63</v>
      </c>
      <c r="J962" s="80">
        <v>1181.0</v>
      </c>
      <c r="K962" s="80">
        <v>0.939538583929992</v>
      </c>
      <c r="L962" s="80" t="s">
        <v>64</v>
      </c>
    </row>
    <row r="963">
      <c r="A963" s="80" t="s">
        <v>217</v>
      </c>
      <c r="B963" s="81" t="str">
        <f>HYPERLINK("https://www.youtube.com/channel/UCXKg0qPRz32bs5Z4mTGF3TQ", "Stormtrooper白兵")</f>
        <v>Stormtrooper白兵</v>
      </c>
      <c r="C963" s="80" t="s">
        <v>1176</v>
      </c>
      <c r="D963" s="81" t="str">
        <f>HYPERLINK("https://youtube.com/watch?v=4mkHvhgWo5g", "[好消息！]特朗普創建自家社交媒體，對抗科投巨擘！｜一個重點決定成敗！？｜全面分析新平台的優點和將面對的困難｜科技巨頭是否不能被戰勝！？｜Truth Social｜粵語中字")</f>
        <v>[好消息！]特朗普創建自家社交媒體，對抗科投巨擘！｜一個重點決定成敗！？｜全面分析新平台的優點和將面對的困難｜科技巨頭是否不能被戰勝！？｜Truth Social｜粵語中字</v>
      </c>
      <c r="E963" s="82">
        <v>44497.0</v>
      </c>
      <c r="F963" s="80">
        <v>841.0</v>
      </c>
      <c r="G963" s="80" t="s">
        <v>63</v>
      </c>
      <c r="I963" s="80" t="s">
        <v>63</v>
      </c>
      <c r="J963" s="80">
        <v>3541.0</v>
      </c>
      <c r="K963" s="80">
        <v>0.786714063541435</v>
      </c>
      <c r="L963" s="80" t="s">
        <v>64</v>
      </c>
    </row>
    <row r="964">
      <c r="A964" s="80" t="s">
        <v>74</v>
      </c>
      <c r="B964" s="81" t="str">
        <f>HYPERLINK("https://www.youtube.com/channel/UCO_5XP-qd-udNxBlzzSzgvw", "Handline Fishing")</f>
        <v>Handline Fishing</v>
      </c>
      <c r="C964" s="80" t="s">
        <v>1177</v>
      </c>
      <c r="D964" s="81" t="str">
        <f>HYPERLINK("https://youtube.com/watch?v=4rsQacdgu0w", "#165 久違了的科大釣魚 | 『香港釣魚 : 艇釣』科技大學+白沙灣扒艇仔 【Insta360 ONE X2 評測】")</f>
        <v>#165 久違了的科大釣魚 | 『香港釣魚 : 艇釣』科技大學+白沙灣扒艇仔 【Insta360 ONE X2 評測】</v>
      </c>
      <c r="E964" s="82">
        <v>44152.0</v>
      </c>
      <c r="F964" s="80">
        <v>604.0</v>
      </c>
      <c r="G964" s="80" t="s">
        <v>63</v>
      </c>
      <c r="I964" s="80" t="s">
        <v>63</v>
      </c>
      <c r="J964" s="80">
        <v>1119.0</v>
      </c>
      <c r="K964" s="80">
        <v>0.957228400342172</v>
      </c>
      <c r="L964" s="80" t="s">
        <v>271</v>
      </c>
    </row>
    <row r="965">
      <c r="A965" s="80" t="s">
        <v>112</v>
      </c>
      <c r="B965" s="81" t="str">
        <f>HYPERLINK("https://www.youtube.com/channel/UCW_n_gfIv4HhRqCk8EnRhJA", "Happy Kongner")</f>
        <v>Happy Kongner</v>
      </c>
      <c r="C965" s="80" t="s">
        <v>1178</v>
      </c>
      <c r="D965" s="81" t="str">
        <f>HYPERLINK("https://youtube.com/watch?v=4x1IaG5aaTY", "成王之路：為國犧性  [公仔書與卡通片:海賊王特輯 第三集]")</f>
        <v>成王之路：為國犧性  [公仔書與卡通片:海賊王特輯 第三集]</v>
      </c>
      <c r="E965" s="82">
        <v>43373.0</v>
      </c>
      <c r="F965" s="80">
        <v>1685.0</v>
      </c>
      <c r="G965" s="80" t="s">
        <v>63</v>
      </c>
      <c r="I965" s="80" t="s">
        <v>63</v>
      </c>
      <c r="J965" s="80">
        <v>7533.0</v>
      </c>
      <c r="K965" s="80">
        <v>0.94481374639408</v>
      </c>
      <c r="L965" s="80" t="s">
        <v>64</v>
      </c>
    </row>
    <row r="966">
      <c r="A966" s="80" t="s">
        <v>140</v>
      </c>
      <c r="B966" s="81" t="str">
        <f>HYPERLINK("https://www.youtube.com/channel/UCHK0CZf9HEXs42qIO1GUouA", "TechiCardia")</f>
        <v>TechiCardia</v>
      </c>
      <c r="C966" s="80" t="s">
        <v>1179</v>
      </c>
      <c r="D966" s="81" t="str">
        <f>HYPERLINK("https://youtube.com/watch?v=4zKOeGU3h9s", "iPad Keyboard 唔好買錯！將IPAD變Laptop, 揀 COMBO TOUCH 定 FOLIO TOUCH？// 4K 【TechiCardia】[CC廣東話字幕]")</f>
        <v>iPad Keyboard 唔好買錯！將IPAD變Laptop, 揀 COMBO TOUCH 定 FOLIO TOUCH？// 4K 【TechiCardia】[CC廣東話字幕]</v>
      </c>
      <c r="E966" s="82">
        <v>44499.0</v>
      </c>
      <c r="F966" s="80">
        <v>660.0</v>
      </c>
      <c r="G966" s="80" t="s">
        <v>63</v>
      </c>
      <c r="I966" s="80" t="s">
        <v>63</v>
      </c>
      <c r="J966" s="80">
        <v>2403.0</v>
      </c>
      <c r="K966" s="80">
        <v>0.630047194546408</v>
      </c>
      <c r="L966" s="80" t="s">
        <v>102</v>
      </c>
    </row>
    <row r="967">
      <c r="A967" s="80" t="s">
        <v>74</v>
      </c>
      <c r="B967" s="81" t="str">
        <f>HYPERLINK("https://www.youtube.com/channel/UCO_5XP-qd-udNxBlzzSzgvw", "Handline Fishing")</f>
        <v>Handline Fishing</v>
      </c>
      <c r="C967" s="80" t="s">
        <v>1180</v>
      </c>
      <c r="D967" s="81" t="str">
        <f>HYPERLINK("https://youtube.com/watch?v=5-MKccgeIcE", "#160 夜水釣青斑，睇幻彩詠香江 | 『香港釣魚 : 艇釣』維港 【Insta360 ONE R Leica 1 吋Sensor 評測】")</f>
        <v>#160 夜水釣青斑，睇幻彩詠香江 | 『香港釣魚 : 艇釣』維港 【Insta360 ONE R Leica 1 吋Sensor 評測】</v>
      </c>
      <c r="E967" s="82">
        <v>44134.0</v>
      </c>
      <c r="F967" s="80">
        <v>319.0</v>
      </c>
      <c r="G967" s="80" t="s">
        <v>63</v>
      </c>
      <c r="I967" s="80" t="s">
        <v>63</v>
      </c>
      <c r="J967" s="80">
        <v>289.0</v>
      </c>
      <c r="K967" s="80">
        <v>0.935275080906148</v>
      </c>
      <c r="L967" s="80" t="s">
        <v>271</v>
      </c>
    </row>
    <row r="968">
      <c r="A968" s="80" t="s">
        <v>217</v>
      </c>
      <c r="B968" s="81" t="str">
        <f>HYPERLINK("https://www.youtube.com/channel/UCXKg0qPRz32bs5Z4mTGF3TQ", "Stormtrooper白兵")</f>
        <v>Stormtrooper白兵</v>
      </c>
      <c r="C968" s="80" t="s">
        <v>1181</v>
      </c>
      <c r="D968" s="81" t="str">
        <f>HYPERLINK("https://youtube.com/watch?v=50YalXggROQ", "[獨裁者系列]超越史太林的毛澤東！｜紅太陽毛主席上位之路！｜簡述中蘇之前的愛恨情仇，誰更技高一籌？｜粵語中字")</f>
        <v>[獨裁者系列]超越史太林的毛澤東！｜紅太陽毛主席上位之路！｜簡述中蘇之前的愛恨情仇，誰更技高一籌？｜粵語中字</v>
      </c>
      <c r="E968" s="82">
        <v>44455.0</v>
      </c>
      <c r="F968" s="80">
        <v>1153.0</v>
      </c>
      <c r="G968" s="80" t="s">
        <v>63</v>
      </c>
      <c r="I968" s="80" t="s">
        <v>63</v>
      </c>
      <c r="J968" s="80">
        <v>4803.0</v>
      </c>
      <c r="K968" s="80">
        <v>0.984826737748616</v>
      </c>
      <c r="L968" s="80" t="s">
        <v>64</v>
      </c>
    </row>
    <row r="969">
      <c r="A969" s="80" t="s">
        <v>61</v>
      </c>
      <c r="B969" s="81" t="str">
        <f>HYPERLINK("https://www.youtube.com/channel/UCJ4XVrJuqKHbc9yF9oUFseg", "MEeeep More")</f>
        <v>MEeeep More</v>
      </c>
      <c r="C969" s="80" t="s">
        <v>1182</v>
      </c>
      <c r="D969" s="81" t="str">
        <f>HYPERLINK("https://youtube.com/watch?v=519Vr_DtEJQ", "澳洲坎培拉 Tidbinbilla Nature Reserve 睇袋鼠 - 食玩飛常遊")</f>
        <v>澳洲坎培拉 Tidbinbilla Nature Reserve 睇袋鼠 - 食玩飛常遊</v>
      </c>
      <c r="E969" s="82">
        <v>43626.0</v>
      </c>
      <c r="F969" s="80">
        <v>171.0</v>
      </c>
      <c r="G969" s="80" t="s">
        <v>63</v>
      </c>
      <c r="I969" s="80" t="s">
        <v>63</v>
      </c>
      <c r="J969" s="80">
        <v>447.0</v>
      </c>
      <c r="K969" s="80">
        <v>0.843396226415094</v>
      </c>
      <c r="L969" s="80" t="s">
        <v>64</v>
      </c>
    </row>
    <row r="970">
      <c r="A970" s="80" t="s">
        <v>1183</v>
      </c>
      <c r="B970" s="81" t="str">
        <f>HYPERLINK("https://www.youtube.com/channel/UCPBBbFYG51QpjuptQtYfCDA", "siuwaiboy")</f>
        <v>siuwaiboy</v>
      </c>
      <c r="C970" s="80" t="s">
        <v>1184</v>
      </c>
      <c r="D970" s="81" t="str">
        <f>HYPERLINK("https://youtube.com/watch?v=53NeAND_mQc", "點解補習天王自己唔考DSE？")</f>
        <v>點解補習天王自己唔考DSE？</v>
      </c>
      <c r="E970" s="82">
        <v>43289.0</v>
      </c>
      <c r="F970" s="80">
        <v>146.0</v>
      </c>
      <c r="G970" s="80" t="s">
        <v>63</v>
      </c>
      <c r="I970" s="80" t="s">
        <v>63</v>
      </c>
      <c r="J970" s="80">
        <v>610.0</v>
      </c>
      <c r="K970" s="80">
        <v>0.941358024691358</v>
      </c>
      <c r="L970" s="80" t="s">
        <v>64</v>
      </c>
    </row>
    <row r="971">
      <c r="A971" s="80" t="s">
        <v>61</v>
      </c>
      <c r="B971" s="81" t="str">
        <f t="shared" ref="B971:B972" si="35">HYPERLINK("https://www.youtube.com/channel/UCJ4XVrJuqKHbc9yF9oUFseg", "MEeeep More")</f>
        <v>MEeeep More</v>
      </c>
      <c r="C971" s="80" t="s">
        <v>1185</v>
      </c>
      <c r="D971" s="81" t="str">
        <f>HYPERLINK("https://youtube.com/watch?v=55TIxxEOIjg", "Hobart Salamanca 荷巴特週未市集 食玩買攻略")</f>
        <v>Hobart Salamanca 荷巴特週未市集 食玩買攻略</v>
      </c>
      <c r="E971" s="82">
        <v>43808.0</v>
      </c>
      <c r="F971" s="80">
        <v>317.0</v>
      </c>
      <c r="G971" s="80" t="s">
        <v>63</v>
      </c>
      <c r="I971" s="80" t="s">
        <v>63</v>
      </c>
      <c r="J971" s="80">
        <v>756.0</v>
      </c>
      <c r="K971" s="80">
        <v>0.833517089305402</v>
      </c>
      <c r="L971" s="80" t="s">
        <v>64</v>
      </c>
    </row>
    <row r="972">
      <c r="A972" s="80" t="s">
        <v>61</v>
      </c>
      <c r="B972" s="81" t="str">
        <f t="shared" si="35"/>
        <v>MEeeep More</v>
      </c>
      <c r="C972" s="80" t="s">
        <v>1186</v>
      </c>
      <c r="D972" s="81" t="str">
        <f>HYPERLINK("https://youtube.com/watch?v=55ug5Hd7mgI", "帶你睇 西澳 Albany 風力發電風車、Wave Rock 波浪岩、Hippo Yawn 河馬打呵欠石 - 食玩飛常遊")</f>
        <v>帶你睇 西澳 Albany 風力發電風車、Wave Rock 波浪岩、Hippo Yawn 河馬打呵欠石 - 食玩飛常遊</v>
      </c>
      <c r="E972" s="82">
        <v>43612.0</v>
      </c>
      <c r="F972" s="80">
        <v>194.0</v>
      </c>
      <c r="G972" s="80" t="s">
        <v>63</v>
      </c>
      <c r="I972" s="80" t="s">
        <v>63</v>
      </c>
      <c r="J972" s="80">
        <v>573.0</v>
      </c>
      <c r="K972" s="80">
        <v>0.846381093057607</v>
      </c>
      <c r="L972" s="80" t="s">
        <v>64</v>
      </c>
    </row>
    <row r="973">
      <c r="A973" s="80" t="s">
        <v>71</v>
      </c>
      <c r="B973" s="81" t="str">
        <f>HYPERLINK("https://www.youtube.com/channel/UCXTE-gQCetfrx_lC9yFM2aw", "arhoTV")</f>
        <v>arhoTV</v>
      </c>
      <c r="C973" s="80" t="s">
        <v>1187</v>
      </c>
      <c r="D973" s="81" t="str">
        <f>HYPERLINK("https://youtube.com/watch?v=58ERIHGqGFU", "【飲食】最強早餐！真・珍寶套餐！")</f>
        <v>【飲食】最強早餐！真・珍寶套餐！</v>
      </c>
      <c r="E973" s="82">
        <v>42812.0</v>
      </c>
      <c r="F973" s="80">
        <v>171.0</v>
      </c>
      <c r="G973" s="80" t="s">
        <v>63</v>
      </c>
      <c r="H973" s="80" t="s">
        <v>63</v>
      </c>
      <c r="I973" s="80" t="s">
        <v>63</v>
      </c>
      <c r="J973" s="80">
        <v>830.0</v>
      </c>
      <c r="K973" s="80">
        <v>0.739750445632798</v>
      </c>
      <c r="L973" s="80" t="s">
        <v>1188</v>
      </c>
    </row>
    <row r="974">
      <c r="A974" s="80" t="s">
        <v>94</v>
      </c>
      <c r="B974" s="81" t="str">
        <f>HYPERLINK("https://www.youtube.com/channel/UCT_dMyI3pNselsmfR6FC8tQ", "PrideLab")</f>
        <v>PrideLab</v>
      </c>
      <c r="C974" s="80" t="s">
        <v>1189</v>
      </c>
      <c r="D974" s="81" t="str">
        <f>HYPERLINK("https://youtube.com/watch?v=58VKE1mRq8Y", "【喺Lab講呢啲 】唔好Shame隻豬 Own your Virginity")</f>
        <v>【喺Lab講呢啲 】唔好Shame隻豬 Own your Virginity</v>
      </c>
      <c r="E974" s="82">
        <v>43093.0</v>
      </c>
      <c r="F974" s="80">
        <v>395.0</v>
      </c>
      <c r="G974" s="80" t="s">
        <v>63</v>
      </c>
      <c r="I974" s="80" t="s">
        <v>63</v>
      </c>
      <c r="J974" s="80">
        <v>1514.0</v>
      </c>
      <c r="K974" s="80">
        <v>0.775217613927291</v>
      </c>
      <c r="L974" s="80" t="s">
        <v>64</v>
      </c>
    </row>
    <row r="975">
      <c r="A975" s="80" t="s">
        <v>140</v>
      </c>
      <c r="B975" s="81" t="str">
        <f>HYPERLINK("https://www.youtube.com/channel/UCHK0CZf9HEXs42qIO1GUouA", "TechiCardia")</f>
        <v>TechiCardia</v>
      </c>
      <c r="C975" s="80" t="s">
        <v>1190</v>
      </c>
      <c r="D975" s="81" t="str">
        <f>HYPERLINK("https://youtube.com/watch?v=5A6bRDii9YA", "2021 砌機伏伏伏！？又貴又冇貨, 仲有咩好砌？有咩新產品？//內含$4500至$18000砌機LIST//4K 【TechiCardia】[CC 廣東話字幕]")</f>
        <v>2021 砌機伏伏伏！？又貴又冇貨, 仲有咩好砌？有咩新產品？//內含$4500至$18000砌機LIST//4K 【TechiCardia】[CC 廣東話字幕]</v>
      </c>
      <c r="E975" s="82">
        <v>44201.0</v>
      </c>
      <c r="F975" s="80">
        <v>999.0</v>
      </c>
      <c r="G975" s="80" t="s">
        <v>63</v>
      </c>
      <c r="I975" s="80" t="s">
        <v>63</v>
      </c>
      <c r="J975" s="80">
        <v>3536.0</v>
      </c>
      <c r="K975" s="80">
        <v>0.729824561403508</v>
      </c>
      <c r="L975" s="80" t="s">
        <v>102</v>
      </c>
    </row>
    <row r="976">
      <c r="A976" s="80" t="s">
        <v>217</v>
      </c>
      <c r="B976" s="81" t="str">
        <f>HYPERLINK("https://www.youtube.com/channel/UCXKg0qPRz32bs5Z4mTGF3TQ", "Stormtrooper白兵")</f>
        <v>Stormtrooper白兵</v>
      </c>
      <c r="C976" s="80" t="s">
        <v>1191</v>
      </c>
      <c r="D976" s="81" t="str">
        <f>HYPERLINK("https://youtube.com/watch?v=5CJ-Qda6adQ", "[以弱勝強]美國先賢神之一手，50頁小冊子促成美國獨立思潮｜曾經屌柒拿破倫同英國國王的美國先賢｜介紹美國獨立戰爭最強文宣－《Common Sense》《常識》｜粵語中字")</f>
        <v>[以弱勝強]美國先賢神之一手，50頁小冊子促成美國獨立思潮｜曾經屌柒拿破倫同英國國王的美國先賢｜介紹美國獨立戰爭最強文宣－《Common Sense》《常識》｜粵語中字</v>
      </c>
      <c r="E976" s="82">
        <v>44357.0</v>
      </c>
      <c r="F976" s="80">
        <v>1028.0</v>
      </c>
      <c r="G976" s="80" t="s">
        <v>63</v>
      </c>
      <c r="H976" s="80" t="s">
        <v>63</v>
      </c>
      <c r="I976" s="80" t="s">
        <v>63</v>
      </c>
      <c r="J976" s="80">
        <v>4288.0</v>
      </c>
      <c r="K976" s="80">
        <v>0.965548299932447</v>
      </c>
      <c r="L976" s="80" t="s">
        <v>86</v>
      </c>
    </row>
    <row r="977">
      <c r="A977" s="80" t="s">
        <v>61</v>
      </c>
      <c r="B977" s="81" t="str">
        <f>HYPERLINK("https://www.youtube.com/channel/UCJ4XVrJuqKHbc9yF9oUFseg", "MEeeep More")</f>
        <v>MEeeep More</v>
      </c>
      <c r="C977" s="80" t="s">
        <v>1192</v>
      </c>
      <c r="D977" s="81" t="str">
        <f>HYPERLINK("https://youtube.com/watch?v=5DwV86ebJzw", "吉隆坡美食 朱古力High Tea 你試過未？　- 《食玩飛常遊》")</f>
        <v>吉隆坡美食 朱古力High Tea 你試過未？　- 《食玩飛常遊》</v>
      </c>
      <c r="E977" s="82">
        <v>43521.0</v>
      </c>
      <c r="F977" s="80">
        <v>125.0</v>
      </c>
      <c r="G977" s="80" t="s">
        <v>63</v>
      </c>
      <c r="I977" s="80" t="s">
        <v>63</v>
      </c>
      <c r="J977" s="80">
        <v>417.0</v>
      </c>
      <c r="K977" s="80">
        <v>0.832335329341317</v>
      </c>
      <c r="L977" s="80" t="s">
        <v>66</v>
      </c>
    </row>
    <row r="978">
      <c r="A978" s="80" t="s">
        <v>121</v>
      </c>
      <c r="B978" s="81" t="str">
        <f>HYPERLINK("https://www.youtube.com/channel/UC-2hWXRgCg-o5Waz36Yt7BA", "Arm Channel TV")</f>
        <v>Arm Channel TV</v>
      </c>
      <c r="C978" s="80" t="s">
        <v>1193</v>
      </c>
      <c r="D978" s="81" t="str">
        <f>HYPERLINK("https://youtube.com/watch?v=5Ej0Lf-3HDs", "如果啱channel突然收皮 | 蝦條哥【如果突然收皮 EP01】")</f>
        <v>如果啱channel突然收皮 | 蝦條哥【如果突然收皮 EP01】</v>
      </c>
      <c r="E978" s="82">
        <v>44431.0</v>
      </c>
      <c r="F978" s="80">
        <v>836.0</v>
      </c>
      <c r="G978" s="80" t="s">
        <v>63</v>
      </c>
      <c r="I978" s="80" t="s">
        <v>63</v>
      </c>
      <c r="J978" s="80">
        <v>3145.0</v>
      </c>
      <c r="K978" s="80">
        <v>0.899342293394338</v>
      </c>
      <c r="L978" s="80" t="s">
        <v>64</v>
      </c>
    </row>
    <row r="979">
      <c r="A979" s="80" t="s">
        <v>74</v>
      </c>
      <c r="B979" s="81" t="str">
        <f>HYPERLINK("https://www.youtube.com/channel/UCO_5XP-qd-udNxBlzzSzgvw", "Handline Fishing")</f>
        <v>Handline Fishing</v>
      </c>
      <c r="C979" s="80" t="s">
        <v>1194</v>
      </c>
      <c r="D979" s="81" t="str">
        <f>HYPERLINK("https://youtube.com/watch?v=5PkNeeffVEw", "#214 釣斑真係話咁易，問下Peter 就知 | 『香港釣魚 : 艇釣』擔杆列島 {粵語旁白+中英文字幕}")</f>
        <v>#214 釣斑真係話咁易，問下Peter 就知 | 『香港釣魚 : 艇釣』擔杆列島 {粵語旁白+中英文字幕}</v>
      </c>
      <c r="E979" s="82">
        <v>44340.0</v>
      </c>
      <c r="F979" s="80">
        <v>482.0</v>
      </c>
      <c r="G979" s="80" t="s">
        <v>63</v>
      </c>
      <c r="H979" s="80" t="s">
        <v>63</v>
      </c>
      <c r="I979" s="80" t="s">
        <v>63</v>
      </c>
      <c r="J979" s="80">
        <v>501.0</v>
      </c>
      <c r="K979" s="80">
        <v>0.958158995815899</v>
      </c>
      <c r="L979" s="80" t="s">
        <v>88</v>
      </c>
    </row>
    <row r="980">
      <c r="A980" s="80" t="s">
        <v>89</v>
      </c>
      <c r="B980" s="81" t="str">
        <f>HYPERLINK("https://www.youtube.com/channel/UClc7lRdOhLxh3orjosY1R7g", "三木大師")</f>
        <v>三木大師</v>
      </c>
      <c r="C980" s="80" t="s">
        <v>1195</v>
      </c>
      <c r="D980" s="81" t="str">
        <f>HYPERLINK("https://youtube.com/watch?v=5SHHjnA59so", "真.相? | The truth? | 科學不能解釋 | 宇宙神秘 | 意識影響物質?")</f>
        <v>真.相? | The truth? | 科學不能解釋 | 宇宙神秘 | 意識影響物質?</v>
      </c>
      <c r="E980" s="82">
        <v>43978.0</v>
      </c>
      <c r="F980" s="80">
        <v>649.0</v>
      </c>
      <c r="G980" s="80" t="s">
        <v>63</v>
      </c>
      <c r="I980" s="80" t="s">
        <v>63</v>
      </c>
      <c r="J980" s="80">
        <v>1305.0</v>
      </c>
      <c r="K980" s="80">
        <v>0.884146341463414</v>
      </c>
      <c r="L980" s="80" t="s">
        <v>91</v>
      </c>
    </row>
    <row r="981">
      <c r="A981" s="80" t="s">
        <v>743</v>
      </c>
      <c r="B981" s="81" t="str">
        <f>HYPERLINK("https://www.youtube.com/channel/UCe6qQ8zbYQJgTBnZ9wBzm9w", "Willy Lee")</f>
        <v>Willy Lee</v>
      </c>
      <c r="C981" s="80" t="s">
        <v>1196</v>
      </c>
      <c r="D981" s="81" t="str">
        <f>HYPERLINK("https://youtube.com/watch?v=5TFnB6029to", "🇭🇰【獨木舟】中級！相思灣4公里附近小島、超似金魚既海蝕洞、神秘樹藤秘洞！吊鐘洲 金魚擺尾 牛尾洲 幽廊秘洞 - 航拍, 路線, 打卡位分享 - Willy Lee")</f>
        <v>🇭🇰【獨木舟】中級！相思灣4公里附近小島、超似金魚既海蝕洞、神秘樹藤秘洞！吊鐘洲 金魚擺尾 牛尾洲 幽廊秘洞 - 航拍, 路線, 打卡位分享 - Willy Lee</v>
      </c>
      <c r="E981" s="82">
        <v>44482.0</v>
      </c>
      <c r="F981" s="80">
        <v>639.0</v>
      </c>
      <c r="G981" s="80" t="s">
        <v>63</v>
      </c>
      <c r="I981" s="80" t="s">
        <v>63</v>
      </c>
      <c r="J981" s="80">
        <v>3310.0</v>
      </c>
      <c r="K981" s="80">
        <v>0.945714285714285</v>
      </c>
      <c r="L981" s="80" t="s">
        <v>64</v>
      </c>
    </row>
    <row r="982">
      <c r="A982" s="80" t="s">
        <v>140</v>
      </c>
      <c r="B982" s="81" t="str">
        <f>HYPERLINK("https://www.youtube.com/channel/UCHK0CZf9HEXs42qIO1GUouA", "TechiCardia")</f>
        <v>TechiCardia</v>
      </c>
      <c r="C982" s="80" t="s">
        <v>1197</v>
      </c>
      <c r="D982" s="81" t="str">
        <f>HYPERLINK("https://youtube.com/watch?v=5XNCRyxCtY4", "簡易顯示卡超頻示範說明！我得你都得 新舊卡都得！順手玩呢張400W 怪獸 - GALAX RTX 3080 Ti HOF OC LAB！//4K 【TechiCardia】[CC廣東話字幕]")</f>
        <v>簡易顯示卡超頻示範說明！我得你都得 新舊卡都得！順手玩呢張400W 怪獸 - GALAX RTX 3080 Ti HOF OC LAB！//4K 【TechiCardia】[CC廣東話字幕]</v>
      </c>
      <c r="E982" s="82">
        <v>44387.0</v>
      </c>
      <c r="F982" s="80">
        <v>993.0</v>
      </c>
      <c r="G982" s="80" t="s">
        <v>63</v>
      </c>
      <c r="I982" s="80" t="s">
        <v>63</v>
      </c>
      <c r="J982" s="80">
        <v>3052.0</v>
      </c>
      <c r="K982" s="80">
        <v>0.699198167239404</v>
      </c>
      <c r="L982" s="80" t="s">
        <v>102</v>
      </c>
    </row>
    <row r="983">
      <c r="A983" s="80" t="s">
        <v>61</v>
      </c>
      <c r="B983" s="81" t="str">
        <f>HYPERLINK("https://www.youtube.com/channel/UCJ4XVrJuqKHbc9yF9oUFseg", "MEeeep More")</f>
        <v>MEeeep More</v>
      </c>
      <c r="C983" s="80" t="s">
        <v>1198</v>
      </c>
      <c r="D983" s="81" t="str">
        <f>HYPERLINK("https://youtube.com/watch?v=5cBycJPSchs", "redmi9 紅米9 開箱評測！$999 價位超性能表現！做埋萬能遙控都得！xiaomi redmi9 小米紅米9 紅米手機 2020新機 redmi 9 review 開箱文 Google Pay")</f>
        <v>redmi9 紅米9 開箱評測！$999 價位超性能表現！做埋萬能遙控都得！xiaomi redmi9 小米紅米9 紅米手機 2020新機 redmi 9 review 開箱文 Google Pay</v>
      </c>
      <c r="E983" s="82">
        <v>44026.0</v>
      </c>
      <c r="F983" s="80">
        <v>345.0</v>
      </c>
      <c r="G983" s="80" t="s">
        <v>63</v>
      </c>
      <c r="I983" s="80" t="s">
        <v>63</v>
      </c>
      <c r="J983" s="80">
        <v>904.0</v>
      </c>
      <c r="K983" s="80">
        <v>0.794376098418277</v>
      </c>
      <c r="L983" s="80" t="s">
        <v>64</v>
      </c>
    </row>
    <row r="984">
      <c r="A984" s="80" t="s">
        <v>278</v>
      </c>
      <c r="B984" s="81" t="str">
        <f>HYPERLINK("https://www.youtube.com/channel/UCDoEdJo-PI-EKGNKomwLroQ", "mingjai14")</f>
        <v>mingjai14</v>
      </c>
      <c r="C984" s="80" t="s">
        <v>1199</v>
      </c>
      <c r="D984" s="81" t="str">
        <f>HYPERLINK("https://youtube.com/watch?v=5hiM22TGywY", "醉漢大鬧南非酒莊｜非南非旅2｜Ep 3")</f>
        <v>醉漢大鬧南非酒莊｜非南非旅2｜Ep 3</v>
      </c>
      <c r="E984" s="82">
        <v>42893.0</v>
      </c>
      <c r="F984" s="80">
        <v>687.0</v>
      </c>
      <c r="G984" s="80" t="s">
        <v>63</v>
      </c>
      <c r="I984" s="80" t="s">
        <v>63</v>
      </c>
      <c r="J984" s="80">
        <v>1414.0</v>
      </c>
      <c r="K984" s="80">
        <v>0.932717678100263</v>
      </c>
      <c r="L984" s="80" t="s">
        <v>521</v>
      </c>
    </row>
    <row r="985">
      <c r="A985" s="80" t="s">
        <v>219</v>
      </c>
      <c r="B985" s="81" t="str">
        <f>HYPERLINK("https://www.youtube.com/channel/UC9_PnptBIpNF0JXbJjd8TsQ", "Brown's Channel")</f>
        <v>Brown's Channel</v>
      </c>
      <c r="C985" s="80" t="s">
        <v>1200</v>
      </c>
      <c r="D985" s="81" t="str">
        <f>HYPERLINK("https://youtube.com/watch?v=5sQoT5s7Y6k", "【一隻熊仔去旅行@香港】#3 牛棚藝術村 -- 香港都有呢啲IG打卡位！？")</f>
        <v>【一隻熊仔去旅行@香港】#3 牛棚藝術村 -- 香港都有呢啲IG打卡位！？</v>
      </c>
      <c r="E985" s="82">
        <v>44435.0</v>
      </c>
      <c r="F985" s="80">
        <v>412.0</v>
      </c>
      <c r="G985" s="80" t="s">
        <v>63</v>
      </c>
      <c r="I985" s="80" t="s">
        <v>63</v>
      </c>
      <c r="J985" s="80">
        <v>1723.0</v>
      </c>
      <c r="K985" s="80">
        <v>0.926344086021505</v>
      </c>
      <c r="L985" s="80" t="s">
        <v>64</v>
      </c>
    </row>
    <row r="986">
      <c r="A986" s="80" t="s">
        <v>140</v>
      </c>
      <c r="B986" s="81" t="str">
        <f>HYPERLINK("https://www.youtube.com/channel/UCHK0CZf9HEXs42qIO1GUouA", "TechiCardia")</f>
        <v>TechiCardia</v>
      </c>
      <c r="C986" s="80" t="s">
        <v>1201</v>
      </c>
      <c r="D986" s="81" t="str">
        <f>HYPERLINK("https://youtube.com/watch?v=5smnjDcDVXU", "三千蚊買到RTX 3070？！仲有一大堆禮品等你帶走！？//聖誕搞乜LINK// 你有幾熟悉新嘅RTX 顯示卡？一齊玩下啦！【TechiCardia】[CC廣東話字幕]")</f>
        <v>三千蚊買到RTX 3070？！仲有一大堆禮品等你帶走！？//聖誕搞乜LINK// 你有幾熟悉新嘅RTX 顯示卡？一齊玩下啦！【TechiCardia】[CC廣東話字幕]</v>
      </c>
      <c r="E986" s="82">
        <v>44195.0</v>
      </c>
      <c r="F986" s="80">
        <v>749.0</v>
      </c>
      <c r="G986" s="80" t="s">
        <v>63</v>
      </c>
      <c r="I986" s="80" t="s">
        <v>63</v>
      </c>
      <c r="J986" s="80">
        <v>2341.0</v>
      </c>
      <c r="K986" s="80">
        <v>0.728829389788293</v>
      </c>
      <c r="L986" s="80" t="s">
        <v>102</v>
      </c>
    </row>
    <row r="987">
      <c r="A987" s="80" t="s">
        <v>1000</v>
      </c>
      <c r="B987" s="81" t="str">
        <f>HYPERLINK("https://www.youtube.com/channel/UChJQlg1b_cOttPX3SiIh5gA", "Lau Dinha in Hong Kong - Hong Kong in the World")</f>
        <v>Lau Dinha in Hong Kong - Hong Kong in the World</v>
      </c>
      <c r="C987" s="80" t="s">
        <v>1202</v>
      </c>
      <c r="D987" s="81" t="str">
        <f>HYPERLINK("https://youtube.com/watch?v=638mjjpmQ3w", "廣東話線上課程 —《啟蒙廣東話》｜初學入門、速學、進階廣東話，均適合報讀")</f>
        <v>廣東話線上課程 —《啟蒙廣東話》｜初學入門、速學、進階廣東話，均適合報讀</v>
      </c>
      <c r="E987" s="82">
        <v>44287.0</v>
      </c>
      <c r="F987" s="80">
        <v>328.0</v>
      </c>
      <c r="G987" s="80" t="s">
        <v>63</v>
      </c>
      <c r="H987" s="80" t="s">
        <v>63</v>
      </c>
      <c r="I987" s="80" t="s">
        <v>63</v>
      </c>
      <c r="J987" s="80">
        <v>1315.0</v>
      </c>
      <c r="K987" s="80">
        <v>0.987826086956521</v>
      </c>
      <c r="L987" s="80" t="s">
        <v>776</v>
      </c>
    </row>
    <row r="988">
      <c r="A988" s="80" t="s">
        <v>1010</v>
      </c>
      <c r="B988" s="81" t="str">
        <f>HYPERLINK("https://www.youtube.com/channel/UC-nV0odAiVdjH3gB_uSeTcQ", "wepro180")</f>
        <v>wepro180</v>
      </c>
      <c r="C988" s="80" t="s">
        <v>1203</v>
      </c>
      <c r="D988" s="81" t="str">
        <f>HYPERLINK("https://youtube.com/watch?v=68VEdz_hBLE", "edvance 特約【wepro 教室 02】嘉倩 180 ─ Botnet")</f>
        <v>edvance 特約【wepro 教室 02】嘉倩 180 ─ Botnet</v>
      </c>
      <c r="E988" s="82">
        <v>43213.0</v>
      </c>
      <c r="F988" s="80">
        <v>55.0</v>
      </c>
      <c r="G988" s="80" t="s">
        <v>63</v>
      </c>
      <c r="I988" s="80" t="s">
        <v>63</v>
      </c>
      <c r="J988" s="80">
        <v>198.0</v>
      </c>
      <c r="K988" s="80">
        <v>0.951923076923076</v>
      </c>
      <c r="L988" s="80" t="s">
        <v>64</v>
      </c>
    </row>
    <row r="989">
      <c r="A989" s="80" t="s">
        <v>252</v>
      </c>
      <c r="B989" s="81" t="str">
        <f t="shared" ref="B989:B990" si="36">HYPERLINK("https://www.youtube.com/channel/UCrISkBm7rgsRUAw8018eWvw", "MoYung 慕容公子")</f>
        <v>MoYung 慕容公子</v>
      </c>
      <c r="C989" s="80" t="s">
        <v>1204</v>
      </c>
      <c r="D989" s="81" t="str">
        <f>HYPERLINK("https://youtube.com/watch?v=6C4zbDHlppA", "【當年情】歲月不饒人！底線生日又大一歲了！(ft.底線 花輪 Fung)")</f>
        <v>【當年情】歲月不饒人！底線生日又大一歲了！(ft.底線 花輪 Fung)</v>
      </c>
      <c r="E989" s="82">
        <v>43328.0</v>
      </c>
      <c r="F989" s="80">
        <v>603.0</v>
      </c>
      <c r="G989" s="80" t="s">
        <v>63</v>
      </c>
      <c r="I989" s="80" t="s">
        <v>63</v>
      </c>
      <c r="J989" s="80">
        <v>1542.0</v>
      </c>
      <c r="K989" s="80">
        <v>0.912426035502958</v>
      </c>
      <c r="L989" s="80" t="s">
        <v>64</v>
      </c>
    </row>
    <row r="990">
      <c r="A990" s="80" t="s">
        <v>252</v>
      </c>
      <c r="B990" s="81" t="str">
        <f t="shared" si="36"/>
        <v>MoYung 慕容公子</v>
      </c>
      <c r="C990" s="80" t="s">
        <v>1205</v>
      </c>
      <c r="D990" s="81" t="str">
        <f>HYPERLINK("https://youtube.com/watch?v=6Crjjwy1ot0", "扑爆你！平底鑊爆你頭《絕地求生 PUBG精華#4》")</f>
        <v>扑爆你！平底鑊爆你頭《絕地求生 PUBG精華#4》</v>
      </c>
      <c r="E990" s="82">
        <v>42887.0</v>
      </c>
      <c r="F990" s="80">
        <v>72.0</v>
      </c>
      <c r="G990" s="80" t="s">
        <v>63</v>
      </c>
      <c r="H990" s="80" t="s">
        <v>63</v>
      </c>
      <c r="I990" s="80" t="s">
        <v>63</v>
      </c>
      <c r="J990" s="80">
        <v>172.0</v>
      </c>
      <c r="K990" s="80">
        <v>0.982248520710059</v>
      </c>
      <c r="L990" s="80" t="s">
        <v>1206</v>
      </c>
    </row>
    <row r="991">
      <c r="A991" s="80" t="s">
        <v>260</v>
      </c>
      <c r="B991" s="81" t="str">
        <f>HYPERLINK("https://www.youtube.com/channel/UC-HXOikkLx7BGEfILGIpYOg", "港短 . 英移")</f>
        <v>港短 . 英移</v>
      </c>
      <c r="C991" s="80" t="s">
        <v>1207</v>
      </c>
      <c r="D991" s="81" t="str">
        <f>HYPERLINK("https://youtube.com/watch?v=6GxnQlM36Tw", "估佢唔到樓價可以升今快😮 | 佢有咩今特別? | Waltham Forest | 港短.英移 #HongKonger #WalthamForest #英國生活 #英國香港人 #英國移民 #英國樓市")</f>
        <v>估佢唔到樓價可以升今快😮 | 佢有咩今特別? | Waltham Forest | 港短.英移 #HongKonger #WalthamForest #英國生活 #英國香港人 #英國移民 #英國樓市</v>
      </c>
      <c r="E991" s="82">
        <v>44503.0</v>
      </c>
      <c r="F991" s="80">
        <v>604.0</v>
      </c>
      <c r="G991" s="80" t="s">
        <v>63</v>
      </c>
      <c r="I991" s="80" t="s">
        <v>63</v>
      </c>
      <c r="J991" s="80">
        <v>2132.0</v>
      </c>
      <c r="K991" s="80">
        <v>0.716638655462184</v>
      </c>
      <c r="L991" s="80" t="s">
        <v>102</v>
      </c>
    </row>
    <row r="992">
      <c r="A992" s="80" t="s">
        <v>121</v>
      </c>
      <c r="B992" s="81" t="str">
        <f>HYPERLINK("https://www.youtube.com/channel/UC-2hWXRgCg-o5Waz36Yt7BA", "Arm Channel TV")</f>
        <v>Arm Channel TV</v>
      </c>
      <c r="C992" s="80" t="s">
        <v>1208</v>
      </c>
      <c r="D992" s="81" t="str">
        <f>HYPERLINK("https://youtube.com/watch?v=6IywW3kABDs", "如果facebook IG 突然收皮 | Ah Gi【如果突然收皮 EP02】")</f>
        <v>如果facebook IG 突然收皮 | Ah Gi【如果突然收皮 EP02】</v>
      </c>
      <c r="E992" s="82">
        <v>44452.0</v>
      </c>
      <c r="F992" s="80">
        <v>519.0</v>
      </c>
      <c r="G992" s="80" t="s">
        <v>63</v>
      </c>
      <c r="I992" s="80" t="s">
        <v>63</v>
      </c>
      <c r="J992" s="80">
        <v>1756.0</v>
      </c>
      <c r="K992" s="80">
        <v>0.783578759482374</v>
      </c>
      <c r="L992" s="80" t="s">
        <v>64</v>
      </c>
    </row>
    <row r="993">
      <c r="A993" s="80" t="s">
        <v>219</v>
      </c>
      <c r="B993" s="81" t="str">
        <f>HYPERLINK("https://www.youtube.com/channel/UC9_PnptBIpNF0JXbJjd8TsQ", "Brown's Channel")</f>
        <v>Brown's Channel</v>
      </c>
      <c r="C993" s="80" t="s">
        <v>1209</v>
      </c>
      <c r="D993" s="81" t="str">
        <f>HYPERLINK("https://youtube.com/watch?v=6J93zpa7qlg", "【一隻熊仔去旅行@深圳】#2 樂凱撒 －  邪惡嘅榴槤 pizza")</f>
        <v>【一隻熊仔去旅行@深圳】#2 樂凱撒 －  邪惡嘅榴槤 pizza</v>
      </c>
      <c r="E993" s="82">
        <v>43577.0</v>
      </c>
      <c r="F993" s="80">
        <v>212.0</v>
      </c>
      <c r="G993" s="80" t="s">
        <v>63</v>
      </c>
      <c r="I993" s="80" t="s">
        <v>63</v>
      </c>
      <c r="J993" s="80">
        <v>648.0</v>
      </c>
      <c r="K993" s="80">
        <v>0.783555018137847</v>
      </c>
      <c r="L993" s="80" t="s">
        <v>64</v>
      </c>
    </row>
    <row r="994">
      <c r="A994" s="80" t="s">
        <v>61</v>
      </c>
      <c r="B994" s="81" t="str">
        <f t="shared" ref="B994:B995" si="37">HYPERLINK("https://www.youtube.com/channel/UCJ4XVrJuqKHbc9yF9oUFseg", "MEeeep More")</f>
        <v>MEeeep More</v>
      </c>
      <c r="C994" s="80" t="s">
        <v>1210</v>
      </c>
      <c r="D994" s="81" t="str">
        <f>HYPERLINK("https://youtube.com/watch?v=6KbpXBmRC8w", "Nokia Power Earbuds Lite - BH-405 無線藍牙耳機 | 35 小時全天候播放 一指觸控輕鬆操作 | bh405 nokia true wireless")</f>
        <v>Nokia Power Earbuds Lite - BH-405 無線藍牙耳機 | 35 小時全天候播放 一指觸控輕鬆操作 | bh405 nokia true wireless</v>
      </c>
      <c r="E994" s="82">
        <v>44287.0</v>
      </c>
      <c r="F994" s="80">
        <v>152.0</v>
      </c>
      <c r="G994" s="80" t="s">
        <v>63</v>
      </c>
      <c r="I994" s="80" t="s">
        <v>63</v>
      </c>
      <c r="J994" s="80">
        <v>433.0</v>
      </c>
      <c r="K994" s="80">
        <v>0.77737881508079</v>
      </c>
      <c r="L994" s="80" t="s">
        <v>64</v>
      </c>
    </row>
    <row r="995">
      <c r="A995" s="80" t="s">
        <v>61</v>
      </c>
      <c r="B995" s="81" t="str">
        <f t="shared" si="37"/>
        <v>MEeeep More</v>
      </c>
      <c r="C995" s="80" t="s">
        <v>1211</v>
      </c>
      <c r="D995" s="81" t="str">
        <f>HYPERLINK("https://youtube.com/watch?v=6MSbyBl5w5U", "台灣6款必食小炒攻略 - 食玩飛常遊")</f>
        <v>台灣6款必食小炒攻略 - 食玩飛常遊</v>
      </c>
      <c r="E995" s="82">
        <v>43654.0</v>
      </c>
      <c r="F995" s="80">
        <v>155.0</v>
      </c>
      <c r="G995" s="80" t="s">
        <v>63</v>
      </c>
      <c r="I995" s="80" t="s">
        <v>63</v>
      </c>
      <c r="J995" s="80">
        <v>479.0</v>
      </c>
      <c r="K995" s="80">
        <v>0.900375939849624</v>
      </c>
      <c r="L995" s="80" t="s">
        <v>64</v>
      </c>
    </row>
    <row r="996">
      <c r="A996" s="80" t="s">
        <v>71</v>
      </c>
      <c r="B996" s="81" t="str">
        <f>HYPERLINK("https://www.youtube.com/channel/UCXTE-gQCetfrx_lC9yFM2aw", "arhoTV")</f>
        <v>arhoTV</v>
      </c>
      <c r="C996" s="80" t="s">
        <v>1212</v>
      </c>
      <c r="D996" s="81" t="str">
        <f>HYPERLINK("https://youtube.com/watch?v=6NG86lX8s4s", "【飲食】求愛必備 的 花之戀壽司？")</f>
        <v>【飲食】求愛必備 的 花之戀壽司？</v>
      </c>
      <c r="E996" s="82">
        <v>42714.0</v>
      </c>
      <c r="F996" s="80">
        <v>227.0</v>
      </c>
      <c r="G996" s="80" t="s">
        <v>63</v>
      </c>
      <c r="H996" s="80" t="s">
        <v>63</v>
      </c>
      <c r="I996" s="80" t="s">
        <v>63</v>
      </c>
      <c r="J996" s="80">
        <v>1337.0</v>
      </c>
      <c r="K996" s="80">
        <v>0.945365853658536</v>
      </c>
      <c r="L996" s="80" t="s">
        <v>86</v>
      </c>
    </row>
    <row r="997">
      <c r="A997" s="80" t="s">
        <v>112</v>
      </c>
      <c r="B997" s="81" t="str">
        <f>HYPERLINK("https://www.youtube.com/channel/UCW_n_gfIv4HhRqCk8EnRhJA", "Happy Kongner")</f>
        <v>Happy Kongner</v>
      </c>
      <c r="C997" s="80" t="s">
        <v>1213</v>
      </c>
      <c r="D997" s="81" t="str">
        <f>HYPERLINK("https://youtube.com/watch?v=6PIQon2M6jo", "「廣東話講西洋書法」字得其樂 The ABC of Western Calligraphy 簡介入門")</f>
        <v>「廣東話講西洋書法」字得其樂 The ABC of Western Calligraphy 簡介入門</v>
      </c>
      <c r="E997" s="82">
        <v>42867.0</v>
      </c>
      <c r="F997" s="80">
        <v>418.0</v>
      </c>
      <c r="G997" s="80" t="s">
        <v>63</v>
      </c>
      <c r="I997" s="80" t="s">
        <v>63</v>
      </c>
      <c r="J997" s="80">
        <v>1022.0</v>
      </c>
      <c r="K997" s="80">
        <v>0.960526315789473</v>
      </c>
      <c r="L997" s="80" t="s">
        <v>64</v>
      </c>
    </row>
    <row r="998">
      <c r="A998" s="80" t="s">
        <v>118</v>
      </c>
      <c r="B998" s="81" t="str">
        <f>HYPERLINK("https://www.youtube.com/channel/UCHrgHYFc5KShMJDZNsDZh4g", "BETHNI Y")</f>
        <v>BETHNI Y</v>
      </c>
      <c r="C998" s="80" t="s">
        <v>1214</v>
      </c>
      <c r="D998" s="81" t="str">
        <f>HYPERLINK("https://youtube.com/watch?v=6QVtJHAgFUs", "🍂 秋季 GET READY WITH ME! AD | Bethni Y")</f>
        <v>🍂 秋季 GET READY WITH ME! AD | Bethni Y</v>
      </c>
      <c r="E998" s="82">
        <v>42687.0</v>
      </c>
      <c r="F998" s="80">
        <v>888.0</v>
      </c>
      <c r="G998" s="80" t="s">
        <v>63</v>
      </c>
      <c r="I998" s="80" t="s">
        <v>63</v>
      </c>
      <c r="J998" s="80">
        <v>2434.0</v>
      </c>
      <c r="K998" s="80">
        <v>0.788723266364225</v>
      </c>
      <c r="L998" s="80" t="s">
        <v>64</v>
      </c>
    </row>
    <row r="999">
      <c r="A999" s="80" t="s">
        <v>61</v>
      </c>
      <c r="B999" s="81" t="str">
        <f>HYPERLINK("https://www.youtube.com/channel/UCJ4XVrJuqKHbc9yF9oUFseg", "MEeeep More")</f>
        <v>MEeeep More</v>
      </c>
      <c r="C999" s="80" t="s">
        <v>1215</v>
      </c>
      <c r="D999" s="81" t="str">
        <f>HYPERLINK("https://youtube.com/watch?v=6QXvDjabShs", "小米 Mi 10T Lite高性價比5G機登埸！四鏡頭 120Hz屏幕更新 多頻5G 二千中價位買唔買好？ Xiaomi Mi 10T Lite Mi10T Mi10T Lite 小米10T Lite")</f>
        <v>小米 Mi 10T Lite高性價比5G機登埸！四鏡頭 120Hz屏幕更新 多頻5G 二千中價位買唔買好？ Xiaomi Mi 10T Lite Mi10T Mi10T Lite 小米10T Lite</v>
      </c>
      <c r="E999" s="82">
        <v>44115.0</v>
      </c>
      <c r="F999" s="80">
        <v>227.0</v>
      </c>
      <c r="G999" s="80" t="s">
        <v>63</v>
      </c>
      <c r="I999" s="80" t="s">
        <v>63</v>
      </c>
      <c r="J999" s="80">
        <v>513.0</v>
      </c>
      <c r="K999" s="80">
        <v>0.696065128900949</v>
      </c>
      <c r="L999" s="80" t="s">
        <v>64</v>
      </c>
    </row>
    <row r="1000">
      <c r="A1000" s="80" t="s">
        <v>267</v>
      </c>
      <c r="B1000" s="81" t="str">
        <f>HYPERLINK("https://www.youtube.com/channel/UCcrhFT95jH5XqVVPyBhRbrA", "JFFT")</f>
        <v>JFFT</v>
      </c>
      <c r="C1000" s="80" t="s">
        <v>1216</v>
      </c>
      <c r="D1000" s="81" t="str">
        <f>HYPERLINK("https://youtube.com/watch?v=6S24OG1l2uc", "[9片]每次Apple出新機都有咁嘅情況發生")</f>
        <v>[9片]每次Apple出新機都有咁嘅情況發生</v>
      </c>
      <c r="E1000" s="82">
        <v>43008.0</v>
      </c>
      <c r="F1000" s="80">
        <v>69.0</v>
      </c>
      <c r="G1000" s="80" t="s">
        <v>63</v>
      </c>
      <c r="I1000" s="80" t="s">
        <v>63</v>
      </c>
      <c r="J1000" s="80">
        <v>155.0</v>
      </c>
      <c r="K1000" s="80">
        <v>0.890804597701149</v>
      </c>
      <c r="L1000" s="80" t="s">
        <v>1217</v>
      </c>
    </row>
    <row r="1001">
      <c r="A1001" s="80" t="s">
        <v>61</v>
      </c>
      <c r="B1001" s="81" t="str">
        <f>HYPERLINK("https://www.youtube.com/channel/UCJ4XVrJuqKHbc9yF9oUFseg", "MEeeep More")</f>
        <v>MEeeep More</v>
      </c>
      <c r="C1001" s="80" t="s">
        <v>1218</v>
      </c>
      <c r="D1001" s="81" t="str">
        <f>HYPERLINK("https://youtube.com/watch?v=6TMQ2RZd_vE", "Surface Laptop Go 迎戰高性價比筆電市場！HK$4300 i5 處理器 支援Wi-Fi 6 你又 Buy 唔 Buy？")</f>
        <v>Surface Laptop Go 迎戰高性價比筆電市場！HK$4300 i5 處理器 支援Wi-Fi 6 你又 Buy 唔 Buy？</v>
      </c>
      <c r="E1001" s="82">
        <v>44112.0</v>
      </c>
      <c r="F1001" s="80">
        <v>170.0</v>
      </c>
      <c r="G1001" s="80" t="s">
        <v>63</v>
      </c>
      <c r="I1001" s="80" t="s">
        <v>63</v>
      </c>
      <c r="J1001" s="80">
        <v>425.0</v>
      </c>
      <c r="K1001" s="80">
        <v>0.606276747503566</v>
      </c>
      <c r="L1001" s="80" t="s">
        <v>64</v>
      </c>
    </row>
    <row r="1002">
      <c r="A1002" s="80" t="s">
        <v>1010</v>
      </c>
      <c r="B1002" s="81" t="str">
        <f>HYPERLINK("https://www.youtube.com/channel/UC-nV0odAiVdjH3gB_uSeTcQ", "wepro180")</f>
        <v>wepro180</v>
      </c>
      <c r="C1002" s="80" t="s">
        <v>1219</v>
      </c>
      <c r="D1002" s="81" t="str">
        <f>HYPERLINK("https://youtube.com/watch?v=6UsSP7DAoao", "edvance 特約【wepro 教室 17】嘉倩 180 ─ Penetration Testing")</f>
        <v>edvance 特約【wepro 教室 17】嘉倩 180 ─ Penetration Testing</v>
      </c>
      <c r="E1002" s="82">
        <v>43233.0</v>
      </c>
      <c r="F1002" s="80">
        <v>51.0</v>
      </c>
      <c r="G1002" s="80" t="s">
        <v>63</v>
      </c>
      <c r="I1002" s="80" t="s">
        <v>63</v>
      </c>
      <c r="J1002" s="80">
        <v>180.0</v>
      </c>
      <c r="K1002" s="80">
        <v>0.759493670886076</v>
      </c>
      <c r="L1002" s="80" t="s">
        <v>64</v>
      </c>
    </row>
    <row r="1003">
      <c r="A1003" s="80" t="s">
        <v>61</v>
      </c>
      <c r="B1003" s="81" t="str">
        <f>HYPERLINK("https://www.youtube.com/channel/UCJ4XVrJuqKHbc9yF9oUFseg", "MEeeep More")</f>
        <v>MEeeep More</v>
      </c>
      <c r="C1003" s="80" t="s">
        <v>1220</v>
      </c>
      <c r="D1003" s="81" t="str">
        <f>HYPERLINK("https://youtube.com/watch?v=6X-XGaxvOvM", "WhatsApp新條款 唔同意分享資訊予Facebook就無得用？ 訊息會被偷看嗎？即睇最新安排 | WhatsApp Terms 2021")</f>
        <v>WhatsApp新條款 唔同意分享資訊予Facebook就無得用？ 訊息會被偷看嗎？即睇最新安排 | WhatsApp Terms 2021</v>
      </c>
      <c r="E1003" s="82">
        <v>44204.0</v>
      </c>
      <c r="F1003" s="80">
        <v>132.0</v>
      </c>
      <c r="G1003" s="80" t="s">
        <v>63</v>
      </c>
      <c r="I1003" s="80" t="s">
        <v>63</v>
      </c>
      <c r="J1003" s="80">
        <v>405.0</v>
      </c>
      <c r="K1003" s="80">
        <v>0.699481865284974</v>
      </c>
      <c r="L1003" s="80" t="s">
        <v>64</v>
      </c>
    </row>
    <row r="1004">
      <c r="A1004" s="80" t="s">
        <v>260</v>
      </c>
      <c r="B1004" s="81" t="str">
        <f>HYPERLINK("https://www.youtube.com/channel/UC-HXOikkLx7BGEfILGIpYOg", "港短 . 英移")</f>
        <v>港短 . 英移</v>
      </c>
      <c r="C1004" s="80" t="s">
        <v>1221</v>
      </c>
      <c r="D1004" s="81" t="str">
        <f>HYPERLINK("https://youtube.com/watch?v=6YX6bkOtIHs", "買二手車等於買大細?😱 我地點揀平靚正既二手車 | 英國車保好貴? | 港短.英移 #HongKonger #英國買車")</f>
        <v>買二手車等於買大細?😱 我地點揀平靚正既二手車 | 英國車保好貴? | 港短.英移 #HongKonger #英國買車</v>
      </c>
      <c r="E1004" s="82">
        <v>44417.0</v>
      </c>
      <c r="F1004" s="80">
        <v>686.0</v>
      </c>
      <c r="G1004" s="80" t="s">
        <v>63</v>
      </c>
      <c r="I1004" s="80" t="s">
        <v>63</v>
      </c>
      <c r="J1004" s="80">
        <v>2576.0</v>
      </c>
      <c r="K1004" s="80">
        <v>0.862981574539363</v>
      </c>
      <c r="L1004" s="80" t="s">
        <v>102</v>
      </c>
    </row>
    <row r="1005">
      <c r="A1005" s="80" t="s">
        <v>274</v>
      </c>
      <c r="B1005" s="81" t="str">
        <f>HYPERLINK("https://www.youtube.com/channel/UC2oB9QCXs-RKtaKChrz4dKg", "MtzCherry")</f>
        <v>MtzCherry</v>
      </c>
      <c r="C1005" s="80" t="s">
        <v>1222</v>
      </c>
      <c r="D1005" s="81" t="str">
        <f>HYPERLINK("https://youtube.com/watch?v=6_UmKVIXCX0", "[Day 259] Bike Ride in Busan, Gwangalli 광안리에서 자전거 타기 廣安里踩單車")</f>
        <v>[Day 259] Bike Ride in Busan, Gwangalli 광안리에서 자전거 타기 廣安里踩單車</v>
      </c>
      <c r="E1005" s="82">
        <v>42873.0</v>
      </c>
      <c r="F1005" s="80">
        <v>198.0</v>
      </c>
      <c r="G1005" s="80" t="s">
        <v>63</v>
      </c>
      <c r="I1005" s="80" t="s">
        <v>63</v>
      </c>
      <c r="J1005" s="80">
        <v>371.0</v>
      </c>
      <c r="K1005" s="80">
        <v>0.781052631578947</v>
      </c>
      <c r="L1005" s="80" t="s">
        <v>287</v>
      </c>
    </row>
    <row r="1006">
      <c r="A1006" s="80" t="s">
        <v>112</v>
      </c>
      <c r="B1006" s="81" t="str">
        <f>HYPERLINK("https://www.youtube.com/channel/UCW_n_gfIv4HhRqCk8EnRhJA", "Happy Kongner")</f>
        <v>Happy Kongner</v>
      </c>
      <c r="C1006" s="80" t="s">
        <v>1223</v>
      </c>
      <c r="D1006" s="81" t="str">
        <f>HYPERLINK("https://youtube.com/watch?v=6bOtJ3yFc54", "[廣東話講動漫] 高達編年史 Vol.2: 自護反擊戰—UC0080/0083 —公仔書與卡通片 第七集 Comic &amp; Cartoon Ep7: Gundam Chronicles Vol.2")</f>
        <v>[廣東話講動漫] 高達編年史 Vol.2: 自護反擊戰—UC0080/0083 —公仔書與卡通片 第七集 Comic &amp; Cartoon Ep7: Gundam Chronicles Vol.2</v>
      </c>
      <c r="E1006" s="82">
        <v>43223.0</v>
      </c>
      <c r="F1006" s="80">
        <v>768.0</v>
      </c>
      <c r="G1006" s="80" t="s">
        <v>63</v>
      </c>
      <c r="I1006" s="80" t="s">
        <v>63</v>
      </c>
      <c r="J1006" s="80">
        <v>3058.0</v>
      </c>
      <c r="K1006" s="80">
        <v>0.94470188446092</v>
      </c>
      <c r="L1006" s="80" t="s">
        <v>64</v>
      </c>
    </row>
    <row r="1007">
      <c r="A1007" s="80" t="s">
        <v>217</v>
      </c>
      <c r="B1007" s="81" t="str">
        <f>HYPERLINK("https://www.youtube.com/channel/UCXKg0qPRz32bs5Z4mTGF3TQ", "Stormtrooper白兵")</f>
        <v>Stormtrooper白兵</v>
      </c>
      <c r="C1007" s="80" t="s">
        <v>1224</v>
      </c>
      <c r="D1007" s="81" t="str">
        <f>HYPERLINK("https://youtube.com/watch?v=6c5XnTE2ug0", "[陰謀論]近代美國最大醜聞－稜鏡計劃｜一片講晒稜鏡計劃、維基解密、PizzaGate、#metoo，愛撥斯坦懸案等千絲萬縷既關係")</f>
        <v>[陰謀論]近代美國最大醜聞－稜鏡計劃｜一片講晒稜鏡計劃、維基解密、PizzaGate、#metoo，愛撥斯坦懸案等千絲萬縷既關係</v>
      </c>
      <c r="E1007" s="82">
        <v>44063.0</v>
      </c>
      <c r="F1007" s="80">
        <v>1196.0</v>
      </c>
      <c r="G1007" s="80" t="s">
        <v>63</v>
      </c>
      <c r="I1007" s="80" t="s">
        <v>63</v>
      </c>
      <c r="J1007" s="80">
        <v>4828.0</v>
      </c>
      <c r="K1007" s="80">
        <v>0.840529247910863</v>
      </c>
      <c r="L1007" s="80" t="s">
        <v>64</v>
      </c>
    </row>
    <row r="1008">
      <c r="A1008" s="80" t="s">
        <v>112</v>
      </c>
      <c r="B1008" s="81" t="str">
        <f>HYPERLINK("https://www.youtube.com/channel/UCW_n_gfIv4HhRqCk8EnRhJA", "Happy Kongner")</f>
        <v>Happy Kongner</v>
      </c>
      <c r="C1008" s="80" t="s">
        <v>1225</v>
      </c>
      <c r="D1008" s="81" t="str">
        <f>HYPERLINK("https://youtube.com/watch?v=6gYkAF8pX-I", "[廣東話Game評] Monster Hunter World 係咪真係咁神 ? 垃圾驚批鬥座 EP1 Humiliation Seat for Shitty Games  EP1")</f>
        <v>[廣東話Game評] Monster Hunter World 係咪真係咁神 ? 垃圾驚批鬥座 EP1 Humiliation Seat for Shitty Games  EP1</v>
      </c>
      <c r="E1008" s="82">
        <v>43153.0</v>
      </c>
      <c r="F1008" s="80">
        <v>444.0</v>
      </c>
      <c r="G1008" s="80" t="s">
        <v>63</v>
      </c>
      <c r="I1008" s="80" t="s">
        <v>63</v>
      </c>
      <c r="J1008" s="80">
        <v>2181.0</v>
      </c>
      <c r="K1008" s="80">
        <v>0.95032679738562</v>
      </c>
      <c r="L1008" s="80" t="s">
        <v>64</v>
      </c>
    </row>
    <row r="1009">
      <c r="A1009" s="80" t="s">
        <v>252</v>
      </c>
      <c r="B1009" s="81" t="str">
        <f>HYPERLINK("https://www.youtube.com/channel/UCrISkBm7rgsRUAw8018eWvw", "MoYung 慕容公子")</f>
        <v>MoYung 慕容公子</v>
      </c>
      <c r="C1009" s="80" t="s">
        <v>1226</v>
      </c>
      <c r="D1009" s="81" t="str">
        <f>HYPERLINK("https://youtube.com/watch?v=6imU3QjewVk", "【Call iN】有無諗過媾小雲 ? (中文字幕)")</f>
        <v>【Call iN】有無諗過媾小雲 ? (中文字幕)</v>
      </c>
      <c r="E1009" s="82">
        <v>43121.0</v>
      </c>
      <c r="F1009" s="80">
        <v>119.0</v>
      </c>
      <c r="G1009" s="80" t="s">
        <v>63</v>
      </c>
      <c r="H1009" s="80" t="s">
        <v>63</v>
      </c>
      <c r="I1009" s="80" t="s">
        <v>63</v>
      </c>
      <c r="J1009" s="80">
        <v>428.0</v>
      </c>
      <c r="K1009" s="80">
        <v>0.99481865284974</v>
      </c>
      <c r="L1009" s="80" t="s">
        <v>1074</v>
      </c>
    </row>
    <row r="1010">
      <c r="A1010" s="80" t="s">
        <v>1039</v>
      </c>
      <c r="B1010" s="81" t="str">
        <f>HYPERLINK("https://www.youtube.com/channel/UCiKEIxbv4RTzyLCKG17N-AA", "Hunting Archer")</f>
        <v>Hunting Archer</v>
      </c>
      <c r="C1010" s="80" t="s">
        <v>1227</v>
      </c>
      <c r="D1010" s="81" t="str">
        <f>HYPERLINK("https://youtube.com/watch?v=6kSitAisJVs", "【广州漫步】初夏的午后漫步在南亭渡口观看安静的村庄 发现番禺古村之美 Walk in GuangZhou")</f>
        <v>【广州漫步】初夏的午后漫步在南亭渡口观看安静的村庄 发现番禺古村之美 Walk in GuangZhou</v>
      </c>
      <c r="E1010" s="82">
        <v>44326.0</v>
      </c>
      <c r="F1010" s="80">
        <v>1516.0</v>
      </c>
      <c r="G1010" s="80" t="s">
        <v>63</v>
      </c>
      <c r="I1010" s="80" t="s">
        <v>63</v>
      </c>
      <c r="J1010" s="80">
        <v>3107.0</v>
      </c>
      <c r="K1010" s="80">
        <v>0.992334717342702</v>
      </c>
      <c r="L1010" s="80" t="s">
        <v>757</v>
      </c>
    </row>
    <row r="1011">
      <c r="A1011" s="80" t="s">
        <v>74</v>
      </c>
      <c r="B1011" s="81" t="str">
        <f>HYPERLINK("https://www.youtube.com/channel/UCO_5XP-qd-udNxBlzzSzgvw", "Handline Fishing")</f>
        <v>Handline Fishing</v>
      </c>
      <c r="C1011" s="80" t="s">
        <v>1228</v>
      </c>
      <c r="D1011" s="81" t="str">
        <f>HYPERLINK("https://youtube.com/watch?v=6lnRrIyaDc8", "#152 [特長版] 追回時間，怒釣老鼠鰔 | 『香港釣魚 : 艇釣』長洲外/伶仃島 {粵語旁白+中英文字幕}")</f>
        <v>#152 [特長版] 追回時間，怒釣老鼠鰔 | 『香港釣魚 : 艇釣』長洲外/伶仃島 {粵語旁白+中英文字幕}</v>
      </c>
      <c r="E1011" s="82">
        <v>44106.0</v>
      </c>
      <c r="F1011" s="80">
        <v>2324.0</v>
      </c>
      <c r="G1011" s="80" t="s">
        <v>63</v>
      </c>
      <c r="I1011" s="80" t="s">
        <v>63</v>
      </c>
      <c r="J1011" s="80">
        <v>825.0</v>
      </c>
      <c r="K1011" s="80">
        <v>0.96717467760844</v>
      </c>
      <c r="L1011" s="80" t="s">
        <v>1105</v>
      </c>
    </row>
    <row r="1012">
      <c r="A1012" s="80" t="s">
        <v>61</v>
      </c>
      <c r="B1012" s="81" t="str">
        <f t="shared" ref="B1012:B1013" si="38">HYPERLINK("https://www.youtube.com/channel/UCJ4XVrJuqKHbc9yF9oUFseg", "MEeeep More")</f>
        <v>MEeeep More</v>
      </c>
      <c r="C1012" s="80" t="s">
        <v>1229</v>
      </c>
      <c r="D1012" s="81" t="str">
        <f>HYPERLINK("https://youtube.com/watch?v=6mjTTplDTHU", "【抗疫湯水】 冬瓜粒湯 消暑清熱滋陰 懶人滾湯 15 分鐘搞掂！當飯食都得？ COVID-19［ 預防新冠肺炎］")</f>
        <v>【抗疫湯水】 冬瓜粒湯 消暑清熱滋陰 懶人滾湯 15 分鐘搞掂！當飯食都得？ COVID-19［ 預防新冠肺炎］</v>
      </c>
      <c r="E1012" s="82">
        <v>43920.0</v>
      </c>
      <c r="F1012" s="80">
        <v>270.0</v>
      </c>
      <c r="G1012" s="80" t="s">
        <v>63</v>
      </c>
      <c r="I1012" s="80" t="s">
        <v>63</v>
      </c>
      <c r="J1012" s="80">
        <v>416.0</v>
      </c>
      <c r="K1012" s="80">
        <v>0.890792291220556</v>
      </c>
      <c r="L1012" s="80" t="s">
        <v>64</v>
      </c>
    </row>
    <row r="1013">
      <c r="A1013" s="80" t="s">
        <v>61</v>
      </c>
      <c r="B1013" s="81" t="str">
        <f t="shared" si="38"/>
        <v>MEeeep More</v>
      </c>
      <c r="C1013" s="80" t="s">
        <v>1230</v>
      </c>
      <c r="D1013" s="81" t="str">
        <f>HYPERLINK("https://youtube.com/watch?v=6sNQEu1op_U", "華為 Huawei FreeBuds 4 真無線耳機 | 內置主動降噪 多項觸控操作 智慧音頻連接 平過一部 Airpod ? | freebuds4 huawei anc 耳機 airpods 3")</f>
        <v>華為 Huawei FreeBuds 4 真無線耳機 | 內置主動降噪 多項觸控操作 智慧音頻連接 平過一部 Airpod ? | freebuds4 huawei anc 耳機 airpods 3</v>
      </c>
      <c r="E1013" s="82">
        <v>44337.0</v>
      </c>
      <c r="F1013" s="80">
        <v>134.0</v>
      </c>
      <c r="G1013" s="80" t="s">
        <v>63</v>
      </c>
      <c r="I1013" s="80" t="s">
        <v>63</v>
      </c>
      <c r="J1013" s="80">
        <v>373.0</v>
      </c>
      <c r="K1013" s="80">
        <v>0.753535353535353</v>
      </c>
      <c r="L1013" s="80" t="s">
        <v>64</v>
      </c>
    </row>
    <row r="1014">
      <c r="A1014" s="80" t="s">
        <v>74</v>
      </c>
      <c r="B1014" s="81" t="str">
        <f>HYPERLINK("https://www.youtube.com/channel/UCO_5XP-qd-udNxBlzzSzgvw", "Handline Fishing")</f>
        <v>Handline Fishing</v>
      </c>
      <c r="C1014" s="80" t="s">
        <v>1231</v>
      </c>
      <c r="D1014" s="81" t="str">
        <f>HYPERLINK("https://youtube.com/watch?v=6tPuvEG61P8", "#138 六個海盜挖金條 | 『香港釣魚 : 艇釣』青洲航道 {粵語旁白+中英文字幕}")</f>
        <v>#138 六個海盜挖金條 | 『香港釣魚 : 艇釣』青洲航道 {粵語旁白+中英文字幕}</v>
      </c>
      <c r="E1014" s="82">
        <v>44054.0</v>
      </c>
      <c r="F1014" s="80">
        <v>878.0</v>
      </c>
      <c r="G1014" s="80" t="s">
        <v>63</v>
      </c>
      <c r="I1014" s="80" t="s">
        <v>63</v>
      </c>
      <c r="J1014" s="80">
        <v>742.0</v>
      </c>
      <c r="K1014" s="80">
        <v>0.986702127659574</v>
      </c>
      <c r="L1014" s="80" t="s">
        <v>76</v>
      </c>
    </row>
    <row r="1015">
      <c r="A1015" s="80" t="s">
        <v>1082</v>
      </c>
      <c r="B1015" s="81" t="str">
        <f>HYPERLINK("https://www.youtube.com/channel/UCMosCy_NDf55rDQhzdX_h3w", "熊熊兒童音樂 Bear Music Ltd.")</f>
        <v>熊熊兒童音樂 Bear Music Ltd.</v>
      </c>
      <c r="C1015" s="80" t="s">
        <v>1232</v>
      </c>
      <c r="D1015" s="81" t="str">
        <f>HYPERLINK("https://youtube.com/watch?v=6ulYOUIbvlE", "熊熊粵語兒童故事精選｜動物故事｜小老鼠與大花鼠")</f>
        <v>熊熊粵語兒童故事精選｜動物故事｜小老鼠與大花鼠</v>
      </c>
      <c r="E1015" s="82">
        <v>43529.0</v>
      </c>
      <c r="F1015" s="80">
        <v>842.0</v>
      </c>
      <c r="G1015" s="80" t="s">
        <v>63</v>
      </c>
      <c r="I1015" s="80" t="s">
        <v>63</v>
      </c>
      <c r="J1015" s="80">
        <v>1967.0</v>
      </c>
      <c r="K1015" s="80">
        <v>0.997464503042596</v>
      </c>
      <c r="L1015" s="80" t="s">
        <v>64</v>
      </c>
    </row>
    <row r="1016">
      <c r="A1016" s="80" t="s">
        <v>217</v>
      </c>
      <c r="B1016" s="81" t="str">
        <f>HYPERLINK("https://www.youtube.com/channel/UCXKg0qPRz32bs5Z4mTGF3TQ", "Stormtrooper白兵")</f>
        <v>Stormtrooper白兵</v>
      </c>
      <c r="C1016" s="80" t="s">
        <v>1233</v>
      </c>
      <c r="D1016" s="81" t="str">
        <f>HYPERLINK("https://youtube.com/watch?v=6uoyS5bBHVQ", "[白天鳥歌]政治暗殺－美國CIA、普京如何暗殺政敵！？｜如何向自己頭部連開兩槍自殺？｜普京殺人搞到英國周圍都係幅射！？")</f>
        <v>[白天鳥歌]政治暗殺－美國CIA、普京如何暗殺政敵！？｜如何向自己頭部連開兩槍自殺？｜普京殺人搞到英國周圍都係幅射！？</v>
      </c>
      <c r="E1016" s="82">
        <v>44474.0</v>
      </c>
      <c r="F1016" s="80">
        <v>2838.0</v>
      </c>
      <c r="G1016" s="80" t="s">
        <v>63</v>
      </c>
      <c r="I1016" s="80" t="s">
        <v>63</v>
      </c>
      <c r="J1016" s="80">
        <v>11823.0</v>
      </c>
      <c r="K1016" s="80">
        <v>0.943048576214405</v>
      </c>
      <c r="L1016" s="80" t="s">
        <v>64</v>
      </c>
    </row>
    <row r="1017">
      <c r="A1017" s="80" t="s">
        <v>112</v>
      </c>
      <c r="B1017" s="81" t="str">
        <f>HYPERLINK("https://www.youtube.com/channel/UCW_n_gfIv4HhRqCk8EnRhJA", "Happy Kongner")</f>
        <v>Happy Kongner</v>
      </c>
      <c r="C1017" s="80" t="s">
        <v>1234</v>
      </c>
      <c r="D1017" s="81" t="str">
        <f>HYPERLINK("https://youtube.com/watch?v=6vFcdmckglk", "[廣東話講動漫] 公仔書與卡通片 第二集 Comic &amp; Cartoon Episode 2  高達史上五大爛作  Five Worst Gundam Series")</f>
        <v>[廣東話講動漫] 公仔書與卡通片 第二集 Comic &amp; Cartoon Episode 2  高達史上五大爛作  Five Worst Gundam Series</v>
      </c>
      <c r="E1017" s="82">
        <v>43114.0</v>
      </c>
      <c r="F1017" s="80">
        <v>729.0</v>
      </c>
      <c r="G1017" s="80" t="s">
        <v>63</v>
      </c>
      <c r="I1017" s="80" t="s">
        <v>63</v>
      </c>
      <c r="J1017" s="80">
        <v>2845.0</v>
      </c>
      <c r="K1017" s="80">
        <v>0.927919112850619</v>
      </c>
      <c r="L1017" s="80" t="s">
        <v>64</v>
      </c>
    </row>
    <row r="1018">
      <c r="A1018" s="80" t="s">
        <v>1235</v>
      </c>
      <c r="B1018" s="81" t="str">
        <f>HYPERLINK("https://www.youtube.com/channel/UCYaL-P-e6KLaA4gdW2GOVVw", "Roy Walkman")</f>
        <v>Roy Walkman</v>
      </c>
      <c r="C1018" s="80" t="s">
        <v>1236</v>
      </c>
      <c r="D1018" s="81" t="str">
        <f>HYPERLINK("https://youtube.com/watch?v=6wAeadFSi8Y", "《北京‧北角》中文字幕版")</f>
        <v>《北京‧北角》中文字幕版</v>
      </c>
      <c r="E1018" s="82">
        <v>41135.0</v>
      </c>
      <c r="F1018" s="80">
        <v>1240.0</v>
      </c>
      <c r="G1018" s="80" t="s">
        <v>63</v>
      </c>
      <c r="I1018" s="80" t="s">
        <v>63</v>
      </c>
      <c r="J1018" s="80">
        <v>3595.0</v>
      </c>
      <c r="K1018" s="80">
        <v>0.962259100642398</v>
      </c>
      <c r="L1018" s="80" t="s">
        <v>64</v>
      </c>
    </row>
    <row r="1019">
      <c r="A1019" s="80" t="s">
        <v>94</v>
      </c>
      <c r="B1019" s="81" t="str">
        <f>HYPERLINK("https://www.youtube.com/channel/UCT_dMyI3pNselsmfR6FC8tQ", "PrideLab")</f>
        <v>PrideLab</v>
      </c>
      <c r="C1019" s="80" t="s">
        <v>1237</v>
      </c>
      <c r="D1019" s="81" t="str">
        <f>HYPERLINK("https://youtube.com/watch?v=6wWV-pngxAw", "Daily日日操  - 女仔要減肚腩仔")</f>
        <v>Daily日日操  - 女仔要減肚腩仔</v>
      </c>
      <c r="E1019" s="82">
        <v>42977.0</v>
      </c>
      <c r="F1019" s="80">
        <v>485.0</v>
      </c>
      <c r="G1019" s="80" t="s">
        <v>63</v>
      </c>
      <c r="I1019" s="80" t="s">
        <v>63</v>
      </c>
      <c r="J1019" s="80">
        <v>1632.0</v>
      </c>
      <c r="K1019" s="80">
        <v>0.874129619710766</v>
      </c>
      <c r="L1019" s="80" t="s">
        <v>64</v>
      </c>
    </row>
    <row r="1020">
      <c r="A1020" s="80" t="s">
        <v>217</v>
      </c>
      <c r="B1020" s="81" t="str">
        <f>HYPERLINK("https://www.youtube.com/channel/UCXKg0qPRz32bs5Z4mTGF3TQ", "Stormtrooper白兵")</f>
        <v>Stormtrooper白兵</v>
      </c>
      <c r="C1020" s="80" t="s">
        <v>1238</v>
      </c>
      <c r="D1020" s="81" t="str">
        <f>HYPERLINK("https://youtube.com/watch?v=7-Xdp0yFqdg", "[鑑古知今]史上最強四大刺客，佢地準備好未？值唔值得？係咪自編自導自演？｜介紹《史記．刺客列傳》｜曹沫、豫讓、專諸、聶政、荊軻｜粵語中字")</f>
        <v>[鑑古知今]史上最強四大刺客，佢地準備好未？值唔值得？係咪自編自導自演？｜介紹《史記．刺客列傳》｜曹沫、豫讓、專諸、聶政、荊軻｜粵語中字</v>
      </c>
      <c r="E1020" s="82">
        <v>44385.0</v>
      </c>
      <c r="F1020" s="80">
        <v>1025.0</v>
      </c>
      <c r="G1020" s="80" t="s">
        <v>63</v>
      </c>
      <c r="H1020" s="80" t="s">
        <v>63</v>
      </c>
      <c r="I1020" s="80" t="s">
        <v>63</v>
      </c>
      <c r="J1020" s="80">
        <v>4143.0</v>
      </c>
      <c r="K1020" s="80">
        <v>0.980732635585157</v>
      </c>
      <c r="L1020" s="80" t="s">
        <v>86</v>
      </c>
    </row>
    <row r="1021">
      <c r="A1021" s="80" t="s">
        <v>1007</v>
      </c>
      <c r="B1021" s="81" t="str">
        <f>HYPERLINK("https://www.youtube.com/channel/UCCzgNTkFyDel0FDJtVNgEtQ", "香港人. 德國讀書之【真.洗濕左個頭.無得返轉頭】Miss Chan Life in Germany")</f>
        <v>香港人. 德國讀書之【真.洗濕左個頭.無得返轉頭】Miss Chan Life in Germany</v>
      </c>
      <c r="C1021" s="80" t="s">
        <v>1239</v>
      </c>
      <c r="D1021" s="81" t="str">
        <f>HYPERLINK("https://youtube.com/watch?v=70NBt-uQHaU", "【滅Chan 如何練習德文口語Oral 之 跳舞幫你突破樽頸】(香港人製作. 廣東話)")</f>
        <v>【滅Chan 如何練習德文口語Oral 之 跳舞幫你突破樽頸】(香港人製作. 廣東話)</v>
      </c>
      <c r="E1021" s="82">
        <v>44204.0</v>
      </c>
      <c r="F1021" s="80">
        <v>575.0</v>
      </c>
      <c r="G1021" s="80" t="s">
        <v>63</v>
      </c>
      <c r="I1021" s="80" t="s">
        <v>63</v>
      </c>
      <c r="J1021" s="80">
        <v>2287.0</v>
      </c>
      <c r="K1021" s="80">
        <v>0.906819984139571</v>
      </c>
      <c r="L1021" s="80" t="s">
        <v>64</v>
      </c>
    </row>
    <row r="1022">
      <c r="A1022" s="80" t="s">
        <v>74</v>
      </c>
      <c r="B1022" s="81" t="str">
        <f>HYPERLINK("https://www.youtube.com/channel/UCO_5XP-qd-udNxBlzzSzgvw", "Handline Fishing")</f>
        <v>Handline Fishing</v>
      </c>
      <c r="C1022" s="80" t="s">
        <v>1240</v>
      </c>
      <c r="D1022" s="81" t="str">
        <f>HYPERLINK("https://youtube.com/watch?v=72bME6uEfuo", "#121 紅雨下，戰青衣油庫『香港釣魚 : 艇釣』青衣 {粵語旁白+中英文字幕}")</f>
        <v>#121 紅雨下，戰青衣油庫『香港釣魚 : 艇釣』青衣 {粵語旁白+中英文字幕}</v>
      </c>
      <c r="E1022" s="82">
        <v>43990.0</v>
      </c>
      <c r="F1022" s="80">
        <v>278.0</v>
      </c>
      <c r="G1022" s="80" t="s">
        <v>63</v>
      </c>
      <c r="I1022" s="80" t="s">
        <v>63</v>
      </c>
      <c r="J1022" s="80">
        <v>1081.0</v>
      </c>
      <c r="K1022" s="80">
        <v>0.964317573595004</v>
      </c>
      <c r="L1022" s="80" t="s">
        <v>76</v>
      </c>
    </row>
    <row r="1023">
      <c r="A1023" s="80" t="s">
        <v>61</v>
      </c>
      <c r="B1023" s="81" t="str">
        <f>HYPERLINK("https://www.youtube.com/channel/UCJ4XVrJuqKHbc9yF9oUFseg", "MEeeep More")</f>
        <v>MEeeep More</v>
      </c>
      <c r="C1023" s="80" t="s">
        <v>1241</v>
      </c>
      <c r="D1023" s="81" t="str">
        <f>HYPERLINK("https://youtube.com/watch?v=74EQLSZEaNM", "Nokia G20 | 唔駛$2000有四鏡頭+雙卡雙待 3日續航力 公司手機/長者小童手機首選 | g20 nokia x105g")</f>
        <v>Nokia G20 | 唔駛$2000有四鏡頭+雙卡雙待 3日續航力 公司手機/長者小童手機首選 | g20 nokia x105g</v>
      </c>
      <c r="E1023" s="82">
        <v>44360.0</v>
      </c>
      <c r="F1023" s="80">
        <v>126.0</v>
      </c>
      <c r="G1023" s="80" t="s">
        <v>63</v>
      </c>
      <c r="I1023" s="80" t="s">
        <v>63</v>
      </c>
      <c r="J1023" s="80">
        <v>304.0</v>
      </c>
      <c r="K1023" s="80">
        <v>0.692482915717539</v>
      </c>
      <c r="L1023" s="80" t="s">
        <v>64</v>
      </c>
    </row>
    <row r="1024">
      <c r="A1024" s="80" t="s">
        <v>1183</v>
      </c>
      <c r="B1024" s="81" t="str">
        <f>HYPERLINK("https://www.youtube.com/channel/UCPBBbFYG51QpjuptQtYfCDA", "siuwaiboy")</f>
        <v>siuwaiboy</v>
      </c>
      <c r="C1024" s="80" t="s">
        <v>1242</v>
      </c>
      <c r="D1024" s="81" t="str">
        <f>HYPERLINK("https://youtube.com/watch?v=75MG9jOHlPc", "隱青是香港的希望")</f>
        <v>隱青是香港的希望</v>
      </c>
      <c r="E1024" s="82">
        <v>43234.0</v>
      </c>
      <c r="F1024" s="80">
        <v>286.0</v>
      </c>
      <c r="G1024" s="80" t="s">
        <v>63</v>
      </c>
      <c r="I1024" s="80" t="s">
        <v>63</v>
      </c>
      <c r="J1024" s="80">
        <v>1330.0</v>
      </c>
      <c r="K1024" s="80">
        <v>0.990320178704393</v>
      </c>
      <c r="L1024" s="80" t="s">
        <v>64</v>
      </c>
    </row>
    <row r="1025">
      <c r="A1025" s="80" t="s">
        <v>61</v>
      </c>
      <c r="B1025" s="81" t="str">
        <f>HYPERLINK("https://www.youtube.com/channel/UCJ4XVrJuqKHbc9yF9oUFseg", "MEeeep More")</f>
        <v>MEeeep More</v>
      </c>
      <c r="C1025" s="80" t="s">
        <v>1243</v>
      </c>
      <c r="D1025" s="81" t="str">
        <f>HYPERLINK("https://youtube.com/watch?v=77_79bKCkFo", "【開箱評測】Samsung Galaxy S20 Ultra 5G 影相篇: 100x Space Zoom + 1億800萬像素有幾靚！ 108MP 香港5G")</f>
        <v>【開箱評測】Samsung Galaxy S20 Ultra 5G 影相篇: 100x Space Zoom + 1億800萬像素有幾靚！ 108MP 香港5G</v>
      </c>
      <c r="E1025" s="82">
        <v>43929.0</v>
      </c>
      <c r="F1025" s="80">
        <v>262.0</v>
      </c>
      <c r="G1025" s="80" t="s">
        <v>63</v>
      </c>
      <c r="I1025" s="80" t="s">
        <v>63</v>
      </c>
      <c r="J1025" s="80">
        <v>747.0</v>
      </c>
      <c r="K1025" s="80">
        <v>0.827242524916943</v>
      </c>
      <c r="L1025" s="80" t="s">
        <v>64</v>
      </c>
    </row>
    <row r="1026">
      <c r="A1026" s="80" t="s">
        <v>1000</v>
      </c>
      <c r="B1026" s="81" t="str">
        <f>HYPERLINK("https://www.youtube.com/channel/UChJQlg1b_cOttPX3SiIh5gA", "Lau Dinha in Hong Kong - Hong Kong in the World")</f>
        <v>Lau Dinha in Hong Kong - Hong Kong in the World</v>
      </c>
      <c r="C1026" s="80" t="s">
        <v>1244</v>
      </c>
      <c r="D1026" s="81" t="str">
        <f>HYPERLINK("https://youtube.com/watch?v=79-F_wwSVu0", "學好廣東話，請燒掉你的教科書")</f>
        <v>學好廣東話，請燒掉你的教科書</v>
      </c>
      <c r="E1026" s="82">
        <v>44346.0</v>
      </c>
      <c r="F1026" s="80">
        <v>341.0</v>
      </c>
      <c r="G1026" s="80" t="s">
        <v>63</v>
      </c>
      <c r="H1026" s="80" t="s">
        <v>63</v>
      </c>
      <c r="I1026" s="80" t="s">
        <v>63</v>
      </c>
      <c r="J1026" s="80">
        <v>1258.0</v>
      </c>
      <c r="K1026" s="80">
        <v>0.945864661654135</v>
      </c>
      <c r="L1026" s="80" t="s">
        <v>776</v>
      </c>
    </row>
    <row r="1027">
      <c r="A1027" s="80" t="s">
        <v>96</v>
      </c>
      <c r="B1027" s="81" t="str">
        <f>HYPERLINK("https://www.youtube.com/channel/UCGtyHJ-L_4RDIHe3XaLofQQ", "Anson Cheung")</f>
        <v>Anson Cheung</v>
      </c>
      <c r="C1027" s="80" t="s">
        <v>1245</v>
      </c>
      <c r="D1027" s="81" t="str">
        <f>HYPERLINK("https://youtube.com/watch?v=7ChmkN9SpRU", "Samsung Galaxy View Review - 另一個Samsung的巨屏實驗")</f>
        <v>Samsung Galaxy View Review - 另一個Samsung的巨屏實驗</v>
      </c>
      <c r="E1027" s="82">
        <v>42551.0</v>
      </c>
      <c r="F1027" s="80">
        <v>463.0</v>
      </c>
      <c r="G1027" s="80" t="s">
        <v>63</v>
      </c>
      <c r="I1027" s="80" t="s">
        <v>63</v>
      </c>
      <c r="J1027" s="80">
        <v>1256.0</v>
      </c>
      <c r="K1027" s="80">
        <v>0.577205882352941</v>
      </c>
      <c r="L1027" s="80" t="s">
        <v>64</v>
      </c>
    </row>
    <row r="1028">
      <c r="A1028" s="80" t="s">
        <v>94</v>
      </c>
      <c r="B1028" s="81" t="str">
        <f>HYPERLINK("https://www.youtube.com/channel/UCT_dMyI3pNselsmfR6FC8tQ", "PrideLab")</f>
        <v>PrideLab</v>
      </c>
      <c r="C1028" s="80" t="s">
        <v>1246</v>
      </c>
      <c r="D1028" s="81" t="str">
        <f>HYPERLINK("https://youtube.com/watch?v=7E2xO8JZmf0", "【FB直播精華】戀愛成人課：同意下非單一關係 | PrideLab x Miss Wow | 多元關係實踐分享")</f>
        <v>【FB直播精華】戀愛成人課：同意下非單一關係 | PrideLab x Miss Wow | 多元關係實踐分享</v>
      </c>
      <c r="E1028" s="82">
        <v>44193.0</v>
      </c>
      <c r="F1028" s="80">
        <v>2182.0</v>
      </c>
      <c r="G1028" s="80" t="s">
        <v>63</v>
      </c>
      <c r="I1028" s="80" t="s">
        <v>63</v>
      </c>
      <c r="J1028" s="80">
        <v>8702.0</v>
      </c>
      <c r="K1028" s="80">
        <v>0.897020925677765</v>
      </c>
      <c r="L1028" s="80" t="s">
        <v>64</v>
      </c>
    </row>
    <row r="1029">
      <c r="A1029" s="80" t="s">
        <v>61</v>
      </c>
      <c r="B1029" s="81" t="str">
        <f>HYPERLINK("https://www.youtube.com/channel/UCJ4XVrJuqKHbc9yF9oUFseg", "MEeeep More")</f>
        <v>MEeeep More</v>
      </c>
      <c r="C1029" s="80" t="s">
        <v>1247</v>
      </c>
      <c r="D1029" s="81" t="str">
        <f>HYPERLINK("https://youtube.com/watch?v=7GjmdiV0UBU", "[麻辣火鍋] 渝味曉宇 | 正宗重慶麻辣火鍋 嶄新10秒豬腰食法 | 渝味曉宇重慶老火鍋 重慶火鍋 麻辣燙 麻辣火鍋香港 #香港美食")</f>
        <v>[麻辣火鍋] 渝味曉宇 | 正宗重慶麻辣火鍋 嶄新10秒豬腰食法 | 渝味曉宇重慶老火鍋 重慶火鍋 麻辣燙 麻辣火鍋香港 #香港美食</v>
      </c>
      <c r="E1029" s="82">
        <v>44439.0</v>
      </c>
      <c r="F1029" s="80">
        <v>333.0</v>
      </c>
      <c r="G1029" s="80" t="s">
        <v>63</v>
      </c>
      <c r="I1029" s="80" t="s">
        <v>63</v>
      </c>
      <c r="J1029" s="80">
        <v>972.0</v>
      </c>
      <c r="K1029" s="80">
        <v>0.936416184971098</v>
      </c>
      <c r="L1029" s="80" t="s">
        <v>64</v>
      </c>
    </row>
    <row r="1030">
      <c r="A1030" s="80" t="s">
        <v>94</v>
      </c>
      <c r="B1030" s="81" t="str">
        <f>HYPERLINK("https://www.youtube.com/channel/UCT_dMyI3pNselsmfR6FC8tQ", "PrideLab")</f>
        <v>PrideLab</v>
      </c>
      <c r="C1030" s="80" t="s">
        <v>1248</v>
      </c>
      <c r="D1030" s="81" t="str">
        <f>HYPERLINK("https://youtube.com/watch?v=7IO3Tudi1Ek", "Daily日日操 - TB點練平胸篇")</f>
        <v>Daily日日操 - TB點練平胸篇</v>
      </c>
      <c r="E1030" s="82">
        <v>42854.0</v>
      </c>
      <c r="F1030" s="80">
        <v>543.0</v>
      </c>
      <c r="G1030" s="80" t="s">
        <v>63</v>
      </c>
      <c r="I1030" s="80" t="s">
        <v>63</v>
      </c>
      <c r="J1030" s="80">
        <v>1989.0</v>
      </c>
      <c r="K1030" s="80">
        <v>0.866666666666666</v>
      </c>
      <c r="L1030" s="80" t="s">
        <v>64</v>
      </c>
    </row>
    <row r="1031">
      <c r="A1031" s="80" t="s">
        <v>1010</v>
      </c>
      <c r="B1031" s="81" t="str">
        <f>HYPERLINK("https://www.youtube.com/channel/UC-nV0odAiVdjH3gB_uSeTcQ", "wepro180")</f>
        <v>wepro180</v>
      </c>
      <c r="C1031" s="80" t="s">
        <v>1249</v>
      </c>
      <c r="D1031" s="81" t="str">
        <f>HYPERLINK("https://youtube.com/watch?v=7THf8ym0vAM", "edvance 特約【wepro 教室 07】嘉倩 180 - Cross Site Scripting XSS")</f>
        <v>edvance 特約【wepro 教室 07】嘉倩 180 - Cross Site Scripting XSS</v>
      </c>
      <c r="E1031" s="82">
        <v>43220.0</v>
      </c>
      <c r="F1031" s="80">
        <v>64.0</v>
      </c>
      <c r="G1031" s="80" t="s">
        <v>63</v>
      </c>
      <c r="I1031" s="80" t="s">
        <v>63</v>
      </c>
      <c r="J1031" s="80">
        <v>249.0</v>
      </c>
      <c r="K1031" s="80">
        <v>0.770897832817337</v>
      </c>
      <c r="L1031" s="80" t="s">
        <v>64</v>
      </c>
    </row>
    <row r="1032">
      <c r="A1032" s="80" t="s">
        <v>274</v>
      </c>
      <c r="B1032" s="81" t="str">
        <f>HYPERLINK("https://www.youtube.com/channel/UC2oB9QCXs-RKtaKChrz4dKg", "MtzCherry")</f>
        <v>MtzCherry</v>
      </c>
      <c r="C1032" s="80" t="s">
        <v>1250</v>
      </c>
      <c r="D1032" s="81" t="str">
        <f>HYPERLINK("https://youtube.com/watch?v=7WNr7fjddUM", "🇭🇰第一次參加手作市集做店長😳 My first handicraft market experience!")</f>
        <v>🇭🇰第一次參加手作市集做店長😳 My first handicraft market experience!</v>
      </c>
      <c r="E1032" s="82">
        <v>43204.0</v>
      </c>
      <c r="F1032" s="80">
        <v>198.0</v>
      </c>
      <c r="G1032" s="80" t="s">
        <v>63</v>
      </c>
      <c r="I1032" s="80" t="s">
        <v>63</v>
      </c>
      <c r="J1032" s="80">
        <v>56.0</v>
      </c>
      <c r="K1032" s="80">
        <v>0.622222222222222</v>
      </c>
      <c r="L1032" s="80" t="s">
        <v>1132</v>
      </c>
    </row>
    <row r="1033">
      <c r="A1033" s="80" t="s">
        <v>74</v>
      </c>
      <c r="B1033" s="81" t="str">
        <f>HYPERLINK("https://www.youtube.com/channel/UCO_5XP-qd-udNxBlzzSzgvw", "Handline Fishing")</f>
        <v>Handline Fishing</v>
      </c>
      <c r="C1033" s="80" t="s">
        <v>1251</v>
      </c>
      <c r="D1033" s="81" t="str">
        <f>HYPERLINK("https://youtube.com/watch?v=7dJvajxSBLI", "#174 完美的一小時 | 『香港釣魚 : 艇釣』青龍頭 {粵語旁白+中英文字幕}")</f>
        <v>#174 完美的一小時 | 『香港釣魚 : 艇釣』青龍頭 {粵語旁白+中英文字幕}</v>
      </c>
      <c r="E1033" s="82">
        <v>44183.0</v>
      </c>
      <c r="F1033" s="80">
        <v>481.0</v>
      </c>
      <c r="G1033" s="80" t="s">
        <v>63</v>
      </c>
      <c r="I1033" s="80" t="s">
        <v>63</v>
      </c>
      <c r="J1033" s="80">
        <v>889.0</v>
      </c>
      <c r="K1033" s="80">
        <v>0.974780701754385</v>
      </c>
      <c r="L1033" s="80" t="s">
        <v>271</v>
      </c>
    </row>
    <row r="1034">
      <c r="A1034" s="80" t="s">
        <v>61</v>
      </c>
      <c r="B1034" s="81" t="str">
        <f>HYPERLINK("https://www.youtube.com/channel/UCJ4XVrJuqKHbc9yF9oUFseg", "MEeeep More")</f>
        <v>MEeeep More</v>
      </c>
      <c r="C1034" s="80" t="s">
        <v>1252</v>
      </c>
      <c r="D1034" s="81" t="str">
        <f>HYPERLINK("https://youtube.com/watch?v=7nYj0yLsjfI", "冰皮月餅 簡易食譜 - Step by Step 新手無難度！5分鐘學識 零失敗 綠茶月餅 榴槤月餅 冰皮月餅做法 冰皮月餅材料 月餅食譜 snowy mooncake recipe 親子廚房 中秋節")</f>
        <v>冰皮月餅 簡易食譜 - Step by Step 新手無難度！5分鐘學識 零失敗 綠茶月餅 榴槤月餅 冰皮月餅做法 冰皮月餅材料 月餅食譜 snowy mooncake recipe 親子廚房 中秋節</v>
      </c>
      <c r="E1034" s="82">
        <v>44089.0</v>
      </c>
      <c r="F1034" s="80">
        <v>378.0</v>
      </c>
      <c r="G1034" s="80" t="s">
        <v>63</v>
      </c>
      <c r="I1034" s="80" t="s">
        <v>63</v>
      </c>
      <c r="J1034" s="80">
        <v>963.0</v>
      </c>
      <c r="K1034" s="80">
        <v>0.947834645669291</v>
      </c>
      <c r="L1034" s="80" t="s">
        <v>64</v>
      </c>
    </row>
    <row r="1035">
      <c r="A1035" s="80" t="s">
        <v>71</v>
      </c>
      <c r="B1035" s="81" t="str">
        <f>HYPERLINK("https://www.youtube.com/channel/UCXTE-gQCetfrx_lC9yFM2aw", "arhoTV")</f>
        <v>arhoTV</v>
      </c>
      <c r="C1035" s="80" t="s">
        <v>1253</v>
      </c>
      <c r="D1035" s="81" t="str">
        <f>HYPERLINK("https://youtube.com/watch?v=7p2grTlFQ7E", "【好嬲】聖誕節俾觀眾騷擾！？")</f>
        <v>【好嬲】聖誕節俾觀眾騷擾！？</v>
      </c>
      <c r="E1035" s="82">
        <v>43093.0</v>
      </c>
      <c r="F1035" s="80">
        <v>165.0</v>
      </c>
      <c r="G1035" s="80" t="s">
        <v>63</v>
      </c>
      <c r="I1035" s="80" t="s">
        <v>63</v>
      </c>
      <c r="J1035" s="80">
        <v>597.0</v>
      </c>
      <c r="K1035" s="80">
        <v>0.814461118690313</v>
      </c>
      <c r="L1035" s="80" t="s">
        <v>745</v>
      </c>
    </row>
    <row r="1036">
      <c r="A1036" s="80" t="s">
        <v>74</v>
      </c>
      <c r="B1036" s="81" t="str">
        <f>HYPERLINK("https://www.youtube.com/channel/UCO_5XP-qd-udNxBlzzSzgvw", "Handline Fishing")</f>
        <v>Handline Fishing</v>
      </c>
      <c r="C1036" s="80" t="s">
        <v>1254</v>
      </c>
      <c r="D1036" s="81" t="str">
        <f>HYPERLINK("https://youtube.com/watch?v=7xJQS8rK0Bc", "#87 第一次玩筏仔就中烏頭啦，被毒到面青口唇白『香港釣魚 : 岸釣』東涌橋墩 {粵語旁白+中英文字幕}")</f>
        <v>#87 第一次玩筏仔就中烏頭啦，被毒到面青口唇白『香港釣魚 : 岸釣』東涌橋墩 {粵語旁白+中英文字幕}</v>
      </c>
      <c r="E1036" s="82">
        <v>43892.0</v>
      </c>
      <c r="F1036" s="80">
        <v>297.0</v>
      </c>
      <c r="G1036" s="80" t="s">
        <v>63</v>
      </c>
      <c r="I1036" s="80" t="s">
        <v>63</v>
      </c>
      <c r="J1036" s="80">
        <v>858.0</v>
      </c>
      <c r="K1036" s="80">
        <v>0.938730853391684</v>
      </c>
      <c r="L1036" s="80" t="s">
        <v>76</v>
      </c>
    </row>
    <row r="1037">
      <c r="A1037" s="80" t="s">
        <v>61</v>
      </c>
      <c r="B1037" s="81" t="str">
        <f>HYPERLINK("https://www.youtube.com/channel/UCJ4XVrJuqKHbc9yF9oUFseg", "MEeeep More")</f>
        <v>MEeeep More</v>
      </c>
      <c r="C1037" s="80" t="s">
        <v>1255</v>
      </c>
      <c r="D1037" s="81" t="str">
        <f>HYPERLINK("https://youtube.com/watch?v=819yQrtCnVw", "Melbourne 墨爾本 Brighton Bathing Box 邊間屋仔最搶鏡？")</f>
        <v>Melbourne 墨爾本 Brighton Bathing Box 邊間屋仔最搶鏡？</v>
      </c>
      <c r="E1037" s="82">
        <v>43822.0</v>
      </c>
      <c r="F1037" s="80">
        <v>116.0</v>
      </c>
      <c r="G1037" s="80" t="s">
        <v>63</v>
      </c>
      <c r="I1037" s="80" t="s">
        <v>63</v>
      </c>
      <c r="J1037" s="80">
        <v>350.0</v>
      </c>
      <c r="K1037" s="80">
        <v>0.817757009345794</v>
      </c>
      <c r="L1037" s="80" t="s">
        <v>64</v>
      </c>
    </row>
    <row r="1038">
      <c r="A1038" s="80" t="s">
        <v>112</v>
      </c>
      <c r="B1038" s="81" t="str">
        <f>HYPERLINK("https://www.youtube.com/channel/UCW_n_gfIv4HhRqCk8EnRhJA", "Happy Kongner")</f>
        <v>Happy Kongner</v>
      </c>
      <c r="C1038" s="80" t="s">
        <v>1256</v>
      </c>
      <c r="D1038" s="81" t="str">
        <f>HYPERLINK("https://youtube.com/watch?v=820gJV3ZUM4", "[爛蕃茄92%] [劇透] 層出不窮嘅驚喜之作— Spider-Man: Far From Home《蜘蛛俠：決戰千里》 簡評/劇情分析 [𠝹櫈電影學會]")</f>
        <v>[爛蕃茄92%] [劇透] 層出不窮嘅驚喜之作— Spider-Man: Far From Home《蜘蛛俠：決戰千里》 簡評/劇情分析 [𠝹櫈電影學會]</v>
      </c>
      <c r="E1038" s="82">
        <v>43651.0</v>
      </c>
      <c r="F1038" s="80">
        <v>1110.0</v>
      </c>
      <c r="G1038" s="80" t="s">
        <v>63</v>
      </c>
      <c r="I1038" s="80" t="s">
        <v>63</v>
      </c>
      <c r="J1038" s="80">
        <v>5748.0</v>
      </c>
      <c r="K1038" s="80">
        <v>0.803129802990079</v>
      </c>
      <c r="L1038" s="80" t="s">
        <v>64</v>
      </c>
    </row>
    <row r="1039">
      <c r="A1039" s="80" t="s">
        <v>274</v>
      </c>
      <c r="B1039" s="81" t="str">
        <f>HYPERLINK("https://www.youtube.com/channel/UC2oB9QCXs-RKtaKChrz4dKg", "MtzCherry")</f>
        <v>MtzCherry</v>
      </c>
      <c r="C1039" s="80" t="s">
        <v>1257</v>
      </c>
      <c r="D1039" s="81" t="str">
        <f>HYPERLINK("https://youtube.com/watch?v=84iOiy807oo", "🇭🇰🇰🇷  [VLOG] 한국친구가 다 홍콩에 왔니?!")</f>
        <v>🇭🇰🇰🇷  [VLOG] 한국친구가 다 홍콩에 왔니?!</v>
      </c>
      <c r="E1039" s="82">
        <v>43138.0</v>
      </c>
      <c r="F1039" s="80">
        <v>191.0</v>
      </c>
      <c r="G1039" s="80" t="s">
        <v>63</v>
      </c>
      <c r="I1039" s="80" t="s">
        <v>63</v>
      </c>
      <c r="J1039" s="80">
        <v>513.0</v>
      </c>
      <c r="K1039" s="80">
        <v>0.791666666666666</v>
      </c>
      <c r="L1039" s="80" t="s">
        <v>1258</v>
      </c>
    </row>
    <row r="1040">
      <c r="A1040" s="80" t="s">
        <v>1010</v>
      </c>
      <c r="B1040" s="81" t="str">
        <f>HYPERLINK("https://www.youtube.com/channel/UC-nV0odAiVdjH3gB_uSeTcQ", "wepro180")</f>
        <v>wepro180</v>
      </c>
      <c r="C1040" s="80" t="s">
        <v>1259</v>
      </c>
      <c r="D1040" s="81" t="str">
        <f>HYPERLINK("https://youtube.com/watch?v=84qSm4iviDs", "edvance 特約【wepro 教室 08】嘉倩 180 ─ Web Application Firewall")</f>
        <v>edvance 特約【wepro 教室 08】嘉倩 180 ─ Web Application Firewall</v>
      </c>
      <c r="E1040" s="82">
        <v>43221.0</v>
      </c>
      <c r="F1040" s="80">
        <v>71.0</v>
      </c>
      <c r="G1040" s="80" t="s">
        <v>63</v>
      </c>
      <c r="I1040" s="80" t="s">
        <v>63</v>
      </c>
      <c r="J1040" s="80">
        <v>258.0</v>
      </c>
      <c r="K1040" s="80">
        <v>0.801242236024844</v>
      </c>
      <c r="L1040" s="80" t="s">
        <v>64</v>
      </c>
    </row>
    <row r="1041">
      <c r="A1041" s="80" t="s">
        <v>1260</v>
      </c>
      <c r="B1041" s="81" t="str">
        <f>HYPERLINK("https://www.youtube.com/channel/UCh1k4i86BpiXEO3nzJIYynw", "The Wave")</f>
        <v>The Wave</v>
      </c>
      <c r="C1041" s="80" t="s">
        <v>1261</v>
      </c>
      <c r="D1041" s="81" t="str">
        <f>HYPERLINK("https://youtube.com/watch?v=64TvrSdVFpU", "TheWave | Xperia 1可能係最後一部Xperia?!!")</f>
        <v>TheWave | Xperia 1可能係最後一部Xperia?!!</v>
      </c>
      <c r="E1041" s="82">
        <v>43550.0</v>
      </c>
      <c r="F1041" s="80">
        <v>108.0</v>
      </c>
      <c r="G1041" s="80" t="s">
        <v>63</v>
      </c>
      <c r="H1041" s="80" t="s">
        <v>63</v>
      </c>
      <c r="I1041" s="80" t="s">
        <v>63</v>
      </c>
      <c r="J1041" s="80">
        <v>356.0</v>
      </c>
      <c r="K1041" s="80">
        <v>0.648451730418943</v>
      </c>
      <c r="L1041" s="80" t="s">
        <v>120</v>
      </c>
    </row>
    <row r="1042">
      <c r="A1042" s="80" t="s">
        <v>274</v>
      </c>
      <c r="B1042" s="81" t="str">
        <f>HYPERLINK("https://www.youtube.com/channel/UC2oB9QCXs-RKtaKChrz4dKg", "MtzCherry")</f>
        <v>MtzCherry</v>
      </c>
      <c r="C1042" s="80" t="s">
        <v>1262</v>
      </c>
      <c r="D1042" s="81" t="str">
        <f>HYPERLINK("https://youtube.com/watch?v=88NXeGYNcB0", "🎧 READ WITH ME || A Sloth's Guide to Mindfulness 樹懶的逆襲 || ASMR Cantonese &amp; English Bilingual")</f>
        <v>🎧 READ WITH ME || A Sloth's Guide to Mindfulness 樹懶的逆襲 || ASMR Cantonese &amp; English Bilingual</v>
      </c>
      <c r="E1042" s="82">
        <v>44165.0</v>
      </c>
      <c r="F1042" s="80">
        <v>414.0</v>
      </c>
      <c r="G1042" s="80" t="s">
        <v>63</v>
      </c>
      <c r="I1042" s="80" t="s">
        <v>63</v>
      </c>
      <c r="J1042" s="80">
        <v>775.0</v>
      </c>
      <c r="K1042" s="80">
        <v>0.895953757225433</v>
      </c>
      <c r="L1042" s="80" t="s">
        <v>439</v>
      </c>
    </row>
    <row r="1043">
      <c r="A1043" s="80" t="s">
        <v>112</v>
      </c>
      <c r="B1043" s="81" t="str">
        <f>HYPERLINK("https://www.youtube.com/channel/UCW_n_gfIv4HhRqCk8EnRhJA", "Happy Kongner")</f>
        <v>Happy Kongner</v>
      </c>
      <c r="C1043" s="80" t="s">
        <v>1263</v>
      </c>
      <c r="D1043" s="81" t="str">
        <f>HYPERLINK("https://youtube.com/watch?v=8AhSIB-ElHo", "「廣東話講西洋書法」字得其樂 The ABC of Western Calligraphy 上墨")</f>
        <v>「廣東話講西洋書法」字得其樂 The ABC of Western Calligraphy 上墨</v>
      </c>
      <c r="E1043" s="82">
        <v>42951.0</v>
      </c>
      <c r="F1043" s="80">
        <v>369.0</v>
      </c>
      <c r="G1043" s="80" t="s">
        <v>63</v>
      </c>
      <c r="I1043" s="80" t="s">
        <v>63</v>
      </c>
      <c r="J1043" s="80">
        <v>830.0</v>
      </c>
      <c r="K1043" s="80">
        <v>0.891514500537056</v>
      </c>
      <c r="L1043" s="80" t="s">
        <v>64</v>
      </c>
    </row>
    <row r="1044">
      <c r="A1044" s="80" t="s">
        <v>1039</v>
      </c>
      <c r="B1044" s="81" t="str">
        <f>HYPERLINK("https://www.youtube.com/channel/UCiKEIxbv4RTzyLCKG17N-AA", "Hunting Archer")</f>
        <v>Hunting Archer</v>
      </c>
      <c r="C1044" s="80" t="s">
        <v>1264</v>
      </c>
      <c r="D1044" s="81" t="str">
        <f>HYPERLINK("https://youtube.com/watch?v=8CCcRuIVSNQ", "【广州漫步】雨天下的洪桥街 Walk in GuangZhou")</f>
        <v>【广州漫步】雨天下的洪桥街 Walk in GuangZhou</v>
      </c>
      <c r="E1044" s="82">
        <v>44372.0</v>
      </c>
      <c r="F1044" s="80">
        <v>1832.0</v>
      </c>
      <c r="G1044" s="80" t="s">
        <v>63</v>
      </c>
      <c r="I1044" s="80" t="s">
        <v>63</v>
      </c>
      <c r="J1044" s="80">
        <v>5518.0</v>
      </c>
      <c r="K1044" s="80">
        <v>0.986943301734931</v>
      </c>
      <c r="L1044" s="80" t="s">
        <v>776</v>
      </c>
    </row>
    <row r="1045">
      <c r="A1045" s="80" t="s">
        <v>74</v>
      </c>
      <c r="B1045" s="81" t="str">
        <f>HYPERLINK("https://www.youtube.com/channel/UCO_5XP-qd-udNxBlzzSzgvw", "Handline Fishing")</f>
        <v>Handline Fishing</v>
      </c>
      <c r="C1045" s="80" t="s">
        <v>1265</v>
      </c>
      <c r="D1045" s="81" t="str">
        <f>HYPERLINK("https://youtube.com/watch?v=8E3-a0sku1c", "#134 魚也移民  | 『香港釣魚 : 艇釣』櫃底 {粵語旁白+中英文字幕}")</f>
        <v>#134 魚也移民  | 『香港釣魚 : 艇釣』櫃底 {粵語旁白+中英文字幕}</v>
      </c>
      <c r="E1045" s="82">
        <v>44036.0</v>
      </c>
      <c r="F1045" s="80">
        <v>383.0</v>
      </c>
      <c r="G1045" s="80" t="s">
        <v>63</v>
      </c>
      <c r="I1045" s="80" t="s">
        <v>63</v>
      </c>
      <c r="J1045" s="80">
        <v>1236.0</v>
      </c>
      <c r="K1045" s="80">
        <v>0.985645933014354</v>
      </c>
      <c r="L1045" s="80" t="s">
        <v>76</v>
      </c>
    </row>
    <row r="1046">
      <c r="A1046" s="80" t="s">
        <v>121</v>
      </c>
      <c r="B1046" s="81" t="str">
        <f>HYPERLINK("https://www.youtube.com/channel/UC-2hWXRgCg-o5Waz36Yt7BA", "Arm Channel TV")</f>
        <v>Arm Channel TV</v>
      </c>
      <c r="C1046" s="80" t="s">
        <v>1266</v>
      </c>
      <c r="D1046" s="81" t="str">
        <f>HYPERLINK("https://youtube.com/watch?v=8NZMK1TsZK8", "唔係嗎😏 香港都有世外桃源？ | 偽香港旅遊雜誌 #03")</f>
        <v>唔係嗎😏 香港都有世外桃源？ | 偽香港旅遊雜誌 #03</v>
      </c>
      <c r="E1046" s="82">
        <v>44284.0</v>
      </c>
      <c r="F1046" s="80">
        <v>430.0</v>
      </c>
      <c r="G1046" s="80" t="s">
        <v>63</v>
      </c>
      <c r="I1046" s="80" t="s">
        <v>63</v>
      </c>
      <c r="J1046" s="80">
        <v>1362.0</v>
      </c>
      <c r="K1046" s="80">
        <v>0.947148817802503</v>
      </c>
      <c r="L1046" s="80" t="s">
        <v>64</v>
      </c>
    </row>
    <row r="1047">
      <c r="A1047" s="80" t="s">
        <v>1128</v>
      </c>
      <c r="B1047" s="81" t="str">
        <f>HYPERLINK("https://www.youtube.com/channel/UCe8jZzHeq8gGiqk5bESfpIw", "前線科技人員")</f>
        <v>前線科技人員</v>
      </c>
      <c r="C1047" s="80" t="s">
        <v>1267</v>
      </c>
      <c r="D1047" s="81" t="str">
        <f>HYPERLINK("https://youtube.com/watch?v=8T6NSyKpB4A", "2016立法會選舉掃盲系列 第三集")</f>
        <v>2016立法會選舉掃盲系列 第三集</v>
      </c>
      <c r="E1047" s="82">
        <v>42612.0</v>
      </c>
      <c r="F1047" s="80">
        <v>200.0</v>
      </c>
      <c r="G1047" s="80" t="s">
        <v>63</v>
      </c>
      <c r="I1047" s="80" t="s">
        <v>63</v>
      </c>
      <c r="J1047" s="80">
        <v>851.0</v>
      </c>
      <c r="K1047" s="80">
        <v>0.982678983833718</v>
      </c>
      <c r="L1047" s="80" t="s">
        <v>64</v>
      </c>
    </row>
    <row r="1048">
      <c r="A1048" s="80" t="s">
        <v>140</v>
      </c>
      <c r="B1048" s="81" t="str">
        <f>HYPERLINK("https://www.youtube.com/channel/UCHK0CZf9HEXs42qIO1GUouA", "TechiCardia")</f>
        <v>TechiCardia</v>
      </c>
      <c r="C1048" s="80" t="s">
        <v>1268</v>
      </c>
      <c r="D1048" s="81" t="str">
        <f>HYPERLINK("https://youtube.com/watch?v=8XvXnNJeSR4", "點解需要家用5G寬頻？SmarTone Home 5G 試用分享！免拉線免安裝費 4日喪用200GB 睇下仲有咩速度🤤//4K 【TechiCardia】[CC 廣東話字幕]")</f>
        <v>點解需要家用5G寬頻？SmarTone Home 5G 試用分享！免拉線免安裝費 4日喪用200GB 睇下仲有咩速度🤤//4K 【TechiCardia】[CC 廣東話字幕]</v>
      </c>
      <c r="E1048" s="82">
        <v>44519.0</v>
      </c>
      <c r="F1048" s="80">
        <v>379.0</v>
      </c>
      <c r="G1048" s="80" t="s">
        <v>63</v>
      </c>
      <c r="I1048" s="80" t="s">
        <v>63</v>
      </c>
      <c r="J1048" s="80">
        <v>1394.0</v>
      </c>
      <c r="K1048" s="80">
        <v>0.760917030567685</v>
      </c>
      <c r="L1048" s="80" t="s">
        <v>102</v>
      </c>
    </row>
    <row r="1049">
      <c r="A1049" s="80" t="s">
        <v>61</v>
      </c>
      <c r="B1049" s="81" t="str">
        <f>HYPERLINK("https://www.youtube.com/channel/UCJ4XVrJuqKHbc9yF9oUFseg", "MEeeep More")</f>
        <v>MEeeep More</v>
      </c>
      <c r="C1049" s="80" t="s">
        <v>1269</v>
      </c>
      <c r="D1049" s="81" t="str">
        <f>HYPERLINK("https://youtube.com/watch?v=8diCgBLdau8", "iPad Air 2020 / iPad Air 4 登場！ 3分鐘懶人包 激似 iPad Pro 飛甩Home掣 窄邊框 Type-C插頭 支援WI-FI 6！iPad Air 第4代")</f>
        <v>iPad Air 2020 / iPad Air 4 登場！ 3分鐘懶人包 激似 iPad Pro 飛甩Home掣 窄邊框 Type-C插頭 支援WI-FI 6！iPad Air 第4代</v>
      </c>
      <c r="E1049" s="82">
        <v>44090.0</v>
      </c>
      <c r="F1049" s="80">
        <v>194.0</v>
      </c>
      <c r="G1049" s="80" t="s">
        <v>63</v>
      </c>
      <c r="I1049" s="80" t="s">
        <v>63</v>
      </c>
      <c r="J1049" s="80">
        <v>454.0</v>
      </c>
      <c r="K1049" s="80">
        <v>0.626206896551724</v>
      </c>
      <c r="L1049" s="80" t="s">
        <v>64</v>
      </c>
    </row>
    <row r="1050">
      <c r="A1050" s="80" t="s">
        <v>74</v>
      </c>
      <c r="B1050" s="81" t="str">
        <f>HYPERLINK("https://www.youtube.com/channel/UCO_5XP-qd-udNxBlzzSzgvw", "Handline Fishing")</f>
        <v>Handline Fishing</v>
      </c>
      <c r="C1050" s="80" t="s">
        <v>1270</v>
      </c>
      <c r="D1050" s="81" t="str">
        <f>HYPERLINK("https://youtube.com/watch?v=8e-bI3bkc_I", "#110 撈粗∙返寨∙∙∙再撈粗『香港釣魚 : 艇釣』維港 {粵語旁白+中英文字幕}")</f>
        <v>#110 撈粗∙返寨∙∙∙再撈粗『香港釣魚 : 艇釣』維港 {粵語旁白+中英文字幕}</v>
      </c>
      <c r="E1050" s="82">
        <v>43956.0</v>
      </c>
      <c r="F1050" s="80">
        <v>608.0</v>
      </c>
      <c r="G1050" s="80" t="s">
        <v>63</v>
      </c>
      <c r="I1050" s="80" t="s">
        <v>63</v>
      </c>
      <c r="J1050" s="80">
        <v>1273.0</v>
      </c>
      <c r="K1050" s="80">
        <v>0.95</v>
      </c>
      <c r="L1050" s="80" t="s">
        <v>76</v>
      </c>
    </row>
    <row r="1051">
      <c r="A1051" s="80" t="s">
        <v>217</v>
      </c>
      <c r="B1051" s="81" t="str">
        <f>HYPERLINK("https://www.youtube.com/channel/UCXKg0qPRz32bs5Z4mTGF3TQ", "Stormtrooper白兵")</f>
        <v>Stormtrooper白兵</v>
      </c>
      <c r="C1051" s="80" t="s">
        <v>1271</v>
      </c>
      <c r="D1051" s="81" t="str">
        <f>HYPERLINK("https://youtube.com/watch?v=8hsRoOMGR7M", "[懶人包]一場瘟疫，一個投票系統，足以顛覆美國二百多年歷史的民主制度！｜中共王岐山、美國深層國家聯手阻止特朗普連任？｜詳細解構背後操作與陰謀！世上最強大的國家是如何被操控總統大選｜[粵語中字]")</f>
        <v>[懶人包]一場瘟疫，一個投票系統，足以顛覆美國二百多年歷史的民主制度！｜中共王岐山、美國深層國家聯手阻止特朗普連任？｜詳細解構背後操作與陰謀！世上最強大的國家是如何被操控總統大選｜[粵語中字]</v>
      </c>
      <c r="E1051" s="82">
        <v>44175.0</v>
      </c>
      <c r="F1051" s="80">
        <v>1014.0</v>
      </c>
      <c r="G1051" s="80" t="s">
        <v>63</v>
      </c>
      <c r="H1051" s="80" t="s">
        <v>63</v>
      </c>
      <c r="I1051" s="80" t="s">
        <v>63</v>
      </c>
      <c r="J1051" s="80">
        <v>4070.0</v>
      </c>
      <c r="K1051" s="80">
        <v>0.766334023724345</v>
      </c>
      <c r="L1051" s="80" t="s">
        <v>86</v>
      </c>
    </row>
    <row r="1052">
      <c r="A1052" s="80" t="s">
        <v>61</v>
      </c>
      <c r="B1052" s="81" t="str">
        <f>HYPERLINK("https://www.youtube.com/channel/UCJ4XVrJuqKHbc9yF9oUFseg", "MEeeep More")</f>
        <v>MEeeep More</v>
      </c>
      <c r="C1052" s="80" t="s">
        <v>1272</v>
      </c>
      <c r="D1052" s="81" t="str">
        <f>HYPERLINK("https://youtube.com/watch?v=8iKzJCrseEo", "無得出街打邊爐？ 時興「在家打邊爐」… 點解有得睇無得食呢？暖之鍋 Warm in the pot hotpot 在家食火鍋  火鍋外送 外賣火鍋香港")</f>
        <v>無得出街打邊爐？ 時興「在家打邊爐」… 點解有得睇無得食呢？暖之鍋 Warm in the pot hotpot 在家食火鍋  火鍋外送 外賣火鍋香港</v>
      </c>
      <c r="E1052" s="82">
        <v>44077.0</v>
      </c>
      <c r="F1052" s="80">
        <v>172.0</v>
      </c>
      <c r="G1052" s="80" t="s">
        <v>63</v>
      </c>
      <c r="I1052" s="80" t="s">
        <v>63</v>
      </c>
      <c r="J1052" s="80">
        <v>475.0</v>
      </c>
      <c r="K1052" s="80">
        <v>0.874769797421731</v>
      </c>
      <c r="L1052" s="80" t="s">
        <v>64</v>
      </c>
    </row>
    <row r="1053">
      <c r="A1053" s="80" t="s">
        <v>260</v>
      </c>
      <c r="B1053" s="81" t="str">
        <f>HYPERLINK("https://www.youtube.com/channel/UC-HXOikkLx7BGEfILGIpYOg", "港短 . 英移")</f>
        <v>港短 . 英移</v>
      </c>
      <c r="C1053" s="80" t="s">
        <v>1273</v>
      </c>
      <c r="D1053" s="81" t="str">
        <f>HYPERLINK("https://youtube.com/watch?v=8j8iocLv_NU", "Milton Keynes 係唔係你杯茶呢🍵? | 港短.英移 #HongKonger #英國移民 #英國生活 #英國香港人")</f>
        <v>Milton Keynes 係唔係你杯茶呢🍵? | 港短.英移 #HongKonger #英國移民 #英國生活 #英國香港人</v>
      </c>
      <c r="E1053" s="82">
        <v>44525.0</v>
      </c>
      <c r="F1053" s="80">
        <v>503.0</v>
      </c>
      <c r="G1053" s="80" t="s">
        <v>63</v>
      </c>
      <c r="I1053" s="80" t="s">
        <v>63</v>
      </c>
      <c r="J1053" s="80">
        <v>1723.0</v>
      </c>
      <c r="K1053" s="80">
        <v>0.645802098950524</v>
      </c>
      <c r="L1053" s="80" t="s">
        <v>102</v>
      </c>
    </row>
    <row r="1054">
      <c r="A1054" s="80" t="s">
        <v>61</v>
      </c>
      <c r="B1054" s="81" t="str">
        <f>HYPERLINK("https://www.youtube.com/channel/UCJ4XVrJuqKHbc9yF9oUFseg", "MEeeep More")</f>
        <v>MEeeep More</v>
      </c>
      <c r="C1054" s="80" t="s">
        <v>1274</v>
      </c>
      <c r="D1054" s="81" t="str">
        <f>HYPERLINK("https://youtube.com/watch?v=8r7yFwv18bE", "POCO X3 GT 開箱評測 | $2399 雙5G連線 + Wi-Fi 6 5G測速有驚喜！| xiaomi poco x3 gt 5g wifi6 mediatek1100 香港5G 新機開箱")</f>
        <v>POCO X3 GT 開箱評測 | $2399 雙5G連線 + Wi-Fi 6 5G測速有驚喜！| xiaomi poco x3 gt 5g wifi6 mediatek1100 香港5G 新機開箱</v>
      </c>
      <c r="E1054" s="82">
        <v>44424.0</v>
      </c>
      <c r="F1054" s="80">
        <v>177.0</v>
      </c>
      <c r="G1054" s="80" t="s">
        <v>63</v>
      </c>
      <c r="I1054" s="80" t="s">
        <v>63</v>
      </c>
      <c r="J1054" s="80">
        <v>452.0</v>
      </c>
      <c r="K1054" s="80">
        <v>0.743421052631579</v>
      </c>
      <c r="L1054" s="80" t="s">
        <v>64</v>
      </c>
    </row>
    <row r="1055">
      <c r="A1055" s="80" t="s">
        <v>217</v>
      </c>
      <c r="B1055" s="81" t="str">
        <f>HYPERLINK("https://www.youtube.com/channel/UCXKg0qPRz32bs5Z4mTGF3TQ", "Stormtrooper白兵")</f>
        <v>Stormtrooper白兵</v>
      </c>
      <c r="C1055" s="80" t="s">
        <v>1275</v>
      </c>
      <c r="D1055" s="81" t="str">
        <f>HYPERLINK("https://youtube.com/watch?v=9-4XbypMT44", "[終極懶人包]以色列點解咁勁？｜國際博弈的道德批判｜歷史、宗教、政治、金錢造成的千年不解情仇｜香港人應唔應該支持佢地？")</f>
        <v>[終極懶人包]以色列點解咁勁？｜國際博弈的道德批判｜歷史、宗教、政治、金錢造成的千年不解情仇｜香港人應唔應該支持佢地？</v>
      </c>
      <c r="E1055" s="82">
        <v>44336.0</v>
      </c>
      <c r="F1055" s="80">
        <v>1100.0</v>
      </c>
      <c r="G1055" s="80" t="s">
        <v>63</v>
      </c>
      <c r="H1055" s="80" t="s">
        <v>63</v>
      </c>
      <c r="I1055" s="80" t="s">
        <v>63</v>
      </c>
      <c r="J1055" s="80">
        <v>4323.0</v>
      </c>
      <c r="K1055" s="80">
        <v>0.968630965718126</v>
      </c>
      <c r="L1055" s="80" t="s">
        <v>86</v>
      </c>
    </row>
    <row r="1056">
      <c r="A1056" s="80" t="s">
        <v>96</v>
      </c>
      <c r="B1056" s="81" t="str">
        <f>HYPERLINK("https://www.youtube.com/channel/UCGtyHJ-L_4RDIHe3XaLofQQ", "Anson Cheung")</f>
        <v>Anson Cheung</v>
      </c>
      <c r="C1056" s="80" t="s">
        <v>1276</v>
      </c>
      <c r="D1056" s="81" t="str">
        <f>HYPERLINK("https://youtube.com/watch?v=9-iVjlyVw4k", "SONY Xperia XZ3 令我對SONY手機改觀🤨 | Anson Cheung 手機評測")</f>
        <v>SONY Xperia XZ3 令我對SONY手機改觀🤨 | Anson Cheung 手機評測</v>
      </c>
      <c r="E1056" s="82">
        <v>43404.0</v>
      </c>
      <c r="F1056" s="80">
        <v>649.0</v>
      </c>
      <c r="G1056" s="80" t="s">
        <v>63</v>
      </c>
      <c r="I1056" s="80" t="s">
        <v>63</v>
      </c>
      <c r="J1056" s="80">
        <v>2478.0</v>
      </c>
      <c r="K1056" s="80">
        <v>0.736842105263157</v>
      </c>
      <c r="L1056" s="80" t="s">
        <v>64</v>
      </c>
    </row>
    <row r="1057">
      <c r="A1057" s="80" t="s">
        <v>1114</v>
      </c>
      <c r="B1057" s="81" t="str">
        <f>HYPERLINK("https://www.youtube.com/channel/UC9NrLPKByyTyjNa41FCtV1Q", "Miss Tiara")</f>
        <v>Miss Tiara</v>
      </c>
      <c r="C1057" s="80" t="s">
        <v>1277</v>
      </c>
      <c r="D1057" s="81" t="str">
        <f>HYPERLINK("https://youtube.com/watch?v=94ipG9eQOuU", "有爆肌熊冇肩頸痛")</f>
        <v>有爆肌熊冇肩頸痛</v>
      </c>
      <c r="E1057" s="82">
        <v>42009.0</v>
      </c>
      <c r="F1057" s="80">
        <v>100.0</v>
      </c>
      <c r="G1057" s="80" t="s">
        <v>63</v>
      </c>
      <c r="I1057" s="80" t="s">
        <v>63</v>
      </c>
      <c r="J1057" s="80">
        <v>31.0</v>
      </c>
      <c r="K1057" s="80">
        <v>1.0</v>
      </c>
      <c r="L1057" s="80" t="s">
        <v>745</v>
      </c>
    </row>
    <row r="1058">
      <c r="A1058" s="80" t="s">
        <v>82</v>
      </c>
      <c r="B1058" s="81" t="str">
        <f>HYPERLINK("https://www.youtube.com/channel/UC6C2hkbggXIgapf5jn_V2Dw", "SpongeMob 852")</f>
        <v>SpongeMob 852</v>
      </c>
      <c r="C1058" s="80" t="s">
        <v>1278</v>
      </c>
      <c r="D1058" s="81" t="str">
        <f>HYPERLINK("https://youtube.com/watch?v=94s91XdkuE4", "Novel Flash X Teddy Beer - 和氣生財 Rich &amp; Peace [Official Music Video]")</f>
        <v>Novel Flash X Teddy Beer - 和氣生財 Rich &amp; Peace [Official Music Video]</v>
      </c>
      <c r="E1058" s="82">
        <v>44071.0</v>
      </c>
      <c r="F1058" s="80">
        <v>201.0</v>
      </c>
      <c r="G1058" s="80" t="s">
        <v>63</v>
      </c>
      <c r="I1058" s="80" t="s">
        <v>63</v>
      </c>
      <c r="J1058" s="80">
        <v>553.0</v>
      </c>
      <c r="K1058" s="80">
        <v>0.657550535077288</v>
      </c>
      <c r="L1058" s="80" t="s">
        <v>64</v>
      </c>
    </row>
    <row r="1059">
      <c r="A1059" s="80" t="s">
        <v>1010</v>
      </c>
      <c r="B1059" s="81" t="str">
        <f>HYPERLINK("https://www.youtube.com/channel/UC-nV0odAiVdjH3gB_uSeTcQ", "wepro180")</f>
        <v>wepro180</v>
      </c>
      <c r="C1059" s="80" t="s">
        <v>1279</v>
      </c>
      <c r="D1059" s="81" t="str">
        <f>HYPERLINK("https://youtube.com/watch?v=95Xe5Kg7png", "edvance 特約【wepro 教室 09】嘉倩 180 ─ Phishing")</f>
        <v>edvance 特約【wepro 教室 09】嘉倩 180 ─ Phishing</v>
      </c>
      <c r="E1059" s="82">
        <v>43222.0</v>
      </c>
      <c r="F1059" s="80">
        <v>60.0</v>
      </c>
      <c r="G1059" s="80" t="s">
        <v>63</v>
      </c>
      <c r="I1059" s="80" t="s">
        <v>63</v>
      </c>
      <c r="J1059" s="80">
        <v>211.0</v>
      </c>
      <c r="K1059" s="80">
        <v>0.82421875</v>
      </c>
      <c r="L1059" s="80" t="s">
        <v>64</v>
      </c>
    </row>
    <row r="1060">
      <c r="A1060" s="80" t="s">
        <v>1280</v>
      </c>
      <c r="B1060" s="81" t="str">
        <f>HYPERLINK("https://www.youtube.com/channel/UCE_8XiKCl79p7UZoStMu4RA", "Dr Winnie Chor Linguistics Lab")</f>
        <v>Dr Winnie Chor Linguistics Lab</v>
      </c>
      <c r="C1060" s="80" t="s">
        <v>1281</v>
      </c>
      <c r="D1060" s="81" t="str">
        <f>HYPERLINK("https://youtube.com/watch?v=979uLxBORac", "跟左博士學語言學 【發音篇】Speaking English with a Cantonese mind (3) - vowel sounds")</f>
        <v>跟左博士學語言學 【發音篇】Speaking English with a Cantonese mind (3) - vowel sounds</v>
      </c>
      <c r="E1060" s="82">
        <v>43964.0</v>
      </c>
      <c r="F1060" s="80">
        <v>764.0</v>
      </c>
      <c r="G1060" s="80" t="s">
        <v>63</v>
      </c>
      <c r="I1060" s="80" t="s">
        <v>63</v>
      </c>
      <c r="J1060" s="80">
        <v>2554.0</v>
      </c>
      <c r="K1060" s="80">
        <v>0.731805157593123</v>
      </c>
      <c r="L1060" s="80" t="s">
        <v>102</v>
      </c>
    </row>
    <row r="1061">
      <c r="A1061" s="80" t="s">
        <v>217</v>
      </c>
      <c r="B1061" s="81" t="str">
        <f>HYPERLINK("https://www.youtube.com/channel/UCXKg0qPRz32bs5Z4mTGF3TQ", "Stormtrooper白兵")</f>
        <v>Stormtrooper白兵</v>
      </c>
      <c r="C1061" s="80" t="s">
        <v>1282</v>
      </c>
      <c r="D1061" s="81" t="str">
        <f>HYPERLINK("https://youtube.com/watch?v=99o_5PzPX0g", "從現實層面分析黃色經濟圈｜如何由殘破不堪嘅木筏，變成香港人的挪亞方舟｜反思黃絲的抗爭心態｜介紹《窮人經濟學》｜粵語中字")</f>
        <v>從現實層面分析黃色經濟圈｜如何由殘破不堪嘅木筏，變成香港人的挪亞方舟｜反思黃絲的抗爭心態｜介紹《窮人經濟學》｜粵語中字</v>
      </c>
      <c r="E1061" s="82">
        <v>44273.0</v>
      </c>
      <c r="F1061" s="80">
        <v>862.0</v>
      </c>
      <c r="G1061" s="80" t="s">
        <v>63</v>
      </c>
      <c r="H1061" s="80" t="s">
        <v>63</v>
      </c>
      <c r="I1061" s="80" t="s">
        <v>63</v>
      </c>
      <c r="J1061" s="80">
        <v>3461.0</v>
      </c>
      <c r="K1061" s="80">
        <v>0.9624269412747</v>
      </c>
      <c r="L1061" s="80" t="s">
        <v>86</v>
      </c>
    </row>
    <row r="1062">
      <c r="A1062" s="80" t="s">
        <v>74</v>
      </c>
      <c r="B1062" s="81" t="str">
        <f>HYPERLINK("https://www.youtube.com/channel/UCO_5XP-qd-udNxBlzzSzgvw", "Handline Fishing")</f>
        <v>Handline Fishing</v>
      </c>
      <c r="C1062" s="80" t="s">
        <v>1283</v>
      </c>
      <c r="D1062" s="81" t="str">
        <f>HYPERLINK("https://youtube.com/watch?v=9ATXNTWzsbY", "#242 探過基哥屋企未? | 基哥 | 香港釣魚 | 艇釣 | 維港 {粵語旁白+中英文字幕}")</f>
        <v>#242 探過基哥屋企未? | 基哥 | 香港釣魚 | 艇釣 | 維港 {粵語旁白+中英文字幕}</v>
      </c>
      <c r="E1062" s="82">
        <v>44473.0</v>
      </c>
      <c r="F1062" s="80">
        <v>514.0</v>
      </c>
      <c r="G1062" s="80" t="s">
        <v>63</v>
      </c>
      <c r="H1062" s="80" t="s">
        <v>63</v>
      </c>
      <c r="I1062" s="80" t="s">
        <v>63</v>
      </c>
      <c r="J1062" s="80">
        <v>366.0</v>
      </c>
      <c r="K1062" s="80">
        <v>0.95064935064935</v>
      </c>
      <c r="L1062" s="80" t="s">
        <v>88</v>
      </c>
    </row>
    <row r="1063">
      <c r="A1063" s="80" t="s">
        <v>121</v>
      </c>
      <c r="B1063" s="81" t="str">
        <f>HYPERLINK("https://www.youtube.com/channel/UC-2hWXRgCg-o5Waz36Yt7BA", "Arm Channel TV")</f>
        <v>Arm Channel TV</v>
      </c>
      <c r="C1063" s="80" t="s">
        <v>1284</v>
      </c>
      <c r="D1063" s="81" t="str">
        <f>HYPERLINK("https://youtube.com/watch?v=9AhpQSlqz28", "【夜晚自遊EP04】上位的方法🙋🏻 | 你還記得 LuLu 嗎？")</f>
        <v>【夜晚自遊EP04】上位的方法🙋🏻 | 你還記得 LuLu 嗎？</v>
      </c>
      <c r="E1063" s="82">
        <v>44396.0</v>
      </c>
      <c r="F1063" s="80">
        <v>758.0</v>
      </c>
      <c r="G1063" s="80" t="s">
        <v>63</v>
      </c>
      <c r="I1063" s="80" t="s">
        <v>63</v>
      </c>
      <c r="J1063" s="80">
        <v>2240.0</v>
      </c>
      <c r="K1063" s="80">
        <v>0.949957591178965</v>
      </c>
      <c r="L1063" s="80" t="s">
        <v>64</v>
      </c>
    </row>
    <row r="1064">
      <c r="A1064" s="80" t="s">
        <v>217</v>
      </c>
      <c r="B1064" s="81" t="str">
        <f>HYPERLINK("https://www.youtube.com/channel/UCXKg0qPRz32bs5Z4mTGF3TQ", "Stormtrooper白兵")</f>
        <v>Stormtrooper白兵</v>
      </c>
      <c r="C1064" s="80" t="s">
        <v>1285</v>
      </c>
      <c r="D1064" s="81" t="str">
        <f>HYPERLINK("https://youtube.com/watch?v=9DidoCn_gIU", "[年度諷刺電影]千萬別抬頭 Don't Look UP｜以荒謬揭開政治背後操作｜全面解構當中政治隱喻｜導演如何魔鬼在細節，愚弄觀眾？｜你有look up嗎？｜粵語中字")</f>
        <v>[年度諷刺電影]千萬別抬頭 Don't Look UP｜以荒謬揭開政治背後操作｜全面解構當中政治隱喻｜導演如何魔鬼在細節，愚弄觀眾？｜你有look up嗎？｜粵語中字</v>
      </c>
      <c r="E1064" s="82">
        <v>44560.0</v>
      </c>
      <c r="F1064" s="80">
        <v>914.0</v>
      </c>
      <c r="G1064" s="80" t="s">
        <v>63</v>
      </c>
      <c r="I1064" s="80" t="s">
        <v>63</v>
      </c>
      <c r="J1064" s="80">
        <v>3528.0</v>
      </c>
      <c r="K1064" s="80">
        <v>0.824684431977559</v>
      </c>
      <c r="L1064" s="80" t="s">
        <v>64</v>
      </c>
    </row>
    <row r="1065">
      <c r="A1065" s="80" t="s">
        <v>1007</v>
      </c>
      <c r="B1065" s="81" t="str">
        <f>HYPERLINK("https://www.youtube.com/channel/UCCzgNTkFyDel0FDJtVNgEtQ", "香港人. 德國讀書之【真.洗濕左個頭.無得返轉頭】Miss Chan Life in Germany")</f>
        <v>香港人. 德國讀書之【真.洗濕左個頭.無得返轉頭】Miss Chan Life in Germany</v>
      </c>
      <c r="C1065" s="80" t="s">
        <v>1286</v>
      </c>
      <c r="D1065" s="81" t="str">
        <f>HYPERLINK("https://youtube.com/watch?v=9GoQoH8HbYA", "【Miss Chan 在德國對抗濕疹日記系列】(第一集: 病情起伏篇)  (香港人製作. 廣東話)")</f>
        <v>【Miss Chan 在德國對抗濕疹日記系列】(第一集: 病情起伏篇)  (香港人製作. 廣東話)</v>
      </c>
      <c r="E1065" s="82">
        <v>44283.0</v>
      </c>
      <c r="F1065" s="80">
        <v>601.0</v>
      </c>
      <c r="G1065" s="80" t="s">
        <v>63</v>
      </c>
      <c r="I1065" s="80" t="s">
        <v>63</v>
      </c>
      <c r="J1065" s="80">
        <v>2292.0</v>
      </c>
      <c r="K1065" s="80">
        <v>0.912420382165605</v>
      </c>
      <c r="L1065" s="80" t="s">
        <v>64</v>
      </c>
    </row>
    <row r="1066">
      <c r="A1066" s="80" t="s">
        <v>112</v>
      </c>
      <c r="B1066" s="81" t="str">
        <f>HYPERLINK("https://www.youtube.com/channel/UCW_n_gfIv4HhRqCk8EnRhJA", "Happy Kongner")</f>
        <v>Happy Kongner</v>
      </c>
      <c r="C1066" s="80" t="s">
        <v>1287</v>
      </c>
      <c r="D1066" s="81" t="str">
        <f>HYPERLINK("https://youtube.com/watch?v=9HdbWWTvPKM", "[廣東話講動漫] 童年回憶慘遭東映毒手！數碼暴龍tri簡評 Toei Destroyed Digimon — 公仔書與卡通片 第八集 Comic &amp; Cartoon Episode 8")</f>
        <v>[廣東話講動漫] 童年回憶慘遭東映毒手！數碼暴龍tri簡評 Toei Destroyed Digimon — 公仔書與卡通片 第八集 Comic &amp; Cartoon Episode 8</v>
      </c>
      <c r="E1066" s="82">
        <v>43230.0</v>
      </c>
      <c r="F1066" s="80">
        <v>702.0</v>
      </c>
      <c r="G1066" s="80" t="s">
        <v>63</v>
      </c>
      <c r="I1066" s="80" t="s">
        <v>63</v>
      </c>
      <c r="J1066" s="80">
        <v>3441.0</v>
      </c>
      <c r="K1066" s="80">
        <v>0.960636515912897</v>
      </c>
      <c r="L1066" s="80" t="s">
        <v>64</v>
      </c>
    </row>
    <row r="1067">
      <c r="A1067" s="80" t="s">
        <v>1069</v>
      </c>
      <c r="B1067" s="81" t="str">
        <f>HYPERLINK("https://www.youtube.com/channel/UCAnpoZYvOIZUPp66LrWl9OA", "Leave Your Mark")</f>
        <v>Leave Your Mark</v>
      </c>
      <c r="C1067" s="80" t="s">
        <v>1288</v>
      </c>
      <c r="D1067" s="81" t="str">
        <f>HYPERLINK("https://youtube.com/watch?v=9I403diXIfw", "#10 吳培燊 //不喜歡一式一樣的百分之一//")</f>
        <v>#10 吳培燊 //不喜歡一式一樣的百分之一//</v>
      </c>
      <c r="E1067" s="82">
        <v>42631.0</v>
      </c>
      <c r="F1067" s="80">
        <v>157.0</v>
      </c>
      <c r="G1067" s="80" t="s">
        <v>63</v>
      </c>
      <c r="I1067" s="80" t="s">
        <v>63</v>
      </c>
      <c r="J1067" s="80">
        <v>511.0</v>
      </c>
      <c r="K1067" s="80">
        <v>0.712691771269177</v>
      </c>
      <c r="L1067" s="80" t="s">
        <v>1071</v>
      </c>
    </row>
    <row r="1068">
      <c r="A1068" s="80" t="s">
        <v>233</v>
      </c>
      <c r="B1068" s="81" t="str">
        <f>HYPERLINK("https://www.youtube.com/channel/UCjL61vw5qtDQudezRnnv-ig", "rickolam1")</f>
        <v>rickolam1</v>
      </c>
      <c r="C1068" s="80" t="s">
        <v>1289</v>
      </c>
      <c r="D1068" s="81" t="str">
        <f>HYPERLINK("https://youtube.com/watch?v=9JnHukJQ2g0", "【真人show】做女友的禁忌・生日送蔥油餅?!")</f>
        <v>【真人show】做女友的禁忌・生日送蔥油餅?!</v>
      </c>
      <c r="E1068" s="82">
        <v>42454.0</v>
      </c>
      <c r="F1068" s="80">
        <v>375.0</v>
      </c>
      <c r="G1068" s="80" t="s">
        <v>63</v>
      </c>
      <c r="H1068" s="80" t="s">
        <v>63</v>
      </c>
      <c r="I1068" s="80" t="s">
        <v>63</v>
      </c>
      <c r="J1068" s="80">
        <v>1694.0</v>
      </c>
      <c r="K1068" s="80">
        <v>0.979757085020243</v>
      </c>
      <c r="L1068" s="80" t="s">
        <v>86</v>
      </c>
    </row>
    <row r="1069">
      <c r="A1069" s="80" t="s">
        <v>61</v>
      </c>
      <c r="B1069" s="81" t="str">
        <f>HYPERLINK("https://www.youtube.com/channel/UCJ4XVrJuqKHbc9yF9oUFseg", "MEeeep More")</f>
        <v>MEeeep More</v>
      </c>
      <c r="C1069" s="80" t="s">
        <v>1290</v>
      </c>
      <c r="D1069" s="81" t="str">
        <f>HYPERLINK("https://youtube.com/watch?v=9JrrSWEyuWM", "台北美食自由行！45元台幣「垃圾麵」你食過未？")</f>
        <v>台北美食自由行！45元台幣「垃圾麵」你食過未？</v>
      </c>
      <c r="E1069" s="82">
        <v>43416.0</v>
      </c>
      <c r="F1069" s="80">
        <v>262.0</v>
      </c>
      <c r="G1069" s="80" t="s">
        <v>63</v>
      </c>
      <c r="I1069" s="80" t="s">
        <v>63</v>
      </c>
      <c r="J1069" s="80">
        <v>680.0</v>
      </c>
      <c r="K1069" s="80">
        <v>0.974212034383954</v>
      </c>
      <c r="L1069" s="80" t="s">
        <v>64</v>
      </c>
    </row>
    <row r="1070">
      <c r="A1070" s="80" t="s">
        <v>1291</v>
      </c>
      <c r="B1070" s="81" t="str">
        <f>HYPERLINK("https://www.youtube.com/channel/UCKXfe4c6jGU9I182dsakGnA", "小離地 Off to Space")</f>
        <v>小離地 Off to Space</v>
      </c>
      <c r="C1070" s="80" t="s">
        <v>1292</v>
      </c>
      <c r="D1070" s="81" t="str">
        <f>HYPERLINK("https://youtube.com/watch?v=9LOVuDyWnHs", "[細蚊仔天文學] 咩係星星？")</f>
        <v>[細蚊仔天文學] 咩係星星？</v>
      </c>
      <c r="E1070" s="82">
        <v>44308.0</v>
      </c>
      <c r="F1070" s="80">
        <v>179.0</v>
      </c>
      <c r="G1070" s="80" t="s">
        <v>63</v>
      </c>
      <c r="I1070" s="80" t="s">
        <v>63</v>
      </c>
      <c r="J1070" s="80">
        <v>439.0</v>
      </c>
      <c r="K1070" s="80">
        <v>0.993212669683257</v>
      </c>
      <c r="L1070" s="80" t="s">
        <v>64</v>
      </c>
    </row>
    <row r="1071">
      <c r="A1071" s="80" t="s">
        <v>103</v>
      </c>
      <c r="B1071" s="81" t="str">
        <f>HYPERLINK("https://www.youtube.com/channel/UCTVpvSswSER2sq1USBTGfnw", "Brittany Chan")</f>
        <v>Brittany Chan</v>
      </c>
      <c r="C1071" s="80" t="s">
        <v>1293</v>
      </c>
      <c r="D1071" s="81" t="str">
        <f>HYPERLINK("https://youtube.com/watch?v=9M5RV1d1fVs", "VLOG | Weekend trip to Oakland, CA, including Chinatown, Berkeley and more! (canto + eng subs)")</f>
        <v>VLOG | Weekend trip to Oakland, CA, including Chinatown, Berkeley and more! (canto + eng subs)</v>
      </c>
      <c r="E1071" s="82">
        <v>44528.0</v>
      </c>
      <c r="F1071" s="80">
        <v>519.0</v>
      </c>
      <c r="G1071" s="80" t="s">
        <v>63</v>
      </c>
      <c r="I1071" s="80" t="s">
        <v>63</v>
      </c>
      <c r="J1071" s="80">
        <v>947.0</v>
      </c>
      <c r="K1071" s="80">
        <v>0.462628236443576</v>
      </c>
      <c r="L1071" s="80" t="s">
        <v>105</v>
      </c>
    </row>
    <row r="1072">
      <c r="A1072" s="80" t="s">
        <v>61</v>
      </c>
      <c r="B1072" s="81" t="str">
        <f>HYPERLINK("https://www.youtube.com/channel/UCJ4XVrJuqKHbc9yF9oUFseg", "MEeeep More")</f>
        <v>MEeeep More</v>
      </c>
      <c r="C1072" s="80" t="s">
        <v>1294</v>
      </c>
      <c r="D1072" s="81" t="str">
        <f>HYPERLINK("https://youtube.com/watch?v=9PnJQpxxrmY", "新加坡 2019 兩大新景點即時睇！星耀樟宜Jewel 奇幻花園 Floral Fantasy - 食玩飛常遊")</f>
        <v>新加坡 2019 兩大新景點即時睇！星耀樟宜Jewel 奇幻花園 Floral Fantasy - 食玩飛常遊</v>
      </c>
      <c r="E1072" s="82">
        <v>43640.0</v>
      </c>
      <c r="F1072" s="80">
        <v>294.0</v>
      </c>
      <c r="G1072" s="80" t="s">
        <v>63</v>
      </c>
      <c r="I1072" s="80" t="s">
        <v>63</v>
      </c>
      <c r="J1072" s="80">
        <v>876.0</v>
      </c>
      <c r="K1072" s="80">
        <v>0.883955600403632</v>
      </c>
      <c r="L1072" s="80" t="s">
        <v>64</v>
      </c>
    </row>
    <row r="1073">
      <c r="A1073" s="80" t="s">
        <v>1295</v>
      </c>
      <c r="B1073" s="81" t="str">
        <f>HYPERLINK("https://www.youtube.com/channel/UC6ZZDRNS6lxPqk3KvHv22Xg", "Gurpreet Singh")</f>
        <v>Gurpreet Singh</v>
      </c>
      <c r="C1073" s="80" t="s">
        <v>1296</v>
      </c>
      <c r="D1073" s="81" t="str">
        <f>HYPERLINK("https://youtube.com/watch?v=9Qwf4ohhxT8", "正宗印度薄餅煮法+食法")</f>
        <v>正宗印度薄餅煮法+食法</v>
      </c>
      <c r="E1073" s="82">
        <v>44064.0</v>
      </c>
      <c r="F1073" s="80">
        <v>322.0</v>
      </c>
      <c r="G1073" s="80" t="s">
        <v>63</v>
      </c>
      <c r="I1073" s="80" t="s">
        <v>63</v>
      </c>
      <c r="J1073" s="80">
        <v>764.0</v>
      </c>
      <c r="K1073" s="80">
        <v>0.888372093023255</v>
      </c>
      <c r="L1073" s="80" t="s">
        <v>1297</v>
      </c>
    </row>
    <row r="1074">
      <c r="A1074" s="80" t="s">
        <v>74</v>
      </c>
      <c r="B1074" s="81" t="str">
        <f>HYPERLINK("https://www.youtube.com/channel/UCO_5XP-qd-udNxBlzzSzgvw", "Handline Fishing")</f>
        <v>Handline Fishing</v>
      </c>
      <c r="C1074" s="80" t="s">
        <v>1298</v>
      </c>
      <c r="D1074" s="81" t="str">
        <f>HYPERLINK("https://youtube.com/watch?v=9RcQA6BTaXc", "#75 大嶼山及長洲對開海域發生3.4級地震，昂船洲橋底特產？『香港釣魚 : 艇釣』青衣 {粵語旁白+中英文字幕}")</f>
        <v>#75 大嶼山及長洲對開海域發生3.4級地震，昂船洲橋底特產？『香港釣魚 : 艇釣』青衣 {粵語旁白+中英文字幕}</v>
      </c>
      <c r="E1074" s="82">
        <v>43837.0</v>
      </c>
      <c r="F1074" s="80">
        <v>247.0</v>
      </c>
      <c r="G1074" s="80" t="s">
        <v>63</v>
      </c>
      <c r="I1074" s="80" t="s">
        <v>63</v>
      </c>
      <c r="J1074" s="80">
        <v>627.0</v>
      </c>
      <c r="K1074" s="80">
        <v>0.955792682926829</v>
      </c>
      <c r="L1074" s="80" t="s">
        <v>76</v>
      </c>
    </row>
    <row r="1075">
      <c r="A1075" s="80" t="s">
        <v>61</v>
      </c>
      <c r="B1075" s="81" t="str">
        <f>HYPERLINK("https://www.youtube.com/channel/UCJ4XVrJuqKHbc9yF9oUFseg", "MEeeep More")</f>
        <v>MEeeep More</v>
      </c>
      <c r="C1075" s="80" t="s">
        <v>1299</v>
      </c>
      <c r="D1075" s="81" t="str">
        <f>HYPERLINK("https://youtube.com/watch?v=9SexNVaKQb4", "Nokia G20 開箱評測 | 入門級仲有四個鏡頭 唔駛$1800 | nokia g20 香港 新機開箱")</f>
        <v>Nokia G20 開箱評測 | 入門級仲有四個鏡頭 唔駛$1800 | nokia g20 香港 新機開箱</v>
      </c>
      <c r="E1075" s="82">
        <v>44428.0</v>
      </c>
      <c r="F1075" s="80">
        <v>137.0</v>
      </c>
      <c r="G1075" s="80" t="s">
        <v>63</v>
      </c>
      <c r="I1075" s="80" t="s">
        <v>63</v>
      </c>
      <c r="J1075" s="80">
        <v>368.0</v>
      </c>
      <c r="K1075" s="80">
        <v>0.760330578512396</v>
      </c>
      <c r="L1075" s="80" t="s">
        <v>64</v>
      </c>
    </row>
    <row r="1076">
      <c r="A1076" s="80" t="s">
        <v>1300</v>
      </c>
      <c r="B1076" s="81" t="str">
        <f>HYPERLINK("https://www.youtube.com/channel/UC_p2Zg9tZXrKaLHMxQiZkFQ", "Jackz 3.0")</f>
        <v>Jackz 3.0</v>
      </c>
      <c r="C1076" s="80" t="s">
        <v>1301</v>
      </c>
      <c r="D1076" s="81" t="str">
        <f>HYPERLINK("https://youtube.com/watch?v=9V7it7U3Qfo", "李榮基：「迪路菲奧！爆佢！」")</f>
        <v>李榮基：「迪路菲奧！爆佢！」</v>
      </c>
      <c r="E1076" s="82">
        <v>41771.0</v>
      </c>
      <c r="F1076" s="80">
        <v>30.0</v>
      </c>
      <c r="G1076" s="80" t="s">
        <v>63</v>
      </c>
      <c r="I1076" s="80" t="s">
        <v>63</v>
      </c>
      <c r="J1076" s="80">
        <v>6.0</v>
      </c>
      <c r="K1076" s="80">
        <v>1.0</v>
      </c>
      <c r="L1076" s="80" t="s">
        <v>64</v>
      </c>
    </row>
    <row r="1077">
      <c r="A1077" s="80" t="s">
        <v>96</v>
      </c>
      <c r="B1077" s="81" t="str">
        <f>HYPERLINK("https://www.youtube.com/channel/UCGtyHJ-L_4RDIHe3XaLofQQ", "Anson Cheung")</f>
        <v>Anson Cheung</v>
      </c>
      <c r="C1077" s="80" t="s">
        <v>1302</v>
      </c>
      <c r="D1077" s="81" t="str">
        <f>HYPERLINK("https://youtube.com/watch?v=9VAXcFJn_gs", "Samsung咁多部手機，我偏偏揀Galaxy S10e？🤯| 📱Anson Cheung手機評測")</f>
        <v>Samsung咁多部手機，我偏偏揀Galaxy S10e？🤯| 📱Anson Cheung手機評測</v>
      </c>
      <c r="E1077" s="82">
        <v>43617.0</v>
      </c>
      <c r="F1077" s="80">
        <v>580.0</v>
      </c>
      <c r="G1077" s="80" t="s">
        <v>63</v>
      </c>
      <c r="I1077" s="80" t="s">
        <v>63</v>
      </c>
      <c r="J1077" s="80">
        <v>2503.0</v>
      </c>
      <c r="K1077" s="80">
        <v>0.786365064404649</v>
      </c>
      <c r="L1077" s="80" t="s">
        <v>64</v>
      </c>
    </row>
    <row r="1078">
      <c r="A1078" s="80" t="s">
        <v>74</v>
      </c>
      <c r="B1078" s="81" t="str">
        <f>HYPERLINK("https://www.youtube.com/channel/UCO_5XP-qd-udNxBlzzSzgvw", "Handline Fishing")</f>
        <v>Handline Fishing</v>
      </c>
      <c r="C1078" s="80" t="s">
        <v>1303</v>
      </c>
      <c r="D1078" s="81" t="str">
        <f>HYPERLINK("https://youtube.com/watch?v=9WLyY2aEekM", "#149 維港雙囍斑 | 『香港釣魚 : 艇釣』維港 {粵語旁白+中英文字幕}")</f>
        <v>#149 維港雙囍斑 | 『香港釣魚 : 艇釣』維港 {粵語旁白+中英文字幕}</v>
      </c>
      <c r="E1078" s="82">
        <v>44092.0</v>
      </c>
      <c r="F1078" s="80">
        <v>746.0</v>
      </c>
      <c r="G1078" s="80" t="s">
        <v>63</v>
      </c>
      <c r="I1078" s="80" t="s">
        <v>63</v>
      </c>
      <c r="J1078" s="80">
        <v>1037.0</v>
      </c>
      <c r="K1078" s="80">
        <v>0.933393339333933</v>
      </c>
      <c r="L1078" s="80" t="s">
        <v>1105</v>
      </c>
    </row>
    <row r="1079">
      <c r="A1079" s="80" t="s">
        <v>1007</v>
      </c>
      <c r="B1079" s="81" t="str">
        <f>HYPERLINK("https://www.youtube.com/channel/UCCzgNTkFyDel0FDJtVNgEtQ", "香港人. 德國讀書之【真.洗濕左個頭.無得返轉頭】Miss Chan Life in Germany")</f>
        <v>香港人. 德國讀書之【真.洗濕左個頭.無得返轉頭】Miss Chan Life in Germany</v>
      </c>
      <c r="C1079" s="80" t="s">
        <v>1304</v>
      </c>
      <c r="D1079" s="81" t="str">
        <f>HYPERLINK("https://youtube.com/watch?v=9gF6KJCDn9s", "【滅chan 德國煮系列 #2】Rhabarber 夏吧吧咩嚟嫁? ｜德國式 ""大黃"" 蛋糕配脆脆 ｜Rhabarberkuchen mit Streusel (香港人製作. 廣東話. 中文字幕)")</f>
        <v>【滅chan 德國煮系列 #2】Rhabarber 夏吧吧咩嚟嫁? ｜德國式 "大黃" 蛋糕配脆脆 ｜Rhabarberkuchen mit Streusel (香港人製作. 廣東話. 中文字幕)</v>
      </c>
      <c r="E1079" s="82">
        <v>44328.0</v>
      </c>
      <c r="F1079" s="80">
        <v>230.0</v>
      </c>
      <c r="G1079" s="80" t="s">
        <v>63</v>
      </c>
      <c r="I1079" s="80" t="s">
        <v>63</v>
      </c>
      <c r="J1079" s="80">
        <v>522.0</v>
      </c>
      <c r="K1079" s="80">
        <v>0.703504043126684</v>
      </c>
      <c r="L1079" s="80" t="s">
        <v>64</v>
      </c>
    </row>
    <row r="1080">
      <c r="A1080" s="80" t="s">
        <v>74</v>
      </c>
      <c r="B1080" s="81" t="str">
        <f>HYPERLINK("https://www.youtube.com/channel/UCO_5XP-qd-udNxBlzzSzgvw", "Handline Fishing")</f>
        <v>Handline Fishing</v>
      </c>
      <c r="C1080" s="80" t="s">
        <v>1305</v>
      </c>
      <c r="D1080" s="81" t="str">
        <f>HYPERLINK("https://youtube.com/watch?v=9hUkyHJbuxU", "#182 青龍頭釣鱸魚，遇上巨物，估計超過20斤 |『香港釣魚 : 艇釣』青龍頭 | 【Insta360 ONE X2 R 限時優惠】")</f>
        <v>#182 青龍頭釣鱸魚，遇上巨物，估計超過20斤 |『香港釣魚 : 艇釣』青龍頭 | 【Insta360 ONE X2 R 限時優惠】</v>
      </c>
      <c r="E1080" s="82">
        <v>44216.0</v>
      </c>
      <c r="F1080" s="80">
        <v>1272.0</v>
      </c>
      <c r="G1080" s="80" t="s">
        <v>63</v>
      </c>
      <c r="I1080" s="80" t="s">
        <v>63</v>
      </c>
      <c r="J1080" s="80">
        <v>1002.0</v>
      </c>
      <c r="K1080" s="80">
        <v>0.917582417582417</v>
      </c>
      <c r="L1080" s="80" t="s">
        <v>271</v>
      </c>
    </row>
    <row r="1081">
      <c r="A1081" s="80" t="s">
        <v>96</v>
      </c>
      <c r="B1081" s="81" t="str">
        <f>HYPERLINK("https://www.youtube.com/channel/UCGtyHJ-L_4RDIHe3XaLofQQ", "Anson Cheung")</f>
        <v>Anson Cheung</v>
      </c>
      <c r="C1081" s="80" t="s">
        <v>1306</v>
      </c>
      <c r="D1081" s="81" t="str">
        <f>HYPERLINK("https://youtube.com/watch?v=9nyv8H2Ng1Q", "LG V30+ 試玩 - 拍片神器 | LG V30+ Hands-on")</f>
        <v>LG V30+ 試玩 - 拍片神器 | LG V30+ Hands-on</v>
      </c>
      <c r="E1081" s="82">
        <v>43043.0</v>
      </c>
      <c r="F1081" s="80">
        <v>423.0</v>
      </c>
      <c r="G1081" s="80" t="s">
        <v>63</v>
      </c>
      <c r="I1081" s="80" t="s">
        <v>63</v>
      </c>
      <c r="J1081" s="80">
        <v>1560.0</v>
      </c>
      <c r="K1081" s="80">
        <v>0.579494799405646</v>
      </c>
      <c r="L1081" s="80" t="s">
        <v>745</v>
      </c>
    </row>
    <row r="1082">
      <c r="A1082" s="80" t="s">
        <v>1039</v>
      </c>
      <c r="B1082" s="81" t="str">
        <f>HYPERLINK("https://www.youtube.com/channel/UCiKEIxbv4RTzyLCKG17N-AA", "Hunting Archer")</f>
        <v>Hunting Archer</v>
      </c>
      <c r="C1082" s="80" t="s">
        <v>1307</v>
      </c>
      <c r="D1082" s="81" t="str">
        <f>HYPERLINK("https://youtube.com/watch?v=9oIFPuZ0BlQ", "【广州漫步】 参观古祠流芳广州陈家祠博物馆 Walk in GuangZhou【粤语中字】")</f>
        <v>【广州漫步】 参观古祠流芳广州陈家祠博物馆 Walk in GuangZhou【粤语中字】</v>
      </c>
      <c r="E1082" s="82">
        <v>44297.0</v>
      </c>
      <c r="F1082" s="80">
        <v>2506.0</v>
      </c>
      <c r="G1082" s="80" t="s">
        <v>63</v>
      </c>
      <c r="I1082" s="80" t="s">
        <v>63</v>
      </c>
      <c r="J1082" s="80">
        <v>4469.0</v>
      </c>
      <c r="K1082" s="80">
        <v>0.994657168299198</v>
      </c>
      <c r="L1082" s="80" t="s">
        <v>1308</v>
      </c>
    </row>
    <row r="1083">
      <c r="A1083" s="80" t="s">
        <v>61</v>
      </c>
      <c r="B1083" s="81" t="str">
        <f>HYPERLINK("https://www.youtube.com/channel/UCJ4XVrJuqKHbc9yF9oUFseg", "MEeeep More")</f>
        <v>MEeeep More</v>
      </c>
      <c r="C1083" s="80" t="s">
        <v>1309</v>
      </c>
      <c r="D1083" s="81" t="str">
        <f>HYPERLINK("https://youtube.com/watch?v=9pDJNL936oQ", "KFC都有自助餐！日本大阪2019潮食點推介 - 食玩飛常遊")</f>
        <v>KFC都有自助餐！日本大阪2019潮食點推介 - 食玩飛常遊</v>
      </c>
      <c r="E1083" s="82">
        <v>43472.0</v>
      </c>
      <c r="F1083" s="80">
        <v>218.0</v>
      </c>
      <c r="G1083" s="80" t="s">
        <v>63</v>
      </c>
      <c r="I1083" s="80" t="s">
        <v>63</v>
      </c>
      <c r="J1083" s="80">
        <v>534.0</v>
      </c>
      <c r="K1083" s="80">
        <v>0.902027027027027</v>
      </c>
      <c r="L1083" s="80" t="s">
        <v>64</v>
      </c>
    </row>
    <row r="1084">
      <c r="A1084" s="80" t="s">
        <v>1310</v>
      </c>
      <c r="B1084" s="81" t="str">
        <f>HYPERLINK("https://www.youtube.com/channel/UC0-DuAJ8XNn3RH1aevvJWgA", "TomorrowLAN CSGO")</f>
        <v>TomorrowLAN CSGO</v>
      </c>
      <c r="C1084" s="80" t="s">
        <v>1311</v>
      </c>
      <c r="D1084" s="81" t="str">
        <f>HYPERLINK("https://youtube.com/watch?v=A1GZvg9enIY", "[BTRG.HK] Darkkis: 嬴EMC主要原因係個人能力比佢地穩定 [WESG 2018香港區四強]")</f>
        <v>[BTRG.HK] Darkkis: 嬴EMC主要原因係個人能力比佢地穩定 [WESG 2018香港區四強]</v>
      </c>
      <c r="E1084" s="82">
        <v>43414.0</v>
      </c>
      <c r="F1084" s="80">
        <v>99.0</v>
      </c>
      <c r="G1084" s="80" t="s">
        <v>63</v>
      </c>
      <c r="I1084" s="80" t="s">
        <v>63</v>
      </c>
      <c r="J1084" s="80">
        <v>298.0</v>
      </c>
      <c r="K1084" s="80">
        <v>0.832402234636871</v>
      </c>
      <c r="L1084" s="80" t="s">
        <v>64</v>
      </c>
    </row>
    <row r="1085">
      <c r="A1085" s="80" t="s">
        <v>1312</v>
      </c>
      <c r="B1085" s="81" t="str">
        <f>HYPERLINK("https://www.youtube.com/channel/UC1NxU2rbVZW0Rq6VHmaqoEQ", "Jarvis &amp; Isabella")</f>
        <v>Jarvis &amp; Isabella</v>
      </c>
      <c r="C1085" s="80" t="s">
        <v>1313</v>
      </c>
      <c r="D1085" s="81" t="str">
        <f>HYPERLINK("https://youtube.com/watch?v=A2uRMap9HdE", "#6 英國 Vlog ｜同大家行吓華人超市，會係貴啲定平啲？｜順便帶大家坐免費巴士｜自家製雞煲｜CC 中文字幕｜Jarvis &amp; Isabella")</f>
        <v>#6 英國 Vlog ｜同大家行吓華人超市，會係貴啲定平啲？｜順便帶大家坐免費巴士｜自家製雞煲｜CC 中文字幕｜Jarvis &amp; Isabella</v>
      </c>
      <c r="E1085" s="82">
        <v>44539.0</v>
      </c>
      <c r="F1085" s="80">
        <v>734.0</v>
      </c>
      <c r="G1085" s="80" t="s">
        <v>63</v>
      </c>
      <c r="I1085" s="80" t="s">
        <v>63</v>
      </c>
      <c r="J1085" s="80">
        <v>2033.0</v>
      </c>
      <c r="K1085" s="80">
        <v>0.865106382978723</v>
      </c>
      <c r="L1085" s="80" t="s">
        <v>64</v>
      </c>
    </row>
    <row r="1086">
      <c r="A1086" s="80" t="s">
        <v>217</v>
      </c>
      <c r="B1086" s="81" t="str">
        <f>HYPERLINK("https://www.youtube.com/channel/UCXKg0qPRz32bs5Z4mTGF3TQ", "Stormtrooper白兵")</f>
        <v>Stormtrooper白兵</v>
      </c>
      <c r="C1086" s="80" t="s">
        <v>1314</v>
      </c>
      <c r="D1086" s="81" t="str">
        <f>HYPERLINK("https://youtube.com/watch?v=A5g8LWXtlk4", "[腦洞大開]什麼是迷因 MEME？｜人類如何擇偶？為何會想太多？為何有宗教？極權宣傳為何那麼強？｜理解人類思想設計第一堂｜粵語中字")</f>
        <v>[腦洞大開]什麼是迷因 MEME？｜人類如何擇偶？為何會想太多？為何有宗教？極權宣傳為何那麼強？｜理解人類思想設計第一堂｜粵語中字</v>
      </c>
      <c r="E1086" s="82">
        <v>44539.0</v>
      </c>
      <c r="F1086" s="80">
        <v>921.0</v>
      </c>
      <c r="G1086" s="80" t="s">
        <v>63</v>
      </c>
      <c r="I1086" s="80" t="s">
        <v>63</v>
      </c>
      <c r="J1086" s="80">
        <v>3712.0</v>
      </c>
      <c r="K1086" s="80">
        <v>0.903602726387536</v>
      </c>
      <c r="L1086" s="80" t="s">
        <v>64</v>
      </c>
    </row>
    <row r="1087">
      <c r="A1087" s="80" t="s">
        <v>1010</v>
      </c>
      <c r="B1087" s="81" t="str">
        <f>HYPERLINK("https://www.youtube.com/channel/UC-nV0odAiVdjH3gB_uSeTcQ", "wepro180")</f>
        <v>wepro180</v>
      </c>
      <c r="C1087" s="80" t="s">
        <v>1315</v>
      </c>
      <c r="D1087" s="81" t="str">
        <f>HYPERLINK("https://youtube.com/watch?v=A5rje4bKr2g", "edvance 特約【wepro 教室 12】嘉倩 180 ─ Privileged Identity Management")</f>
        <v>edvance 特約【wepro 教室 12】嘉倩 180 ─ Privileged Identity Management</v>
      </c>
      <c r="E1087" s="82">
        <v>43227.0</v>
      </c>
      <c r="F1087" s="80">
        <v>86.0</v>
      </c>
      <c r="G1087" s="80" t="s">
        <v>63</v>
      </c>
      <c r="I1087" s="80" t="s">
        <v>63</v>
      </c>
      <c r="J1087" s="80">
        <v>332.0</v>
      </c>
      <c r="K1087" s="80">
        <v>0.803874092009685</v>
      </c>
      <c r="L1087" s="80" t="s">
        <v>64</v>
      </c>
    </row>
    <row r="1088">
      <c r="A1088" s="80" t="s">
        <v>1139</v>
      </c>
      <c r="B1088" s="81" t="str">
        <f>HYPERLINK("https://www.youtube.com/channel/UCw51gVFijIewmXH4tIR0ufw", "Crystal Zen")</f>
        <v>Crystal Zen</v>
      </c>
      <c r="C1088" s="80" t="s">
        <v>1316</v>
      </c>
      <c r="D1088" s="81" t="str">
        <f>HYPERLINK("https://youtube.com/watch?v=66uV-FhRdHI", "負能量爆棚點解決？")</f>
        <v>負能量爆棚點解決？</v>
      </c>
      <c r="E1088" s="82">
        <v>43905.0</v>
      </c>
      <c r="F1088" s="80">
        <v>217.0</v>
      </c>
      <c r="G1088" s="80" t="s">
        <v>63</v>
      </c>
      <c r="I1088" s="80" t="s">
        <v>63</v>
      </c>
      <c r="J1088" s="80">
        <v>1035.0</v>
      </c>
      <c r="K1088" s="80">
        <v>0.972744360902255</v>
      </c>
      <c r="L1088" s="80" t="s">
        <v>64</v>
      </c>
    </row>
    <row r="1089">
      <c r="A1089" s="80" t="s">
        <v>252</v>
      </c>
      <c r="B1089" s="81" t="str">
        <f>HYPERLINK("https://www.youtube.com/channel/UCrISkBm7rgsRUAw8018eWvw", "MoYung 慕容公子")</f>
        <v>MoYung 慕容公子</v>
      </c>
      <c r="C1089" s="80" t="s">
        <v>1317</v>
      </c>
      <c r="D1089" s="81" t="str">
        <f>HYPERLINK("https://youtube.com/watch?v=A7kv8nu64gg", "【寵物】我要養大肥狗！(中文字幕)")</f>
        <v>【寵物】我要養大肥狗！(中文字幕)</v>
      </c>
      <c r="E1089" s="82">
        <v>43302.0</v>
      </c>
      <c r="F1089" s="80">
        <v>287.0</v>
      </c>
      <c r="G1089" s="80" t="s">
        <v>63</v>
      </c>
      <c r="I1089" s="80" t="s">
        <v>63</v>
      </c>
      <c r="J1089" s="80">
        <v>1220.0</v>
      </c>
      <c r="K1089" s="80">
        <v>0.981496379726468</v>
      </c>
      <c r="L1089" s="80" t="s">
        <v>64</v>
      </c>
    </row>
    <row r="1090">
      <c r="A1090" s="80" t="s">
        <v>61</v>
      </c>
      <c r="B1090" s="81" t="str">
        <f>HYPERLINK("https://www.youtube.com/channel/UCJ4XVrJuqKHbc9yF9oUFseg", "MEeeep More")</f>
        <v>MEeeep More</v>
      </c>
      <c r="C1090" s="80" t="s">
        <v>1318</v>
      </c>
      <c r="D1090" s="81" t="str">
        <f>HYPERLINK("https://youtube.com/watch?v=A8_lB2t3TRU", "Nokia 8.3 5G 開箱評測 | 蔡司四鏡頭拍攝4K 60fps H-Log影片 | Counterpoint最獲信任Android手機第一名 | 香港5G 2021手機開箱 2021新機")</f>
        <v>Nokia 8.3 5G 開箱評測 | 蔡司四鏡頭拍攝4K 60fps H-Log影片 | Counterpoint最獲信任Android手機第一名 | 香港5G 2021手機開箱 2021新機</v>
      </c>
      <c r="E1090" s="82">
        <v>44245.0</v>
      </c>
      <c r="F1090" s="80">
        <v>241.0</v>
      </c>
      <c r="G1090" s="80" t="s">
        <v>63</v>
      </c>
      <c r="I1090" s="80" t="s">
        <v>63</v>
      </c>
      <c r="J1090" s="80">
        <v>667.0</v>
      </c>
      <c r="K1090" s="80">
        <v>0.737831858407079</v>
      </c>
      <c r="L1090" s="80" t="s">
        <v>64</v>
      </c>
    </row>
    <row r="1091">
      <c r="A1091" s="80" t="s">
        <v>278</v>
      </c>
      <c r="B1091" s="81" t="str">
        <f>HYPERLINK("https://www.youtube.com/channel/UCDoEdJo-PI-EKGNKomwLroQ", "mingjai14")</f>
        <v>mingjai14</v>
      </c>
      <c r="C1091" s="80" t="s">
        <v>1319</v>
      </c>
      <c r="D1091" s="81" t="str">
        <f>HYPERLINK("https://youtube.com/watch?v=AA683y9TZDQ", "[開台9週年👏] 平時點推動自己❓")</f>
        <v>[開台9週年👏] 平時點推動自己❓</v>
      </c>
      <c r="E1091" s="82">
        <v>43579.0</v>
      </c>
      <c r="F1091" s="80">
        <v>291.0</v>
      </c>
      <c r="G1091" s="80" t="s">
        <v>63</v>
      </c>
      <c r="I1091" s="80" t="s">
        <v>63</v>
      </c>
      <c r="J1091" s="80">
        <v>1228.0</v>
      </c>
      <c r="K1091" s="80">
        <v>0.895696571845368</v>
      </c>
      <c r="L1091" s="80" t="s">
        <v>64</v>
      </c>
    </row>
    <row r="1092">
      <c r="A1092" s="80" t="s">
        <v>61</v>
      </c>
      <c r="B1092" s="81" t="str">
        <f>HYPERLINK("https://www.youtube.com/channel/UCJ4XVrJuqKHbc9yF9oUFseg", "MEeeep More")</f>
        <v>MEeeep More</v>
      </c>
      <c r="C1092" s="80" t="s">
        <v>1320</v>
      </c>
      <c r="D1092" s="81" t="str">
        <f>HYPERLINK("https://youtube.com/watch?v=AE4VqlwzE1k", "2021電子利是大流行？派完有得現金回贈 即教你點派最著數 八達通 電子錢包 中銀香港 Phone利是 e利是 支付寶 微信支付")</f>
        <v>2021電子利是大流行？派完有得現金回贈 即教你點派最著數 八達通 電子錢包 中銀香港 Phone利是 e利是 支付寶 微信支付</v>
      </c>
      <c r="E1092" s="82">
        <v>44237.0</v>
      </c>
      <c r="F1092" s="80">
        <v>216.0</v>
      </c>
      <c r="G1092" s="80" t="s">
        <v>63</v>
      </c>
      <c r="I1092" s="80" t="s">
        <v>63</v>
      </c>
      <c r="J1092" s="80">
        <v>718.0</v>
      </c>
      <c r="K1092" s="80">
        <v>0.880981595092024</v>
      </c>
      <c r="L1092" s="80" t="s">
        <v>64</v>
      </c>
    </row>
    <row r="1093">
      <c r="A1093" s="80" t="s">
        <v>1018</v>
      </c>
      <c r="B1093" s="81" t="str">
        <f>HYPERLINK("https://www.youtube.com/channel/UCAov0-xtECNVYPn46Ltifeg", "Jodieee in UK")</f>
        <v>Jodieee in UK</v>
      </c>
      <c r="C1093" s="80" t="s">
        <v>1321</v>
      </c>
      <c r="D1093" s="81" t="str">
        <f>HYPERLINK("https://youtube.com/watch?v=AH5keI-ZOZA", "【自己月餅自己整】流心奶黃月餅初體驗｜今個中秋特別驚喜！從未見過如斯偽教學片？Jodie’s Kitchen #2")</f>
        <v>【自己月餅自己整】流心奶黃月餅初體驗｜今個中秋特別驚喜！從未見過如斯偽教學片？Jodie’s Kitchen #2</v>
      </c>
      <c r="E1093" s="82">
        <v>44459.0</v>
      </c>
      <c r="F1093" s="80">
        <v>265.0</v>
      </c>
      <c r="G1093" s="80" t="s">
        <v>63</v>
      </c>
      <c r="I1093" s="80" t="s">
        <v>63</v>
      </c>
      <c r="J1093" s="80">
        <v>422.0</v>
      </c>
      <c r="K1093" s="80">
        <v>0.871900826446281</v>
      </c>
      <c r="L1093" s="80" t="s">
        <v>102</v>
      </c>
    </row>
    <row r="1094">
      <c r="A1094" s="80" t="s">
        <v>74</v>
      </c>
      <c r="B1094" s="81" t="str">
        <f>HYPERLINK("https://www.youtube.com/channel/UCO_5XP-qd-udNxBlzzSzgvw", "Handline Fishing")</f>
        <v>Handline Fishing</v>
      </c>
      <c r="C1094" s="80" t="s">
        <v>1322</v>
      </c>
      <c r="D1094" s="81" t="str">
        <f>HYPERLINK("https://youtube.com/watch?v=AIj26mTtGM4", "#193 【Marco賞禮GIVEAWAYS 活動三】拍了3個長洲外水底環境，估下有咩拍到? 花鰔我來也 |『香港釣魚 : 艇釣』長洲外")</f>
        <v>#193 【Marco賞禮GIVEAWAYS 活動三】拍了3個長洲外水底環境，估下有咩拍到? 花鰔我來也 |『香港釣魚 : 艇釣』長洲外</v>
      </c>
      <c r="E1094" s="82">
        <v>44258.0</v>
      </c>
      <c r="F1094" s="80">
        <v>622.0</v>
      </c>
      <c r="G1094" s="80" t="s">
        <v>63</v>
      </c>
      <c r="H1094" s="80" t="s">
        <v>63</v>
      </c>
      <c r="I1094" s="80" t="s">
        <v>63</v>
      </c>
      <c r="J1094" s="80">
        <v>969.0</v>
      </c>
      <c r="K1094" s="80">
        <v>0.979569892473118</v>
      </c>
      <c r="L1094" s="80" t="s">
        <v>88</v>
      </c>
    </row>
    <row r="1095">
      <c r="A1095" s="80" t="s">
        <v>1312</v>
      </c>
      <c r="B1095" s="81" t="str">
        <f>HYPERLINK("https://www.youtube.com/channel/UC1NxU2rbVZW0Rq6VHmaqoEQ", "Jarvis &amp; Isabella")</f>
        <v>Jarvis &amp; Isabella</v>
      </c>
      <c r="C1095" s="80" t="s">
        <v>1323</v>
      </c>
      <c r="D1095" s="81" t="str">
        <f>HYPERLINK("https://youtube.com/watch?v=AKcGfRuuNlE", "【 英國生活 Vlog 】行 Outlet ｜自家製日式咖喱煎餃飯｜CC 中文字幕｜Jarvis &amp; Isabella")</f>
        <v>【 英國生活 Vlog 】行 Outlet ｜自家製日式咖喱煎餃飯｜CC 中文字幕｜Jarvis &amp; Isabella</v>
      </c>
      <c r="E1095" s="82">
        <v>44517.0</v>
      </c>
      <c r="F1095" s="80">
        <v>931.0</v>
      </c>
      <c r="G1095" s="80" t="s">
        <v>63</v>
      </c>
      <c r="I1095" s="80" t="s">
        <v>63</v>
      </c>
      <c r="J1095" s="80">
        <v>1404.0</v>
      </c>
      <c r="K1095" s="80">
        <v>0.81391304347826</v>
      </c>
      <c r="L1095" s="80" t="s">
        <v>64</v>
      </c>
    </row>
    <row r="1096">
      <c r="A1096" s="80" t="s">
        <v>140</v>
      </c>
      <c r="B1096" s="81" t="str">
        <f>HYPERLINK("https://www.youtube.com/channel/UCHK0CZf9HEXs42qIO1GUouA", "TechiCardia")</f>
        <v>TechiCardia</v>
      </c>
      <c r="C1096" s="80" t="s">
        <v>1324</v>
      </c>
      <c r="D1096" s="81" t="str">
        <f>HYPERLINK("https://youtube.com/watch?v=D63zMumrZuA", "滑鼠好完美﹐但係... //Logitech G Pro X Superlight + PowerPlay 終極評測！Feat. 真實玩家分享//4K TechiCardia [CC廣東話字幕]")</f>
        <v>滑鼠好完美﹐但係... //Logitech G Pro X Superlight + PowerPlay 終極評測！Feat. 真實玩家分享//4K TechiCardia [CC廣東話字幕]</v>
      </c>
      <c r="E1096" s="82">
        <v>44310.0</v>
      </c>
      <c r="F1096" s="80">
        <v>1093.0</v>
      </c>
      <c r="G1096" s="80" t="s">
        <v>63</v>
      </c>
      <c r="I1096" s="80" t="s">
        <v>63</v>
      </c>
      <c r="J1096" s="80">
        <v>3787.0</v>
      </c>
      <c r="K1096" s="80">
        <v>0.705476900149031</v>
      </c>
      <c r="L1096" s="80" t="s">
        <v>102</v>
      </c>
    </row>
    <row r="1097">
      <c r="A1097" s="80" t="s">
        <v>217</v>
      </c>
      <c r="B1097" s="81" t="str">
        <f>HYPERLINK("https://www.youtube.com/channel/UCXKg0qPRz32bs5Z4mTGF3TQ", "Stormtrooper白兵")</f>
        <v>Stormtrooper白兵</v>
      </c>
      <c r="C1097" s="80" t="s">
        <v>1325</v>
      </c>
      <c r="D1097" s="81" t="str">
        <f>HYPERLINK("https://youtube.com/watch?v=D6L8I3pOjR0", "[新年送禮勤]白兵會員禮物製作特輯｜本地設計師｜本地原材料｜本地加工｜本土計劃")</f>
        <v>[新年送禮勤]白兵會員禮物製作特輯｜本地設計師｜本地原材料｜本地加工｜本土計劃</v>
      </c>
      <c r="E1097" s="82">
        <v>44238.0</v>
      </c>
      <c r="F1097" s="80">
        <v>1104.0</v>
      </c>
      <c r="G1097" s="80" t="s">
        <v>63</v>
      </c>
      <c r="I1097" s="80" t="s">
        <v>63</v>
      </c>
      <c r="J1097" s="80">
        <v>4014.0</v>
      </c>
      <c r="K1097" s="80">
        <v>0.795639246778989</v>
      </c>
      <c r="L1097" s="80" t="s">
        <v>64</v>
      </c>
    </row>
    <row r="1098">
      <c r="A1098" s="80" t="s">
        <v>61</v>
      </c>
      <c r="B1098" s="81" t="str">
        <f>HYPERLINK("https://www.youtube.com/channel/UCJ4XVrJuqKHbc9yF9oUFseg", "MEeeep More")</f>
        <v>MEeeep More</v>
      </c>
      <c r="C1098" s="80" t="s">
        <v>1326</v>
      </c>
      <c r="D1098" s="81" t="str">
        <f>HYPERLINK("https://youtube.com/watch?v=D6jeD5Z38j4", "新加坡美食自由行 2019!  紐頓熟食中心 咖哩蟹 魔鬼魚 饅頭 南洋風光 - 食玩飛常遊 (Newton Food Centre)")</f>
        <v>新加坡美食自由行 2019!  紐頓熟食中心 咖哩蟹 魔鬼魚 饅頭 南洋風光 - 食玩飛常遊 (Newton Food Centre)</v>
      </c>
      <c r="E1098" s="82">
        <v>43632.0</v>
      </c>
      <c r="F1098" s="80">
        <v>187.0</v>
      </c>
      <c r="G1098" s="80" t="s">
        <v>63</v>
      </c>
      <c r="I1098" s="80" t="s">
        <v>63</v>
      </c>
      <c r="J1098" s="80">
        <v>513.0</v>
      </c>
      <c r="K1098" s="80">
        <v>0.855</v>
      </c>
      <c r="L1098" s="80" t="s">
        <v>64</v>
      </c>
    </row>
    <row r="1099">
      <c r="A1099" s="80" t="s">
        <v>112</v>
      </c>
      <c r="B1099" s="81" t="str">
        <f>HYPERLINK("https://www.youtube.com/channel/UCW_n_gfIv4HhRqCk8EnRhJA", "Happy Kongner")</f>
        <v>Happy Kongner</v>
      </c>
      <c r="C1099" s="80" t="s">
        <v>1327</v>
      </c>
      <c r="D1099" s="81" t="str">
        <f>HYPERLINK("https://youtube.com/watch?v=D82upBkQ900", "有人歡喜有人愁嘅新作—《天氣之子》觀後感 [公仔書與卡通片]")</f>
        <v>有人歡喜有人愁嘅新作—《天氣之子》觀後感 [公仔書與卡通片]</v>
      </c>
      <c r="E1099" s="82">
        <v>43736.0</v>
      </c>
      <c r="F1099" s="80">
        <v>770.0</v>
      </c>
      <c r="G1099" s="80" t="s">
        <v>63</v>
      </c>
      <c r="I1099" s="80" t="s">
        <v>63</v>
      </c>
      <c r="J1099" s="80">
        <v>4176.0</v>
      </c>
      <c r="K1099" s="80">
        <v>0.944369063772048</v>
      </c>
      <c r="L1099" s="80" t="s">
        <v>64</v>
      </c>
    </row>
    <row r="1100">
      <c r="A1100" s="80" t="s">
        <v>61</v>
      </c>
      <c r="B1100" s="81" t="str">
        <f t="shared" ref="B1100:B1101" si="39">HYPERLINK("https://www.youtube.com/channel/UCJ4XVrJuqKHbc9yF9oUFseg", "MEeeep More")</f>
        <v>MEeeep More</v>
      </c>
      <c r="C1100" s="80" t="s">
        <v>1328</v>
      </c>
      <c r="D1100" s="81" t="str">
        <f>HYPERLINK("https://youtube.com/watch?v=DAofIy0mAMU", "小米11T Pro 開箱評測 | 趕時間手機先嚟冇電? 120W極速快充  17 分鐘即時滿電 | 11tpro Xiaomi 11t pro 評測 5G雙卡雙待")</f>
        <v>小米11T Pro 開箱評測 | 趕時間手機先嚟冇電? 120W極速快充  17 分鐘即時滿電 | 11tpro Xiaomi 11t pro 評測 5G雙卡雙待</v>
      </c>
      <c r="E1100" s="82">
        <v>44561.0</v>
      </c>
      <c r="F1100" s="80">
        <v>181.0</v>
      </c>
      <c r="G1100" s="80" t="s">
        <v>63</v>
      </c>
      <c r="I1100" s="80" t="s">
        <v>63</v>
      </c>
      <c r="J1100" s="80">
        <v>514.0</v>
      </c>
      <c r="K1100" s="80">
        <v>0.749271137026239</v>
      </c>
      <c r="L1100" s="80" t="s">
        <v>64</v>
      </c>
    </row>
    <row r="1101">
      <c r="A1101" s="80" t="s">
        <v>61</v>
      </c>
      <c r="B1101" s="81" t="str">
        <f t="shared" si="39"/>
        <v>MEeeep More</v>
      </c>
      <c r="C1101" s="80" t="s">
        <v>1329</v>
      </c>
      <c r="D1101" s="81" t="str">
        <f>HYPERLINK("https://youtube.com/watch?v=DDanq79S3Ac", "魚頭米線皇者之選！同場加映XO老鼠粉！吉隆坡美食推介 [2019]")</f>
        <v>魚頭米線皇者之選！同場加映XO老鼠粉！吉隆坡美食推介 [2019]</v>
      </c>
      <c r="E1101" s="82">
        <v>43751.0</v>
      </c>
      <c r="F1101" s="80">
        <v>180.0</v>
      </c>
      <c r="G1101" s="80" t="s">
        <v>63</v>
      </c>
      <c r="I1101" s="80" t="s">
        <v>63</v>
      </c>
      <c r="J1101" s="80">
        <v>464.0</v>
      </c>
      <c r="K1101" s="80">
        <v>0.887189292543021</v>
      </c>
      <c r="L1101" s="80" t="s">
        <v>64</v>
      </c>
    </row>
    <row r="1102">
      <c r="A1102" s="80" t="s">
        <v>74</v>
      </c>
      <c r="B1102" s="81" t="str">
        <f>HYPERLINK("https://www.youtube.com/channel/UCO_5XP-qd-udNxBlzzSzgvw", "Handline Fishing")</f>
        <v>Handline Fishing</v>
      </c>
      <c r="C1102" s="80" t="s">
        <v>1330</v>
      </c>
      <c r="D1102" s="81" t="str">
        <f>HYPERLINK("https://youtube.com/watch?v=DFvOFmzalWo", "#62 來馬場不一定要跑馬 《下集》『香港釣魚 : 艇釣』青龍頭 {粵語旁白+中英文字幕}")</f>
        <v>#62 來馬場不一定要跑馬 《下集》『香港釣魚 : 艇釣』青龍頭 {粵語旁白+中英文字幕}</v>
      </c>
      <c r="E1102" s="82">
        <v>43789.0</v>
      </c>
      <c r="F1102" s="80">
        <v>397.0</v>
      </c>
      <c r="G1102" s="80" t="s">
        <v>63</v>
      </c>
      <c r="I1102" s="80" t="s">
        <v>63</v>
      </c>
      <c r="J1102" s="80">
        <v>1025.0</v>
      </c>
      <c r="K1102" s="80">
        <v>0.975261655566127</v>
      </c>
      <c r="L1102" s="80" t="s">
        <v>76</v>
      </c>
    </row>
    <row r="1103">
      <c r="A1103" s="80" t="s">
        <v>140</v>
      </c>
      <c r="B1103" s="81" t="str">
        <f>HYPERLINK("https://www.youtube.com/channel/UCHK0CZf9HEXs42qIO1GUouA", "TechiCardia")</f>
        <v>TechiCardia</v>
      </c>
      <c r="C1103" s="80" t="s">
        <v>1331</v>
      </c>
      <c r="D1103" s="81" t="str">
        <f>HYPERLINK("https://youtube.com/watch?v=DVtgQXmLOsQ", "2077 窮砌大賽：終極預告！//記得參加神預測活動！//【飛馬電腦節2021】")</f>
        <v>2077 窮砌大賽：終極預告！//記得參加神預測活動！//【飛馬電腦節2021】</v>
      </c>
      <c r="E1103" s="82">
        <v>44208.0</v>
      </c>
      <c r="F1103" s="80">
        <v>110.0</v>
      </c>
      <c r="G1103" s="80" t="s">
        <v>63</v>
      </c>
      <c r="I1103" s="80" t="s">
        <v>63</v>
      </c>
      <c r="J1103" s="80">
        <v>291.0</v>
      </c>
      <c r="K1103" s="80">
        <v>0.853372434017595</v>
      </c>
      <c r="L1103" s="80" t="s">
        <v>102</v>
      </c>
    </row>
    <row r="1104">
      <c r="A1104" s="80" t="s">
        <v>94</v>
      </c>
      <c r="B1104" s="81" t="str">
        <f>HYPERLINK("https://www.youtube.com/channel/UCT_dMyI3pNselsmfR6FC8tQ", "PrideLab")</f>
        <v>PrideLab</v>
      </c>
      <c r="C1104" s="80" t="s">
        <v>1332</v>
      </c>
      <c r="D1104" s="81" t="str">
        <f>HYPERLINK("https://youtube.com/watch?v=D_Q1Q9Uirkk", "踢爆假同志友善句子")</f>
        <v>踢爆假同志友善句子</v>
      </c>
      <c r="E1104" s="82">
        <v>42797.0</v>
      </c>
      <c r="F1104" s="80">
        <v>222.0</v>
      </c>
      <c r="G1104" s="80" t="s">
        <v>63</v>
      </c>
      <c r="I1104" s="80" t="s">
        <v>63</v>
      </c>
      <c r="J1104" s="80">
        <v>865.0</v>
      </c>
      <c r="K1104" s="80">
        <v>0.937161430119176</v>
      </c>
      <c r="L1104" s="80" t="s">
        <v>64</v>
      </c>
    </row>
    <row r="1105">
      <c r="A1105" s="80" t="s">
        <v>74</v>
      </c>
      <c r="B1105" s="81" t="str">
        <f>HYPERLINK("https://www.youtube.com/channel/UCO_5XP-qd-udNxBlzzSzgvw", "Handline Fishing")</f>
        <v>Handline Fishing</v>
      </c>
      <c r="C1105" s="80" t="s">
        <v>1333</v>
      </c>
      <c r="D1105" s="81" t="str">
        <f>HYPERLINK("https://youtube.com/watch?v=DdrtmnIfe9w", "#164 眼睛想釣魚 | 『香港釣魚 : 岸釣』淺水灣 {粵語旁白+中英文字幕}")</f>
        <v>#164 眼睛想釣魚 | 『香港釣魚 : 岸釣』淺水灣 {粵語旁白+中英文字幕}</v>
      </c>
      <c r="E1105" s="82">
        <v>44148.0</v>
      </c>
      <c r="F1105" s="80">
        <v>480.0</v>
      </c>
      <c r="G1105" s="80" t="s">
        <v>63</v>
      </c>
      <c r="I1105" s="80" t="s">
        <v>63</v>
      </c>
      <c r="J1105" s="80">
        <v>1157.0</v>
      </c>
      <c r="K1105" s="80">
        <v>0.987201365187713</v>
      </c>
      <c r="L1105" s="80" t="s">
        <v>271</v>
      </c>
    </row>
    <row r="1106">
      <c r="A1106" s="80" t="s">
        <v>61</v>
      </c>
      <c r="B1106" s="81" t="str">
        <f>HYPERLINK("https://www.youtube.com/channel/UCJ4XVrJuqKHbc9yF9oUFseg", "MEeeep More")</f>
        <v>MEeeep More</v>
      </c>
      <c r="C1106" s="80" t="s">
        <v>1334</v>
      </c>
      <c r="D1106" s="81" t="str">
        <f>HYPERLINK("https://youtube.com/watch?v=DnGGcuDfpbU", "Mo SIM 出招打Birdie自由鳥 副線品牌抵唔抵？ 話你知有乜要留意")</f>
        <v>Mo SIM 出招打Birdie自由鳥 副線品牌抵唔抵？ 話你知有乜要留意</v>
      </c>
      <c r="E1106" s="82">
        <v>44104.0</v>
      </c>
      <c r="F1106" s="80">
        <v>138.0</v>
      </c>
      <c r="G1106" s="80" t="s">
        <v>63</v>
      </c>
      <c r="I1106" s="80" t="s">
        <v>63</v>
      </c>
      <c r="J1106" s="80">
        <v>376.0</v>
      </c>
      <c r="K1106" s="80">
        <v>0.744554455445544</v>
      </c>
      <c r="L1106" s="80" t="s">
        <v>64</v>
      </c>
    </row>
    <row r="1107">
      <c r="A1107" s="80" t="s">
        <v>217</v>
      </c>
      <c r="B1107" s="81" t="str">
        <f>HYPERLINK("https://www.youtube.com/channel/UCXKg0qPRz32bs5Z4mTGF3TQ", "Stormtrooper白兵")</f>
        <v>Stormtrooper白兵</v>
      </c>
      <c r="C1107" s="80" t="s">
        <v>1335</v>
      </c>
      <c r="D1107" s="81" t="str">
        <f>HYPERLINK("https://youtube.com/watch?v=DogAT4_lZQo", "[政治BB班]極權會利用烏托邦來管治人民？｜民主國家都有極權傾向？｜有什麼方法抵擋極權？｜ 粵語中字")</f>
        <v>[政治BB班]極權會利用烏托邦來管治人民？｜民主國家都有極權傾向？｜有什麼方法抵擋極權？｜ 粵語中字</v>
      </c>
      <c r="E1107" s="82">
        <v>44488.0</v>
      </c>
      <c r="F1107" s="80">
        <v>865.0</v>
      </c>
      <c r="G1107" s="80" t="s">
        <v>63</v>
      </c>
      <c r="I1107" s="80" t="s">
        <v>63</v>
      </c>
      <c r="J1107" s="80">
        <v>4275.0</v>
      </c>
      <c r="K1107" s="80">
        <v>0.89716684155299</v>
      </c>
      <c r="L1107" s="80" t="s">
        <v>64</v>
      </c>
    </row>
    <row r="1108">
      <c r="A1108" s="80" t="s">
        <v>112</v>
      </c>
      <c r="B1108" s="81" t="str">
        <f>HYPERLINK("https://www.youtube.com/channel/UCW_n_gfIv4HhRqCk8EnRhJA", "Happy Kongner")</f>
        <v>Happy Kongner</v>
      </c>
      <c r="C1108" s="80" t="s">
        <v>1336</v>
      </c>
      <c r="D1108" s="81" t="str">
        <f>HYPERLINK("https://youtube.com/watch?v=Dqz_9O8SB0Y", "成王之路：三角・底褲・骷髏頭  [公仔書與卡通片:海賊王特輯 第七集]")</f>
        <v>成王之路：三角・底褲・骷髏頭  [公仔書與卡通片:海賊王特輯 第七集]</v>
      </c>
      <c r="E1108" s="82">
        <v>43670.0</v>
      </c>
      <c r="F1108" s="80">
        <v>717.0</v>
      </c>
      <c r="G1108" s="80" t="s">
        <v>63</v>
      </c>
      <c r="I1108" s="80" t="s">
        <v>63</v>
      </c>
      <c r="J1108" s="80">
        <v>3205.0</v>
      </c>
      <c r="K1108" s="80">
        <v>0.963040865384615</v>
      </c>
      <c r="L1108" s="80" t="s">
        <v>64</v>
      </c>
    </row>
    <row r="1109">
      <c r="A1109" s="80" t="s">
        <v>67</v>
      </c>
      <c r="B1109" s="81" t="str">
        <f>HYPERLINK("https://www.youtube.com/channel/UC7U6-j2DrKRIKXmPo4kE7YA", "雞WING")</f>
        <v>雞WING</v>
      </c>
      <c r="C1109" s="80" t="s">
        <v>1337</v>
      </c>
      <c r="D1109" s="81" t="str">
        <f>HYPERLINK("https://youtube.com/watch?v=DsGdwwQYI00", "Hugo新鋪開張去探店 &amp; 去竹灣游個靚水！")</f>
        <v>Hugo新鋪開張去探店 &amp; 去竹灣游個靚水！</v>
      </c>
      <c r="E1109" s="82">
        <v>44391.0</v>
      </c>
      <c r="F1109" s="80">
        <v>659.0</v>
      </c>
      <c r="G1109" s="80" t="s">
        <v>63</v>
      </c>
      <c r="I1109" s="80" t="s">
        <v>63</v>
      </c>
      <c r="J1109" s="80">
        <v>1916.0</v>
      </c>
      <c r="K1109" s="80">
        <v>0.865011286681715</v>
      </c>
      <c r="L1109" s="80" t="s">
        <v>64</v>
      </c>
    </row>
    <row r="1110">
      <c r="A1110" s="80" t="s">
        <v>217</v>
      </c>
      <c r="B1110" s="81" t="str">
        <f>HYPERLINK("https://www.youtube.com/channel/UCXKg0qPRz32bs5Z4mTGF3TQ", "Stormtrooper白兵")</f>
        <v>Stormtrooper白兵</v>
      </c>
      <c r="C1110" s="80" t="s">
        <v>1338</v>
      </c>
      <c r="D1110" s="81" t="str">
        <f>HYPERLINK("https://youtube.com/watch?v=DupdjohTKuo", "[亡國妖孽]拉斯普京－俄羅斯史上最強性交轉運妖憎｜被下毒爆頭都唔死｜如何從江湖騙子搖身一變，成為羅曼諾夫王朝的實質掌權者｜教你如何玩弄人心｜登上權力巔峰｜加速催毀300年沙皇根基｜粵語中字")</f>
        <v>[亡國妖孽]拉斯普京－俄羅斯史上最強性交轉運妖憎｜被下毒爆頭都唔死｜如何從江湖騙子搖身一變，成為羅曼諾夫王朝的實質掌權者｜教你如何玩弄人心｜登上權力巔峰｜加速催毀300年沙皇根基｜粵語中字</v>
      </c>
      <c r="E1110" s="82">
        <v>44322.0</v>
      </c>
      <c r="F1110" s="80">
        <v>1213.0</v>
      </c>
      <c r="G1110" s="80" t="s">
        <v>63</v>
      </c>
      <c r="I1110" s="80" t="s">
        <v>63</v>
      </c>
      <c r="J1110" s="80">
        <v>5135.0</v>
      </c>
      <c r="K1110" s="80">
        <v>0.967225466189489</v>
      </c>
      <c r="L1110" s="80" t="s">
        <v>64</v>
      </c>
    </row>
    <row r="1111">
      <c r="A1111" s="80" t="s">
        <v>61</v>
      </c>
      <c r="B1111" s="81" t="str">
        <f t="shared" ref="B1111:B1112" si="40">HYPERLINK("https://www.youtube.com/channel/UCJ4XVrJuqKHbc9yF9oUFseg", "MEeeep More")</f>
        <v>MEeeep More</v>
      </c>
      <c r="C1111" s="80" t="s">
        <v>1339</v>
      </c>
      <c r="D1111" s="81" t="str">
        <f>HYPERLINK("https://youtube.com/watch?v=Dx_r47Ms9OA", "Mi TV Stick 開箱 小米電視棒 - 全港首試！$300 支援 ViuTV、NetFlix、HBO Go 最緊要係慳位！ 小米盒子 進化版！mistick  xiaomi tv stick")</f>
        <v>Mi TV Stick 開箱 小米電視棒 - 全港首試！$300 支援 ViuTV、NetFlix、HBO Go 最緊要係慳位！ 小米盒子 進化版！mistick  xiaomi tv stick</v>
      </c>
      <c r="E1111" s="82">
        <v>44056.0</v>
      </c>
      <c r="F1111" s="80">
        <v>220.0</v>
      </c>
      <c r="G1111" s="80" t="s">
        <v>63</v>
      </c>
      <c r="I1111" s="80" t="s">
        <v>63</v>
      </c>
      <c r="J1111" s="80">
        <v>606.0</v>
      </c>
      <c r="K1111" s="80">
        <v>0.724014336917562</v>
      </c>
      <c r="L1111" s="80" t="s">
        <v>64</v>
      </c>
    </row>
    <row r="1112">
      <c r="A1112" s="80" t="s">
        <v>61</v>
      </c>
      <c r="B1112" s="81" t="str">
        <f t="shared" si="40"/>
        <v>MEeeep More</v>
      </c>
      <c r="C1112" s="80" t="s">
        <v>1340</v>
      </c>
      <c r="D1112" s="81" t="str">
        <f>HYPERLINK("https://youtube.com/watch?v=DyljaYAfApE", "iPhone12 Pro Max、iPhone12 Pro、iPhone 12 同 iPhone 12 Mini 殺到！5分鐘懶人包 5G連線 型仔新色 iPhone2020 iPhone12 香港")</f>
        <v>iPhone12 Pro Max、iPhone12 Pro、iPhone 12 同 iPhone 12 Mini 殺到！5分鐘懶人包 5G連線 型仔新色 iPhone2020 iPhone12 香港</v>
      </c>
      <c r="E1112" s="82">
        <v>44118.0</v>
      </c>
      <c r="F1112" s="80">
        <v>350.0</v>
      </c>
      <c r="G1112" s="80" t="s">
        <v>63</v>
      </c>
      <c r="I1112" s="80" t="s">
        <v>63</v>
      </c>
      <c r="J1112" s="80">
        <v>821.0</v>
      </c>
      <c r="K1112" s="80">
        <v>0.573324022346368</v>
      </c>
      <c r="L1112" s="80" t="s">
        <v>64</v>
      </c>
    </row>
    <row r="1113">
      <c r="A1113" s="80" t="s">
        <v>1000</v>
      </c>
      <c r="B1113" s="81" t="str">
        <f>HYPERLINK("https://www.youtube.com/channel/UChJQlg1b_cOttPX3SiIh5gA", "Lau Dinha in Hong Kong - Hong Kong in the World")</f>
        <v>Lau Dinha in Hong Kong - Hong Kong in the World</v>
      </c>
      <c r="C1113" s="80" t="s">
        <v>1341</v>
      </c>
      <c r="D1113" s="81" t="str">
        <f>HYPERLINK("https://youtube.com/watch?v=E3Ev9XLptFY", "香港人認真學台語 | 果然第一步是發音和聲調?? | Part1")</f>
        <v>香港人認真學台語 | 果然第一步是發音和聲調?? | Part1</v>
      </c>
      <c r="E1113" s="82">
        <v>44026.0</v>
      </c>
      <c r="F1113" s="80">
        <v>444.0</v>
      </c>
      <c r="G1113" s="80" t="s">
        <v>63</v>
      </c>
      <c r="H1113" s="80" t="s">
        <v>63</v>
      </c>
      <c r="I1113" s="80" t="s">
        <v>63</v>
      </c>
      <c r="J1113" s="80">
        <v>1383.0</v>
      </c>
      <c r="K1113" s="80">
        <v>0.9773851590106</v>
      </c>
      <c r="L1113" s="80" t="s">
        <v>916</v>
      </c>
    </row>
    <row r="1114">
      <c r="A1114" s="80" t="s">
        <v>94</v>
      </c>
      <c r="B1114" s="81" t="str">
        <f>HYPERLINK("https://www.youtube.com/channel/UCT_dMyI3pNselsmfR6FC8tQ", "PrideLab")</f>
        <v>PrideLab</v>
      </c>
      <c r="C1114" s="80" t="s">
        <v>1342</v>
      </c>
      <c r="D1114" s="81" t="str">
        <f>HYPERLINK("https://youtube.com/watch?v=E5HyXiUMGEU", "社會實驗：跨性別女性根據原生性別使用洗手間")</f>
        <v>社會實驗：跨性別女性根據原生性別使用洗手間</v>
      </c>
      <c r="E1114" s="82">
        <v>42745.0</v>
      </c>
      <c r="F1114" s="80">
        <v>164.0</v>
      </c>
      <c r="G1114" s="80" t="s">
        <v>63</v>
      </c>
      <c r="I1114" s="80" t="s">
        <v>63</v>
      </c>
      <c r="J1114" s="80">
        <v>318.0</v>
      </c>
      <c r="K1114" s="80">
        <v>0.952095808383233</v>
      </c>
      <c r="L1114" s="80" t="s">
        <v>582</v>
      </c>
    </row>
    <row r="1115">
      <c r="A1115" s="80" t="s">
        <v>219</v>
      </c>
      <c r="B1115" s="81" t="str">
        <f>HYPERLINK("https://www.youtube.com/channel/UC9_PnptBIpNF0JXbJjd8TsQ", "Brown's Channel")</f>
        <v>Brown's Channel</v>
      </c>
      <c r="C1115" s="80" t="s">
        <v>1343</v>
      </c>
      <c r="D1115" s="81" t="str">
        <f>HYPERLINK("https://youtube.com/watch?v=EBJSTOrIroA", "【一隻熊仔去旅行@深圳】#8 老碗會 － 字都唔識寫嘅麵？")</f>
        <v>【一隻熊仔去旅行@深圳】#8 老碗會 － 字都唔識寫嘅麵？</v>
      </c>
      <c r="E1115" s="82">
        <v>43630.0</v>
      </c>
      <c r="F1115" s="80">
        <v>220.0</v>
      </c>
      <c r="G1115" s="80" t="s">
        <v>63</v>
      </c>
      <c r="I1115" s="80" t="s">
        <v>63</v>
      </c>
      <c r="J1115" s="80">
        <v>680.0</v>
      </c>
      <c r="K1115" s="80">
        <v>0.897097625329815</v>
      </c>
      <c r="L1115" s="80" t="s">
        <v>64</v>
      </c>
    </row>
    <row r="1116">
      <c r="A1116" s="80" t="s">
        <v>260</v>
      </c>
      <c r="B1116" s="81" t="str">
        <f>HYPERLINK("https://www.youtube.com/channel/UC-HXOikkLx7BGEfILGIpYOg", "港短 . 英移")</f>
        <v>港短 . 英移</v>
      </c>
      <c r="C1116" s="80" t="s">
        <v>1344</v>
      </c>
      <c r="D1116" s="81" t="str">
        <f>HYPERLINK("https://youtube.com/watch?v=EGD5OQWcCBY", "[一齊睇樓] 間屋有咩問題? [英國地區搵樓攻略] | 港短.英移​ #HongKonger #英國租樓 #英國移民 #英國生活 #英國香港人")</f>
        <v>[一齊睇樓] 間屋有咩問題? [英國地區搵樓攻略] | 港短.英移​ #HongKonger #英國租樓 #英國移民 #英國生活 #英國香港人</v>
      </c>
      <c r="E1116" s="82">
        <v>44435.0</v>
      </c>
      <c r="F1116" s="80">
        <v>380.0</v>
      </c>
      <c r="G1116" s="80" t="s">
        <v>63</v>
      </c>
      <c r="I1116" s="80" t="s">
        <v>63</v>
      </c>
      <c r="J1116" s="80">
        <v>1239.0</v>
      </c>
      <c r="K1116" s="80">
        <v>0.824351297405189</v>
      </c>
      <c r="L1116" s="80" t="s">
        <v>102</v>
      </c>
    </row>
    <row r="1117">
      <c r="A1117" s="80" t="s">
        <v>1016</v>
      </c>
      <c r="B1117" s="81" t="str">
        <f>HYPERLINK("https://www.youtube.com/channel/UCSbiR1l-cfzk44iTJVSAZVQ", "Rhapsody in Lingo")</f>
        <v>Rhapsody in Lingo</v>
      </c>
      <c r="C1117" s="80" t="s">
        <v>1345</v>
      </c>
      <c r="D1117" s="81" t="str">
        <f>HYPERLINK("https://youtube.com/watch?v=EH0Dq1F9_yA", "Hongkonger Learning Hebrew – 4 months! [EN subs/粵字] בחור מהונג קונג מדבר בעברית")</f>
        <v>Hongkonger Learning Hebrew – 4 months! [EN subs/粵字] בחור מהונג קונג מדבר בעברית</v>
      </c>
      <c r="E1117" s="82">
        <v>44225.0</v>
      </c>
      <c r="F1117" s="80">
        <v>347.0</v>
      </c>
      <c r="G1117" s="80" t="s">
        <v>63</v>
      </c>
      <c r="I1117" s="80" t="s">
        <v>63</v>
      </c>
      <c r="J1117" s="80">
        <v>687.0</v>
      </c>
      <c r="K1117" s="80">
        <v>0.876275510204081</v>
      </c>
      <c r="L1117" s="80" t="s">
        <v>102</v>
      </c>
    </row>
    <row r="1118">
      <c r="A1118" s="80" t="s">
        <v>96</v>
      </c>
      <c r="B1118" s="81" t="str">
        <f>HYPERLINK("https://www.youtube.com/channel/UCGtyHJ-L_4RDIHe3XaLofQQ", "Anson Cheung")</f>
        <v>Anson Cheung</v>
      </c>
      <c r="C1118" s="80" t="s">
        <v>1346</v>
      </c>
      <c r="D1118" s="81" t="str">
        <f>HYPERLINK("https://youtube.com/watch?v=EHYYI1-Jb7M", "甚麼是 360 Reality Audio？Sony 最令人期待的新科技 - Sony SRS-RA5000 無線喇叭試玩｜Sony RA5000 Hands-on")</f>
        <v>甚麼是 360 Reality Audio？Sony 最令人期待的新科技 - Sony SRS-RA5000 無線喇叭試玩｜Sony RA5000 Hands-on</v>
      </c>
      <c r="E1118" s="82">
        <v>44324.0</v>
      </c>
      <c r="F1118" s="80">
        <v>762.0</v>
      </c>
      <c r="G1118" s="80" t="s">
        <v>63</v>
      </c>
      <c r="I1118" s="80" t="s">
        <v>63</v>
      </c>
      <c r="J1118" s="80">
        <v>2598.0</v>
      </c>
      <c r="K1118" s="80">
        <v>0.668725868725868</v>
      </c>
      <c r="L1118" s="80" t="s">
        <v>64</v>
      </c>
    </row>
    <row r="1119">
      <c r="A1119" s="80" t="s">
        <v>1007</v>
      </c>
      <c r="B1119" s="81" t="str">
        <f>HYPERLINK("https://www.youtube.com/channel/UCCzgNTkFyDel0FDJtVNgEtQ", "香港人. 德國讀書之【真.洗濕左個頭.無得返轉頭】Miss Chan Life in Germany")</f>
        <v>香港人. 德國讀書之【真.洗濕左個頭.無得返轉頭】Miss Chan Life in Germany</v>
      </c>
      <c r="C1119" s="80" t="s">
        <v>1347</v>
      </c>
      <c r="D1119" s="81" t="str">
        <f>HYPERLINK("https://youtube.com/watch?v=ESzP0Sp7so0", "【Köln新年糕點小賣部- 蘿蔔糕試整日之德國打邊爐ohne爐- 處女vs雙子】(香港人製作. 廣東話)")</f>
        <v>【Köln新年糕點小賣部- 蘿蔔糕試整日之德國打邊爐ohne爐- 處女vs雙子】(香港人製作. 廣東話)</v>
      </c>
      <c r="E1119" s="82">
        <v>44213.0</v>
      </c>
      <c r="F1119" s="80">
        <v>445.0</v>
      </c>
      <c r="G1119" s="80" t="s">
        <v>63</v>
      </c>
      <c r="I1119" s="80" t="s">
        <v>63</v>
      </c>
      <c r="J1119" s="80">
        <v>1305.0</v>
      </c>
      <c r="K1119" s="80">
        <v>0.907510431154381</v>
      </c>
      <c r="L1119" s="80" t="s">
        <v>64</v>
      </c>
    </row>
    <row r="1120">
      <c r="A1120" s="80" t="s">
        <v>260</v>
      </c>
      <c r="B1120" s="81" t="str">
        <f>HYPERLINK("https://www.youtube.com/channel/UC-HXOikkLx7BGEfILGIpYOg", "港短 . 英移")</f>
        <v>港短 . 英移</v>
      </c>
      <c r="C1120" s="80" t="s">
        <v>1348</v>
      </c>
      <c r="D1120" s="81" t="str">
        <f>HYPERLINK("https://youtube.com/watch?v=ET15oTAVLbg", "香港人最易適應既地方? Colindale【英文麻麻唔緊要】| 港短.英移​ #HongKonger #英國租樓 #英國移民 #Colindale #英國生活 #英國香港人")</f>
        <v>香港人最易適應既地方? Colindale【英文麻麻唔緊要】| 港短.英移​ #HongKonger #英國租樓 #英國移民 #Colindale #英國生活 #英國香港人</v>
      </c>
      <c r="E1120" s="82">
        <v>44481.0</v>
      </c>
      <c r="F1120" s="80">
        <v>439.0</v>
      </c>
      <c r="G1120" s="80" t="s">
        <v>63</v>
      </c>
      <c r="I1120" s="80" t="s">
        <v>63</v>
      </c>
      <c r="J1120" s="80">
        <v>1409.0</v>
      </c>
      <c r="K1120" s="80">
        <v>0.755495978552278</v>
      </c>
      <c r="L1120" s="80" t="s">
        <v>102</v>
      </c>
    </row>
    <row r="1121">
      <c r="A1121" s="80" t="s">
        <v>82</v>
      </c>
      <c r="B1121" s="81" t="str">
        <f>HYPERLINK("https://www.youtube.com/channel/UC6C2hkbggXIgapf5jn_V2Dw", "SpongeMob 852")</f>
        <v>SpongeMob 852</v>
      </c>
      <c r="C1121" s="80" t="s">
        <v>1349</v>
      </c>
      <c r="D1121" s="81" t="str">
        <f>HYPERLINK("https://youtube.com/watch?v=ETpfg9TDcv4", "Lay-zG - Jungle Law [Official Lyric Video]")</f>
        <v>Lay-zG - Jungle Law [Official Lyric Video]</v>
      </c>
      <c r="E1121" s="82">
        <v>44086.0</v>
      </c>
      <c r="F1121" s="80">
        <v>121.0</v>
      </c>
      <c r="G1121" s="80" t="s">
        <v>63</v>
      </c>
      <c r="I1121" s="80" t="s">
        <v>63</v>
      </c>
      <c r="J1121" s="80">
        <v>214.0</v>
      </c>
      <c r="K1121" s="80">
        <v>0.244013683010262</v>
      </c>
      <c r="L1121" s="80" t="s">
        <v>64</v>
      </c>
    </row>
    <row r="1122">
      <c r="A1122" s="80" t="s">
        <v>1310</v>
      </c>
      <c r="B1122" s="81" t="str">
        <f>HYPERLINK("https://www.youtube.com/channel/UC0-DuAJ8XNn3RH1aevvJWgA", "TomorrowLAN CSGO")</f>
        <v>TomorrowLAN CSGO</v>
      </c>
      <c r="C1122" s="80" t="s">
        <v>1350</v>
      </c>
      <c r="D1122" s="81" t="str">
        <f>HYPERLINK("https://youtube.com/watch?v=EU00qAzdQpo", "[BTRG.HK] Darkkis: 冇時間練習令今次反而更似一隊mix team [WESG 2018香港區]")</f>
        <v>[BTRG.HK] Darkkis: 冇時間練習令今次反而更似一隊mix team [WESG 2018香港區]</v>
      </c>
      <c r="E1122" s="82">
        <v>43413.0</v>
      </c>
      <c r="F1122" s="80">
        <v>142.0</v>
      </c>
      <c r="G1122" s="80" t="s">
        <v>63</v>
      </c>
      <c r="I1122" s="80" t="s">
        <v>63</v>
      </c>
      <c r="J1122" s="80">
        <v>488.0</v>
      </c>
      <c r="K1122" s="80">
        <v>0.898710865561694</v>
      </c>
      <c r="L1122" s="80" t="s">
        <v>64</v>
      </c>
    </row>
    <row r="1123">
      <c r="A1123" s="80" t="s">
        <v>975</v>
      </c>
      <c r="B1123" s="81" t="str">
        <f>HYPERLINK("https://www.youtube.com/channel/UCvtIbNu3jnYc5wcU0-m6mxw", "AHMY")</f>
        <v>AHMY</v>
      </c>
      <c r="C1123" s="80" t="s">
        <v>1351</v>
      </c>
      <c r="D1123" s="81" t="str">
        <f>HYPERLINK("https://youtube.com/watch?v=EYTliy2mKXw", "【高中數學】DSE Maths Core 短期內 Level 2 升 Level 4｜卷一卷二操卷心得｜背考卷答案不是無稽之談")</f>
        <v>【高中數學】DSE Maths Core 短期內 Level 2 升 Level 4｜卷一卷二操卷心得｜背考卷答案不是無稽之談</v>
      </c>
      <c r="E1123" s="82">
        <v>42803.0</v>
      </c>
      <c r="F1123" s="80">
        <v>468.0</v>
      </c>
      <c r="G1123" s="80" t="s">
        <v>63</v>
      </c>
      <c r="I1123" s="80" t="s">
        <v>63</v>
      </c>
      <c r="J1123" s="80">
        <v>2026.0</v>
      </c>
      <c r="K1123" s="80">
        <v>0.745126884884148</v>
      </c>
      <c r="L1123" s="80" t="s">
        <v>64</v>
      </c>
    </row>
    <row r="1124">
      <c r="A1124" s="80" t="s">
        <v>217</v>
      </c>
      <c r="B1124" s="81" t="str">
        <f>HYPERLINK("https://www.youtube.com/channel/UCXKg0qPRz32bs5Z4mTGF3TQ", "Stormtrooper白兵")</f>
        <v>Stormtrooper白兵</v>
      </c>
      <c r="C1124" s="80" t="s">
        <v>1352</v>
      </c>
      <c r="D1124" s="81" t="str">
        <f>HYPERLINK("https://youtube.com/watch?v=EZ0WVJ5QhP4", "[世紀懸案]童話式婚禮變人間悲劇－戴安娜被英國王室玩弄的一生｜解構戴安娜王妃致命車禍迷團｜粵語中字")</f>
        <v>[世紀懸案]童話式婚禮變人間悲劇－戴安娜被英國王室玩弄的一生｜解構戴安娜王妃致命車禍迷團｜粵語中字</v>
      </c>
      <c r="E1124" s="82">
        <v>44308.0</v>
      </c>
      <c r="F1124" s="80">
        <v>1142.0</v>
      </c>
      <c r="G1124" s="80" t="s">
        <v>63</v>
      </c>
      <c r="H1124" s="80" t="s">
        <v>63</v>
      </c>
      <c r="I1124" s="80" t="s">
        <v>63</v>
      </c>
      <c r="J1124" s="80">
        <v>4732.0</v>
      </c>
      <c r="K1124" s="80">
        <v>0.952304286576776</v>
      </c>
      <c r="L1124" s="80" t="s">
        <v>86</v>
      </c>
    </row>
    <row r="1125">
      <c r="A1125" s="80" t="s">
        <v>252</v>
      </c>
      <c r="B1125" s="81" t="str">
        <f>HYPERLINK("https://www.youtube.com/channel/UCrISkBm7rgsRUAw8018eWvw", "MoYung 慕容公子")</f>
        <v>MoYung 慕容公子</v>
      </c>
      <c r="C1125" s="80" t="s">
        <v>1353</v>
      </c>
      <c r="D1125" s="81" t="str">
        <f>HYPERLINK("https://youtube.com/watch?v=EZhjgCNEYAU", "《觀眾好聲音》黃鋒 - 昨天")</f>
        <v>《觀眾好聲音》黃鋒 - 昨天</v>
      </c>
      <c r="E1125" s="82">
        <v>42744.0</v>
      </c>
      <c r="F1125" s="80">
        <v>131.0</v>
      </c>
      <c r="G1125" s="80" t="s">
        <v>63</v>
      </c>
      <c r="I1125" s="80" t="s">
        <v>63</v>
      </c>
      <c r="J1125" s="80">
        <v>367.0</v>
      </c>
      <c r="K1125" s="80">
        <v>0.903940886699507</v>
      </c>
      <c r="L1125" s="80" t="s">
        <v>64</v>
      </c>
    </row>
    <row r="1126">
      <c r="A1126" s="80" t="s">
        <v>74</v>
      </c>
      <c r="B1126" s="81" t="str">
        <f>HYPERLINK("https://www.youtube.com/channel/UCO_5XP-qd-udNxBlzzSzgvw", "Handline Fishing")</f>
        <v>Handline Fishing</v>
      </c>
      <c r="C1126" s="80" t="s">
        <v>1354</v>
      </c>
      <c r="D1126" s="81" t="str">
        <f>HYPERLINK("https://youtube.com/watch?v=EaPfielTxRE", "#229 轉位多，代表魚獲多? 今日有答案 | 香港釣魚 | 艇釣 | 維港東 {粵語旁白+中英文字幕}")</f>
        <v>#229 轉位多，代表魚獲多? 今日有答案 | 香港釣魚 | 艇釣 | 維港東 {粵語旁白+中英文字幕}</v>
      </c>
      <c r="E1126" s="82">
        <v>44414.0</v>
      </c>
      <c r="F1126" s="80">
        <v>368.0</v>
      </c>
      <c r="G1126" s="80" t="s">
        <v>63</v>
      </c>
      <c r="H1126" s="80" t="s">
        <v>63</v>
      </c>
      <c r="I1126" s="80" t="s">
        <v>63</v>
      </c>
      <c r="J1126" s="80">
        <v>601.0</v>
      </c>
      <c r="K1126" s="80">
        <v>0.97092084006462</v>
      </c>
      <c r="L1126" s="80" t="s">
        <v>88</v>
      </c>
    </row>
    <row r="1127">
      <c r="A1127" s="80" t="s">
        <v>217</v>
      </c>
      <c r="B1127" s="81" t="str">
        <f>HYPERLINK("https://www.youtube.com/channel/UCXKg0qPRz32bs5Z4mTGF3TQ", "Stormtrooper白兵")</f>
        <v>Stormtrooper白兵</v>
      </c>
      <c r="C1127" s="80" t="s">
        <v>1355</v>
      </c>
      <c r="D1127" s="81" t="str">
        <f>HYPERLINK("https://youtube.com/watch?v=EfxaQY8O8KQ", "[疫苗有用！]人類vs病毒 史上最大勝仗｜肆虐了三千多年的天花被一招KO！？｜我們如何在其中學習應付現今難題！？｜粵語中字")</f>
        <v>[疫苗有用！]人類vs病毒 史上最大勝仗｜肆虐了三千多年的天花被一招KO！？｜我們如何在其中學習應付現今難題！？｜粵語中字</v>
      </c>
      <c r="E1127" s="82">
        <v>44546.0</v>
      </c>
      <c r="F1127" s="80">
        <v>797.0</v>
      </c>
      <c r="G1127" s="80" t="s">
        <v>63</v>
      </c>
      <c r="I1127" s="80" t="s">
        <v>63</v>
      </c>
      <c r="J1127" s="80">
        <v>3418.0</v>
      </c>
      <c r="K1127" s="80">
        <v>0.937980241492865</v>
      </c>
      <c r="L1127" s="80" t="s">
        <v>64</v>
      </c>
    </row>
    <row r="1128">
      <c r="A1128" s="80" t="s">
        <v>74</v>
      </c>
      <c r="B1128" s="81" t="str">
        <f t="shared" ref="B1128:B1129" si="41">HYPERLINK("https://www.youtube.com/channel/UCO_5XP-qd-udNxBlzzSzgvw", "Handline Fishing")</f>
        <v>Handline Fishing</v>
      </c>
      <c r="C1128" s="80" t="s">
        <v>1356</v>
      </c>
      <c r="D1128" s="81" t="str">
        <f>HYPERLINK("https://youtube.com/watch?v=EjM0Hb15ITo", "#186 我的釣魚日記 | 『香港釣魚 : 艇釣』維港 {粵語旁白+中英文字幕} 【SmallRig 相機兔籠】")</f>
        <v>#186 我的釣魚日記 | 『香港釣魚 : 艇釣』維港 {粵語旁白+中英文字幕} 【SmallRig 相機兔籠】</v>
      </c>
      <c r="E1128" s="82">
        <v>44229.0</v>
      </c>
      <c r="F1128" s="80">
        <v>677.0</v>
      </c>
      <c r="G1128" s="80" t="s">
        <v>63</v>
      </c>
      <c r="I1128" s="80" t="s">
        <v>63</v>
      </c>
      <c r="J1128" s="80">
        <v>656.0</v>
      </c>
      <c r="K1128" s="80">
        <v>0.939828080229226</v>
      </c>
      <c r="L1128" s="80" t="s">
        <v>271</v>
      </c>
    </row>
    <row r="1129">
      <c r="A1129" s="80" t="s">
        <v>74</v>
      </c>
      <c r="B1129" s="81" t="str">
        <f t="shared" si="41"/>
        <v>Handline Fishing</v>
      </c>
      <c r="C1129" s="80" t="s">
        <v>1357</v>
      </c>
      <c r="D1129" s="81" t="str">
        <f>HYPERLINK("https://youtube.com/watch?v=EjxeCHEo7uw", "#190 情人眼裡出瓜衫 | 出動秘武器蟹仔餌 | 『香港釣魚 : 艇釣』維港 {粵語旁白+中英文字幕}")</f>
        <v>#190 情人眼裡出瓜衫 | 出動秘武器蟹仔餌 | 『香港釣魚 : 艇釣』維港 {粵語旁白+中英文字幕}</v>
      </c>
      <c r="E1129" s="82">
        <v>44246.0</v>
      </c>
      <c r="F1129" s="80">
        <v>481.0</v>
      </c>
      <c r="G1129" s="80" t="s">
        <v>63</v>
      </c>
      <c r="I1129" s="80" t="s">
        <v>63</v>
      </c>
      <c r="J1129" s="80">
        <v>969.0</v>
      </c>
      <c r="K1129" s="80">
        <v>0.97289156626506</v>
      </c>
      <c r="L1129" s="80" t="s">
        <v>271</v>
      </c>
    </row>
    <row r="1130">
      <c r="A1130" s="80" t="s">
        <v>1183</v>
      </c>
      <c r="B1130" s="81" t="str">
        <f>HYPERLINK("https://www.youtube.com/channel/UCPBBbFYG51QpjuptQtYfCDA", "siuwaiboy")</f>
        <v>siuwaiboy</v>
      </c>
      <c r="C1130" s="80" t="s">
        <v>1358</v>
      </c>
      <c r="D1130" s="81" t="str">
        <f>HYPERLINK("https://youtube.com/watch?v=ElbPokQlN90", "電子煙都係零食!")</f>
        <v>電子煙都係零食!</v>
      </c>
      <c r="E1130" s="82">
        <v>43419.0</v>
      </c>
      <c r="F1130" s="80">
        <v>209.0</v>
      </c>
      <c r="G1130" s="80" t="s">
        <v>63</v>
      </c>
      <c r="I1130" s="80" t="s">
        <v>63</v>
      </c>
      <c r="J1130" s="80">
        <v>906.0</v>
      </c>
      <c r="K1130" s="80">
        <v>0.981581798483206</v>
      </c>
      <c r="L1130" s="80" t="s">
        <v>64</v>
      </c>
    </row>
    <row r="1131">
      <c r="A1131" s="80" t="s">
        <v>140</v>
      </c>
      <c r="B1131" s="81" t="str">
        <f>HYPERLINK("https://www.youtube.com/channel/UCHK0CZf9HEXs42qIO1GUouA", "TechiCardia")</f>
        <v>TechiCardia</v>
      </c>
      <c r="C1131" s="80" t="s">
        <v>1359</v>
      </c>
      <c r="D1131" s="81" t="str">
        <f>HYPERLINK("https://youtube.com/watch?v=EqvYBDSG0eI", "我的電腦周邊及科技產品！ DREAM DESK SETUP 2021//留意片內有GIVEAWAY！//電腦枱上有啲咩？//4K ［廣東話字幕］【TechiCardia】")</f>
        <v>我的電腦周邊及科技產品！ DREAM DESK SETUP 2021//留意片內有GIVEAWAY！//電腦枱上有啲咩？//4K ［廣東話字幕］【TechiCardia】</v>
      </c>
      <c r="E1131" s="82">
        <v>44219.0</v>
      </c>
      <c r="F1131" s="80">
        <v>796.0</v>
      </c>
      <c r="G1131" s="80" t="s">
        <v>63</v>
      </c>
      <c r="I1131" s="80" t="s">
        <v>63</v>
      </c>
      <c r="J1131" s="80">
        <v>3171.0</v>
      </c>
      <c r="K1131" s="80">
        <v>0.73538961038961</v>
      </c>
      <c r="L1131" s="80" t="s">
        <v>102</v>
      </c>
    </row>
    <row r="1132">
      <c r="A1132" s="80" t="s">
        <v>1069</v>
      </c>
      <c r="B1132" s="81" t="str">
        <f>HYPERLINK("https://www.youtube.com/channel/UCAnpoZYvOIZUPp66LrWl9OA", "Leave Your Mark")</f>
        <v>Leave Your Mark</v>
      </c>
      <c r="C1132" s="80" t="s">
        <v>1360</v>
      </c>
      <c r="D1132" s="81" t="str">
        <f>HYPERLINK("https://youtube.com/watch?v=ErHRZZa8HM8", "#9 李永銓 //「自殺公司」到品牌救亡師//")</f>
        <v>#9 李永銓 //「自殺公司」到品牌救亡師//</v>
      </c>
      <c r="E1132" s="82">
        <v>42623.0</v>
      </c>
      <c r="F1132" s="80">
        <v>172.0</v>
      </c>
      <c r="G1132" s="80" t="s">
        <v>63</v>
      </c>
      <c r="I1132" s="80" t="s">
        <v>63</v>
      </c>
      <c r="J1132" s="80">
        <v>510.0</v>
      </c>
      <c r="K1132" s="80">
        <v>0.904255319148936</v>
      </c>
      <c r="L1132" s="80" t="s">
        <v>1071</v>
      </c>
    </row>
    <row r="1133">
      <c r="A1133" s="80" t="s">
        <v>112</v>
      </c>
      <c r="B1133" s="81" t="str">
        <f>HYPERLINK("https://www.youtube.com/channel/UCW_n_gfIv4HhRqCk8EnRhJA", "Happy Kongner")</f>
        <v>Happy Kongner</v>
      </c>
      <c r="C1133" s="80" t="s">
        <v>1361</v>
      </c>
      <c r="D1133" s="81" t="str">
        <f>HYPERLINK("https://youtube.com/watch?v=EuBGhZ9WeTU", "終極無厘頭！ Zombieland Saga 《佐賀偶像是傳奇》真係咁好睇？[公仔書與卡通片 EP16]")</f>
        <v>終極無厘頭！ Zombieland Saga 《佐賀偶像是傳奇》真係咁好睇？[公仔書與卡通片 EP16]</v>
      </c>
      <c r="E1133" s="82">
        <v>43464.0</v>
      </c>
      <c r="F1133" s="80">
        <v>695.0</v>
      </c>
      <c r="G1133" s="80" t="s">
        <v>63</v>
      </c>
      <c r="I1133" s="80" t="s">
        <v>63</v>
      </c>
      <c r="J1133" s="80">
        <v>3374.0</v>
      </c>
      <c r="K1133" s="80">
        <v>0.831649001725412</v>
      </c>
      <c r="L1133" s="80" t="s">
        <v>64</v>
      </c>
    </row>
    <row r="1134">
      <c r="A1134" s="80" t="s">
        <v>103</v>
      </c>
      <c r="B1134" s="81" t="str">
        <f>HYPERLINK("https://www.youtube.com/channel/UCTVpvSswSER2sq1USBTGfnw", "Brittany Chan")</f>
        <v>Brittany Chan</v>
      </c>
      <c r="C1134" s="80" t="s">
        <v>1362</v>
      </c>
      <c r="D1134" s="81" t="str">
        <f>HYPERLINK("https://youtube.com/watch?v=Ezne2lXf4w0", "pumpkin sago soup")</f>
        <v>pumpkin sago soup</v>
      </c>
      <c r="E1134" s="82">
        <v>44521.0</v>
      </c>
      <c r="F1134" s="80">
        <v>798.0</v>
      </c>
      <c r="G1134" s="80" t="s">
        <v>63</v>
      </c>
      <c r="I1134" s="80" t="s">
        <v>63</v>
      </c>
      <c r="J1134" s="80">
        <v>1628.0</v>
      </c>
      <c r="K1134" s="80">
        <v>0.429211705773793</v>
      </c>
      <c r="L1134" s="80" t="s">
        <v>105</v>
      </c>
    </row>
    <row r="1135">
      <c r="A1135" s="80" t="s">
        <v>274</v>
      </c>
      <c r="B1135" s="81" t="str">
        <f>HYPERLINK("https://www.youtube.com/channel/UC2oB9QCXs-RKtaKChrz4dKg", "MtzCherry")</f>
        <v>MtzCherry</v>
      </c>
      <c r="C1135" s="80" t="s">
        <v>1363</v>
      </c>
      <c r="D1135" s="81" t="str">
        <f>HYPERLINK("https://youtube.com/watch?v=F2WQZ1o8S9A", "🇭🇰HONGKONGER REACTS to Memes on Subtle Cantonese Traits! 香港人睇廣東話Meme有咩反應? 仲可以順便教廣東話~")</f>
        <v>🇭🇰HONGKONGER REACTS to Memes on Subtle Cantonese Traits! 香港人睇廣東話Meme有咩反應? 仲可以順便教廣東話~</v>
      </c>
      <c r="E1135" s="82">
        <v>44044.0</v>
      </c>
      <c r="F1135" s="80">
        <v>506.0</v>
      </c>
      <c r="G1135" s="80" t="s">
        <v>63</v>
      </c>
      <c r="H1135" s="80" t="s">
        <v>63</v>
      </c>
      <c r="I1135" s="80" t="s">
        <v>63</v>
      </c>
      <c r="J1135" s="80">
        <v>1687.0</v>
      </c>
      <c r="K1135" s="80">
        <v>0.63089005235602</v>
      </c>
      <c r="L1135" s="80" t="s">
        <v>439</v>
      </c>
    </row>
    <row r="1136">
      <c r="A1136" s="80" t="s">
        <v>74</v>
      </c>
      <c r="B1136" s="81" t="str">
        <f>HYPERLINK("https://www.youtube.com/channel/UCO_5XP-qd-udNxBlzzSzgvw", "Handline Fishing")</f>
        <v>Handline Fishing</v>
      </c>
      <c r="C1136" s="80" t="s">
        <v>1364</v>
      </c>
      <c r="D1136" s="81" t="str">
        <f>HYPERLINK("https://youtube.com/watch?v=F8pWQs2eN_k", "#139 21世紀姜太公 |『香港釣魚 : 排釣』三門仔魚排 {粵語旁白+中英文字幕}")</f>
        <v>#139 21世紀姜太公 |『香港釣魚 : 排釣』三門仔魚排 {粵語旁白+中英文字幕}</v>
      </c>
      <c r="E1136" s="82">
        <v>44057.0</v>
      </c>
      <c r="F1136" s="80">
        <v>354.0</v>
      </c>
      <c r="G1136" s="80" t="s">
        <v>63</v>
      </c>
      <c r="I1136" s="80" t="s">
        <v>63</v>
      </c>
      <c r="J1136" s="80">
        <v>805.0</v>
      </c>
      <c r="K1136" s="80">
        <v>0.959475566150178</v>
      </c>
      <c r="L1136" s="80" t="s">
        <v>76</v>
      </c>
    </row>
    <row r="1137">
      <c r="A1137" s="80" t="s">
        <v>61</v>
      </c>
      <c r="B1137" s="81" t="str">
        <f>HYPERLINK("https://www.youtube.com/channel/UCJ4XVrJuqKHbc9yF9oUFseg", "MEeeep More")</f>
        <v>MEeeep More</v>
      </c>
      <c r="C1137" s="80" t="s">
        <v>1365</v>
      </c>
      <c r="D1137" s="81" t="str">
        <f>HYPERLINK("https://youtube.com/watch?v=FBdob6lcTH4", "Redmi Note 9T 登場！千元價位三鏡頭雙5G 最平5G機 中階機入門價！｜Xiaomi Redmi Note 9T 小米Redmi Note 9T Note9T 紅米Note9T")</f>
        <v>Redmi Note 9T 登場！千元價位三鏡頭雙5G 最平5G機 中階機入門價！｜Xiaomi Redmi Note 9T 小米Redmi Note 9T Note9T 紅米Note9T</v>
      </c>
      <c r="E1137" s="82">
        <v>44207.0</v>
      </c>
      <c r="F1137" s="80">
        <v>174.0</v>
      </c>
      <c r="G1137" s="80" t="s">
        <v>63</v>
      </c>
      <c r="I1137" s="80" t="s">
        <v>63</v>
      </c>
      <c r="J1137" s="80">
        <v>461.0</v>
      </c>
      <c r="K1137" s="80">
        <v>0.72257053291536</v>
      </c>
      <c r="L1137" s="80" t="s">
        <v>64</v>
      </c>
    </row>
    <row r="1138">
      <c r="A1138" s="80" t="s">
        <v>140</v>
      </c>
      <c r="B1138" s="81" t="str">
        <f>HYPERLINK("https://www.youtube.com/channel/UCHK0CZf9HEXs42qIO1GUouA", "TechiCardia")</f>
        <v>TechiCardia</v>
      </c>
      <c r="C1138" s="80" t="s">
        <v>1366</v>
      </c>
      <c r="D1138" s="81" t="str">
        <f>HYPERLINK("https://youtube.com/watch?v=FC7SSq7Lavc", "【數碼Youtuber集結】玩轉 2021 Price 網上電腦節 ｜16-20/8 每晚8:00pm 特選Super Deal優惠搶先睇 | 密切留意")</f>
        <v>【數碼Youtuber集結】玩轉 2021 Price 網上電腦節 ｜16-20/8 每晚8:00pm 特選Super Deal優惠搶先睇 | 密切留意</v>
      </c>
      <c r="E1138" s="82">
        <v>44417.0</v>
      </c>
      <c r="F1138" s="80">
        <v>83.0</v>
      </c>
      <c r="G1138" s="80" t="s">
        <v>63</v>
      </c>
      <c r="I1138" s="80" t="s">
        <v>63</v>
      </c>
      <c r="J1138" s="80">
        <v>262.0</v>
      </c>
      <c r="K1138" s="80">
        <v>0.719780219780219</v>
      </c>
      <c r="L1138" s="80" t="s">
        <v>102</v>
      </c>
    </row>
    <row r="1139">
      <c r="A1139" s="80" t="s">
        <v>61</v>
      </c>
      <c r="B1139" s="81" t="str">
        <f>HYPERLINK("https://www.youtube.com/channel/UCJ4XVrJuqKHbc9yF9oUFseg", "MEeeep More")</f>
        <v>MEeeep More</v>
      </c>
      <c r="C1139" s="80" t="s">
        <v>1367</v>
      </c>
      <c r="D1139" s="81" t="str">
        <f>HYPERLINK("https://youtube.com/watch?v=FFEJgdexLQI", "【蛋撻食譜】屋企簡單整新鮮出爐蛋撻！零失敗 個半鐘有得食！蛋撻 做法 蛋撻製作 egg tart recipe")</f>
        <v>【蛋撻食譜】屋企簡單整新鮮出爐蛋撻！零失敗 個半鐘有得食！蛋撻 做法 蛋撻製作 egg tart recipe</v>
      </c>
      <c r="E1139" s="82">
        <v>44172.0</v>
      </c>
      <c r="F1139" s="80">
        <v>225.0</v>
      </c>
      <c r="G1139" s="80" t="s">
        <v>63</v>
      </c>
      <c r="I1139" s="80" t="s">
        <v>63</v>
      </c>
      <c r="J1139" s="80">
        <v>432.0</v>
      </c>
      <c r="K1139" s="80">
        <v>0.894409937888198</v>
      </c>
      <c r="L1139" s="80" t="s">
        <v>64</v>
      </c>
    </row>
    <row r="1140">
      <c r="A1140" s="80" t="s">
        <v>74</v>
      </c>
      <c r="B1140" s="81" t="str">
        <f>HYPERLINK("https://www.youtube.com/channel/UCO_5XP-qd-udNxBlzzSzgvw", "Handline Fishing")</f>
        <v>Handline Fishing</v>
      </c>
      <c r="C1140" s="80" t="s">
        <v>1368</v>
      </c>
      <c r="D1140" s="81" t="str">
        <f>HYPERLINK("https://youtube.com/watch?v=FIwSN7MphQU", "#129 有大鱗  |『香港釣魚 : 艇釣』大小鴉洲/長洲泥登 {粵語旁白+中英文字幕}")</f>
        <v>#129 有大鱗  |『香港釣魚 : 艇釣』大小鴉洲/長洲泥登 {粵語旁白+中英文字幕}</v>
      </c>
      <c r="E1140" s="82">
        <v>44017.0</v>
      </c>
      <c r="F1140" s="80">
        <v>601.0</v>
      </c>
      <c r="G1140" s="80" t="s">
        <v>63</v>
      </c>
      <c r="I1140" s="80" t="s">
        <v>63</v>
      </c>
      <c r="J1140" s="80">
        <v>1817.0</v>
      </c>
      <c r="K1140" s="80">
        <v>0.966489361702127</v>
      </c>
      <c r="L1140" s="80" t="s">
        <v>76</v>
      </c>
    </row>
    <row r="1141">
      <c r="A1141" s="80" t="s">
        <v>61</v>
      </c>
      <c r="B1141" s="81" t="str">
        <f>HYPERLINK("https://www.youtube.com/channel/UCJ4XVrJuqKHbc9yF9oUFseg", "MEeeep More")</f>
        <v>MEeeep More</v>
      </c>
      <c r="C1141" s="80" t="s">
        <v>1369</v>
      </c>
      <c r="D1141" s="81" t="str">
        <f>HYPERLINK("https://youtube.com/watch?v=FJFRC5Ny5vo", "食玩飛常遊 - 【新加坡美食2020】- 介央多可以有幾多種食法？帶你去食盡新加坡地道多士！ - 新加坡 自由行 景點 東亞餐室")</f>
        <v>食玩飛常遊 - 【新加坡美食2020】- 介央多可以有幾多種食法？帶你去食盡新加坡地道多士！ - 新加坡 自由行 景點 東亞餐室</v>
      </c>
      <c r="E1141" s="82">
        <v>43894.0</v>
      </c>
      <c r="F1141" s="80">
        <v>161.0</v>
      </c>
      <c r="G1141" s="80" t="s">
        <v>63</v>
      </c>
      <c r="I1141" s="80" t="s">
        <v>63</v>
      </c>
      <c r="J1141" s="80">
        <v>439.0</v>
      </c>
      <c r="K1141" s="80">
        <v>0.802559414990859</v>
      </c>
      <c r="L1141" s="80" t="s">
        <v>64</v>
      </c>
    </row>
    <row r="1142">
      <c r="A1142" s="80" t="s">
        <v>78</v>
      </c>
      <c r="B1142" s="81" t="str">
        <f>HYPERLINK("https://www.youtube.com/channel/UCXnWjmQ8BDE0sDIeZLK5yJg", "點 Cook Guide")</f>
        <v>點 Cook Guide</v>
      </c>
      <c r="C1142" s="80" t="s">
        <v>1370</v>
      </c>
      <c r="D1142" s="81" t="str">
        <f>HYPERLINK("https://youtube.com/watch?v=FK7eTsXRGsI", "土匪雞翼 Bandits Chicken Wings [by 點Cook Guide]")</f>
        <v>土匪雞翼 Bandits Chicken Wings [by 點Cook Guide]</v>
      </c>
      <c r="E1142" s="82">
        <v>43245.0</v>
      </c>
      <c r="F1142" s="80">
        <v>656.0</v>
      </c>
      <c r="G1142" s="80" t="s">
        <v>63</v>
      </c>
      <c r="H1142" s="80" t="s">
        <v>63</v>
      </c>
      <c r="I1142" s="80" t="s">
        <v>63</v>
      </c>
      <c r="J1142" s="80">
        <v>2415.0</v>
      </c>
      <c r="K1142" s="80">
        <v>0.965696917064698</v>
      </c>
      <c r="L1142" s="80" t="s">
        <v>66</v>
      </c>
    </row>
    <row r="1143">
      <c r="A1143" s="80" t="s">
        <v>217</v>
      </c>
      <c r="B1143" s="81" t="str">
        <f t="shared" ref="B1143:B1144" si="42">HYPERLINK("https://www.youtube.com/channel/UCXKg0qPRz32bs5Z4mTGF3TQ", "Stormtrooper白兵")</f>
        <v>Stormtrooper白兵</v>
      </c>
      <c r="C1143" s="80" t="s">
        <v>1371</v>
      </c>
      <c r="D1143" s="81" t="str">
        <f>HYPERLINK("https://youtube.com/watch?v=FKZctEXqlcA", "[社會議題]踢爆社交網絡與主流媒體勾結中共，操控輿論！如何透過Fact-Check去控制你？為何特朗普總是處於劣勢？Facebook, Twitter最終會變成另類極權？")</f>
        <v>[社會議題]踢爆社交網絡與主流媒體勾結中共，操控輿論！如何透過Fact-Check去控制你？為何特朗普總是處於劣勢？Facebook, Twitter最終會變成另類極權？</v>
      </c>
      <c r="E1143" s="82">
        <v>44147.0</v>
      </c>
      <c r="F1143" s="80">
        <v>797.0</v>
      </c>
      <c r="G1143" s="80" t="s">
        <v>63</v>
      </c>
      <c r="H1143" s="80" t="s">
        <v>63</v>
      </c>
      <c r="I1143" s="80" t="s">
        <v>63</v>
      </c>
      <c r="J1143" s="80">
        <v>3256.0</v>
      </c>
      <c r="K1143" s="80">
        <v>0.757122839794488</v>
      </c>
      <c r="L1143" s="80" t="s">
        <v>86</v>
      </c>
    </row>
    <row r="1144">
      <c r="A1144" s="80" t="s">
        <v>217</v>
      </c>
      <c r="B1144" s="81" t="str">
        <f t="shared" si="42"/>
        <v>Stormtrooper白兵</v>
      </c>
      <c r="C1144" s="80" t="s">
        <v>1372</v>
      </c>
      <c r="D1144" s="81" t="str">
        <f>HYPERLINK("https://youtube.com/watch?v=FNciOnStmNM", "2021年還有魔法／巫術嗎？｜非洲巫術與美國民主黨孌童過程出奇地吻合！？｜活人獻祭＋小童尖叫聲可以增加法力？｜特朗普＋Pepe青蛙都係魔法？｜粵語中字")</f>
        <v>2021年還有魔法／巫術嗎？｜非洲巫術與美國民主黨孌童過程出奇地吻合！？｜活人獻祭＋小童尖叫聲可以增加法力？｜特朗普＋Pepe青蛙都係魔法？｜粵語中字</v>
      </c>
      <c r="E1144" s="82">
        <v>44397.0</v>
      </c>
      <c r="F1144" s="80">
        <v>3143.0</v>
      </c>
      <c r="G1144" s="80" t="s">
        <v>63</v>
      </c>
      <c r="I1144" s="80" t="s">
        <v>63</v>
      </c>
      <c r="J1144" s="80">
        <v>14197.0</v>
      </c>
      <c r="K1144" s="80">
        <v>0.885044573280967</v>
      </c>
      <c r="L1144" s="80" t="s">
        <v>64</v>
      </c>
    </row>
    <row r="1145">
      <c r="A1145" s="80" t="s">
        <v>1373</v>
      </c>
      <c r="B1145" s="81" t="str">
        <f>HYPERLINK("https://www.youtube.com/channel/UCNsL7xLGZvocrljHcCJ71VA", "漏墨佬")</f>
        <v>漏墨佬</v>
      </c>
      <c r="C1145" s="80" t="s">
        <v>1374</v>
      </c>
      <c r="D1145" s="81" t="str">
        <f>HYPERLINK("https://youtube.com/watch?v=FNu6_pqor7M", "賣廣告比畀人屌")</f>
        <v>賣廣告比畀人屌</v>
      </c>
      <c r="E1145" s="82">
        <v>43433.0</v>
      </c>
      <c r="F1145" s="80">
        <v>381.0</v>
      </c>
      <c r="G1145" s="80" t="s">
        <v>63</v>
      </c>
      <c r="I1145" s="80" t="s">
        <v>63</v>
      </c>
      <c r="J1145" s="80">
        <v>1506.0</v>
      </c>
      <c r="K1145" s="80">
        <v>0.929629629629629</v>
      </c>
      <c r="L1145" s="80" t="s">
        <v>64</v>
      </c>
    </row>
    <row r="1146">
      <c r="A1146" s="80" t="s">
        <v>1280</v>
      </c>
      <c r="B1146" s="81" t="str">
        <f>HYPERLINK("https://www.youtube.com/channel/UCE_8XiKCl79p7UZoStMu4RA", "Dr Winnie Chor Linguistics Lab")</f>
        <v>Dr Winnie Chor Linguistics Lab</v>
      </c>
      <c r="C1146" s="80" t="s">
        <v>1375</v>
      </c>
      <c r="D1146" s="81" t="str">
        <f>HYPERLINK("https://youtube.com/watch?v=FVtm8NE4ni0", "跟左博士學語言學 【發音篇】 Stress vs. Tone")</f>
        <v>跟左博士學語言學 【發音篇】 Stress vs. Tone</v>
      </c>
      <c r="E1146" s="82">
        <v>43954.0</v>
      </c>
      <c r="F1146" s="80">
        <v>824.0</v>
      </c>
      <c r="G1146" s="80" t="s">
        <v>63</v>
      </c>
      <c r="I1146" s="80" t="s">
        <v>63</v>
      </c>
      <c r="J1146" s="80">
        <v>2231.0</v>
      </c>
      <c r="K1146" s="80">
        <v>0.690071141354778</v>
      </c>
      <c r="L1146" s="80" t="s">
        <v>102</v>
      </c>
    </row>
    <row r="1147">
      <c r="A1147" s="80" t="s">
        <v>217</v>
      </c>
      <c r="B1147" s="81" t="str">
        <f>HYPERLINK("https://www.youtube.com/channel/UCXKg0qPRz32bs5Z4mTGF3TQ", "Stormtrooper白兵")</f>
        <v>Stormtrooper白兵</v>
      </c>
      <c r="C1147" s="80" t="s">
        <v>1376</v>
      </c>
      <c r="D1147" s="81" t="str">
        <f>HYPERLINK("https://youtube.com/watch?v=FXOTYRdyubE", "【布殊家族犯罪史】深層國家共和黨建制派：兩度刺殺美國總統？資助納粹、兩次海灣戰爭背後的真相｜布殊家族如何利用戰爭發國難財！")</f>
        <v>【布殊家族犯罪史】深層國家共和黨建制派：兩度刺殺美國總統？資助納粹、兩次海灣戰爭背後的真相｜布殊家族如何利用戰爭發國難財！</v>
      </c>
      <c r="E1147" s="82">
        <v>44217.0</v>
      </c>
      <c r="F1147" s="80">
        <v>1120.0</v>
      </c>
      <c r="G1147" s="80" t="s">
        <v>63</v>
      </c>
      <c r="H1147" s="80" t="s">
        <v>63</v>
      </c>
      <c r="I1147" s="80" t="s">
        <v>63</v>
      </c>
      <c r="J1147" s="80">
        <v>4559.0</v>
      </c>
      <c r="K1147" s="80">
        <v>0.783602612581643</v>
      </c>
      <c r="L1147" s="80" t="s">
        <v>86</v>
      </c>
    </row>
    <row r="1148">
      <c r="A1148" s="80" t="s">
        <v>96</v>
      </c>
      <c r="B1148" s="81" t="str">
        <f>HYPERLINK("https://www.youtube.com/channel/UCGtyHJ-L_4RDIHe3XaLofQQ", "Anson Cheung")</f>
        <v>Anson Cheung</v>
      </c>
      <c r="C1148" s="80" t="s">
        <v>1377</v>
      </c>
      <c r="D1148" s="81" t="str">
        <f>HYPERLINK("https://youtube.com/watch?v=FfPHE1vUz6Y", "Google Pixel 5 評測：Pixel 光環開始消失？對比 iPhone 12 邊部機影相靚啲？｜Google Pixel 5 Review")</f>
        <v>Google Pixel 5 評測：Pixel 光環開始消失？對比 iPhone 12 邊部機影相靚啲？｜Google Pixel 5 Review</v>
      </c>
      <c r="E1148" s="82">
        <v>44356.0</v>
      </c>
      <c r="F1148" s="80">
        <v>734.0</v>
      </c>
      <c r="G1148" s="80" t="s">
        <v>63</v>
      </c>
      <c r="I1148" s="80" t="s">
        <v>63</v>
      </c>
      <c r="J1148" s="80">
        <v>2683.0</v>
      </c>
      <c r="K1148" s="80">
        <v>0.624389108680474</v>
      </c>
      <c r="L1148" s="80" t="s">
        <v>64</v>
      </c>
    </row>
    <row r="1149">
      <c r="A1149" s="80" t="s">
        <v>61</v>
      </c>
      <c r="B1149" s="81" t="str">
        <f>HYPERLINK("https://www.youtube.com/channel/UCJ4XVrJuqKHbc9yF9oUFseg", "MEeeep More")</f>
        <v>MEeeep More</v>
      </c>
      <c r="C1149" s="80" t="s">
        <v>1378</v>
      </c>
      <c r="D1149" s="81" t="str">
        <f>HYPERLINK("https://youtube.com/watch?v=FhZxBzSKmKU", "OnePlus Nord N10 5G 開箱評測 | 2021入門 5G電話 | 流暢 90Hz 屏幕 | oneplus nordn10 5g")</f>
        <v>OnePlus Nord N10 5G 開箱評測 | 2021入門 5G電話 | 流暢 90Hz 屏幕 | oneplus nordn10 5g</v>
      </c>
      <c r="E1149" s="82">
        <v>44210.0</v>
      </c>
      <c r="F1149" s="80">
        <v>212.0</v>
      </c>
      <c r="G1149" s="80" t="s">
        <v>63</v>
      </c>
      <c r="I1149" s="80" t="s">
        <v>63</v>
      </c>
      <c r="J1149" s="80">
        <v>612.0</v>
      </c>
      <c r="K1149" s="80">
        <v>0.730310262529832</v>
      </c>
      <c r="L1149" s="80" t="s">
        <v>64</v>
      </c>
    </row>
    <row r="1150">
      <c r="A1150" s="80" t="s">
        <v>127</v>
      </c>
      <c r="B1150" s="81" t="str">
        <f>HYPERLINK("https://www.youtube.com/channel/UC97oYK3XMf9RLtkc0lO8C-Q", "健康旦 HiEggo")</f>
        <v>健康旦 HiEggo</v>
      </c>
      <c r="C1150" s="80" t="s">
        <v>1379</v>
      </c>
      <c r="D1150" s="81" t="str">
        <f>HYPERLINK("https://youtube.com/watch?v=69oZXVHYHiE", "脊醫提醒坐姿不良後果嚴重  妙用咕𠱸有助保護腰椎  - 鄭丹瑞《健康旦》脊醫朱銘謙 Part 1（CC中文字幕）")</f>
        <v>脊醫提醒坐姿不良後果嚴重  妙用咕𠱸有助保護腰椎  - 鄭丹瑞《健康旦》脊醫朱銘謙 Part 1（CC中文字幕）</v>
      </c>
      <c r="E1150" s="82">
        <v>43948.0</v>
      </c>
      <c r="F1150" s="80">
        <v>711.0</v>
      </c>
      <c r="G1150" s="80" t="s">
        <v>63</v>
      </c>
      <c r="I1150" s="80" t="s">
        <v>63</v>
      </c>
      <c r="J1150" s="80">
        <v>3007.0</v>
      </c>
      <c r="K1150" s="80">
        <v>0.985255570117955</v>
      </c>
      <c r="L1150" s="80" t="s">
        <v>64</v>
      </c>
    </row>
    <row r="1151">
      <c r="A1151" s="80" t="s">
        <v>61</v>
      </c>
      <c r="B1151" s="81" t="str">
        <f>HYPERLINK("https://www.youtube.com/channel/UCJ4XVrJuqKHbc9yF9oUFseg", "MEeeep More")</f>
        <v>MEeeep More</v>
      </c>
      <c r="C1151" s="80" t="s">
        <v>1380</v>
      </c>
      <c r="D1151" s="81" t="str">
        <f>HYPERLINK("https://youtube.com/watch?v=FnrmEWZVDGI", "名古屋獨有 備長三吃鰻魚飯! - 食玩飛常遊")</f>
        <v>名古屋獨有 備長三吃鰻魚飯! - 食玩飛常遊</v>
      </c>
      <c r="E1151" s="82">
        <v>43618.0</v>
      </c>
      <c r="F1151" s="80">
        <v>160.0</v>
      </c>
      <c r="G1151" s="80" t="s">
        <v>63</v>
      </c>
      <c r="I1151" s="80" t="s">
        <v>63</v>
      </c>
      <c r="J1151" s="80">
        <v>538.0</v>
      </c>
      <c r="K1151" s="80">
        <v>0.904201680672268</v>
      </c>
      <c r="L1151" s="80" t="s">
        <v>64</v>
      </c>
    </row>
    <row r="1152">
      <c r="A1152" s="80" t="s">
        <v>74</v>
      </c>
      <c r="B1152" s="81" t="str">
        <f>HYPERLINK("https://www.youtube.com/channel/UCO_5XP-qd-udNxBlzzSzgvw", "Handline Fishing")</f>
        <v>Handline Fishing</v>
      </c>
      <c r="C1152" s="80" t="s">
        <v>1381</v>
      </c>
      <c r="D1152" s="81" t="str">
        <f>HYPERLINK("https://youtube.com/watch?v=Fq4yrEv2iQw", "#200 尋找電廠的雞魚 | 『香港釣魚 : 艇釣』南丫島發電廠 【Insta360 ONE X2 R 限時優惠】")</f>
        <v>#200 尋找電廠的雞魚 | 『香港釣魚 : 艇釣』南丫島發電廠 【Insta360 ONE X2 R 限時優惠】</v>
      </c>
      <c r="E1152" s="82">
        <v>44284.0</v>
      </c>
      <c r="F1152" s="80">
        <v>442.0</v>
      </c>
      <c r="G1152" s="80" t="s">
        <v>63</v>
      </c>
      <c r="H1152" s="80" t="s">
        <v>63</v>
      </c>
      <c r="I1152" s="80" t="s">
        <v>63</v>
      </c>
      <c r="J1152" s="80">
        <v>725.0</v>
      </c>
      <c r="K1152" s="80">
        <v>0.981159420289855</v>
      </c>
      <c r="L1152" s="80" t="s">
        <v>88</v>
      </c>
    </row>
    <row r="1153">
      <c r="A1153" s="80" t="s">
        <v>743</v>
      </c>
      <c r="B1153" s="81" t="str">
        <f>HYPERLINK("https://www.youtube.com/channel/UCe6qQ8zbYQJgTBnZ9wBzm9w", "Willy Lee")</f>
        <v>Willy Lee</v>
      </c>
      <c r="C1153" s="80" t="s">
        <v>1382</v>
      </c>
      <c r="D1153" s="81" t="str">
        <f>HYPERLINK("https://youtube.com/watch?v=Frq2jaRvBhc", "🇭🇰【行澗】輕鬆！消暑一流！全程石屎路！大澳水澇漕 - 航拍, 路線, 打卡位分享 - Willy Lee")</f>
        <v>🇭🇰【行澗】輕鬆！消暑一流！全程石屎路！大澳水澇漕 - 航拍, 路線, 打卡位分享 - Willy Lee</v>
      </c>
      <c r="E1153" s="82">
        <v>44155.0</v>
      </c>
      <c r="F1153" s="80">
        <v>301.0</v>
      </c>
      <c r="G1153" s="80" t="s">
        <v>63</v>
      </c>
      <c r="I1153" s="80" t="s">
        <v>63</v>
      </c>
      <c r="J1153" s="80">
        <v>1399.0</v>
      </c>
      <c r="K1153" s="80">
        <v>0.859864781807006</v>
      </c>
      <c r="L1153" s="80" t="s">
        <v>745</v>
      </c>
    </row>
    <row r="1154">
      <c r="A1154" s="80" t="s">
        <v>118</v>
      </c>
      <c r="B1154" s="81" t="str">
        <f>HYPERLINK("https://www.youtube.com/channel/UCHrgHYFc5KShMJDZNsDZh4g", "BETHNI Y")</f>
        <v>BETHNI Y</v>
      </c>
      <c r="C1154" s="80" t="s">
        <v>1383</v>
      </c>
      <c r="D1154" s="81" t="str">
        <f>HYPERLINK("https://youtube.com/watch?v=G-AS0_JMKS4", "測試一天: CLÉ DE PEAU 鑽光粉底 ＋ 遮瑕膏| Bethni Y")</f>
        <v>測試一天: CLÉ DE PEAU 鑽光粉底 ＋ 遮瑕膏| Bethni Y</v>
      </c>
      <c r="E1154" s="82">
        <v>42707.0</v>
      </c>
      <c r="F1154" s="80">
        <v>907.0</v>
      </c>
      <c r="G1154" s="80" t="s">
        <v>63</v>
      </c>
      <c r="I1154" s="80" t="s">
        <v>63</v>
      </c>
      <c r="J1154" s="80">
        <v>2695.0</v>
      </c>
      <c r="K1154" s="80">
        <v>0.87075928917609</v>
      </c>
      <c r="L1154" s="80" t="s">
        <v>64</v>
      </c>
    </row>
    <row r="1155">
      <c r="A1155" s="80" t="s">
        <v>112</v>
      </c>
      <c r="B1155" s="81" t="str">
        <f>HYPERLINK("https://www.youtube.com/channel/UCW_n_gfIv4HhRqCk8EnRhJA", "Happy Kongner")</f>
        <v>Happy Kongner</v>
      </c>
      <c r="C1155" s="80" t="s">
        <v>1384</v>
      </c>
      <c r="D1155" s="81" t="str">
        <f>HYPERLINK("https://youtube.com/watch?v=G-I9DU8MJ58", "[無劇透] 史詩終章！Avengers: Endgame《復仇者聯盟：終局之戰》無劇透簡評/超級英雄電影摧毀電影文化？[𠝹櫈電影學會]")</f>
        <v>[無劇透] 史詩終章！Avengers: Endgame《復仇者聯盟：終局之戰》無劇透簡評/超級英雄電影摧毀電影文化？[𠝹櫈電影學會]</v>
      </c>
      <c r="E1155" s="82">
        <v>43580.0</v>
      </c>
      <c r="F1155" s="80">
        <v>797.0</v>
      </c>
      <c r="G1155" s="80" t="s">
        <v>63</v>
      </c>
      <c r="I1155" s="80" t="s">
        <v>63</v>
      </c>
      <c r="J1155" s="80">
        <v>4027.0</v>
      </c>
      <c r="K1155" s="80">
        <v>0.876006090928866</v>
      </c>
      <c r="L1155" s="80" t="s">
        <v>64</v>
      </c>
    </row>
    <row r="1156">
      <c r="A1156" s="80" t="s">
        <v>61</v>
      </c>
      <c r="B1156" s="81" t="str">
        <f>HYPERLINK("https://www.youtube.com/channel/UCJ4XVrJuqKHbc9yF9oUFseg", "MEeeep More")</f>
        <v>MEeeep More</v>
      </c>
      <c r="C1156" s="80" t="s">
        <v>1385</v>
      </c>
      <c r="D1156" s="81" t="str">
        <f>HYPERLINK("https://youtube.com/watch?v=G2ff1APTu74", "Logitech MX Anywhere 3 最強辦公室滑鼠Mouse 開箱評測！玻璃枱床面梳化一樣用到 2021牛年提升生產力靠佢！ LogitechMXAnywhere3 MXAnywhere3")</f>
        <v>Logitech MX Anywhere 3 最強辦公室滑鼠Mouse 開箱評測！玻璃枱床面梳化一樣用到 2021牛年提升生產力靠佢！ LogitechMXAnywhere3 MXAnywhere3</v>
      </c>
      <c r="E1156" s="82">
        <v>44244.0</v>
      </c>
      <c r="F1156" s="80">
        <v>206.0</v>
      </c>
      <c r="G1156" s="80" t="s">
        <v>63</v>
      </c>
      <c r="I1156" s="80" t="s">
        <v>63</v>
      </c>
      <c r="J1156" s="80">
        <v>546.0</v>
      </c>
      <c r="K1156" s="80">
        <v>0.621160409556314</v>
      </c>
      <c r="L1156" s="80" t="s">
        <v>64</v>
      </c>
    </row>
    <row r="1157">
      <c r="A1157" s="80" t="s">
        <v>140</v>
      </c>
      <c r="B1157" s="81" t="str">
        <f>HYPERLINK("https://www.youtube.com/channel/UCHK0CZf9HEXs42qIO1GUouA", "TechiCardia")</f>
        <v>TechiCardia</v>
      </c>
      <c r="C1157" s="80" t="s">
        <v>1386</v>
      </c>
      <c r="D1157" s="81" t="str">
        <f>HYPERLINK("https://youtube.com/watch?v=G72ZQUn3M_c", "三款最新便攜顯示器！最平嗰款最吸引我？！// 第一期消費卷購物GUIDE - Intehill 篇 // 4K 【TechiCardia】[CC廣東話字幕]")</f>
        <v>三款最新便攜顯示器！最平嗰款最吸引我？！// 第一期消費卷購物GUIDE - Intehill 篇 // 4K 【TechiCardia】[CC廣東話字幕]</v>
      </c>
      <c r="E1157" s="82">
        <v>44401.0</v>
      </c>
      <c r="F1157" s="80">
        <v>466.0</v>
      </c>
      <c r="G1157" s="80" t="s">
        <v>63</v>
      </c>
      <c r="I1157" s="80" t="s">
        <v>63</v>
      </c>
      <c r="J1157" s="80">
        <v>1735.0</v>
      </c>
      <c r="K1157" s="80">
        <v>0.739872068230277</v>
      </c>
      <c r="L1157" s="80" t="s">
        <v>102</v>
      </c>
    </row>
    <row r="1158">
      <c r="A1158" s="80" t="s">
        <v>112</v>
      </c>
      <c r="B1158" s="81" t="str">
        <f>HYPERLINK("https://www.youtube.com/channel/UCW_n_gfIv4HhRqCk8EnRhJA", "Happy Kongner")</f>
        <v>Happy Kongner</v>
      </c>
      <c r="C1158" s="80" t="s">
        <v>1387</v>
      </c>
      <c r="D1158" s="81" t="str">
        <f>HYPERLINK("https://youtube.com/watch?v=G7f9DzJDUac", "[Re-upload] 乜嘢係文學？What is Literature? [西人文學]")</f>
        <v>[Re-upload] 乜嘢係文學？What is Literature? [西人文學]</v>
      </c>
      <c r="E1158" s="82">
        <v>43269.0</v>
      </c>
      <c r="F1158" s="80">
        <v>814.0</v>
      </c>
      <c r="G1158" s="80" t="s">
        <v>63</v>
      </c>
      <c r="I1158" s="80" t="s">
        <v>63</v>
      </c>
      <c r="J1158" s="80">
        <v>3402.0</v>
      </c>
      <c r="K1158" s="80">
        <v>0.854559155990957</v>
      </c>
      <c r="L1158" s="80" t="s">
        <v>64</v>
      </c>
    </row>
    <row r="1159">
      <c r="A1159" s="80" t="s">
        <v>1039</v>
      </c>
      <c r="B1159" s="81" t="str">
        <f>HYPERLINK("https://www.youtube.com/channel/UCiKEIxbv4RTzyLCKG17N-AA", "Hunting Archer")</f>
        <v>Hunting Archer</v>
      </c>
      <c r="C1159" s="80" t="s">
        <v>1388</v>
      </c>
      <c r="D1159" s="81" t="str">
        <f>HYPERLINK("https://youtube.com/watch?v=G9_uGlYW-Ts", "【广州漫步】走进带河路的惠城花园 Walk in GuangZhou")</f>
        <v>【广州漫步】走进带河路的惠城花园 Walk in GuangZhou</v>
      </c>
      <c r="E1159" s="82">
        <v>44370.0</v>
      </c>
      <c r="F1159" s="80">
        <v>1136.0</v>
      </c>
      <c r="G1159" s="80" t="s">
        <v>63</v>
      </c>
      <c r="I1159" s="80" t="s">
        <v>63</v>
      </c>
      <c r="J1159" s="80">
        <v>3324.0</v>
      </c>
      <c r="K1159" s="80">
        <v>0.98899137161559</v>
      </c>
      <c r="L1159" s="80" t="s">
        <v>776</v>
      </c>
    </row>
    <row r="1160">
      <c r="A1160" s="80" t="s">
        <v>217</v>
      </c>
      <c r="B1160" s="81" t="str">
        <f>HYPERLINK("https://www.youtube.com/channel/UCXKg0qPRz32bs5Z4mTGF3TQ", "Stormtrooper白兵")</f>
        <v>Stormtrooper白兵</v>
      </c>
      <c r="C1160" s="80" t="s">
        <v>1389</v>
      </c>
      <c r="D1160" s="81" t="str">
        <f>HYPERLINK("https://youtube.com/watch?v=GCGl5JgVBxs", "[人物誌] 盤點拜登柒事！痴呆老淫棍Joe biden－拜登家族與中共的秘密｜深層國家的傀儡｜拜登家族二號人物－Hunter Biden｜")</f>
        <v>[人物誌] 盤點拜登柒事！痴呆老淫棍Joe biden－拜登家族與中共的秘密｜深層國家的傀儡｜拜登家族二號人物－Hunter Biden｜</v>
      </c>
      <c r="E1160" s="82">
        <v>44098.0</v>
      </c>
      <c r="F1160" s="80">
        <v>1944.0</v>
      </c>
      <c r="G1160" s="80" t="s">
        <v>63</v>
      </c>
      <c r="I1160" s="80" t="s">
        <v>63</v>
      </c>
      <c r="J1160" s="80">
        <v>5354.0</v>
      </c>
      <c r="K1160" s="80">
        <v>0.75312983541989</v>
      </c>
      <c r="L1160" s="80" t="s">
        <v>64</v>
      </c>
    </row>
    <row r="1161">
      <c r="A1161" s="80" t="s">
        <v>1390</v>
      </c>
      <c r="B1161" s="81" t="str">
        <f>HYPERLINK("https://www.youtube.com/channel/UCgwEJflQi4WnZ8PU0xdibZQ", "Kinson Ho")</f>
        <v>Kinson Ho</v>
      </c>
      <c r="C1161" s="80" t="s">
        <v>1391</v>
      </c>
      <c r="D1161" s="81" t="str">
        <f>HYPERLINK("https://youtube.com/watch?v=6A_ROY09pqY", "K神任我行 -  [CC字幕4K] 跟鷹傑之友「首領」綑遊一個曾經人食人既荒島｜螺洲｜螺洲門｜螺洲頂｜仙人棋盤｜白⻣洞｜馬角頂石塔｜螺洲尾｜航拍")</f>
        <v>K神任我行 -  [CC字幕4K] 跟鷹傑之友「首領」綑遊一個曾經人食人既荒島｜螺洲｜螺洲門｜螺洲頂｜仙人棋盤｜白⻣洞｜馬角頂石塔｜螺洲尾｜航拍</v>
      </c>
      <c r="E1161" s="82">
        <v>44568.0</v>
      </c>
      <c r="F1161" s="80">
        <v>693.0</v>
      </c>
      <c r="G1161" s="80" t="s">
        <v>63</v>
      </c>
      <c r="I1161" s="80" t="s">
        <v>63</v>
      </c>
      <c r="J1161" s="80">
        <v>747.0</v>
      </c>
      <c r="K1161" s="80">
        <v>0.997329773030707</v>
      </c>
      <c r="L1161" s="80" t="s">
        <v>64</v>
      </c>
    </row>
    <row r="1162">
      <c r="A1162" s="80" t="s">
        <v>61</v>
      </c>
      <c r="B1162" s="81" t="str">
        <f>HYPERLINK("https://www.youtube.com/channel/UCJ4XVrJuqKHbc9yF9oUFseg", "MEeeep More")</f>
        <v>MEeeep More</v>
      </c>
      <c r="C1162" s="80" t="s">
        <v>1392</v>
      </c>
      <c r="D1162" s="81" t="str">
        <f>HYPERLINK("https://youtube.com/watch?v=GE3XUqi68ec", "【清熱去濕湯】2020 抗疫湯水 - 老黃瓜赤小豆豬骨湯 袪濕健脾 增強免疫力！")</f>
        <v>【清熱去濕湯】2020 抗疫湯水 - 老黃瓜赤小豆豬骨湯 袪濕健脾 增強免疫力！</v>
      </c>
      <c r="E1162" s="82">
        <v>43982.0</v>
      </c>
      <c r="F1162" s="80">
        <v>195.0</v>
      </c>
      <c r="G1162" s="80" t="s">
        <v>63</v>
      </c>
      <c r="I1162" s="80" t="s">
        <v>63</v>
      </c>
      <c r="J1162" s="80">
        <v>411.0</v>
      </c>
      <c r="K1162" s="80">
        <v>0.889610389610389</v>
      </c>
      <c r="L1162" s="80" t="s">
        <v>64</v>
      </c>
    </row>
    <row r="1163">
      <c r="A1163" s="80" t="s">
        <v>112</v>
      </c>
      <c r="B1163" s="81" t="str">
        <f>HYPERLINK("https://www.youtube.com/channel/UCW_n_gfIv4HhRqCk8EnRhJA", "Happy Kongner")</f>
        <v>Happy Kongner</v>
      </c>
      <c r="C1163" s="80" t="s">
        <v>1393</v>
      </c>
      <c r="D1163" s="81" t="str">
        <f>HYPERLINK("https://youtube.com/watch?v=GEynMoYrtOY", "Red Dead Redemption 2 點解咁正？故事背景講解/劇情角色深度分析 [垃圾驚批鬥座]")</f>
        <v>Red Dead Redemption 2 點解咁正？故事背景講解/劇情角色深度分析 [垃圾驚批鬥座]</v>
      </c>
      <c r="E1163" s="82">
        <v>43414.0</v>
      </c>
      <c r="F1163" s="80">
        <v>1330.0</v>
      </c>
      <c r="G1163" s="80" t="s">
        <v>63</v>
      </c>
      <c r="H1163" s="80" t="s">
        <v>63</v>
      </c>
      <c r="I1163" s="80" t="s">
        <v>63</v>
      </c>
      <c r="J1163" s="80">
        <v>7125.0</v>
      </c>
      <c r="K1163" s="80">
        <v>0.848315275628051</v>
      </c>
      <c r="L1163" s="80" t="s">
        <v>86</v>
      </c>
    </row>
    <row r="1164">
      <c r="A1164" s="80" t="s">
        <v>61</v>
      </c>
      <c r="B1164" s="81" t="str">
        <f>HYPERLINK("https://www.youtube.com/channel/UCJ4XVrJuqKHbc9yF9oUFseg", "MEeeep More")</f>
        <v>MEeeep More</v>
      </c>
      <c r="C1164" s="80" t="s">
        <v>1394</v>
      </c>
      <c r="D1164" s="81" t="str">
        <f>HYPERLINK("https://youtube.com/watch?v=GGNEeJMeVHQ", "塔斯曼尼亞系列- 澳洲都有薰衣草園？ Port Arthur Lavender")</f>
        <v>塔斯曼尼亞系列- 澳洲都有薰衣草園？ Port Arthur Lavender</v>
      </c>
      <c r="E1164" s="82">
        <v>43800.0</v>
      </c>
      <c r="F1164" s="80">
        <v>122.0</v>
      </c>
      <c r="G1164" s="80" t="s">
        <v>63</v>
      </c>
      <c r="I1164" s="80" t="s">
        <v>63</v>
      </c>
      <c r="J1164" s="80">
        <v>309.0</v>
      </c>
      <c r="K1164" s="80">
        <v>0.76865671641791</v>
      </c>
      <c r="L1164" s="80" t="s">
        <v>64</v>
      </c>
    </row>
    <row r="1165">
      <c r="A1165" s="80" t="s">
        <v>112</v>
      </c>
      <c r="B1165" s="81" t="str">
        <f>HYPERLINK("https://www.youtube.com/channel/UCW_n_gfIv4HhRqCk8EnRhJA", "Happy Kongner")</f>
        <v>Happy Kongner</v>
      </c>
      <c r="C1165" s="80" t="s">
        <v>1395</v>
      </c>
      <c r="D1165" s="81" t="str">
        <f>HYPERLINK("https://youtube.com/watch?v=GJJinlA1ogs", "生靈寂滅似疾風—GHOST OF TSUSHIMA 《對馬戰鬼》的歷史原型—文永之役 【GHOST OF TSUSHIMA 系列（上）】")</f>
        <v>生靈寂滅似疾風—GHOST OF TSUSHIMA 《對馬戰鬼》的歷史原型—文永之役 【GHOST OF TSUSHIMA 系列（上）】</v>
      </c>
      <c r="E1165" s="82">
        <v>44029.0</v>
      </c>
      <c r="F1165" s="80">
        <v>1780.0</v>
      </c>
      <c r="G1165" s="80" t="s">
        <v>63</v>
      </c>
      <c r="I1165" s="80" t="s">
        <v>63</v>
      </c>
      <c r="J1165" s="80">
        <v>9615.0</v>
      </c>
      <c r="K1165" s="80">
        <v>0.974361572760437</v>
      </c>
      <c r="L1165" s="80" t="s">
        <v>64</v>
      </c>
    </row>
    <row r="1166">
      <c r="A1166" s="80" t="s">
        <v>61</v>
      </c>
      <c r="B1166" s="81" t="str">
        <f>HYPERLINK("https://www.youtube.com/channel/UCJ4XVrJuqKHbc9yF9oUFseg", "MEeeep More")</f>
        <v>MEeeep More</v>
      </c>
      <c r="C1166" s="80" t="s">
        <v>1396</v>
      </c>
      <c r="D1166" s="81" t="str">
        <f>HYPERLINK("https://youtube.com/watch?v=GNEtCqsHnDQ", "POCO X3 NFC 評測 | 睇片影相打機樣樣精通 | xiaomi poco x3 nfc 電競手機 高性價比")</f>
        <v>POCO X3 NFC 評測 | 睇片影相打機樣樣精通 | xiaomi poco x3 nfc 電競手機 高性價比</v>
      </c>
      <c r="E1166" s="82">
        <v>44230.0</v>
      </c>
      <c r="F1166" s="80">
        <v>212.0</v>
      </c>
      <c r="G1166" s="80" t="s">
        <v>63</v>
      </c>
      <c r="I1166" s="80" t="s">
        <v>63</v>
      </c>
      <c r="J1166" s="80">
        <v>602.0</v>
      </c>
      <c r="K1166" s="80">
        <v>0.741379310344827</v>
      </c>
      <c r="L1166" s="80" t="s">
        <v>64</v>
      </c>
    </row>
    <row r="1167">
      <c r="A1167" s="80" t="s">
        <v>217</v>
      </c>
      <c r="B1167" s="81" t="str">
        <f>HYPERLINK("https://www.youtube.com/channel/UCXKg0qPRz32bs5Z4mTGF3TQ", "Stormtrooper白兵")</f>
        <v>Stormtrooper白兵</v>
      </c>
      <c r="C1167" s="80" t="s">
        <v>1397</v>
      </c>
      <c r="D1167" s="81" t="str">
        <f>HYPERLINK("https://youtube.com/watch?v=GRRycLT_nyc", "[人物誌]北歐戰神－曼納海姆｜玩弄希特拉和史太林於股掌之間！｜小國如何對付超級大國？介紹二戰最強狙擊手－白色死神｜值得香港人引以為鑑的小國奮鬥史！｜粵語中字")</f>
        <v>[人物誌]北歐戰神－曼納海姆｜玩弄希特拉和史太林於股掌之間！｜小國如何對付超級大國？介紹二戰最強狙擊手－白色死神｜值得香港人引以為鑑的小國奮鬥史！｜粵語中字</v>
      </c>
      <c r="E1167" s="82">
        <v>44441.0</v>
      </c>
      <c r="F1167" s="80">
        <v>1164.0</v>
      </c>
      <c r="G1167" s="80" t="s">
        <v>63</v>
      </c>
      <c r="I1167" s="80" t="s">
        <v>63</v>
      </c>
      <c r="J1167" s="80">
        <v>4825.0</v>
      </c>
      <c r="K1167" s="80">
        <v>0.971998388396454</v>
      </c>
      <c r="L1167" s="80" t="s">
        <v>64</v>
      </c>
    </row>
    <row r="1168">
      <c r="A1168" s="80" t="s">
        <v>252</v>
      </c>
      <c r="B1168" s="81" t="str">
        <f>HYPERLINK("https://www.youtube.com/channel/UCrISkBm7rgsRUAw8018eWvw", "MoYung 慕容公子")</f>
        <v>MoYung 慕容公子</v>
      </c>
      <c r="C1168" s="80" t="s">
        <v>1398</v>
      </c>
      <c r="D1168" s="81" t="str">
        <f>HYPERLINK("https://youtube.com/watch?v=GSr36mp1iH4", "【世界盃】買左100萬落英格蘭！(中文字幕)")</f>
        <v>【世界盃】買左100萬落英格蘭！(中文字幕)</v>
      </c>
      <c r="E1168" s="82">
        <v>43297.0</v>
      </c>
      <c r="F1168" s="80">
        <v>438.0</v>
      </c>
      <c r="G1168" s="80" t="s">
        <v>63</v>
      </c>
      <c r="I1168" s="80" t="s">
        <v>63</v>
      </c>
      <c r="J1168" s="80">
        <v>1784.0</v>
      </c>
      <c r="K1168" s="80">
        <v>0.949441192123469</v>
      </c>
      <c r="L1168" s="80" t="s">
        <v>64</v>
      </c>
    </row>
    <row r="1169">
      <c r="A1169" s="80" t="s">
        <v>1114</v>
      </c>
      <c r="B1169" s="81" t="str">
        <f>HYPERLINK("https://www.youtube.com/channel/UC9NrLPKByyTyjNa41FCtV1Q", "Miss Tiara")</f>
        <v>Miss Tiara</v>
      </c>
      <c r="C1169" s="80" t="s">
        <v>1399</v>
      </c>
      <c r="D1169" s="81" t="str">
        <f>HYPERLINK("https://youtube.com/watch?v=GZ7Zk215VhU", "Miss Tiara x THEi 教你運動修身：收緊腹肌減少腰背痛")</f>
        <v>Miss Tiara x THEi 教你運動修身：收緊腹肌減少腰背痛</v>
      </c>
      <c r="E1169" s="82">
        <v>42141.0</v>
      </c>
      <c r="F1169" s="80">
        <v>90.0</v>
      </c>
      <c r="G1169" s="80" t="s">
        <v>63</v>
      </c>
      <c r="I1169" s="80" t="s">
        <v>63</v>
      </c>
      <c r="J1169" s="80">
        <v>56.0</v>
      </c>
      <c r="K1169" s="80">
        <v>0.746666666666666</v>
      </c>
      <c r="L1169" s="80" t="s">
        <v>64</v>
      </c>
    </row>
    <row r="1170">
      <c r="A1170" s="80" t="s">
        <v>74</v>
      </c>
      <c r="B1170" s="81" t="str">
        <f>HYPERLINK("https://www.youtube.com/channel/UCO_5XP-qd-udNxBlzzSzgvw", "Handline Fishing")</f>
        <v>Handline Fishing</v>
      </c>
      <c r="C1170" s="80" t="s">
        <v>1400</v>
      </c>
      <c r="D1170" s="81" t="str">
        <f>HYPERLINK("https://youtube.com/watch?v=GZLBwBLirdY", "#113 全香港最神秘的釣點，秘密由我大公開 | 『香港釣魚 : 艇釣』北角碼頭底 {粵語旁白+中英文字幕}")</f>
        <v>#113 全香港最神秘的釣點，秘密由我大公開 | 『香港釣魚 : 艇釣』北角碼頭底 {粵語旁白+中英文字幕}</v>
      </c>
      <c r="E1170" s="82">
        <v>43962.0</v>
      </c>
      <c r="F1170" s="80">
        <v>454.0</v>
      </c>
      <c r="G1170" s="80" t="s">
        <v>63</v>
      </c>
      <c r="I1170" s="80" t="s">
        <v>63</v>
      </c>
      <c r="J1170" s="80">
        <v>1262.0</v>
      </c>
      <c r="K1170" s="80">
        <v>0.974517374517374</v>
      </c>
      <c r="L1170" s="80" t="s">
        <v>76</v>
      </c>
    </row>
    <row r="1171">
      <c r="A1171" s="80" t="s">
        <v>1010</v>
      </c>
      <c r="B1171" s="81" t="str">
        <f>HYPERLINK("https://www.youtube.com/channel/UC-nV0odAiVdjH3gB_uSeTcQ", "wepro180")</f>
        <v>wepro180</v>
      </c>
      <c r="C1171" s="80" t="s">
        <v>1401</v>
      </c>
      <c r="D1171" s="81" t="str">
        <f>HYPERLINK("https://youtube.com/watch?v=GbWzx0TIthI", "edvance 特約【wepro 教室 04】嘉倩 180 ─ Network Segmentation")</f>
        <v>edvance 特約【wepro 教室 04】嘉倩 180 ─ Network Segmentation</v>
      </c>
      <c r="E1171" s="82">
        <v>43214.0</v>
      </c>
      <c r="F1171" s="80">
        <v>59.0</v>
      </c>
      <c r="G1171" s="80" t="s">
        <v>63</v>
      </c>
      <c r="I1171" s="80" t="s">
        <v>63</v>
      </c>
      <c r="J1171" s="80">
        <v>214.0</v>
      </c>
      <c r="K1171" s="80">
        <v>0.764285714285714</v>
      </c>
      <c r="L1171" s="80" t="s">
        <v>64</v>
      </c>
    </row>
    <row r="1172">
      <c r="A1172" s="80" t="s">
        <v>61</v>
      </c>
      <c r="B1172" s="81" t="str">
        <f>HYPERLINK("https://www.youtube.com/channel/UCJ4XVrJuqKHbc9yF9oUFseg", "MEeeep More")</f>
        <v>MEeeep More</v>
      </c>
      <c r="C1172" s="80" t="s">
        <v>1402</v>
      </c>
      <c r="D1172" s="81" t="str">
        <f>HYPERLINK("https://youtube.com/watch?v=Gb_TccT7bvw", "Nokia T20 平板電腦 少少價錢 大大享受 煲劇開會入門必選 | nokia t20 平板推薦 2021煲劇平板  zoom netflix 平板 disney+")</f>
        <v>Nokia T20 平板電腦 少少價錢 大大享受 煲劇開會入門必選 | nokia t20 平板推薦 2021煲劇平板  zoom netflix 平板 disney+</v>
      </c>
      <c r="E1172" s="82">
        <v>44524.0</v>
      </c>
      <c r="F1172" s="80">
        <v>202.0</v>
      </c>
      <c r="G1172" s="80" t="s">
        <v>63</v>
      </c>
      <c r="I1172" s="80" t="s">
        <v>63</v>
      </c>
      <c r="J1172" s="80">
        <v>580.0</v>
      </c>
      <c r="K1172" s="80">
        <v>0.767195767195767</v>
      </c>
      <c r="L1172" s="80" t="s">
        <v>64</v>
      </c>
    </row>
    <row r="1173">
      <c r="A1173" s="80" t="s">
        <v>140</v>
      </c>
      <c r="B1173" s="81" t="str">
        <f t="shared" ref="B1173:B1174" si="43">HYPERLINK("https://www.youtube.com/channel/UCHK0CZf9HEXs42qIO1GUouA", "TechiCardia")</f>
        <v>TechiCardia</v>
      </c>
      <c r="C1173" s="80" t="s">
        <v>1403</v>
      </c>
      <c r="D1173" s="81" t="str">
        <f>HYPERLINK("https://youtube.com/watch?v=GerRLSJZB14", "【砌機LIST回歸】$5000蚊消費券即買即玩、$10000蚊入門光追打機 可以點樣砌？！// 2021年第一次正式出砌機LIST // 4K 【TechiCardia】[CC廣東話字幕]")</f>
        <v>【砌機LIST回歸】$5000蚊消費券即買即玩、$10000蚊入門光追打機 可以點樣砌？！// 2021年第一次正式出砌機LIST // 4K 【TechiCardia】[CC廣東話字幕]</v>
      </c>
      <c r="E1173" s="82">
        <v>44467.0</v>
      </c>
      <c r="F1173" s="80">
        <v>1168.0</v>
      </c>
      <c r="G1173" s="80" t="s">
        <v>63</v>
      </c>
      <c r="I1173" s="80" t="s">
        <v>63</v>
      </c>
      <c r="J1173" s="80">
        <v>3928.0</v>
      </c>
      <c r="K1173" s="80">
        <v>0.753790059489541</v>
      </c>
      <c r="L1173" s="80" t="s">
        <v>102</v>
      </c>
    </row>
    <row r="1174">
      <c r="A1174" s="80" t="s">
        <v>140</v>
      </c>
      <c r="B1174" s="81" t="str">
        <f t="shared" si="43"/>
        <v>TechiCardia</v>
      </c>
      <c r="C1174" s="80" t="s">
        <v>1404</v>
      </c>
      <c r="D1174" s="81" t="str">
        <f>HYPERLINK("https://youtube.com/watch?v=Gi19KGXynJA", "最詳盡一體式水冷安裝教學！ ROG 信仰 MAX 砌機示範！安裝水冷時你沒有留意的細節？！//4K 【TechiCardia】[CC廣東話字幕]")</f>
        <v>最詳盡一體式水冷安裝教學！ ROG 信仰 MAX 砌機示範！安裝水冷時你沒有留意的細節？！//4K 【TechiCardia】[CC廣東話字幕]</v>
      </c>
      <c r="E1174" s="82">
        <v>44394.0</v>
      </c>
      <c r="F1174" s="80">
        <v>1821.0</v>
      </c>
      <c r="G1174" s="80" t="s">
        <v>63</v>
      </c>
      <c r="I1174" s="80" t="s">
        <v>63</v>
      </c>
      <c r="J1174" s="80">
        <v>7191.0</v>
      </c>
      <c r="K1174" s="80">
        <v>0.815583531813542</v>
      </c>
      <c r="L1174" s="80" t="s">
        <v>102</v>
      </c>
    </row>
    <row r="1175">
      <c r="A1175" s="80" t="s">
        <v>278</v>
      </c>
      <c r="B1175" s="81" t="str">
        <f>HYPERLINK("https://www.youtube.com/channel/UCDoEdJo-PI-EKGNKomwLroQ", "mingjai14")</f>
        <v>mingjai14</v>
      </c>
      <c r="C1175" s="80" t="s">
        <v>1405</v>
      </c>
      <c r="D1175" s="81" t="str">
        <f>HYPERLINK("https://youtube.com/watch?v=Gj4rqqR56N8", "跌落地記住拿返乍沙！")</f>
        <v>跌落地記住拿返乍沙！</v>
      </c>
      <c r="E1175" s="82">
        <v>42838.0</v>
      </c>
      <c r="F1175" s="80">
        <v>236.0</v>
      </c>
      <c r="G1175" s="80" t="s">
        <v>63</v>
      </c>
      <c r="H1175" s="80" t="s">
        <v>63</v>
      </c>
      <c r="I1175" s="80" t="s">
        <v>63</v>
      </c>
      <c r="J1175" s="80">
        <v>1128.0</v>
      </c>
      <c r="K1175" s="80">
        <v>0.96327924850555</v>
      </c>
      <c r="L1175" s="80" t="s">
        <v>86</v>
      </c>
    </row>
    <row r="1176">
      <c r="A1176" s="80" t="s">
        <v>260</v>
      </c>
      <c r="B1176" s="81" t="str">
        <f>HYPERLINK("https://www.youtube.com/channel/UC-HXOikkLx7BGEfILGIpYOg", "港短 . 英移")</f>
        <v>港短 . 英移</v>
      </c>
      <c r="C1176" s="80" t="s">
        <v>1406</v>
      </c>
      <c r="D1176" s="81" t="str">
        <f>HYPERLINK("https://youtube.com/watch?v=Gj8tMPA5x7s", "落腳英國迷人的後花園😍 Hemel Hempstead | 港短.英移 #HongKonger #英國租樓 #英國移民 #HemelHempstead #英國生活 #英國香港人")</f>
        <v>落腳英國迷人的後花園😍 Hemel Hempstead | 港短.英移 #HongKonger #英國租樓 #英國移民 #HemelHempstead #英國生活 #英國香港人</v>
      </c>
      <c r="E1176" s="82">
        <v>44489.0</v>
      </c>
      <c r="F1176" s="80">
        <v>482.0</v>
      </c>
      <c r="G1176" s="80" t="s">
        <v>63</v>
      </c>
      <c r="I1176" s="80" t="s">
        <v>63</v>
      </c>
      <c r="J1176" s="80">
        <v>1617.0</v>
      </c>
      <c r="K1176" s="80">
        <v>0.736003641329085</v>
      </c>
      <c r="L1176" s="80" t="s">
        <v>102</v>
      </c>
    </row>
    <row r="1177">
      <c r="A1177" s="80" t="s">
        <v>252</v>
      </c>
      <c r="B1177" s="81" t="str">
        <f>HYPERLINK("https://www.youtube.com/channel/UCrISkBm7rgsRUAw8018eWvw", "MoYung 慕容公子")</f>
        <v>MoYung 慕容公子</v>
      </c>
      <c r="C1177" s="80" t="s">
        <v>1407</v>
      </c>
      <c r="D1177" s="81" t="str">
        <f>HYPERLINK("https://youtube.com/watch?v=Gniu_WLzduE", "【老態】超驚人！帥哥四年就變成這樣？ (中文字幕)")</f>
        <v>【老態】超驚人！帥哥四年就變成這樣？ (中文字幕)</v>
      </c>
      <c r="E1177" s="82">
        <v>43177.0</v>
      </c>
      <c r="F1177" s="80">
        <v>321.0</v>
      </c>
      <c r="G1177" s="80" t="s">
        <v>63</v>
      </c>
      <c r="I1177" s="80" t="s">
        <v>63</v>
      </c>
      <c r="J1177" s="80">
        <v>1336.0</v>
      </c>
      <c r="K1177" s="80">
        <v>0.934265734265734</v>
      </c>
      <c r="L1177" s="80" t="s">
        <v>64</v>
      </c>
    </row>
    <row r="1178">
      <c r="A1178" s="80" t="s">
        <v>74</v>
      </c>
      <c r="B1178" s="81" t="str">
        <f>HYPERLINK("https://www.youtube.com/channel/UCO_5XP-qd-udNxBlzzSzgvw", "Handline Fishing")</f>
        <v>Handline Fishing</v>
      </c>
      <c r="C1178" s="80" t="s">
        <v>1408</v>
      </c>
      <c r="D1178" s="81" t="str">
        <f>HYPERLINK("https://youtube.com/watch?v=GpLEyoqU6PQ", "#253 難分真假的馬友兩天團 | 香港釣魚 | 艇釣 | 汲水門/七星排 {粵語旁白+中英文字幕}")</f>
        <v>#253 難分真假的馬友兩天團 | 香港釣魚 | 艇釣 | 汲水門/七星排 {粵語旁白+中英文字幕}</v>
      </c>
      <c r="E1178" s="82">
        <v>44515.0</v>
      </c>
      <c r="F1178" s="80">
        <v>742.0</v>
      </c>
      <c r="G1178" s="80" t="s">
        <v>63</v>
      </c>
      <c r="H1178" s="80" t="s">
        <v>63</v>
      </c>
      <c r="I1178" s="80" t="s">
        <v>63</v>
      </c>
      <c r="J1178" s="80">
        <v>610.0</v>
      </c>
      <c r="K1178" s="80">
        <v>0.956521739130434</v>
      </c>
      <c r="L1178" s="80" t="s">
        <v>88</v>
      </c>
    </row>
    <row r="1179">
      <c r="A1179" s="80" t="s">
        <v>274</v>
      </c>
      <c r="B1179" s="81" t="str">
        <f>HYPERLINK("https://www.youtube.com/channel/UC2oB9QCXs-RKtaKChrz4dKg", "MtzCherry")</f>
        <v>MtzCherry</v>
      </c>
      <c r="C1179" s="80" t="s">
        <v>1409</v>
      </c>
      <c r="D1179" s="81" t="str">
        <f>HYPERLINK("https://youtube.com/watch?v=GsQHqd29DTU", "🎄帶大家去糖廠街聖誕市集🎅🏻 Christmas Market in Hong Kong")</f>
        <v>🎄帶大家去糖廠街聖誕市集🎅🏻 Christmas Market in Hong Kong</v>
      </c>
      <c r="E1179" s="82">
        <v>43457.0</v>
      </c>
      <c r="F1179" s="80">
        <v>322.0</v>
      </c>
      <c r="G1179" s="80" t="s">
        <v>63</v>
      </c>
      <c r="H1179" s="80" t="s">
        <v>63</v>
      </c>
      <c r="I1179" s="80" t="s">
        <v>63</v>
      </c>
      <c r="J1179" s="80">
        <v>24.0</v>
      </c>
      <c r="K1179" s="80">
        <v>1.0</v>
      </c>
      <c r="L1179" s="80" t="s">
        <v>1410</v>
      </c>
    </row>
    <row r="1180">
      <c r="A1180" s="80" t="s">
        <v>1118</v>
      </c>
      <c r="B1180" s="81" t="str">
        <f>HYPERLINK("https://www.youtube.com/channel/UCeyXZA7ofepOhL9Z9BATC1w", "80後夫婦移英日記 80s Couple UK Diary")</f>
        <v>80後夫婦移英日記 80s Couple UK Diary</v>
      </c>
      <c r="C1180" s="80" t="s">
        <v>1411</v>
      </c>
      <c r="D1180" s="81" t="str">
        <f>HYPERLINK("https://youtube.com/watch?v=GuvRcOqJrn8", "移民英國前的準備 (下)")</f>
        <v>移民英國前的準備 (下)</v>
      </c>
      <c r="E1180" s="82">
        <v>44348.0</v>
      </c>
      <c r="F1180" s="80">
        <v>950.0</v>
      </c>
      <c r="G1180" s="80" t="s">
        <v>63</v>
      </c>
      <c r="I1180" s="80" t="s">
        <v>63</v>
      </c>
      <c r="J1180" s="80">
        <v>2998.0</v>
      </c>
      <c r="K1180" s="80">
        <v>0.803322615219721</v>
      </c>
      <c r="L1180" s="80" t="s">
        <v>102</v>
      </c>
    </row>
    <row r="1181">
      <c r="A1181" s="80" t="s">
        <v>1082</v>
      </c>
      <c r="B1181" s="81" t="str">
        <f>HYPERLINK("https://www.youtube.com/channel/UCMosCy_NDf55rDQhzdX_h3w", "熊熊兒童音樂 Bear Music Ltd.")</f>
        <v>熊熊兒童音樂 Bear Music Ltd.</v>
      </c>
      <c r="C1181" s="80" t="s">
        <v>1412</v>
      </c>
      <c r="D1181" s="81" t="str">
        <f>HYPERLINK("https://youtube.com/watch?v=GvkeqvRlXII", "益智兒童故事｜聽故事．講故事｜第一輯 | 粵語兒童故事")</f>
        <v>益智兒童故事｜聽故事．講故事｜第一輯 | 粵語兒童故事</v>
      </c>
      <c r="E1181" s="82">
        <v>44192.0</v>
      </c>
      <c r="F1181" s="80">
        <v>2426.0</v>
      </c>
      <c r="G1181" s="80" t="s">
        <v>63</v>
      </c>
      <c r="I1181" s="80" t="s">
        <v>63</v>
      </c>
      <c r="J1181" s="80">
        <v>3133.0</v>
      </c>
      <c r="K1181" s="80">
        <v>0.986460957178841</v>
      </c>
      <c r="L1181" s="80" t="s">
        <v>64</v>
      </c>
    </row>
    <row r="1182">
      <c r="A1182" s="80" t="s">
        <v>112</v>
      </c>
      <c r="B1182" s="81" t="str">
        <f>HYPERLINK("https://www.youtube.com/channel/UCW_n_gfIv4HhRqCk8EnRhJA", "Happy Kongner")</f>
        <v>Happy Kongner</v>
      </c>
      <c r="C1182" s="80" t="s">
        <v>1413</v>
      </c>
      <c r="D1182" s="81" t="str">
        <f>HYPERLINK("https://youtube.com/watch?v=GzjBQkKLCZw", "莎士比亞嘅異類情詩：Sonnet 130 ""My Mistress' Eyes Are Nothing Like the Sun"" [西人文學]")</f>
        <v>莎士比亞嘅異類情詩：Sonnet 130 "My Mistress' Eyes Are Nothing Like the Sun" [西人文學]</v>
      </c>
      <c r="E1182" s="82">
        <v>43311.0</v>
      </c>
      <c r="F1182" s="80">
        <v>680.0</v>
      </c>
      <c r="G1182" s="80" t="s">
        <v>63</v>
      </c>
      <c r="I1182" s="80" t="s">
        <v>63</v>
      </c>
      <c r="J1182" s="80">
        <v>2606.0</v>
      </c>
      <c r="K1182" s="80">
        <v>0.630839990317114</v>
      </c>
      <c r="L1182" s="80" t="s">
        <v>64</v>
      </c>
    </row>
    <row r="1183">
      <c r="A1183" s="80" t="s">
        <v>957</v>
      </c>
      <c r="B1183" s="81" t="str">
        <f>HYPERLINK("https://www.youtube.com/channel/UCNdV5VO81YBe5rfhOz1wRmA", "Con爆TV")</f>
        <v>Con爆TV</v>
      </c>
      <c r="C1183" s="80" t="s">
        <v>1414</v>
      </c>
      <c r="D1183" s="81" t="str">
        <f>HYPERLINK("https://youtube.com/watch?v=H0EfMNC-Vd8", "【PAD】最強降臨神寵!! 醫女神降臨簡單攻略：豪鬼x鏖龍角龍安定周回、破解Boss 8c轉珠教室 **進化素材看留言")</f>
        <v>【PAD】最強降臨神寵!! 醫女神降臨簡單攻略：豪鬼x鏖龍角龍安定周回、破解Boss 8c轉珠教室 **進化素材看留言</v>
      </c>
      <c r="E1183" s="82">
        <v>43525.0</v>
      </c>
      <c r="F1183" s="80">
        <v>731.0</v>
      </c>
      <c r="G1183" s="80" t="s">
        <v>63</v>
      </c>
      <c r="H1183" s="80" t="s">
        <v>63</v>
      </c>
      <c r="I1183" s="80" t="s">
        <v>63</v>
      </c>
      <c r="J1183" s="80">
        <v>909.0</v>
      </c>
      <c r="K1183" s="80">
        <v>0.912650602409638</v>
      </c>
      <c r="L1183" s="80" t="s">
        <v>66</v>
      </c>
    </row>
    <row r="1184">
      <c r="A1184" s="80" t="s">
        <v>61</v>
      </c>
      <c r="B1184" s="81" t="str">
        <f t="shared" ref="B1184:B1185" si="44">HYPERLINK("https://www.youtube.com/channel/UCJ4XVrJuqKHbc9yF9oUFseg", "MEeeep More")</f>
        <v>MEeeep More</v>
      </c>
      <c r="C1184" s="80" t="s">
        <v>1415</v>
      </c>
      <c r="D1184" s="81" t="str">
        <f>HYPERLINK("https://youtube.com/watch?v=H0JjsRfX9hA", "吉隆坡地道名物邊度食？Roti 薄餅 / 蕉葉飯 - 食玩飛常遊")</f>
        <v>吉隆坡地道名物邊度食？Roti 薄餅 / 蕉葉飯 - 食玩飛常遊</v>
      </c>
      <c r="E1184" s="82">
        <v>43661.0</v>
      </c>
      <c r="F1184" s="80">
        <v>162.0</v>
      </c>
      <c r="G1184" s="80" t="s">
        <v>63</v>
      </c>
      <c r="I1184" s="80" t="s">
        <v>63</v>
      </c>
      <c r="J1184" s="80">
        <v>481.0</v>
      </c>
      <c r="K1184" s="80">
        <v>0.897388059701492</v>
      </c>
      <c r="L1184" s="80" t="s">
        <v>64</v>
      </c>
    </row>
    <row r="1185">
      <c r="A1185" s="80" t="s">
        <v>61</v>
      </c>
      <c r="B1185" s="81" t="str">
        <f t="shared" si="44"/>
        <v>MEeeep More</v>
      </c>
      <c r="C1185" s="80" t="s">
        <v>1416</v>
      </c>
      <c r="D1185" s="81" t="str">
        <f>HYPERLINK("https://youtube.com/watch?v=H1pX4e7R54E", "WhatsApp無手機 同時連接4裝置 即日登場！ 香港率先試！Multi-devices offline message web beta")</f>
        <v>WhatsApp無手機 同時連接4裝置 即日登場！ 香港率先試！Multi-devices offline message web beta</v>
      </c>
      <c r="E1185" s="82">
        <v>44445.0</v>
      </c>
      <c r="F1185" s="80">
        <v>190.0</v>
      </c>
      <c r="G1185" s="80" t="s">
        <v>63</v>
      </c>
      <c r="I1185" s="80" t="s">
        <v>63</v>
      </c>
      <c r="J1185" s="80">
        <v>633.0</v>
      </c>
      <c r="K1185" s="80">
        <v>0.830708661417322</v>
      </c>
      <c r="L1185" s="80" t="s">
        <v>64</v>
      </c>
    </row>
    <row r="1186">
      <c r="A1186" s="80" t="s">
        <v>112</v>
      </c>
      <c r="B1186" s="81" t="str">
        <f>HYPERLINK("https://www.youtube.com/channel/UCW_n_gfIv4HhRqCk8EnRhJA", "Happy Kongner")</f>
        <v>Happy Kongner</v>
      </c>
      <c r="C1186" s="80" t="s">
        <v>1417</v>
      </c>
      <c r="D1186" s="81" t="str">
        <f>HYPERLINK("https://youtube.com/watch?v=HHa4RUkM0HQ", "航母組成！洛城爭霸再起風雲 之 快艇崛起 — 美帝的籃球 第四季 休賽期特別篇 第一集")</f>
        <v>航母組成！洛城爭霸再起風雲 之 快艇崛起 — 美帝的籃球 第四季 休賽期特別篇 第一集</v>
      </c>
      <c r="E1186" s="82">
        <v>43666.0</v>
      </c>
      <c r="F1186" s="80">
        <v>2130.0</v>
      </c>
      <c r="G1186" s="80" t="s">
        <v>63</v>
      </c>
      <c r="I1186" s="80" t="s">
        <v>63</v>
      </c>
      <c r="J1186" s="80">
        <v>9985.0</v>
      </c>
      <c r="K1186" s="80">
        <v>0.789078552236447</v>
      </c>
      <c r="L1186" s="80" t="s">
        <v>64</v>
      </c>
    </row>
    <row r="1187">
      <c r="A1187" s="80" t="s">
        <v>96</v>
      </c>
      <c r="B1187" s="81" t="str">
        <f>HYPERLINK("https://www.youtube.com/channel/UCGtyHJ-L_4RDIHe3XaLofQQ", "Anson Cheung")</f>
        <v>Anson Cheung</v>
      </c>
      <c r="C1187" s="80" t="s">
        <v>1418</v>
      </c>
      <c r="D1187" s="81" t="str">
        <f>HYPERLINK("https://youtube.com/watch?v=HL84Dwb71xM", "五個買Sony a6600的原因 - 以影片創作者的角度出發｜Sony a6600 評測")</f>
        <v>五個買Sony a6600的原因 - 以影片創作者的角度出發｜Sony a6600 評測</v>
      </c>
      <c r="E1187" s="82">
        <v>43932.0</v>
      </c>
      <c r="F1187" s="80">
        <v>613.0</v>
      </c>
      <c r="G1187" s="80" t="s">
        <v>63</v>
      </c>
      <c r="I1187" s="80" t="s">
        <v>63</v>
      </c>
      <c r="J1187" s="80">
        <v>1822.0</v>
      </c>
      <c r="K1187" s="80">
        <v>0.642907551164431</v>
      </c>
      <c r="L1187" s="80" t="s">
        <v>64</v>
      </c>
    </row>
    <row r="1188">
      <c r="A1188" s="80" t="s">
        <v>140</v>
      </c>
      <c r="B1188" s="81" t="str">
        <f>HYPERLINK("https://www.youtube.com/channel/UCHK0CZf9HEXs42qIO1GUouA", "TechiCardia")</f>
        <v>TechiCardia</v>
      </c>
      <c r="C1188" s="80" t="s">
        <v>1419</v>
      </c>
      <c r="D1188" s="81" t="str">
        <f>HYPERLINK("https://youtube.com/watch?v=HOAYnVhTVt8", "你未聽過嘅熱拔軸機械鍵盤，簡約又有驚喜！不過... VISSLES V84 詳細評測 | MAC、WINDOWS兩用、無線、熱拔軸、RGB | 4K 【TechiCardia】[CC廣東話字幕]")</f>
        <v>你未聽過嘅熱拔軸機械鍵盤，簡約又有驚喜！不過... VISSLES V84 詳細評測 | MAC、WINDOWS兩用、無線、熱拔軸、RGB | 4K 【TechiCardia】[CC廣東話字幕]</v>
      </c>
      <c r="E1188" s="82">
        <v>44415.0</v>
      </c>
      <c r="F1188" s="80">
        <v>653.0</v>
      </c>
      <c r="G1188" s="80" t="s">
        <v>63</v>
      </c>
      <c r="I1188" s="80" t="s">
        <v>63</v>
      </c>
      <c r="J1188" s="80">
        <v>2311.0</v>
      </c>
      <c r="K1188" s="80">
        <v>0.735518777848504</v>
      </c>
      <c r="L1188" s="80" t="s">
        <v>102</v>
      </c>
    </row>
    <row r="1189">
      <c r="A1189" s="80" t="s">
        <v>61</v>
      </c>
      <c r="B1189" s="81" t="str">
        <f>HYPERLINK("https://www.youtube.com/channel/UCJ4XVrJuqKHbc9yF9oUFseg", "MEeeep More")</f>
        <v>MEeeep More</v>
      </c>
      <c r="C1189" s="80" t="s">
        <v>1420</v>
      </c>
      <c r="D1189" s="81" t="str">
        <f>HYPERLINK("https://youtube.com/watch?v=HZ7MSo3NFeA", "Nokia C30 大螢幕入門手機 | 6.82 吋 HD+水滴大螢幕 6000mAh 3日續航大電量 | nokia c30 review")</f>
        <v>Nokia C30 大螢幕入門手機 | 6.82 吋 HD+水滴大螢幕 6000mAh 3日續航大電量 | nokia c30 review</v>
      </c>
      <c r="E1189" s="82">
        <v>44404.0</v>
      </c>
      <c r="F1189" s="80">
        <v>121.0</v>
      </c>
      <c r="G1189" s="80" t="s">
        <v>63</v>
      </c>
      <c r="I1189" s="80" t="s">
        <v>63</v>
      </c>
      <c r="J1189" s="80">
        <v>309.0</v>
      </c>
      <c r="K1189" s="80">
        <v>0.730496453900709</v>
      </c>
      <c r="L1189" s="80" t="s">
        <v>64</v>
      </c>
    </row>
    <row r="1190">
      <c r="A1190" s="80" t="s">
        <v>112</v>
      </c>
      <c r="B1190" s="81" t="str">
        <f>HYPERLINK("https://www.youtube.com/channel/UCW_n_gfIv4HhRqCk8EnRhJA", "Happy Kongner")</f>
        <v>Happy Kongner</v>
      </c>
      <c r="C1190" s="80" t="s">
        <v>1421</v>
      </c>
      <c r="D1190" s="81" t="str">
        <f>HYPERLINK("https://youtube.com/watch?v=Hf0X4O3VU4o", "[廣東話Game評] 吹到滿分咁好玩？3A大作《戰神》簡評 — 垃圾驚批鬥座 第四集 Humiliation Seat for Shitty Games Episode 4")</f>
        <v>[廣東話Game評] 吹到滿分咁好玩？3A大作《戰神》簡評 — 垃圾驚批鬥座 第四集 Humiliation Seat for Shitty Games Episode 4</v>
      </c>
      <c r="E1190" s="82">
        <v>43252.0</v>
      </c>
      <c r="F1190" s="80">
        <v>679.0</v>
      </c>
      <c r="G1190" s="80" t="s">
        <v>63</v>
      </c>
      <c r="I1190" s="80" t="s">
        <v>63</v>
      </c>
      <c r="J1190" s="80">
        <v>2914.0</v>
      </c>
      <c r="K1190" s="80">
        <v>0.932778489116517</v>
      </c>
      <c r="L1190" s="80" t="s">
        <v>64</v>
      </c>
    </row>
    <row r="1191">
      <c r="A1191" s="80" t="s">
        <v>1151</v>
      </c>
      <c r="B1191" s="81" t="str">
        <f>HYPERLINK("https://www.youtube.com/channel/UCYfkcllte2OCuDxDycQxsEA", "The Champ")</f>
        <v>The Champ</v>
      </c>
      <c r="C1191" s="80" t="s">
        <v>1422</v>
      </c>
      <c r="D1191" s="81" t="str">
        <f>HYPERLINK("https://youtube.com/watch?v=HhjBsYXn3W0", "《祖哥早晨》第一期 第六集：呢度乜野都冇？！馬來西亞人究竟系點生活嘅？！")</f>
        <v>《祖哥早晨》第一期 第六集：呢度乜野都冇？！馬來西亞人究竟系點生活嘅？！</v>
      </c>
      <c r="E1191" s="82">
        <v>43402.0</v>
      </c>
      <c r="F1191" s="80">
        <v>288.0</v>
      </c>
      <c r="G1191" s="80" t="s">
        <v>63</v>
      </c>
      <c r="H1191" s="80" t="s">
        <v>63</v>
      </c>
      <c r="I1191" s="80" t="s">
        <v>63</v>
      </c>
      <c r="J1191" s="80">
        <v>1051.0</v>
      </c>
      <c r="K1191" s="80">
        <v>0.873649210307564</v>
      </c>
      <c r="L1191" s="80" t="s">
        <v>1153</v>
      </c>
    </row>
    <row r="1192">
      <c r="A1192" s="80" t="s">
        <v>67</v>
      </c>
      <c r="B1192" s="81" t="str">
        <f>HYPERLINK("https://www.youtube.com/channel/UC7U6-j2DrKRIKXmPo4kE7YA", "雞WING")</f>
        <v>雞WING</v>
      </c>
      <c r="C1192" s="80" t="s">
        <v>1423</v>
      </c>
      <c r="D1192" s="81" t="str">
        <f>HYPERLINK("https://youtube.com/watch?v=HhwBKwFKB00", "【Fun身日記】S2E16 4年製片工作經驗但係時候要轉職位？ ｜馬仔")</f>
        <v>【Fun身日記】S2E16 4年製片工作經驗但係時候要轉職位？ ｜馬仔</v>
      </c>
      <c r="E1192" s="82">
        <v>44353.0</v>
      </c>
      <c r="F1192" s="80">
        <v>989.0</v>
      </c>
      <c r="G1192" s="80" t="s">
        <v>63</v>
      </c>
      <c r="I1192" s="80" t="s">
        <v>63</v>
      </c>
      <c r="J1192" s="80">
        <v>3854.0</v>
      </c>
      <c r="K1192" s="80">
        <v>0.87511353315168</v>
      </c>
      <c r="L1192" s="80" t="s">
        <v>64</v>
      </c>
    </row>
    <row r="1193">
      <c r="A1193" s="80" t="s">
        <v>278</v>
      </c>
      <c r="B1193" s="81" t="str">
        <f>HYPERLINK("https://www.youtube.com/channel/UCDoEdJo-PI-EKGNKomwLroQ", "mingjai14")</f>
        <v>mingjai14</v>
      </c>
      <c r="C1193" s="80" t="s">
        <v>1424</v>
      </c>
      <c r="D1193" s="81" t="str">
        <f>HYPERLINK("https://youtube.com/watch?v=HiMy-2iFRkw", "[出發歐洲] 意外Upgrade上商務！")</f>
        <v>[出發歐洲] 意外Upgrade上商務！</v>
      </c>
      <c r="E1193" s="82">
        <v>42848.0</v>
      </c>
      <c r="F1193" s="80">
        <v>527.0</v>
      </c>
      <c r="G1193" s="80" t="s">
        <v>63</v>
      </c>
      <c r="H1193" s="80" t="s">
        <v>63</v>
      </c>
      <c r="I1193" s="80" t="s">
        <v>63</v>
      </c>
      <c r="J1193" s="80">
        <v>1705.0</v>
      </c>
      <c r="K1193" s="80">
        <v>0.940949227373068</v>
      </c>
      <c r="L1193" s="80" t="s">
        <v>1074</v>
      </c>
    </row>
    <row r="1194">
      <c r="A1194" s="80" t="s">
        <v>1050</v>
      </c>
      <c r="B1194" s="81" t="str">
        <f>HYPERLINK("https://www.youtube.com/channel/UCNCwcNnkhHviS0xyJHbhX2Q", "Man The Fvck Up")</f>
        <v>Man The Fvck Up</v>
      </c>
      <c r="C1194" s="80" t="s">
        <v>1425</v>
      </c>
      <c r="D1194" s="81" t="str">
        <f>HYPERLINK("https://youtube.com/watch?v=Hoks9edTDMY", "[溝女Q&amp;A] 點樣同佢開始傾一啲性愛話題? - How to start talking about sex?")</f>
        <v>[溝女Q&amp;A] 點樣同佢開始傾一啲性愛話題? - How to start talking about sex?</v>
      </c>
      <c r="E1194" s="82">
        <v>42750.0</v>
      </c>
      <c r="F1194" s="80">
        <v>279.0</v>
      </c>
      <c r="G1194" s="80" t="s">
        <v>63</v>
      </c>
      <c r="I1194" s="80" t="s">
        <v>63</v>
      </c>
      <c r="J1194" s="80">
        <v>894.0</v>
      </c>
      <c r="K1194" s="80">
        <v>0.823204419889502</v>
      </c>
      <c r="L1194" s="80" t="s">
        <v>64</v>
      </c>
    </row>
    <row r="1195">
      <c r="A1195" s="80" t="s">
        <v>94</v>
      </c>
      <c r="B1195" s="81" t="str">
        <f>HYPERLINK("https://www.youtube.com/channel/UCT_dMyI3pNselsmfR6FC8tQ", "PrideLab")</f>
        <v>PrideLab</v>
      </c>
      <c r="C1195" s="80" t="s">
        <v>1426</v>
      </c>
      <c r="D1195" s="81" t="str">
        <f>HYPERLINK("https://youtube.com/watch?v=HpIQzGnXTbw", "PrideLab話你知 PinkDot2017有咩玩")</f>
        <v>PrideLab話你知 PinkDot2017有咩玩</v>
      </c>
      <c r="E1195" s="82">
        <v>43134.0</v>
      </c>
      <c r="F1195" s="80">
        <v>176.0</v>
      </c>
      <c r="G1195" s="80" t="s">
        <v>63</v>
      </c>
      <c r="I1195" s="80" t="s">
        <v>63</v>
      </c>
      <c r="J1195" s="80">
        <v>320.0</v>
      </c>
      <c r="K1195" s="80">
        <v>0.812182741116751</v>
      </c>
      <c r="L1195" s="80" t="s">
        <v>64</v>
      </c>
    </row>
    <row r="1196">
      <c r="A1196" s="80" t="s">
        <v>96</v>
      </c>
      <c r="B1196" s="81" t="str">
        <f>HYPERLINK("https://www.youtube.com/channel/UCGtyHJ-L_4RDIHe3XaLofQQ", "Anson Cheung")</f>
        <v>Anson Cheung</v>
      </c>
      <c r="C1196" s="80" t="s">
        <v>1427</v>
      </c>
      <c r="D1196" s="81" t="str">
        <f>HYPERLINK("https://youtube.com/watch?v=Hq5JkaRn_e0", "Samsung Galaxy S21/S21+/S21 Ultra 初步評價：價錢平了 但代價是什麼？｜Galaxay S21/S21 Ultra 規格功能懶人包｜On Paper")</f>
        <v>Samsung Galaxy S21/S21+/S21 Ultra 初步評價：價錢平了 但代價是什麼？｜Galaxay S21/S21 Ultra 規格功能懶人包｜On Paper</v>
      </c>
      <c r="E1196" s="82">
        <v>44212.0</v>
      </c>
      <c r="F1196" s="80">
        <v>805.0</v>
      </c>
      <c r="G1196" s="80" t="s">
        <v>63</v>
      </c>
      <c r="I1196" s="80" t="s">
        <v>63</v>
      </c>
      <c r="J1196" s="80">
        <v>2545.0</v>
      </c>
      <c r="K1196" s="80">
        <v>0.639286611404169</v>
      </c>
      <c r="L1196" s="80" t="s">
        <v>64</v>
      </c>
    </row>
    <row r="1197">
      <c r="A1197" s="80" t="s">
        <v>274</v>
      </c>
      <c r="B1197" s="81" t="str">
        <f>HYPERLINK("https://www.youtube.com/channel/UC2oB9QCXs-RKtaKChrz4dKg", "MtzCherry")</f>
        <v>MtzCherry</v>
      </c>
      <c r="C1197" s="80" t="s">
        <v>1428</v>
      </c>
      <c r="D1197" s="81" t="str">
        <f>HYPERLINK("https://youtube.com/watch?v=I0t7gzEM0Tc", "🇦🇹維也納VLOG ep2: 唔想同你講再見呀 T^T Don't want to say goodbye")</f>
        <v>🇦🇹維也納VLOG ep2: 唔想同你講再見呀 T^T Don't want to say goodbye</v>
      </c>
      <c r="E1197" s="82">
        <v>43266.0</v>
      </c>
      <c r="F1197" s="80">
        <v>286.0</v>
      </c>
      <c r="G1197" s="80" t="s">
        <v>63</v>
      </c>
      <c r="H1197" s="80" t="s">
        <v>63</v>
      </c>
      <c r="I1197" s="80" t="s">
        <v>63</v>
      </c>
      <c r="J1197" s="80">
        <v>37.0</v>
      </c>
      <c r="K1197" s="80">
        <v>0.430232558139534</v>
      </c>
      <c r="L1197" s="80" t="s">
        <v>1429</v>
      </c>
    </row>
    <row r="1198">
      <c r="A1198" s="80" t="s">
        <v>74</v>
      </c>
      <c r="B1198" s="81" t="str">
        <f>HYPERLINK("https://www.youtube.com/channel/UCO_5XP-qd-udNxBlzzSzgvw", "Handline Fishing")</f>
        <v>Handline Fishing</v>
      </c>
      <c r="C1198" s="80" t="s">
        <v>1430</v>
      </c>
      <c r="D1198" s="81" t="str">
        <f>HYPERLINK("https://youtube.com/watch?v=I2zc9zWfj1E", "#108 黃金釣魚10分鐘 還要給自己多少個藉口?『香港釣魚 : 艇釣』維港 {粵語旁白+中英文字幕}")</f>
        <v>#108 黃金釣魚10分鐘 還要給自己多少個藉口?『香港釣魚 : 艇釣』維港 {粵語旁白+中英文字幕}</v>
      </c>
      <c r="E1198" s="82">
        <v>43952.0</v>
      </c>
      <c r="F1198" s="80">
        <v>600.0</v>
      </c>
      <c r="G1198" s="80" t="s">
        <v>63</v>
      </c>
      <c r="I1198" s="80" t="s">
        <v>63</v>
      </c>
      <c r="J1198" s="80">
        <v>1139.0</v>
      </c>
      <c r="K1198" s="80">
        <v>0.972672929120409</v>
      </c>
      <c r="L1198" s="80" t="s">
        <v>76</v>
      </c>
    </row>
    <row r="1199">
      <c r="A1199" s="80" t="s">
        <v>121</v>
      </c>
      <c r="B1199" s="81" t="str">
        <f>HYPERLINK("https://www.youtube.com/channel/UC-2hWXRgCg-o5Waz36Yt7BA", "Arm Channel TV")</f>
        <v>Arm Channel TV</v>
      </c>
      <c r="C1199" s="80" t="s">
        <v>1431</v>
      </c>
      <c r="D1199" s="81" t="str">
        <f>HYPERLINK("https://youtube.com/watch?v=I4J1JLvgsQM", "😨我在英國被挑戰？😦 你有多sub？| 不怕隔離睇好波 EP02")</f>
        <v>😨我在英國被挑戰？😦 你有多sub？| 不怕隔離睇好波 EP02</v>
      </c>
      <c r="E1199" s="82">
        <v>44347.0</v>
      </c>
      <c r="F1199" s="80">
        <v>366.0</v>
      </c>
      <c r="G1199" s="80" t="s">
        <v>63</v>
      </c>
      <c r="I1199" s="80" t="s">
        <v>63</v>
      </c>
      <c r="J1199" s="80">
        <v>1003.0</v>
      </c>
      <c r="K1199" s="80">
        <v>0.970958373668925</v>
      </c>
      <c r="L1199" s="80" t="s">
        <v>64</v>
      </c>
    </row>
    <row r="1200">
      <c r="A1200" s="80" t="s">
        <v>74</v>
      </c>
      <c r="B1200" s="81" t="str">
        <f>HYPERLINK("https://www.youtube.com/channel/UCO_5XP-qd-udNxBlzzSzgvw", "Handline Fishing")</f>
        <v>Handline Fishing</v>
      </c>
      <c r="C1200" s="80" t="s">
        <v>1432</v>
      </c>
      <c r="D1200" s="81" t="str">
        <f>HYPERLINK("https://youtube.com/watch?v=I6mCLQEI2Ps", "#107 開箱 RYOBI MetaRoyal IKADA DANI 筏釣輪攪『香港釣魚 : 分享』 {粵語旁白+中文字幕}")</f>
        <v>#107 開箱 RYOBI MetaRoyal IKADA DANI 筏釣輪攪『香港釣魚 : 分享』 {粵語旁白+中文字幕}</v>
      </c>
      <c r="E1200" s="82">
        <v>43950.0</v>
      </c>
      <c r="F1200" s="80">
        <v>248.0</v>
      </c>
      <c r="G1200" s="80" t="s">
        <v>63</v>
      </c>
      <c r="I1200" s="80" t="s">
        <v>63</v>
      </c>
      <c r="J1200" s="80">
        <v>696.0</v>
      </c>
      <c r="K1200" s="80">
        <v>0.853987730061349</v>
      </c>
      <c r="L1200" s="80" t="s">
        <v>1013</v>
      </c>
    </row>
    <row r="1201">
      <c r="A1201" s="80" t="s">
        <v>217</v>
      </c>
      <c r="B1201" s="81" t="str">
        <f>HYPERLINK("https://www.youtube.com/channel/UCXKg0qPRz32bs5Z4mTGF3TQ", "Stormtrooper白兵")</f>
        <v>Stormtrooper白兵</v>
      </c>
      <c r="C1201" s="80" t="s">
        <v>1433</v>
      </c>
      <c r="D1201" s="81" t="str">
        <f>HYPERLINK("https://youtube.com/watch?v=I6mD9Z8S31k", "[解剖陰謀論]為求成立美聯儲而令鐵達尼沉沒！？｜銀行家如何成立美聯儲去控制全球經濟？｜成立前如何消除反對者？｜全因一個原因！？｜粵語中字")</f>
        <v>[解剖陰謀論]為求成立美聯儲而令鐵達尼沉沒！？｜銀行家如何成立美聯儲去控制全球經濟？｜成立前如何消除反對者？｜全因一個原因！？｜粵語中字</v>
      </c>
      <c r="E1201" s="82">
        <v>44483.0</v>
      </c>
      <c r="F1201" s="80">
        <v>857.0</v>
      </c>
      <c r="G1201" s="80" t="s">
        <v>63</v>
      </c>
      <c r="I1201" s="80" t="s">
        <v>63</v>
      </c>
      <c r="J1201" s="80">
        <v>3755.0</v>
      </c>
      <c r="K1201" s="80">
        <v>0.87733644859813</v>
      </c>
      <c r="L1201" s="80" t="s">
        <v>64</v>
      </c>
    </row>
    <row r="1202">
      <c r="A1202" s="80" t="s">
        <v>61</v>
      </c>
      <c r="B1202" s="81" t="str">
        <f t="shared" ref="B1202:B1203" si="45">HYPERLINK("https://www.youtube.com/channel/UCJ4XVrJuqKHbc9yF9oUFseg", "MEeeep More")</f>
        <v>MEeeep More</v>
      </c>
      <c r="C1202" s="80" t="s">
        <v>1434</v>
      </c>
      <c r="D1202" s="81" t="str">
        <f>HYPERLINK("https://youtube.com/watch?v=I7BFsaFAke4", "Apple Watch Family Setup 家人共享！獨立運作，有號碼可通話！csl/1010 優先玩！話你知幾錢同點設定！watchos 7 Apple Watch series 6 2020")</f>
        <v>Apple Watch Family Setup 家人共享！獨立運作，有號碼可通話！csl/1010 優先玩！話你知幾錢同點設定！watchos 7 Apple Watch series 6 2020</v>
      </c>
      <c r="E1202" s="82">
        <v>44091.0</v>
      </c>
      <c r="F1202" s="80">
        <v>212.0</v>
      </c>
      <c r="G1202" s="80" t="s">
        <v>63</v>
      </c>
      <c r="I1202" s="80" t="s">
        <v>63</v>
      </c>
      <c r="J1202" s="80">
        <v>575.0</v>
      </c>
      <c r="K1202" s="80">
        <v>0.602094240837696</v>
      </c>
      <c r="L1202" s="80" t="s">
        <v>64</v>
      </c>
    </row>
    <row r="1203">
      <c r="A1203" s="80" t="s">
        <v>61</v>
      </c>
      <c r="B1203" s="81" t="str">
        <f t="shared" si="45"/>
        <v>MEeeep More</v>
      </c>
      <c r="C1203" s="80" t="s">
        <v>1435</v>
      </c>
      <c r="D1203" s="81" t="str">
        <f>HYPERLINK("https://youtube.com/watch?v=I980hDWJKHA", "[iPhone13] 速睇 iPhone 13 / iPhone 13 Pro Max@ 2021Apple蘋果發表會  |  iPhone13懶人包 Z世代達人 iPhone 13 香港 香港5G")</f>
        <v>[iPhone13] 速睇 iPhone 13 / iPhone 13 Pro Max@ 2021Apple蘋果發表會  |  iPhone13懶人包 Z世代達人 iPhone 13 香港 香港5G</v>
      </c>
      <c r="E1203" s="82">
        <v>44453.0</v>
      </c>
      <c r="F1203" s="80">
        <v>278.0</v>
      </c>
      <c r="G1203" s="80" t="s">
        <v>63</v>
      </c>
      <c r="I1203" s="80" t="s">
        <v>63</v>
      </c>
      <c r="J1203" s="80">
        <v>700.0</v>
      </c>
      <c r="K1203" s="80">
        <v>0.578034682080924</v>
      </c>
      <c r="L1203" s="80" t="s">
        <v>64</v>
      </c>
    </row>
    <row r="1204">
      <c r="A1204" s="80" t="s">
        <v>112</v>
      </c>
      <c r="B1204" s="81" t="str">
        <f>HYPERLINK("https://www.youtube.com/channel/UCW_n_gfIv4HhRqCk8EnRhJA", "Happy Kongner")</f>
        <v>Happy Kongner</v>
      </c>
      <c r="C1204" s="80" t="s">
        <v>1436</v>
      </c>
      <c r="D1204" s="81" t="str">
        <f>HYPERLINK("https://youtube.com/watch?v=I9ub7mb_-Kc", "教你睇殺妻兇手自白嘅詩：Robert Browning ""My Last Duchess"" [西人文學]")</f>
        <v>教你睇殺妻兇手自白嘅詩：Robert Browning "My Last Duchess" [西人文學]</v>
      </c>
      <c r="E1204" s="82">
        <v>43418.0</v>
      </c>
      <c r="F1204" s="80">
        <v>1110.0</v>
      </c>
      <c r="G1204" s="80" t="s">
        <v>63</v>
      </c>
      <c r="I1204" s="80" t="s">
        <v>63</v>
      </c>
      <c r="J1204" s="80">
        <v>3461.0</v>
      </c>
      <c r="K1204" s="80">
        <v>0.786948613005911</v>
      </c>
      <c r="L1204" s="80" t="s">
        <v>64</v>
      </c>
    </row>
    <row r="1205">
      <c r="A1205" s="80" t="s">
        <v>217</v>
      </c>
      <c r="B1205" s="81" t="str">
        <f>HYPERLINK("https://www.youtube.com/channel/UCXKg0qPRz32bs5Z4mTGF3TQ", "Stormtrooper白兵")</f>
        <v>Stormtrooper白兵</v>
      </c>
      <c r="C1205" s="80" t="s">
        <v>1437</v>
      </c>
      <c r="D1205" s="81" t="str">
        <f>HYPERLINK("https://youtube.com/watch?v=IDDO9gK3SQc", "[人物誌]拜登醜聞揭秘者－朱利安尼｜親手剿滅黑手黨、處理911、美國市長、特朗普私人律師、共和黨大佬｜反擊民主黨最強殺手｜克林頓父婦、奧巴馬大難臨頭")</f>
        <v>[人物誌]拜登醜聞揭秘者－朱利安尼｜親手剿滅黑手黨、處理911、美國市長、特朗普私人律師、共和黨大佬｜反擊民主黨最強殺手｜克林頓父婦、奧巴馬大難臨頭</v>
      </c>
      <c r="E1205" s="82">
        <v>44133.0</v>
      </c>
      <c r="F1205" s="80">
        <v>1261.0</v>
      </c>
      <c r="G1205" s="80" t="s">
        <v>63</v>
      </c>
      <c r="I1205" s="80" t="s">
        <v>63</v>
      </c>
      <c r="J1205" s="80">
        <v>5463.0</v>
      </c>
      <c r="K1205" s="80">
        <v>0.91171562082777</v>
      </c>
      <c r="L1205" s="80" t="s">
        <v>64</v>
      </c>
    </row>
    <row r="1206">
      <c r="A1206" s="80" t="s">
        <v>1039</v>
      </c>
      <c r="B1206" s="81" t="str">
        <f>HYPERLINK("https://www.youtube.com/channel/UCiKEIxbv4RTzyLCKG17N-AA", "Hunting Archer")</f>
        <v>Hunting Archer</v>
      </c>
      <c r="C1206" s="80" t="s">
        <v>1438</v>
      </c>
      <c r="D1206" s="81" t="str">
        <f>HYPERLINK("https://youtube.com/watch?v=IIkHbEjTs34", "【广州漫步】夏日炎炎的午后走进乐峰广场里面 Walk in GuangZhou")</f>
        <v>【广州漫步】夏日炎炎的午后走进乐峰广场里面 Walk in GuangZhou</v>
      </c>
      <c r="E1206" s="82">
        <v>44378.0</v>
      </c>
      <c r="F1206" s="80">
        <v>1813.0</v>
      </c>
      <c r="G1206" s="80" t="s">
        <v>63</v>
      </c>
      <c r="I1206" s="80" t="s">
        <v>63</v>
      </c>
      <c r="J1206" s="80">
        <v>5565.0</v>
      </c>
      <c r="K1206" s="80">
        <v>0.986702127659574</v>
      </c>
      <c r="L1206" s="80" t="s">
        <v>757</v>
      </c>
    </row>
    <row r="1207">
      <c r="A1207" s="80" t="s">
        <v>1082</v>
      </c>
      <c r="B1207" s="81" t="str">
        <f>HYPERLINK("https://www.youtube.com/channel/UCMosCy_NDf55rDQhzdX_h3w", "熊熊兒童音樂 Bear Music Ltd.")</f>
        <v>熊熊兒童音樂 Bear Music Ltd.</v>
      </c>
      <c r="C1207" s="80" t="s">
        <v>1439</v>
      </c>
      <c r="D1207" s="81" t="str">
        <f>HYPERLINK("https://youtube.com/watch?v=IQLfMVX9h7k", "熊熊粵語兒童故事精選｜中國民間故事｜十二生肖")</f>
        <v>熊熊粵語兒童故事精選｜中國民間故事｜十二生肖</v>
      </c>
      <c r="E1207" s="82">
        <v>43500.0</v>
      </c>
      <c r="F1207" s="80">
        <v>667.0</v>
      </c>
      <c r="G1207" s="80" t="s">
        <v>63</v>
      </c>
      <c r="I1207" s="80" t="s">
        <v>63</v>
      </c>
      <c r="J1207" s="80">
        <v>1906.0</v>
      </c>
      <c r="K1207" s="80">
        <v>0.997905759162303</v>
      </c>
      <c r="L1207" s="80" t="s">
        <v>64</v>
      </c>
    </row>
    <row r="1208">
      <c r="A1208" s="80" t="s">
        <v>74</v>
      </c>
      <c r="B1208" s="81" t="str">
        <f t="shared" ref="B1208:B1209" si="46">HYPERLINK("https://www.youtube.com/channel/UCO_5XP-qd-udNxBlzzSzgvw", "Handline Fishing")</f>
        <v>Handline Fishing</v>
      </c>
      <c r="C1208" s="80" t="s">
        <v>1440</v>
      </c>
      <c r="D1208" s="81" t="str">
        <f>HYPERLINK("https://youtube.com/watch?v=IQtZLWSMOEE", "#170 敵不過的釣魚女將 | 『香港釣魚 : 艇釣』香港仔大頭艇 {粵語旁白+中英文字幕}")</f>
        <v>#170 敵不過的釣魚女將 | 『香港釣魚 : 艇釣』香港仔大頭艇 {粵語旁白+中英文字幕}</v>
      </c>
      <c r="E1208" s="82">
        <v>44169.0</v>
      </c>
      <c r="F1208" s="80">
        <v>550.0</v>
      </c>
      <c r="G1208" s="80" t="s">
        <v>63</v>
      </c>
      <c r="I1208" s="80" t="s">
        <v>63</v>
      </c>
      <c r="J1208" s="80">
        <v>554.0</v>
      </c>
      <c r="K1208" s="80">
        <v>0.947008547008547</v>
      </c>
      <c r="L1208" s="80" t="s">
        <v>271</v>
      </c>
    </row>
    <row r="1209">
      <c r="A1209" s="80" t="s">
        <v>74</v>
      </c>
      <c r="B1209" s="81" t="str">
        <f t="shared" si="46"/>
        <v>Handline Fishing</v>
      </c>
      <c r="C1209" s="80" t="s">
        <v>1441</v>
      </c>
      <c r="D1209" s="81" t="str">
        <f>HYPERLINK("https://youtube.com/watch?v=IZKWQAfOWWo", "#198 【Marco賞禮GIVEAWAYS 活動四】大師麻甩櫃底團..繼續『香港釣魚 : 艇釣』櫃底 {粵語旁白+中英文字幕}")</f>
        <v>#198 【Marco賞禮GIVEAWAYS 活動四】大師麻甩櫃底團..繼續『香港釣魚 : 艇釣』櫃底 {粵語旁白+中英文字幕}</v>
      </c>
      <c r="E1209" s="82">
        <v>44280.0</v>
      </c>
      <c r="F1209" s="80">
        <v>482.0</v>
      </c>
      <c r="G1209" s="80" t="s">
        <v>63</v>
      </c>
      <c r="H1209" s="80" t="s">
        <v>63</v>
      </c>
      <c r="I1209" s="80" t="s">
        <v>63</v>
      </c>
      <c r="J1209" s="80">
        <v>522.0</v>
      </c>
      <c r="K1209" s="80">
        <v>0.97936210131332</v>
      </c>
      <c r="L1209" s="80" t="s">
        <v>88</v>
      </c>
    </row>
    <row r="1210">
      <c r="A1210" s="80" t="s">
        <v>274</v>
      </c>
      <c r="B1210" s="81" t="str">
        <f>HYPERLINK("https://www.youtube.com/channel/UC2oB9QCXs-RKtaKChrz4dKg", "MtzCherry")</f>
        <v>MtzCherry</v>
      </c>
      <c r="C1210" s="80" t="s">
        <v>1442</v>
      </c>
      <c r="D1210" s="81" t="str">
        <f>HYPERLINK("https://youtube.com/watch?v=I_16oCO7gPQ", "【香港本地品牌成長記】講到尾就係工作狂?! 😂 一齊努力掙扎啦(ENG SUB)")</f>
        <v>【香港本地品牌成長記】講到尾就係工作狂?! 😂 一齊努力掙扎啦(ENG SUB)</v>
      </c>
      <c r="E1210" s="82">
        <v>44037.0</v>
      </c>
      <c r="F1210" s="80">
        <v>566.0</v>
      </c>
      <c r="G1210" s="80" t="s">
        <v>63</v>
      </c>
      <c r="I1210" s="80" t="s">
        <v>63</v>
      </c>
      <c r="J1210" s="80">
        <v>1603.0</v>
      </c>
      <c r="K1210" s="80">
        <v>0.738709677419354</v>
      </c>
      <c r="L1210" s="80" t="s">
        <v>287</v>
      </c>
    </row>
    <row r="1211">
      <c r="A1211" s="80" t="s">
        <v>140</v>
      </c>
      <c r="B1211" s="81" t="str">
        <f>HYPERLINK("https://www.youtube.com/channel/UCHK0CZf9HEXs42qIO1GUouA", "TechiCardia")</f>
        <v>TechiCardia</v>
      </c>
      <c r="C1211" s="80" t="s">
        <v>1443</v>
      </c>
      <c r="D1211" s="81" t="str">
        <f>HYPERLINK("https://youtube.com/watch?v=I_cdPWmeY3M", "Intel 重登王座？！即用 i9-12900K 砌部靚仔電腦！效能解禁！配埋ASUS MAXIMUS Z690 HERO、DDR5 重點試玩！//4K 【TechiCardia】[CC廣東話字幕]")</f>
        <v>Intel 重登王座？！即用 i9-12900K 砌部靚仔電腦！效能解禁！配埋ASUS MAXIMUS Z690 HERO、DDR5 重點試玩！//4K 【TechiCardia】[CC廣東話字幕]</v>
      </c>
      <c r="E1211" s="82">
        <v>44504.0</v>
      </c>
      <c r="F1211" s="80">
        <v>1114.0</v>
      </c>
      <c r="G1211" s="80" t="s">
        <v>63</v>
      </c>
      <c r="I1211" s="80" t="s">
        <v>63</v>
      </c>
      <c r="J1211" s="80">
        <v>3202.0</v>
      </c>
      <c r="K1211" s="80">
        <v>0.696389734667246</v>
      </c>
      <c r="L1211" s="80" t="s">
        <v>102</v>
      </c>
    </row>
    <row r="1212">
      <c r="A1212" s="80" t="s">
        <v>61</v>
      </c>
      <c r="B1212" s="81" t="str">
        <f>HYPERLINK("https://www.youtube.com/channel/UCJ4XVrJuqKHbc9yF9oUFseg", "MEeeep More")</f>
        <v>MEeeep More</v>
      </c>
      <c r="C1212" s="80" t="s">
        <v>1444</v>
      </c>
      <c r="D1212" s="81" t="str">
        <f>HYPERLINK("https://youtube.com/watch?v=IbQbg1M5VoU", "紅米 RedMi 10X 5G 手機 HK$1760 來襲！光學變焦、NFC、OIS光學防震樣樣齊！")</f>
        <v>紅米 RedMi 10X 5G 手機 HK$1760 來襲！光學變焦、NFC、OIS光學防震樣樣齊！</v>
      </c>
      <c r="E1212" s="82">
        <v>43978.0</v>
      </c>
      <c r="F1212" s="80">
        <v>287.0</v>
      </c>
      <c r="G1212" s="80" t="s">
        <v>63</v>
      </c>
      <c r="I1212" s="80" t="s">
        <v>63</v>
      </c>
      <c r="J1212" s="80">
        <v>740.0</v>
      </c>
      <c r="K1212" s="80">
        <v>0.73558648111332</v>
      </c>
      <c r="L1212" s="80" t="s">
        <v>64</v>
      </c>
    </row>
    <row r="1213">
      <c r="A1213" s="80" t="s">
        <v>74</v>
      </c>
      <c r="B1213" s="81" t="str">
        <f>HYPERLINK("https://www.youtube.com/channel/UCO_5XP-qd-udNxBlzzSzgvw", "Handline Fishing")</f>
        <v>Handline Fishing</v>
      </c>
      <c r="C1213" s="80" t="s">
        <v>1445</v>
      </c>
      <c r="D1213" s="81" t="str">
        <f>HYPERLINK("https://youtube.com/watch?v=IfGEXhYREdo", "#112 一路車車車向西搵砂泥底『香港釣魚 : 艇釣』大小鴉洲/索罟群島 {粵語旁白+中英文字幕}")</f>
        <v>#112 一路車車車向西搵砂泥底『香港釣魚 : 艇釣』大小鴉洲/索罟群島 {粵語旁白+中英文字幕}</v>
      </c>
      <c r="E1213" s="82">
        <v>43960.0</v>
      </c>
      <c r="F1213" s="80">
        <v>386.0</v>
      </c>
      <c r="G1213" s="80" t="s">
        <v>63</v>
      </c>
      <c r="I1213" s="80" t="s">
        <v>63</v>
      </c>
      <c r="J1213" s="80">
        <v>1291.0</v>
      </c>
      <c r="K1213" s="80">
        <v>0.971407072987208</v>
      </c>
      <c r="L1213" s="80" t="s">
        <v>1013</v>
      </c>
    </row>
    <row r="1214">
      <c r="A1214" s="80" t="s">
        <v>140</v>
      </c>
      <c r="B1214" s="81" t="str">
        <f>HYPERLINK("https://www.youtube.com/channel/UCHK0CZf9HEXs42qIO1GUouA", "TechiCardia")</f>
        <v>TechiCardia</v>
      </c>
      <c r="C1214" s="80" t="s">
        <v>1446</v>
      </c>
      <c r="D1214" s="81" t="str">
        <f>HYPERLINK("https://youtube.com/watch?v=IlcVWRhgjGk", "【聖誕送咩話】科技類聖誕禮物推薦！有平有貴 交換禮物、自肥之選！智能家居、護眼掛MON燈//4K 【TechiCardia】[CC 廣東話字幕]")</f>
        <v>【聖誕送咩話】科技類聖誕禮物推薦！有平有貴 交換禮物、自肥之選！智能家居、護眼掛MON燈//4K 【TechiCardia】[CC 廣東話字幕]</v>
      </c>
      <c r="E1214" s="82">
        <v>44548.0</v>
      </c>
      <c r="F1214" s="80">
        <v>908.0</v>
      </c>
      <c r="G1214" s="80" t="s">
        <v>63</v>
      </c>
      <c r="I1214" s="80" t="s">
        <v>63</v>
      </c>
      <c r="J1214" s="80">
        <v>3891.0</v>
      </c>
      <c r="K1214" s="80">
        <v>0.799630086313193</v>
      </c>
      <c r="L1214" s="80" t="s">
        <v>102</v>
      </c>
    </row>
    <row r="1215">
      <c r="A1215" s="80" t="s">
        <v>61</v>
      </c>
      <c r="B1215" s="81" t="str">
        <f>HYPERLINK("https://www.youtube.com/channel/UCJ4XVrJuqKHbc9yF9oUFseg", "MEeeep More")</f>
        <v>MEeeep More</v>
      </c>
      <c r="C1215" s="80" t="s">
        <v>1447</v>
      </c>
      <c r="D1215" s="81" t="str">
        <f>HYPERLINK("https://youtube.com/watch?v=Imd6UUXYSkw", "【湯水食譜】粟米鬚湯 生津解渴 清熱祛濕消水腫！煲湯食譜 粟米鬚眉豆湯 簡易湯水 簡單湯水 清熱湯水 Chinese Soup Recipe")</f>
        <v>【湯水食譜】粟米鬚湯 生津解渴 清熱祛濕消水腫！煲湯食譜 粟米鬚眉豆湯 簡易湯水 簡單湯水 清熱湯水 Chinese Soup Recipe</v>
      </c>
      <c r="E1215" s="82">
        <v>44186.0</v>
      </c>
      <c r="F1215" s="80">
        <v>160.0</v>
      </c>
      <c r="G1215" s="80" t="s">
        <v>63</v>
      </c>
      <c r="I1215" s="80" t="s">
        <v>63</v>
      </c>
      <c r="J1215" s="80">
        <v>368.0</v>
      </c>
      <c r="K1215" s="80">
        <v>0.878281622911694</v>
      </c>
      <c r="L1215" s="80" t="s">
        <v>64</v>
      </c>
    </row>
    <row r="1216">
      <c r="A1216" s="80" t="s">
        <v>71</v>
      </c>
      <c r="B1216" s="81" t="str">
        <f>HYPERLINK("https://www.youtube.com/channel/UCXTE-gQCetfrx_lC9yFM2aw", "arhoTV")</f>
        <v>arhoTV</v>
      </c>
      <c r="C1216" s="80" t="s">
        <v>1448</v>
      </c>
      <c r="D1216" s="81" t="str">
        <f>HYPERLINK("https://youtube.com/watch?v=InYWiwfSR80", "【日常】賞櫻！同亞悠睇櫻花？【亞悠去旅行】")</f>
        <v>【日常】賞櫻！同亞悠睇櫻花？【亞悠去旅行】</v>
      </c>
      <c r="E1216" s="82">
        <v>42810.0</v>
      </c>
      <c r="F1216" s="80">
        <v>154.0</v>
      </c>
      <c r="G1216" s="80" t="s">
        <v>63</v>
      </c>
      <c r="H1216" s="80" t="s">
        <v>63</v>
      </c>
      <c r="I1216" s="80" t="s">
        <v>63</v>
      </c>
      <c r="J1216" s="80">
        <v>535.0</v>
      </c>
      <c r="K1216" s="80">
        <v>0.783567134268537</v>
      </c>
      <c r="L1216" s="80" t="s">
        <v>413</v>
      </c>
    </row>
    <row r="1217">
      <c r="A1217" s="80" t="s">
        <v>1114</v>
      </c>
      <c r="B1217" s="81" t="str">
        <f>HYPERLINK("https://www.youtube.com/channel/UC9NrLPKByyTyjNa41FCtV1Q", "Miss Tiara")</f>
        <v>Miss Tiara</v>
      </c>
      <c r="C1217" s="80" t="s">
        <v>1449</v>
      </c>
      <c r="D1217" s="81" t="str">
        <f>HYPERLINK("https://youtube.com/watch?v=IsfU7wz-_lw", "爆肌嫂水腫好驚嚇")</f>
        <v>爆肌嫂水腫好驚嚇</v>
      </c>
      <c r="E1217" s="82">
        <v>42072.0</v>
      </c>
      <c r="F1217" s="80">
        <v>79.0</v>
      </c>
      <c r="G1217" s="80" t="s">
        <v>63</v>
      </c>
      <c r="I1217" s="80" t="s">
        <v>63</v>
      </c>
      <c r="J1217" s="80">
        <v>65.0</v>
      </c>
      <c r="K1217" s="80">
        <v>0.783132530120481</v>
      </c>
      <c r="L1217" s="80" t="s">
        <v>64</v>
      </c>
    </row>
    <row r="1218">
      <c r="A1218" s="80" t="s">
        <v>217</v>
      </c>
      <c r="B1218" s="81" t="str">
        <f>HYPERLINK("https://www.youtube.com/channel/UCXKg0qPRz32bs5Z4mTGF3TQ", "Stormtrooper白兵")</f>
        <v>Stormtrooper白兵</v>
      </c>
      <c r="C1218" s="80" t="s">
        <v>1450</v>
      </c>
      <c r="D1218" s="81" t="str">
        <f>HYPERLINK("https://youtube.com/watch?v=Iv5OG9vIe4A", "亞洲最強邪教－韓國新天地教｜東南亞巫術！｜政府都買佢怕！？｜娛樂圈老大JYP都關事！？｜粵語中字")</f>
        <v>亞洲最強邪教－韓國新天地教｜東南亞巫術！｜政府都買佢怕！？｜娛樂圈老大JYP都關事！？｜粵語中字</v>
      </c>
      <c r="E1218" s="82">
        <v>44530.0</v>
      </c>
      <c r="F1218" s="80">
        <v>2268.0</v>
      </c>
      <c r="G1218" s="80" t="s">
        <v>63</v>
      </c>
      <c r="I1218" s="80" t="s">
        <v>63</v>
      </c>
      <c r="J1218" s="80">
        <v>10934.0</v>
      </c>
      <c r="K1218" s="80">
        <v>0.933971128384727</v>
      </c>
      <c r="L1218" s="80" t="s">
        <v>64</v>
      </c>
    </row>
    <row r="1219">
      <c r="A1219" s="80" t="s">
        <v>1373</v>
      </c>
      <c r="B1219" s="81" t="str">
        <f>HYPERLINK("https://www.youtube.com/channel/UCNsL7xLGZvocrljHcCJ71VA", "漏墨佬")</f>
        <v>漏墨佬</v>
      </c>
      <c r="C1219" s="80" t="s">
        <v>1451</v>
      </c>
      <c r="D1219" s="81" t="str">
        <f>HYPERLINK("https://youtube.com/watch?v=Ixu03inyFdQ", "製作性騷擾Sticker 派畀觀眾！！")</f>
        <v>製作性騷擾Sticker 派畀觀眾！！</v>
      </c>
      <c r="E1219" s="82">
        <v>43446.0</v>
      </c>
      <c r="F1219" s="80">
        <v>281.0</v>
      </c>
      <c r="G1219" s="80" t="s">
        <v>63</v>
      </c>
      <c r="I1219" s="80" t="s">
        <v>63</v>
      </c>
      <c r="J1219" s="80">
        <v>1105.0</v>
      </c>
      <c r="K1219" s="80">
        <v>0.864632237871674</v>
      </c>
      <c r="L1219" s="80" t="s">
        <v>64</v>
      </c>
    </row>
    <row r="1220">
      <c r="A1220" s="80" t="s">
        <v>74</v>
      </c>
      <c r="B1220" s="81" t="str">
        <f>HYPERLINK("https://www.youtube.com/channel/UCO_5XP-qd-udNxBlzzSzgvw", "Handline Fishing")</f>
        <v>Handline Fishing</v>
      </c>
      <c r="C1220" s="80" t="s">
        <v>1452</v>
      </c>
      <c r="D1220" s="81" t="str">
        <f>HYPERLINK("https://youtube.com/watch?v=IyTFCHXLdu0", "#183 【Marco賞禮GIVEAWAYS 活動一】 | 青馬馬友我來起個孖 |『香港釣魚 : 艇釣』青龍頭")</f>
        <v>#183 【Marco賞禮GIVEAWAYS 活動一】 | 青馬馬友我來起個孖 |『香港釣魚 : 艇釣』青龍頭</v>
      </c>
      <c r="E1220" s="82">
        <v>44218.0</v>
      </c>
      <c r="F1220" s="80">
        <v>512.0</v>
      </c>
      <c r="G1220" s="80" t="s">
        <v>63</v>
      </c>
      <c r="I1220" s="80" t="s">
        <v>63</v>
      </c>
      <c r="J1220" s="80">
        <v>620.0</v>
      </c>
      <c r="K1220" s="80">
        <v>0.962732919254658</v>
      </c>
      <c r="L1220" s="80" t="s">
        <v>271</v>
      </c>
    </row>
    <row r="1221">
      <c r="A1221" s="80" t="s">
        <v>94</v>
      </c>
      <c r="B1221" s="81" t="str">
        <f>HYPERLINK("https://www.youtube.com/channel/UCT_dMyI3pNselsmfR6FC8tQ", "PrideLab")</f>
        <v>PrideLab</v>
      </c>
      <c r="C1221" s="80" t="s">
        <v>1453</v>
      </c>
      <c r="D1221" s="81" t="str">
        <f>HYPERLINK("https://youtube.com/watch?v=J-GZ8w8RGBg", "攣直後援會(PrideLab特別版) - 直人友善Social Club - Circo Hong Kong")</f>
        <v>攣直後援會(PrideLab特別版) - 直人友善Social Club - Circo Hong Kong</v>
      </c>
      <c r="E1221" s="82">
        <v>42857.0</v>
      </c>
      <c r="F1221" s="80">
        <v>560.0</v>
      </c>
      <c r="G1221" s="80" t="s">
        <v>63</v>
      </c>
      <c r="I1221" s="80" t="s">
        <v>63</v>
      </c>
      <c r="J1221" s="80">
        <v>2662.0</v>
      </c>
      <c r="K1221" s="80">
        <v>0.857603092783505</v>
      </c>
      <c r="L1221" s="80" t="s">
        <v>64</v>
      </c>
    </row>
    <row r="1222">
      <c r="A1222" s="80" t="s">
        <v>61</v>
      </c>
      <c r="B1222" s="81" t="str">
        <f>HYPERLINK("https://www.youtube.com/channel/UCJ4XVrJuqKHbc9yF9oUFseg", "MEeeep More")</f>
        <v>MEeeep More</v>
      </c>
      <c r="C1222" s="80" t="s">
        <v>1454</v>
      </c>
      <c r="D1222" s="81" t="str">
        <f>HYPERLINK("https://youtube.com/watch?v=J0_bs69AZzw", "Amazfit T-Rex Pro 香港開箱！HK$1298 有型抵用 100米防水 簡單配對 軍級防撞 | Zepp TrexPro 華米 Trex")</f>
        <v>Amazfit T-Rex Pro 香港開箱！HK$1298 有型抵用 100米防水 簡單配對 軍級防撞 | Zepp TrexPro 華米 Trex</v>
      </c>
      <c r="E1222" s="82">
        <v>44319.0</v>
      </c>
      <c r="F1222" s="80">
        <v>302.0</v>
      </c>
      <c r="G1222" s="80" t="s">
        <v>63</v>
      </c>
      <c r="I1222" s="80" t="s">
        <v>63</v>
      </c>
      <c r="J1222" s="80">
        <v>1027.0</v>
      </c>
      <c r="K1222" s="80">
        <v>0.868131868131868</v>
      </c>
      <c r="L1222" s="80" t="s">
        <v>64</v>
      </c>
    </row>
    <row r="1223">
      <c r="A1223" s="80" t="s">
        <v>252</v>
      </c>
      <c r="B1223" s="81" t="str">
        <f>HYPERLINK("https://www.youtube.com/channel/UCrISkBm7rgsRUAw8018eWvw", "MoYung 慕容公子")</f>
        <v>MoYung 慕容公子</v>
      </c>
      <c r="C1223" s="80" t="s">
        <v>1455</v>
      </c>
      <c r="D1223" s="81" t="str">
        <f>HYPERLINK("https://youtube.com/watch?v=J1LUNFHXObM", "【Call iN】聽唔到你講野，我單方向講BBQ事件")</f>
        <v>【Call iN】聽唔到你講野，我單方向講BBQ事件</v>
      </c>
      <c r="E1223" s="82">
        <v>43016.0</v>
      </c>
      <c r="F1223" s="80">
        <v>173.0</v>
      </c>
      <c r="G1223" s="80" t="s">
        <v>63</v>
      </c>
      <c r="I1223" s="80" t="s">
        <v>63</v>
      </c>
      <c r="J1223" s="80">
        <v>735.0</v>
      </c>
      <c r="K1223" s="80">
        <v>0.831506849315068</v>
      </c>
      <c r="L1223" s="80" t="s">
        <v>236</v>
      </c>
    </row>
    <row r="1224">
      <c r="A1224" s="80" t="s">
        <v>1118</v>
      </c>
      <c r="B1224" s="81" t="str">
        <f>HYPERLINK("https://www.youtube.com/channel/UCeyXZA7ofepOhL9Z9BATC1w", "80後夫婦移英日記 80s Couple UK Diary")</f>
        <v>80後夫婦移英日記 80s Couple UK Diary</v>
      </c>
      <c r="C1224" s="80" t="s">
        <v>1456</v>
      </c>
      <c r="D1224" s="81" t="str">
        <f>HYPERLINK("https://youtube.com/watch?v=J3Cxe5XsIA8", "移英倒數最後一個月/有咩要做嘅事")</f>
        <v>移英倒數最後一個月/有咩要做嘅事</v>
      </c>
      <c r="E1224" s="82">
        <v>44370.0</v>
      </c>
      <c r="F1224" s="80">
        <v>604.0</v>
      </c>
      <c r="G1224" s="80" t="s">
        <v>63</v>
      </c>
      <c r="I1224" s="80" t="s">
        <v>63</v>
      </c>
      <c r="J1224" s="80">
        <v>1846.0</v>
      </c>
      <c r="K1224" s="80">
        <v>0.786536003408606</v>
      </c>
      <c r="L1224" s="80" t="s">
        <v>102</v>
      </c>
    </row>
    <row r="1225">
      <c r="A1225" s="80" t="s">
        <v>61</v>
      </c>
      <c r="B1225" s="81" t="str">
        <f>HYPERLINK("https://www.youtube.com/channel/UCJ4XVrJuqKHbc9yF9oUFseg", "MEeeep More")</f>
        <v>MEeeep More</v>
      </c>
      <c r="C1225" s="80" t="s">
        <v>1457</v>
      </c>
      <c r="D1225" s="81" t="str">
        <f>HYPERLINK("https://youtube.com/watch?v=J6oBnz95knA", "Apple iOS 15 最新功能懶人包 | WWDC 2021 ios 15 蘋果發佈會精華 iPhone 13")</f>
        <v>Apple iOS 15 最新功能懶人包 | WWDC 2021 ios 15 蘋果發佈會精華 iPhone 13</v>
      </c>
      <c r="E1225" s="82">
        <v>44356.0</v>
      </c>
      <c r="F1225" s="80">
        <v>155.0</v>
      </c>
      <c r="G1225" s="80" t="s">
        <v>63</v>
      </c>
      <c r="I1225" s="80" t="s">
        <v>63</v>
      </c>
      <c r="J1225" s="80">
        <v>497.0</v>
      </c>
      <c r="K1225" s="80">
        <v>0.7765625</v>
      </c>
      <c r="L1225" s="80" t="s">
        <v>64</v>
      </c>
    </row>
    <row r="1226">
      <c r="A1226" s="80" t="s">
        <v>74</v>
      </c>
      <c r="B1226" s="81" t="str">
        <f>HYPERLINK("https://www.youtube.com/channel/UCO_5XP-qd-udNxBlzzSzgvw", "Handline Fishing")</f>
        <v>Handline Fishing</v>
      </c>
      <c r="C1226" s="80" t="s">
        <v>1458</v>
      </c>
      <c r="D1226" s="81" t="str">
        <f>HYPERLINK("https://youtube.com/watch?v=J88nO2Lisig", "#137 夏天上東涌墩有咩搞作  |『香港釣魚 : 岸釣』東涌橋墩 {粵語旁白+中英文字幕}")</f>
        <v>#137 夏天上東涌墩有咩搞作  |『香港釣魚 : 岸釣』東涌橋墩 {粵語旁白+中英文字幕}</v>
      </c>
      <c r="E1226" s="82">
        <v>44050.0</v>
      </c>
      <c r="F1226" s="80">
        <v>454.0</v>
      </c>
      <c r="G1226" s="80" t="s">
        <v>63</v>
      </c>
      <c r="I1226" s="80" t="s">
        <v>63</v>
      </c>
      <c r="J1226" s="80">
        <v>1436.0</v>
      </c>
      <c r="K1226" s="80">
        <v>0.973559322033898</v>
      </c>
      <c r="L1226" s="80" t="s">
        <v>76</v>
      </c>
    </row>
    <row r="1227">
      <c r="A1227" s="80" t="s">
        <v>1310</v>
      </c>
      <c r="B1227" s="81" t="str">
        <f>HYPERLINK("https://www.youtube.com/channel/UC0-DuAJ8XNn3RH1aevvJWgA", "TomorrowLAN CSGO")</f>
        <v>TomorrowLAN CSGO</v>
      </c>
      <c r="C1227" s="80" t="s">
        <v>1459</v>
      </c>
      <c r="D1227" s="81" t="str">
        <f>HYPERLINK("https://youtube.com/watch?v=J9t3oqFZL2w", "TML CS:GO週報 EP.4 (CSGO食雞+免費玩!, ESL Pro League S8賽果, Astralis世界第一!)")</f>
        <v>TML CS:GO週報 EP.4 (CSGO食雞+免費玩!, ESL Pro League S8賽果, Astralis世界第一!)</v>
      </c>
      <c r="E1227" s="82">
        <v>43446.0</v>
      </c>
      <c r="F1227" s="80">
        <v>381.0</v>
      </c>
      <c r="G1227" s="80" t="s">
        <v>63</v>
      </c>
      <c r="I1227" s="80" t="s">
        <v>63</v>
      </c>
      <c r="J1227" s="80">
        <v>1178.0</v>
      </c>
      <c r="K1227" s="80">
        <v>0.587824351297405</v>
      </c>
      <c r="L1227" s="80" t="s">
        <v>64</v>
      </c>
    </row>
    <row r="1228">
      <c r="A1228" s="80" t="s">
        <v>61</v>
      </c>
      <c r="B1228" s="81" t="str">
        <f>HYPERLINK("https://www.youtube.com/channel/UCJ4XVrJuqKHbc9yF9oUFseg", "MEeeep More")</f>
        <v>MEeeep More</v>
      </c>
      <c r="C1228" s="80" t="s">
        <v>1460</v>
      </c>
      <c r="D1228" s="81" t="str">
        <f>HYPERLINK("https://youtube.com/watch?v=JA6-nMFpBY8", "華為 HUAWEI 5G Mobile WiFi Pro E6878 開箱！電量功能大躍進 iPhone 即變 5G 機！ E6878-370 Pocket Wifi")</f>
        <v>華為 HUAWEI 5G Mobile WiFi Pro E6878 開箱！電量功能大躍進 iPhone 即變 5G 機！ E6878-370 Pocket Wifi</v>
      </c>
      <c r="E1228" s="82">
        <v>43980.0</v>
      </c>
      <c r="F1228" s="80">
        <v>281.0</v>
      </c>
      <c r="G1228" s="80" t="s">
        <v>63</v>
      </c>
      <c r="I1228" s="80" t="s">
        <v>63</v>
      </c>
      <c r="J1228" s="80">
        <v>806.0</v>
      </c>
      <c r="K1228" s="80">
        <v>0.731397459165154</v>
      </c>
      <c r="L1228" s="80" t="s">
        <v>64</v>
      </c>
    </row>
    <row r="1229">
      <c r="A1229" s="80" t="s">
        <v>217</v>
      </c>
      <c r="B1229" s="81" t="str">
        <f>HYPERLINK("https://www.youtube.com/channel/UCXKg0qPRz32bs5Z4mTGF3TQ", "Stormtrooper白兵")</f>
        <v>Stormtrooper白兵</v>
      </c>
      <c r="C1229" s="80" t="s">
        <v>1461</v>
      </c>
      <c r="D1229" s="81" t="str">
        <f>HYPERLINK("https://youtube.com/watch?v=JCjp9ss5M-4", "[白兵心理小教室] 藍絲都變勇武！？拆解藍絲心理變化｜左膠又為何仍是左膠！？")</f>
        <v>[白兵心理小教室] 藍絲都變勇武！？拆解藍絲心理變化｜左膠又為何仍是左膠！？</v>
      </c>
      <c r="E1229" s="82">
        <v>43878.0</v>
      </c>
      <c r="F1229" s="80">
        <v>601.0</v>
      </c>
      <c r="G1229" s="80" t="s">
        <v>63</v>
      </c>
      <c r="I1229" s="80" t="s">
        <v>63</v>
      </c>
      <c r="J1229" s="80">
        <v>2695.0</v>
      </c>
      <c r="K1229" s="80">
        <v>0.982500911410864</v>
      </c>
      <c r="L1229" s="80" t="s">
        <v>64</v>
      </c>
    </row>
    <row r="1230">
      <c r="A1230" s="80" t="s">
        <v>278</v>
      </c>
      <c r="B1230" s="81" t="str">
        <f>HYPERLINK("https://www.youtube.com/channel/UCDoEdJo-PI-EKGNKomwLroQ", "mingjai14")</f>
        <v>mingjai14</v>
      </c>
      <c r="C1230" s="80" t="s">
        <v>1462</v>
      </c>
      <c r="D1230" s="81" t="str">
        <f>HYPERLINK("https://youtube.com/watch?v=JGJkWo778ys", "如何用不知廉恥的西文搭訕｜非南非旅｜Ep 2")</f>
        <v>如何用不知廉恥的西文搭訕｜非南非旅｜Ep 2</v>
      </c>
      <c r="E1230" s="82">
        <v>42526.0</v>
      </c>
      <c r="F1230" s="80">
        <v>557.0</v>
      </c>
      <c r="G1230" s="80" t="s">
        <v>63</v>
      </c>
      <c r="H1230" s="80" t="s">
        <v>63</v>
      </c>
      <c r="I1230" s="80" t="s">
        <v>63</v>
      </c>
      <c r="J1230" s="80">
        <v>1169.0</v>
      </c>
      <c r="K1230" s="80">
        <v>0.8640059127864</v>
      </c>
      <c r="L1230" s="80" t="s">
        <v>86</v>
      </c>
    </row>
    <row r="1231">
      <c r="A1231" s="80" t="s">
        <v>217</v>
      </c>
      <c r="B1231" s="81" t="str">
        <f>HYPERLINK("https://www.youtube.com/channel/UCXKg0qPRz32bs5Z4mTGF3TQ", "Stormtrooper白兵")</f>
        <v>Stormtrooper白兵</v>
      </c>
      <c r="C1231" s="80" t="s">
        <v>1463</v>
      </c>
      <c r="D1231" s="81" t="str">
        <f>HYPERLINK("https://youtube.com/watch?v=JGxu_HN6WqU", "為何《咕嚦咕新年財》成為林夕最愛？賀歲片看盡人生百態，從中了解其他影評沒告訴你的香港人個性｜香港特色用語簡介｜粵語中字｜")</f>
        <v>為何《咕嚦咕新年財》成為林夕最愛？賀歲片看盡人生百態，從中了解其他影評沒告訴你的香港人個性｜香港特色用語簡介｜粵語中字｜</v>
      </c>
      <c r="E1231" s="82">
        <v>44245.0</v>
      </c>
      <c r="F1231" s="80">
        <v>761.0</v>
      </c>
      <c r="G1231" s="80" t="s">
        <v>63</v>
      </c>
      <c r="H1231" s="80" t="s">
        <v>63</v>
      </c>
      <c r="I1231" s="80" t="s">
        <v>63</v>
      </c>
      <c r="J1231" s="80">
        <v>3000.0</v>
      </c>
      <c r="K1231" s="80">
        <v>0.968992248062015</v>
      </c>
      <c r="L1231" s="80" t="s">
        <v>86</v>
      </c>
    </row>
    <row r="1232">
      <c r="A1232" s="80" t="s">
        <v>61</v>
      </c>
      <c r="B1232" s="81" t="str">
        <f t="shared" ref="B1232:B1234" si="47">HYPERLINK("https://www.youtube.com/channel/UCJ4XVrJuqKHbc9yF9oUFseg", "MEeeep More")</f>
        <v>MEeeep More</v>
      </c>
      <c r="C1232" s="80" t="s">
        <v>1464</v>
      </c>
      <c r="D1232" s="81" t="str">
        <f>HYPERLINK("https://youtube.com/watch?v=JIZ7oIzLQlw", "國泰貴賓室 賞心堂 The Arrival  最後一夜直擊 - 《食玩飛常遊》")</f>
        <v>國泰貴賓室 賞心堂 The Arrival  最後一夜直擊 - 《食玩飛常遊》</v>
      </c>
      <c r="E1232" s="82">
        <v>43409.0</v>
      </c>
      <c r="F1232" s="80">
        <v>205.0</v>
      </c>
      <c r="G1232" s="80" t="s">
        <v>63</v>
      </c>
      <c r="I1232" s="80" t="s">
        <v>63</v>
      </c>
      <c r="J1232" s="80">
        <v>543.0</v>
      </c>
      <c r="K1232" s="80">
        <v>0.905</v>
      </c>
      <c r="L1232" s="80" t="s">
        <v>64</v>
      </c>
    </row>
    <row r="1233">
      <c r="A1233" s="80" t="s">
        <v>61</v>
      </c>
      <c r="B1233" s="81" t="str">
        <f t="shared" si="47"/>
        <v>MEeeep More</v>
      </c>
      <c r="C1233" s="80" t="s">
        <v>1465</v>
      </c>
      <c r="D1233" s="81" t="str">
        <f>HYPERLINK("https://youtube.com/watch?v=JKMgVJIWb2U", "日本美食！名古屋美味Egg Benedict ! 你又食過未？- 《食玩飛常遊》")</f>
        <v>日本美食！名古屋美味Egg Benedict ! 你又食過未？- 《食玩飛常遊》</v>
      </c>
      <c r="E1233" s="82">
        <v>43401.0</v>
      </c>
      <c r="F1233" s="80">
        <v>151.0</v>
      </c>
      <c r="G1233" s="80" t="s">
        <v>63</v>
      </c>
      <c r="I1233" s="80" t="s">
        <v>63</v>
      </c>
      <c r="J1233" s="80">
        <v>368.0</v>
      </c>
      <c r="K1233" s="80">
        <v>0.801742919389978</v>
      </c>
      <c r="L1233" s="80" t="s">
        <v>64</v>
      </c>
    </row>
    <row r="1234">
      <c r="A1234" s="80" t="s">
        <v>61</v>
      </c>
      <c r="B1234" s="81" t="str">
        <f t="shared" si="47"/>
        <v>MEeeep More</v>
      </c>
      <c r="C1234" s="80" t="s">
        <v>1466</v>
      </c>
      <c r="D1234" s="81" t="str">
        <f>HYPERLINK("https://youtube.com/watch?v=JN6gLf1Nko8", "鬼馬油炸鬼 鬼馬油條 全程自己動手做！氣炸鍋焗出南洋風味街檔小食 AirFlyer Recipe 油條釀蝦滑")</f>
        <v>鬼馬油炸鬼 鬼馬油條 全程自己動手做！氣炸鍋焗出南洋風味街檔小食 AirFlyer Recipe 油條釀蝦滑</v>
      </c>
      <c r="E1234" s="82">
        <v>44196.0</v>
      </c>
      <c r="F1234" s="80">
        <v>108.0</v>
      </c>
      <c r="G1234" s="80" t="s">
        <v>63</v>
      </c>
      <c r="I1234" s="80" t="s">
        <v>63</v>
      </c>
      <c r="J1234" s="80">
        <v>250.0</v>
      </c>
      <c r="K1234" s="80">
        <v>0.830564784053156</v>
      </c>
      <c r="L1234" s="80" t="s">
        <v>64</v>
      </c>
    </row>
    <row r="1235">
      <c r="A1235" s="80" t="s">
        <v>129</v>
      </c>
      <c r="B1235" s="81" t="str">
        <f>HYPERLINK("https://www.youtube.com/channel/UCBbTnorwzva0ZIMGW0ttwVA", "阿豬 Ah Ju")</f>
        <v>阿豬 Ah Ju</v>
      </c>
      <c r="C1235" s="80" t="s">
        <v>1467</v>
      </c>
      <c r="D1235" s="81" t="str">
        <f>HYPERLINK("https://youtube.com/watch?v=JPR_bR2rWk0", "【實試】尋找最好食Omakase壽司")</f>
        <v>【實試】尋找最好食Omakase壽司</v>
      </c>
      <c r="E1235" s="82">
        <v>44332.0</v>
      </c>
      <c r="F1235" s="80">
        <v>799.0</v>
      </c>
      <c r="G1235" s="80" t="s">
        <v>63</v>
      </c>
      <c r="I1235" s="80" t="s">
        <v>63</v>
      </c>
      <c r="J1235" s="80">
        <v>2857.0</v>
      </c>
      <c r="K1235" s="80">
        <v>0.854621597367633</v>
      </c>
      <c r="L1235" s="80" t="s">
        <v>1004</v>
      </c>
    </row>
    <row r="1236">
      <c r="A1236" s="80" t="s">
        <v>61</v>
      </c>
      <c r="B1236" s="81" t="str">
        <f>HYPERLINK("https://www.youtube.com/channel/UCJ4XVrJuqKHbc9yF9oUFseg", "MEeeep More")</f>
        <v>MEeeep More</v>
      </c>
      <c r="C1236" s="80" t="s">
        <v>1468</v>
      </c>
      <c r="D1236" s="81" t="str">
        <f>HYPERLINK("https://youtube.com/watch?v=JPb5618NIR4", "實試iOS14！iOS 14 Widgets有幾好用？iOS 14 Picture in Picture 畫中畫一下搞掂！全新翻譯App又準唔準？ios 14 beta 1 review")</f>
        <v>實試iOS14！iOS 14 Widgets有幾好用？iOS 14 Picture in Picture 畫中畫一下搞掂！全新翻譯App又準唔準？ios 14 beta 1 review</v>
      </c>
      <c r="E1236" s="82">
        <v>44008.0</v>
      </c>
      <c r="F1236" s="80">
        <v>372.0</v>
      </c>
      <c r="G1236" s="80" t="s">
        <v>63</v>
      </c>
      <c r="I1236" s="80" t="s">
        <v>63</v>
      </c>
      <c r="J1236" s="80">
        <v>1156.0</v>
      </c>
      <c r="K1236" s="80">
        <v>0.774279973208305</v>
      </c>
      <c r="L1236" s="80" t="s">
        <v>64</v>
      </c>
    </row>
    <row r="1237">
      <c r="A1237" s="80" t="s">
        <v>74</v>
      </c>
      <c r="B1237" s="81" t="str">
        <f>HYPERLINK("https://www.youtube.com/channel/UCO_5XP-qd-udNxBlzzSzgvw", "Handline Fishing")</f>
        <v>Handline Fishing</v>
      </c>
      <c r="C1237" s="80" t="s">
        <v>1469</v>
      </c>
      <c r="D1237" s="81" t="str">
        <f>HYPERLINK("https://youtube.com/watch?v=JPltTkIZ_n8", "#203 【Marco賞禮GIVEAWAYS 活動五】搵返2條斤頭魚解下悶氣 |『香港釣魚 : 艇釣』鴉洲/長洲外/青馬 【BOYA BY-PM500 USB 麥克風評測】")</f>
        <v>#203 【Marco賞禮GIVEAWAYS 活動五】搵返2條斤頭魚解下悶氣 |『香港釣魚 : 艇釣』鴉洲/長洲外/青馬 【BOYA BY-PM500 USB 麥克風評測】</v>
      </c>
      <c r="E1237" s="82">
        <v>44298.0</v>
      </c>
      <c r="F1237" s="80">
        <v>707.0</v>
      </c>
      <c r="G1237" s="80" t="s">
        <v>63</v>
      </c>
      <c r="H1237" s="80" t="s">
        <v>63</v>
      </c>
      <c r="I1237" s="80" t="s">
        <v>63</v>
      </c>
      <c r="J1237" s="80">
        <v>563.0</v>
      </c>
      <c r="K1237" s="80">
        <v>0.959114139693356</v>
      </c>
      <c r="L1237" s="80" t="s">
        <v>88</v>
      </c>
    </row>
    <row r="1238">
      <c r="A1238" s="80" t="s">
        <v>1039</v>
      </c>
      <c r="B1238" s="81" t="str">
        <f>HYPERLINK("https://www.youtube.com/channel/UCiKEIxbv4RTzyLCKG17N-AA", "Hunting Archer")</f>
        <v>Hunting Archer</v>
      </c>
      <c r="C1238" s="80" t="s">
        <v>1470</v>
      </c>
      <c r="D1238" s="81" t="str">
        <f>HYPERLINK("https://youtube.com/watch?v=JPtDWQNmIz8", "【广州漫步】驾游滨江由洲头咀码头出发途径滨江路游览珠江南岸风光 Walk in GuangZhou（粤语中字）")</f>
        <v>【广州漫步】驾游滨江由洲头咀码头出发途径滨江路游览珠江南岸风光 Walk in GuangZhou（粤语中字）</v>
      </c>
      <c r="E1238" s="82">
        <v>44300.0</v>
      </c>
      <c r="F1238" s="80">
        <v>1097.0</v>
      </c>
      <c r="G1238" s="80" t="s">
        <v>63</v>
      </c>
      <c r="I1238" s="80" t="s">
        <v>63</v>
      </c>
      <c r="J1238" s="80">
        <v>3018.0</v>
      </c>
      <c r="K1238" s="80">
        <v>0.997685950413223</v>
      </c>
      <c r="L1238" s="80" t="s">
        <v>1471</v>
      </c>
    </row>
    <row r="1239">
      <c r="A1239" s="80" t="s">
        <v>217</v>
      </c>
      <c r="B1239" s="81" t="str">
        <f>HYPERLINK("https://www.youtube.com/channel/UCXKg0qPRz32bs5Z4mTGF3TQ", "Stormtrooper白兵")</f>
        <v>Stormtrooper白兵</v>
      </c>
      <c r="C1239" s="80" t="s">
        <v>1472</v>
      </c>
      <c r="D1239" s="81" t="str">
        <f>HYPERLINK("https://youtube.com/watch?v=JVY8UQjgJPY", "[白兵邏輯小教室]杜汶澤VS陳百祥賽後分析｜深度分析陳百祥的邏輯謬誤｜如何令深藍人士徹底消失")</f>
        <v>[白兵邏輯小教室]杜汶澤VS陳百祥賽後分析｜深度分析陳百祥的邏輯謬誤｜如何令深藍人士徹底消失</v>
      </c>
      <c r="E1239" s="82">
        <v>43776.0</v>
      </c>
      <c r="F1239" s="80">
        <v>708.0</v>
      </c>
      <c r="G1239" s="80" t="s">
        <v>63</v>
      </c>
      <c r="H1239" s="80" t="s">
        <v>63</v>
      </c>
      <c r="I1239" s="80" t="s">
        <v>63</v>
      </c>
      <c r="J1239" s="80">
        <v>3038.0</v>
      </c>
      <c r="K1239" s="80">
        <v>0.990084985835694</v>
      </c>
      <c r="L1239" s="80" t="s">
        <v>86</v>
      </c>
    </row>
    <row r="1240">
      <c r="A1240" s="80" t="s">
        <v>74</v>
      </c>
      <c r="B1240" s="81" t="str">
        <f>HYPERLINK("https://www.youtube.com/channel/UCO_5XP-qd-udNxBlzzSzgvw", "Handline Fishing")</f>
        <v>Handline Fishing</v>
      </c>
      <c r="C1240" s="80" t="s">
        <v>1473</v>
      </c>
      <c r="D1240" s="81" t="str">
        <f>HYPERLINK("https://youtube.com/watch?v=JX9eh4JnFM0", "#105 ＊新手必看＊9個常用釣魚釣組+示範 波子壓底 仕掛 鈍釣 （艇釣+岸釣）｜『港水釣組應用篇+教學』{粵語旁白+中文字幕}")</f>
        <v>#105 ＊新手必看＊9個常用釣魚釣組+示範 波子壓底 仕掛 鈍釣 （艇釣+岸釣）｜『港水釣組應用篇+教學』{粵語旁白+中文字幕}</v>
      </c>
      <c r="E1240" s="82">
        <v>43945.0</v>
      </c>
      <c r="F1240" s="80">
        <v>608.0</v>
      </c>
      <c r="G1240" s="80" t="s">
        <v>63</v>
      </c>
      <c r="I1240" s="80" t="s">
        <v>63</v>
      </c>
      <c r="J1240" s="80">
        <v>2699.0</v>
      </c>
      <c r="K1240" s="80">
        <v>0.982884195193008</v>
      </c>
      <c r="L1240" s="80" t="s">
        <v>1013</v>
      </c>
    </row>
    <row r="1241">
      <c r="A1241" s="80" t="s">
        <v>61</v>
      </c>
      <c r="B1241" s="81" t="str">
        <f>HYPERLINK("https://www.youtube.com/channel/UCJ4XVrJuqKHbc9yF9oUFseg", "MEeeep More")</f>
        <v>MEeeep More</v>
      </c>
      <c r="C1241" s="80" t="s">
        <v>1474</v>
      </c>
      <c r="D1241" s="81" t="str">
        <f>HYPERLINK("https://youtube.com/watch?v=JdBICmrrhT0", "未完約想升 5G？香港 3 大 5G 電訊商升級計劃率先睇！3香港 csl 1010 中國移動香港")</f>
        <v>未完約想升 5G？香港 3 大 5G 電訊商升級計劃率先睇！3香港 csl 1010 中國移動香港</v>
      </c>
      <c r="E1241" s="82">
        <v>43936.0</v>
      </c>
      <c r="F1241" s="80">
        <v>165.0</v>
      </c>
      <c r="G1241" s="80" t="s">
        <v>63</v>
      </c>
      <c r="I1241" s="80" t="s">
        <v>63</v>
      </c>
      <c r="J1241" s="80">
        <v>459.0</v>
      </c>
      <c r="K1241" s="80">
        <v>0.772727272727272</v>
      </c>
      <c r="L1241" s="80" t="s">
        <v>64</v>
      </c>
    </row>
    <row r="1242">
      <c r="A1242" s="80" t="s">
        <v>217</v>
      </c>
      <c r="B1242" s="81" t="str">
        <f>HYPERLINK("https://www.youtube.com/channel/UCXKg0qPRz32bs5Z4mTGF3TQ", "Stormtrooper白兵")</f>
        <v>Stormtrooper白兵</v>
      </c>
      <c r="C1242" s="80" t="s">
        <v>1475</v>
      </c>
      <c r="D1242" s="81" t="str">
        <f>HYPERLINK("https://youtube.com/watch?v=JdZgKbF60AQ", "[白天鳥歌]靈魂出竅、清醒夢、出體？｜Tesla用清醒夢黎做實驗？｜出體可以周街搵人造 ＿？｜粵語中字")</f>
        <v>[白天鳥歌]靈魂出竅、清醒夢、出體？｜Tesla用清醒夢黎做實驗？｜出體可以周街搵人造 ＿？｜粵語中字</v>
      </c>
      <c r="E1242" s="82">
        <v>44425.0</v>
      </c>
      <c r="F1242" s="80">
        <v>3014.0</v>
      </c>
      <c r="G1242" s="80" t="s">
        <v>63</v>
      </c>
      <c r="I1242" s="80" t="s">
        <v>63</v>
      </c>
      <c r="J1242" s="80">
        <v>12924.0</v>
      </c>
      <c r="K1242" s="80">
        <v>0.945635472305553</v>
      </c>
      <c r="L1242" s="80" t="s">
        <v>64</v>
      </c>
    </row>
    <row r="1243">
      <c r="A1243" s="80" t="s">
        <v>74</v>
      </c>
      <c r="B1243" s="81" t="str">
        <f>HYPERLINK("https://www.youtube.com/channel/UCO_5XP-qd-udNxBlzzSzgvw", "Handline Fishing")</f>
        <v>Handline Fishing</v>
      </c>
      <c r="C1243" s="80" t="s">
        <v>1476</v>
      </c>
      <c r="D1243" s="81" t="str">
        <f>HYPERLINK("https://youtube.com/watch?v=JfYQ8X6Ewgc", "#131 搵高手嚟釣夜水 大幅提高分成率｜『香港釣魚 : 艇釣』櫃底 {粵語旁白+中英文字幕}")</f>
        <v>#131 搵高手嚟釣夜水 大幅提高分成率｜『香港釣魚 : 艇釣』櫃底 {粵語旁白+中英文字幕}</v>
      </c>
      <c r="E1243" s="82">
        <v>44026.0</v>
      </c>
      <c r="F1243" s="80">
        <v>283.0</v>
      </c>
      <c r="G1243" s="80" t="s">
        <v>63</v>
      </c>
      <c r="I1243" s="80" t="s">
        <v>63</v>
      </c>
      <c r="J1243" s="80">
        <v>887.0</v>
      </c>
      <c r="K1243" s="80">
        <v>0.979028697571743</v>
      </c>
      <c r="L1243" s="80" t="s">
        <v>76</v>
      </c>
    </row>
    <row r="1244">
      <c r="A1244" s="80" t="s">
        <v>252</v>
      </c>
      <c r="B1244" s="81" t="str">
        <f>HYPERLINK("https://www.youtube.com/channel/UCrISkBm7rgsRUAw8018eWvw", "MoYung 慕容公子")</f>
        <v>MoYung 慕容公子</v>
      </c>
      <c r="C1244" s="80" t="s">
        <v>1477</v>
      </c>
      <c r="D1244" s="81" t="str">
        <f>HYPERLINK("https://youtube.com/watch?v=Jg4uMRiqerw", "【Call iN】Fong下集 : 泰國揼骨摸全身 (中文字幕)")</f>
        <v>【Call iN】Fong下集 : 泰國揼骨摸全身 (中文字幕)</v>
      </c>
      <c r="E1244" s="82">
        <v>43119.0</v>
      </c>
      <c r="F1244" s="80">
        <v>313.0</v>
      </c>
      <c r="G1244" s="80" t="s">
        <v>63</v>
      </c>
      <c r="I1244" s="80" t="s">
        <v>63</v>
      </c>
      <c r="J1244" s="80">
        <v>964.0</v>
      </c>
      <c r="K1244" s="80">
        <v>0.945098039215686</v>
      </c>
      <c r="L1244" s="80" t="s">
        <v>64</v>
      </c>
    </row>
    <row r="1245">
      <c r="A1245" s="80" t="s">
        <v>217</v>
      </c>
      <c r="B1245" s="81" t="str">
        <f>HYPERLINK("https://www.youtube.com/channel/UCXKg0qPRz32bs5Z4mTGF3TQ", "Stormtrooper白兵")</f>
        <v>Stormtrooper白兵</v>
      </c>
      <c r="C1245" s="80" t="s">
        <v>1478</v>
      </c>
      <c r="D1245" s="81" t="str">
        <f>HYPERLINK("https://youtube.com/watch?v=Jh0FB0q7OEU", "[人物誌]陰謀論核心人物、世界首個億萬富翁、與羅富齊家族並肩作戰！｜壟斷石油、醫療、教育｜如何在商業上展開大屠殺，擊潰競爭對手！？｜布殊家族背後最大金主｜詳細介紹洛克菲勒家族創富經過！｜粵語中字")</f>
        <v>[人物誌]陰謀論核心人物、世界首個億萬富翁、與羅富齊家族並肩作戰！｜壟斷石油、醫療、教育｜如何在商業上展開大屠殺，擊潰競爭對手！？｜布殊家族背後最大金主｜詳細介紹洛克菲勒家族創富經過！｜粵語中字</v>
      </c>
      <c r="E1245" s="82">
        <v>44490.0</v>
      </c>
      <c r="F1245" s="80">
        <v>871.0</v>
      </c>
      <c r="G1245" s="80" t="s">
        <v>63</v>
      </c>
      <c r="I1245" s="80" t="s">
        <v>63</v>
      </c>
      <c r="J1245" s="80">
        <v>3734.0</v>
      </c>
      <c r="K1245" s="80">
        <v>0.92494426554372</v>
      </c>
      <c r="L1245" s="80" t="s">
        <v>64</v>
      </c>
    </row>
    <row r="1246">
      <c r="A1246" s="80" t="s">
        <v>278</v>
      </c>
      <c r="B1246" s="81" t="str">
        <f>HYPERLINK("https://www.youtube.com/channel/UCDoEdJo-PI-EKGNKomwLroQ", "mingjai14")</f>
        <v>mingjai14</v>
      </c>
      <c r="C1246" s="80" t="s">
        <v>1479</v>
      </c>
      <c r="D1246" s="81" t="str">
        <f>HYPERLINK("https://youtube.com/watch?v=JjEreA7KAz0", "近距離接觸活火山｜非南非旅｜Ep 9")</f>
        <v>近距離接觸活火山｜非南非旅｜Ep 9</v>
      </c>
      <c r="E1246" s="82">
        <v>42816.0</v>
      </c>
      <c r="F1246" s="80">
        <v>612.0</v>
      </c>
      <c r="G1246" s="80" t="s">
        <v>63</v>
      </c>
      <c r="H1246" s="80" t="s">
        <v>63</v>
      </c>
      <c r="I1246" s="80" t="s">
        <v>63</v>
      </c>
      <c r="J1246" s="80">
        <v>1208.0</v>
      </c>
      <c r="K1246" s="80">
        <v>0.974193548387096</v>
      </c>
      <c r="L1246" s="80" t="s">
        <v>86</v>
      </c>
    </row>
    <row r="1247">
      <c r="A1247" s="80" t="s">
        <v>112</v>
      </c>
      <c r="B1247" s="81" t="str">
        <f>HYPERLINK("https://www.youtube.com/channel/UCW_n_gfIv4HhRqCk8EnRhJA", "Happy Kongner")</f>
        <v>Happy Kongner</v>
      </c>
      <c r="C1247" s="80" t="s">
        <v>1480</v>
      </c>
      <c r="D1247" s="81" t="str">
        <f>HYPERLINK("https://youtube.com/watch?v=Jq0ZyQ987fY", "字得其樂 The ABC of Western Calligraphy 教你如何寫情信（設計篇）")</f>
        <v>字得其樂 The ABC of Western Calligraphy 教你如何寫情信（設計篇）</v>
      </c>
      <c r="E1247" s="82">
        <v>43507.0</v>
      </c>
      <c r="F1247" s="80">
        <v>299.0</v>
      </c>
      <c r="G1247" s="80" t="s">
        <v>63</v>
      </c>
      <c r="I1247" s="80" t="s">
        <v>63</v>
      </c>
      <c r="J1247" s="80">
        <v>946.0</v>
      </c>
      <c r="K1247" s="80">
        <v>0.898385565052231</v>
      </c>
      <c r="L1247" s="80" t="s">
        <v>64</v>
      </c>
    </row>
    <row r="1248">
      <c r="A1248" s="80" t="s">
        <v>129</v>
      </c>
      <c r="B1248" s="81" t="str">
        <f>HYPERLINK("https://www.youtube.com/channel/UCBbTnorwzva0ZIMGW0ttwVA", "阿豬 Ah Ju")</f>
        <v>阿豬 Ah Ju</v>
      </c>
      <c r="C1248" s="80" t="s">
        <v>1481</v>
      </c>
      <c r="D1248" s="81" t="str">
        <f>HYPERLINK("https://youtube.com/watch?v=JqWR-E-18lw", "阿豬被財仔追數")</f>
        <v>阿豬被財仔追數</v>
      </c>
      <c r="E1248" s="82">
        <v>44268.0</v>
      </c>
      <c r="F1248" s="80">
        <v>648.0</v>
      </c>
      <c r="G1248" s="80" t="s">
        <v>63</v>
      </c>
      <c r="I1248" s="80" t="s">
        <v>63</v>
      </c>
      <c r="J1248" s="80">
        <v>2725.0</v>
      </c>
      <c r="K1248" s="80">
        <v>0.90803065644785</v>
      </c>
      <c r="L1248" s="80" t="s">
        <v>1153</v>
      </c>
    </row>
    <row r="1249">
      <c r="A1249" s="80" t="s">
        <v>94</v>
      </c>
      <c r="B1249" s="81" t="str">
        <f>HYPERLINK("https://www.youtube.com/channel/UCT_dMyI3pNselsmfR6FC8tQ", "PrideLab")</f>
        <v>PrideLab</v>
      </c>
      <c r="C1249" s="80" t="s">
        <v>1482</v>
      </c>
      <c r="D1249" s="81" t="str">
        <f>HYPERLINK("https://youtube.com/watch?v=Js_qjVG7f3s", "學習平等關係  終止性別暴力")</f>
        <v>學習平等關係  終止性別暴力</v>
      </c>
      <c r="E1249" s="82">
        <v>42764.0</v>
      </c>
      <c r="F1249" s="80">
        <v>132.0</v>
      </c>
      <c r="G1249" s="80" t="s">
        <v>63</v>
      </c>
      <c r="I1249" s="80" t="s">
        <v>63</v>
      </c>
      <c r="J1249" s="80">
        <v>391.0</v>
      </c>
      <c r="K1249" s="80">
        <v>0.9775</v>
      </c>
      <c r="L1249" s="80" t="s">
        <v>64</v>
      </c>
    </row>
    <row r="1250">
      <c r="A1250" s="80" t="s">
        <v>61</v>
      </c>
      <c r="B1250" s="81" t="str">
        <f>HYPERLINK("https://www.youtube.com/channel/UCJ4XVrJuqKHbc9yF9oUFseg", "MEeeep More")</f>
        <v>MEeeep More</v>
      </c>
      <c r="C1250" s="80" t="s">
        <v>1483</v>
      </c>
      <c r="D1250" s="81" t="str">
        <f>HYPERLINK("https://youtube.com/watch?v=Jw5e4IshttI", "【抗疫湯水】沙參玉竹海底椰湯 強身潤肺 Step-by-Step！")</f>
        <v>【抗疫湯水】沙參玉竹海底椰湯 強身潤肺 Step-by-Step！</v>
      </c>
      <c r="E1250" s="82">
        <v>43927.0</v>
      </c>
      <c r="F1250" s="80">
        <v>291.0</v>
      </c>
      <c r="G1250" s="80" t="s">
        <v>63</v>
      </c>
      <c r="I1250" s="80" t="s">
        <v>63</v>
      </c>
      <c r="J1250" s="80">
        <v>396.0</v>
      </c>
      <c r="K1250" s="80">
        <v>0.883928571428571</v>
      </c>
      <c r="L1250" s="80" t="s">
        <v>64</v>
      </c>
    </row>
    <row r="1251">
      <c r="A1251" s="80" t="s">
        <v>252</v>
      </c>
      <c r="B1251" s="81" t="str">
        <f>HYPERLINK("https://www.youtube.com/channel/UCrISkBm7rgsRUAw8018eWvw", "MoYung 慕容公子")</f>
        <v>MoYung 慕容公子</v>
      </c>
      <c r="C1251" s="80" t="s">
        <v>1484</v>
      </c>
      <c r="D1251" s="81" t="str">
        <f>HYPERLINK("https://youtube.com/watch?v=Jwp836lhVOU", "《人中之龍》咁樣救人 !? 笑死")</f>
        <v>《人中之龍》咁樣救人 !? 笑死</v>
      </c>
      <c r="E1251" s="82">
        <v>42734.0</v>
      </c>
      <c r="F1251" s="80">
        <v>105.0</v>
      </c>
      <c r="G1251" s="80" t="s">
        <v>63</v>
      </c>
      <c r="I1251" s="80" t="s">
        <v>63</v>
      </c>
      <c r="J1251" s="80">
        <v>138.0</v>
      </c>
      <c r="K1251" s="80">
        <v>0.978571428571428</v>
      </c>
      <c r="L1251" s="80" t="s">
        <v>236</v>
      </c>
    </row>
    <row r="1252">
      <c r="A1252" s="80" t="s">
        <v>219</v>
      </c>
      <c r="B1252" s="81" t="str">
        <f>HYPERLINK("https://www.youtube.com/channel/UC9_PnptBIpNF0JXbJjd8TsQ", "Brown's Channel")</f>
        <v>Brown's Channel</v>
      </c>
      <c r="C1252" s="80" t="s">
        <v>1485</v>
      </c>
      <c r="D1252" s="81" t="str">
        <f>HYPERLINK("https://youtube.com/watch?v=Jz2E0isOa5k", "【一隻熊仔去旅行@首爾】#2 星空圖書館－－全首爾最浪漫嘅圖書館")</f>
        <v>【一隻熊仔去旅行@首爾】#2 星空圖書館－－全首爾最浪漫嘅圖書館</v>
      </c>
      <c r="E1252" s="82">
        <v>43861.0</v>
      </c>
      <c r="F1252" s="80">
        <v>176.0</v>
      </c>
      <c r="G1252" s="80" t="s">
        <v>63</v>
      </c>
      <c r="I1252" s="80" t="s">
        <v>63</v>
      </c>
      <c r="J1252" s="80">
        <v>576.0</v>
      </c>
      <c r="K1252" s="80">
        <v>0.867469879518072</v>
      </c>
      <c r="L1252" s="80" t="s">
        <v>64</v>
      </c>
    </row>
    <row r="1253">
      <c r="A1253" s="80" t="s">
        <v>274</v>
      </c>
      <c r="B1253" s="81" t="str">
        <f>HYPERLINK("https://www.youtube.com/channel/UC2oB9QCXs-RKtaKChrz4dKg", "MtzCherry")</f>
        <v>MtzCherry</v>
      </c>
      <c r="C1253" s="80" t="s">
        <v>1486</v>
      </c>
      <c r="D1253" s="81" t="str">
        <f>HYPERLINK("https://youtube.com/watch?v=K0A0J9vDsx8", "🇦🇹維也納VLOG ep1: 世界最高空中韆鞦 😳 World Tallest Praterturm")</f>
        <v>🇦🇹維也納VLOG ep1: 世界最高空中韆鞦 😳 World Tallest Praterturm</v>
      </c>
      <c r="E1253" s="82">
        <v>43260.0</v>
      </c>
      <c r="F1253" s="80">
        <v>626.0</v>
      </c>
      <c r="G1253" s="80" t="s">
        <v>63</v>
      </c>
      <c r="H1253" s="80" t="s">
        <v>63</v>
      </c>
      <c r="I1253" s="80" t="s">
        <v>63</v>
      </c>
      <c r="J1253" s="80">
        <v>58.0</v>
      </c>
      <c r="K1253" s="80">
        <v>0.783783783783783</v>
      </c>
      <c r="L1253" s="80" t="s">
        <v>1487</v>
      </c>
    </row>
    <row r="1254">
      <c r="A1254" s="80" t="s">
        <v>61</v>
      </c>
      <c r="B1254" s="81" t="str">
        <f t="shared" ref="B1254:B1255" si="48">HYPERLINK("https://www.youtube.com/channel/UCJ4XVrJuqKHbc9yF9oUFseg", "MEeeep More")</f>
        <v>MEeeep More</v>
      </c>
      <c r="C1254" s="80" t="s">
        <v>1488</v>
      </c>
      <c r="D1254" s="81" t="str">
        <f>HYPERLINK("https://youtube.com/watch?v=K3fRvuPaMjE", "【開箱評測】5G 機皇2020 三星 Samsung Galaxy S20 Ultra 開箱評測 - 5G 流暢 介面驚喜！")</f>
        <v>【開箱評測】5G 機皇2020 三星 Samsung Galaxy S20 Ultra 開箱評測 - 5G 流暢 介面驚喜！</v>
      </c>
      <c r="E1254" s="82">
        <v>43924.0</v>
      </c>
      <c r="F1254" s="80">
        <v>344.0</v>
      </c>
      <c r="G1254" s="80" t="s">
        <v>63</v>
      </c>
      <c r="I1254" s="80" t="s">
        <v>63</v>
      </c>
      <c r="J1254" s="80">
        <v>969.0</v>
      </c>
      <c r="K1254" s="80">
        <v>0.743098159509202</v>
      </c>
      <c r="L1254" s="80" t="s">
        <v>64</v>
      </c>
    </row>
    <row r="1255">
      <c r="A1255" s="80" t="s">
        <v>61</v>
      </c>
      <c r="B1255" s="81" t="str">
        <f t="shared" si="48"/>
        <v>MEeeep More</v>
      </c>
      <c r="C1255" s="80" t="s">
        <v>1489</v>
      </c>
      <c r="D1255" s="81" t="str">
        <f>HYPERLINK("https://youtube.com/watch?v=K3kJjmklJDg", "【$10000派錢】- 香港 政府派10000 現金發放計劃 用佢登記最簡單！匯豐HSBC App 10秒完成！Cash Payout Scheme 香港派錢 登記優惠 陳茂波 派錢一萬 財政預算案")</f>
        <v>【$10000派錢】- 香港 政府派10000 現金發放計劃 用佢登記最簡單！匯豐HSBC App 10秒完成！Cash Payout Scheme 香港派錢 登記優惠 陳茂波 派錢一萬 財政預算案</v>
      </c>
      <c r="E1255" s="82">
        <v>44003.0</v>
      </c>
      <c r="F1255" s="80">
        <v>99.0</v>
      </c>
      <c r="G1255" s="80" t="s">
        <v>63</v>
      </c>
      <c r="I1255" s="80" t="s">
        <v>63</v>
      </c>
      <c r="J1255" s="80">
        <v>270.0</v>
      </c>
      <c r="K1255" s="80">
        <v>0.820668693009118</v>
      </c>
      <c r="L1255" s="80" t="s">
        <v>64</v>
      </c>
    </row>
    <row r="1256">
      <c r="A1256" s="80" t="s">
        <v>140</v>
      </c>
      <c r="B1256" s="81" t="str">
        <f>HYPERLINK("https://www.youtube.com/channel/UCHK0CZf9HEXs42qIO1GUouA", "TechiCardia")</f>
        <v>TechiCardia</v>
      </c>
      <c r="C1256" s="80" t="s">
        <v>1490</v>
      </c>
      <c r="D1256" s="81" t="str">
        <f>HYPERLINK("https://youtube.com/watch?v=K9gM96TSSmo", "經典青軸 CHERRY MX 2.0 S RGB 一分鐘極速睇 #Shorts")</f>
        <v>經典青軸 CHERRY MX 2.0 S RGB 一分鐘極速睇 #Shorts</v>
      </c>
      <c r="E1256" s="82">
        <v>44448.0</v>
      </c>
      <c r="F1256" s="80">
        <v>59.0</v>
      </c>
      <c r="G1256" s="80" t="s">
        <v>63</v>
      </c>
      <c r="I1256" s="80" t="s">
        <v>63</v>
      </c>
      <c r="J1256" s="80">
        <v>175.0</v>
      </c>
      <c r="K1256" s="80">
        <v>0.770925110132158</v>
      </c>
      <c r="L1256" s="80" t="s">
        <v>102</v>
      </c>
    </row>
    <row r="1257">
      <c r="A1257" s="80" t="s">
        <v>71</v>
      </c>
      <c r="B1257" s="81" t="str">
        <f>HYPERLINK("https://www.youtube.com/channel/UCXTE-gQCetfrx_lC9yFM2aw", "arhoTV")</f>
        <v>arhoTV</v>
      </c>
      <c r="C1257" s="80" t="s">
        <v>1491</v>
      </c>
      <c r="D1257" s="81" t="str">
        <f>HYPERLINK("https://youtube.com/watch?v=KA0j4uT4seg", "【日常】arhoTV 直播爆料！為課金出賣人格！？ (BACKUP)")</f>
        <v>【日常】arhoTV 直播爆料！為課金出賣人格！？ (BACKUP)</v>
      </c>
      <c r="E1257" s="82">
        <v>42829.0</v>
      </c>
      <c r="F1257" s="80">
        <v>295.0</v>
      </c>
      <c r="G1257" s="80" t="s">
        <v>63</v>
      </c>
      <c r="H1257" s="80" t="s">
        <v>63</v>
      </c>
      <c r="I1257" s="80" t="s">
        <v>63</v>
      </c>
      <c r="J1257" s="80">
        <v>1743.0</v>
      </c>
      <c r="K1257" s="80">
        <v>0.774322523322967</v>
      </c>
      <c r="L1257" s="80" t="s">
        <v>86</v>
      </c>
    </row>
    <row r="1258">
      <c r="A1258" s="80" t="s">
        <v>1492</v>
      </c>
      <c r="B1258" s="81" t="str">
        <f>HYPERLINK("https://www.youtube.com/channel/UCTo1EIcKtkDYqiUqs4v_NlA", "【常公子】頻道TV - 中文中史歷史哲學")</f>
        <v>【常公子】頻道TV - 中文中史歷史哲學</v>
      </c>
      <c r="C1258" s="80" t="s">
        <v>1493</v>
      </c>
      <c r="D1258" s="81" t="str">
        <f>HYPERLINK("https://youtube.com/watch?v=KKMmBkHIY-4", "粵語中史棟篤笑《大清亡國關慈禧蛋牛治》  第0回 共享單車 玩13張手揸三個轆")</f>
        <v>粵語中史棟篤笑《大清亡國關慈禧蛋牛治》  第0回 共享單車 玩13張手揸三個轆</v>
      </c>
      <c r="E1258" s="82">
        <v>43300.0</v>
      </c>
      <c r="F1258" s="80">
        <v>201.0</v>
      </c>
      <c r="G1258" s="80" t="s">
        <v>63</v>
      </c>
      <c r="I1258" s="80" t="s">
        <v>63</v>
      </c>
      <c r="J1258" s="80">
        <v>606.0</v>
      </c>
      <c r="K1258" s="80">
        <v>0.986970684039087</v>
      </c>
      <c r="L1258" s="80" t="s">
        <v>64</v>
      </c>
    </row>
    <row r="1259">
      <c r="A1259" s="80" t="s">
        <v>260</v>
      </c>
      <c r="B1259" s="81" t="str">
        <f>HYPERLINK("https://www.youtube.com/channel/UC-HXOikkLx7BGEfILGIpYOg", "港短 . 英移")</f>
        <v>港短 . 英移</v>
      </c>
      <c r="C1259" s="80" t="s">
        <v>1494</v>
      </c>
      <c r="D1259" s="81" t="str">
        <f>HYPERLINK("https://youtube.com/watch?v=KKsrHxDcXcs", "英國實測街頭""美食""衝擊🔥| 第一名既真係好食 | 人生就係要不斷作出嘗試😋 | Camden Market | 港短.英移 #HongKonger #英國移民 #英國生活 #英國香港人 #英國美食")</f>
        <v>英國實測街頭"美食"衝擊🔥| 第一名既真係好食 | 人生就係要不斷作出嘗試😋 | Camden Market | 港短.英移 #HongKonger #英國移民 #英國生活 #英國香港人 #英國美食</v>
      </c>
      <c r="E1259" s="82">
        <v>44532.0</v>
      </c>
      <c r="F1259" s="80">
        <v>519.0</v>
      </c>
      <c r="G1259" s="80" t="s">
        <v>63</v>
      </c>
      <c r="I1259" s="80" t="s">
        <v>63</v>
      </c>
      <c r="J1259" s="80">
        <v>1985.0</v>
      </c>
      <c r="K1259" s="80">
        <v>0.821946169772256</v>
      </c>
      <c r="L1259" s="80" t="s">
        <v>102</v>
      </c>
    </row>
    <row r="1260">
      <c r="A1260" s="80" t="s">
        <v>74</v>
      </c>
      <c r="B1260" s="81" t="str">
        <f>HYPERLINK("https://www.youtube.com/channel/UCO_5XP-qd-udNxBlzzSzgvw", "Handline Fishing")</f>
        <v>Handline Fishing</v>
      </c>
      <c r="C1260" s="80" t="s">
        <v>1495</v>
      </c>
      <c r="D1260" s="81" t="str">
        <f>HYPERLINK("https://youtube.com/watch?v=KLaE5QG7a2s", "#249 N個巧合?!  | 香港釣魚 | 艇釣 | 維港東 {粵語旁白+中英文字幕}")</f>
        <v>#249 N個巧合?!  | 香港釣魚 | 艇釣 | 維港東 {粵語旁白+中英文字幕}</v>
      </c>
      <c r="E1260" s="82">
        <v>44504.0</v>
      </c>
      <c r="F1260" s="80">
        <v>552.0</v>
      </c>
      <c r="G1260" s="80" t="s">
        <v>63</v>
      </c>
      <c r="H1260" s="80" t="s">
        <v>63</v>
      </c>
      <c r="I1260" s="80" t="s">
        <v>63</v>
      </c>
      <c r="J1260" s="80">
        <v>437.0</v>
      </c>
      <c r="K1260" s="80">
        <v>0.982022471910112</v>
      </c>
      <c r="L1260" s="80" t="s">
        <v>88</v>
      </c>
    </row>
    <row r="1261">
      <c r="A1261" s="80" t="s">
        <v>82</v>
      </c>
      <c r="B1261" s="81" t="str">
        <f>HYPERLINK("https://www.youtube.com/channel/UC6C2hkbggXIgapf5jn_V2Dw", "SpongeMob 852")</f>
        <v>SpongeMob 852</v>
      </c>
      <c r="C1261" s="80" t="s">
        <v>1496</v>
      </c>
      <c r="D1261" s="81" t="str">
        <f>HYPERLINK("https://youtube.com/watch?v=KNiOotBrUrw", "JB vs Novel Flash CantonMic 2019 Final Round(Chinese subtitles)")</f>
        <v>JB vs Novel Flash CantonMic 2019 Final Round(Chinese subtitles)</v>
      </c>
      <c r="E1261" s="82">
        <v>43917.0</v>
      </c>
      <c r="F1261" s="80">
        <v>569.0</v>
      </c>
      <c r="G1261" s="80" t="s">
        <v>63</v>
      </c>
      <c r="I1261" s="80" t="s">
        <v>63</v>
      </c>
      <c r="J1261" s="80">
        <v>1057.0</v>
      </c>
      <c r="K1261" s="80">
        <v>0.71855880353501</v>
      </c>
      <c r="L1261" s="80" t="s">
        <v>64</v>
      </c>
    </row>
    <row r="1262">
      <c r="A1262" s="80" t="s">
        <v>1497</v>
      </c>
      <c r="B1262" s="81" t="str">
        <f>HYPERLINK("https://www.youtube.com/channel/UCAe5UPoAjOBNmqgNJJLOs-A", "Carmen Leung")</f>
        <v>Carmen Leung</v>
      </c>
      <c r="C1262" s="80" t="s">
        <v>1498</v>
      </c>
      <c r="D1262" s="81" t="str">
        <f>HYPERLINK("https://youtube.com/watch?v=KQ4EObtHF6o", "(Cantonese) How did I improve my Cantonese as a BBC? 作為一個英國華僑，我嘅廣東話點解可以進步得咁多？| Carmen Leung")</f>
        <v>(Cantonese) How did I improve my Cantonese as a BBC? 作為一個英國華僑，我嘅廣東話點解可以進步得咁多？| Carmen Leung</v>
      </c>
      <c r="E1262" s="82">
        <v>44490.0</v>
      </c>
      <c r="F1262" s="80">
        <v>723.0</v>
      </c>
      <c r="G1262" s="80" t="s">
        <v>63</v>
      </c>
      <c r="H1262" s="80" t="s">
        <v>63</v>
      </c>
      <c r="I1262" s="80" t="s">
        <v>63</v>
      </c>
      <c r="J1262" s="80">
        <v>2721.0</v>
      </c>
      <c r="K1262" s="80">
        <v>0.912474849094567</v>
      </c>
      <c r="L1262" s="80" t="s">
        <v>1499</v>
      </c>
    </row>
    <row r="1263">
      <c r="A1263" s="80" t="s">
        <v>219</v>
      </c>
      <c r="B1263" s="81" t="str">
        <f>HYPERLINK("https://www.youtube.com/channel/UC9_PnptBIpNF0JXbJjd8TsQ", "Brown's Channel")</f>
        <v>Brown's Channel</v>
      </c>
      <c r="C1263" s="80" t="s">
        <v>1500</v>
      </c>
      <c r="D1263" s="81" t="str">
        <f>HYPERLINK("https://youtube.com/watch?v=KQRcIzIjGkQ", "【一隻熊仔去旅行@深圳】#4 一隻酸奶牛 － 返大陸飲奶製品，有冇問題㗎？")</f>
        <v>【一隻熊仔去旅行@深圳】#4 一隻酸奶牛 － 返大陸飲奶製品，有冇問題㗎？</v>
      </c>
      <c r="E1263" s="82">
        <v>43594.0</v>
      </c>
      <c r="F1263" s="80">
        <v>240.0</v>
      </c>
      <c r="G1263" s="80" t="s">
        <v>63</v>
      </c>
      <c r="I1263" s="80" t="s">
        <v>63</v>
      </c>
      <c r="J1263" s="80">
        <v>626.0</v>
      </c>
      <c r="K1263" s="80">
        <v>0.937125748502994</v>
      </c>
      <c r="L1263" s="80" t="s">
        <v>64</v>
      </c>
    </row>
    <row r="1264">
      <c r="A1264" s="80" t="s">
        <v>248</v>
      </c>
      <c r="B1264" s="81" t="str">
        <f>HYPERLINK("https://www.youtube.com/channel/UCUEJok-GiWaGlv5nIPwk-GQ", "Price.com.hk 香港格價網")</f>
        <v>Price.com.hk 香港格價網</v>
      </c>
      <c r="C1264" s="80" t="s">
        <v>1501</v>
      </c>
      <c r="D1264" s="81" t="str">
        <f>HYPERLINK("https://youtube.com/watch?v=6Fd3h41AmmU", "M1X MacBook Pro 終於要來了！Galaxy S21 FE 下周登場？藤原浩操刀 MSI Creator Z16特別版 | 廣東話【Price Weekly #84 2021年10月 】")</f>
        <v>M1X MacBook Pro 終於要來了！Galaxy S21 FE 下周登場？藤原浩操刀 MSI Creator Z16特別版 | 廣東話【Price Weekly #84 2021年10月 】</v>
      </c>
      <c r="E1264" s="82">
        <v>44485.0</v>
      </c>
      <c r="F1264" s="80">
        <v>604.0</v>
      </c>
      <c r="G1264" s="80" t="s">
        <v>63</v>
      </c>
      <c r="I1264" s="80" t="s">
        <v>63</v>
      </c>
      <c r="J1264" s="80">
        <v>1927.0</v>
      </c>
      <c r="K1264" s="80">
        <v>0.702259475218659</v>
      </c>
      <c r="L1264" s="80" t="s">
        <v>64</v>
      </c>
    </row>
    <row r="1265">
      <c r="A1265" s="80" t="s">
        <v>278</v>
      </c>
      <c r="B1265" s="81" t="str">
        <f>HYPERLINK("https://www.youtube.com/channel/UCDoEdJo-PI-EKGNKomwLroQ", "mingjai14")</f>
        <v>mingjai14</v>
      </c>
      <c r="C1265" s="80" t="s">
        <v>1502</v>
      </c>
      <c r="D1265" s="81" t="str">
        <f>HYPERLINK("https://youtube.com/watch?v=KXcVuO5OVW0", "為漢堡包可以去到幾盡｜非南非旅｜番外篇")</f>
        <v>為漢堡包可以去到幾盡｜非南非旅｜番外篇</v>
      </c>
      <c r="E1265" s="82">
        <v>42830.0</v>
      </c>
      <c r="F1265" s="80">
        <v>401.0</v>
      </c>
      <c r="G1265" s="80" t="s">
        <v>63</v>
      </c>
      <c r="H1265" s="80" t="s">
        <v>63</v>
      </c>
      <c r="I1265" s="80" t="s">
        <v>63</v>
      </c>
      <c r="J1265" s="80">
        <v>1090.0</v>
      </c>
      <c r="K1265" s="80">
        <v>0.590146182999458</v>
      </c>
      <c r="L1265" s="80" t="s">
        <v>1503</v>
      </c>
    </row>
    <row r="1266">
      <c r="A1266" s="80" t="s">
        <v>71</v>
      </c>
      <c r="B1266" s="81" t="str">
        <f>HYPERLINK("https://www.youtube.com/channel/UCXTE-gQCetfrx_lC9yFM2aw", "arhoTV")</f>
        <v>arhoTV</v>
      </c>
      <c r="C1266" s="80" t="s">
        <v>1504</v>
      </c>
      <c r="D1266" s="81" t="str">
        <f>HYPERLINK("https://youtube.com/watch?v=KZAbgzJ8VVk", "【日常】唔好再笑我講國語！")</f>
        <v>【日常】唔好再笑我講國語！</v>
      </c>
      <c r="E1266" s="82">
        <v>42763.0</v>
      </c>
      <c r="F1266" s="80">
        <v>124.0</v>
      </c>
      <c r="G1266" s="80" t="s">
        <v>63</v>
      </c>
      <c r="H1266" s="80" t="s">
        <v>63</v>
      </c>
      <c r="I1266" s="80" t="s">
        <v>63</v>
      </c>
      <c r="J1266" s="80">
        <v>563.0</v>
      </c>
      <c r="K1266" s="80">
        <v>0.938511326860841</v>
      </c>
      <c r="L1266" s="80" t="s">
        <v>86</v>
      </c>
    </row>
    <row r="1267">
      <c r="A1267" s="80" t="s">
        <v>1505</v>
      </c>
      <c r="B1267" s="81" t="str">
        <f>HYPERLINK("https://www.youtube.com/channel/UCOIRq4co3Rj8ATrqe1eq-0g", "-Debbie-")</f>
        <v>-Debbie-</v>
      </c>
      <c r="C1267" s="80" t="s">
        <v>1506</v>
      </c>
      <c r="D1267" s="81" t="str">
        <f>HYPERLINK("https://youtube.com/watch?v=Kd5LnF00Bl4", "#0 耳環除咗淘寶之外 五個網購私心小推介!!")</f>
        <v>#0 耳環除咗淘寶之外 五個網購私心小推介!!</v>
      </c>
      <c r="E1267" s="82">
        <v>43311.0</v>
      </c>
      <c r="F1267" s="80">
        <v>228.0</v>
      </c>
      <c r="G1267" s="80" t="s">
        <v>63</v>
      </c>
      <c r="I1267" s="80" t="s">
        <v>63</v>
      </c>
      <c r="J1267" s="80">
        <v>611.0</v>
      </c>
      <c r="K1267" s="80">
        <v>0.846260387811634</v>
      </c>
      <c r="L1267" s="80" t="s">
        <v>64</v>
      </c>
    </row>
    <row r="1268">
      <c r="A1268" s="80" t="s">
        <v>252</v>
      </c>
      <c r="B1268" s="81" t="str">
        <f>HYPERLINK("https://www.youtube.com/channel/UCrISkBm7rgsRUAw8018eWvw", "MoYung 慕容公子")</f>
        <v>MoYung 慕容公子</v>
      </c>
      <c r="C1268" s="80" t="s">
        <v>1507</v>
      </c>
      <c r="D1268" s="81" t="str">
        <f>HYPERLINK("https://youtube.com/watch?v=KfYAi_1bFZQ", "【慕容Call iN】睇慕容三年，Dse肥左 (中文字幕)")</f>
        <v>【慕容Call iN】睇慕容三年，Dse肥左 (中文字幕)</v>
      </c>
      <c r="E1268" s="82">
        <v>42745.0</v>
      </c>
      <c r="F1268" s="80">
        <v>187.0</v>
      </c>
      <c r="G1268" s="80" t="s">
        <v>63</v>
      </c>
      <c r="I1268" s="80" t="s">
        <v>63</v>
      </c>
      <c r="J1268" s="80">
        <v>827.0</v>
      </c>
      <c r="K1268" s="80">
        <v>0.903825136612021</v>
      </c>
      <c r="L1268" s="80" t="s">
        <v>521</v>
      </c>
    </row>
    <row r="1269">
      <c r="A1269" s="80" t="s">
        <v>74</v>
      </c>
      <c r="B1269" s="81" t="str">
        <f>HYPERLINK("https://www.youtube.com/channel/UCO_5XP-qd-udNxBlzzSzgvw", "Handline Fishing")</f>
        <v>Handline Fishing</v>
      </c>
      <c r="C1269" s="80" t="s">
        <v>1508</v>
      </c>
      <c r="D1269" s="81" t="str">
        <f>HYPERLINK("https://youtube.com/watch?v=KhEQeEqD2rc", "#220 今次我釣唔到魚，下次我一定返來報仇 |『香港釣魚 : 艇釣』維港 {粵語旁白+中英文字幕}")</f>
        <v>#220 今次我釣唔到魚，下次我一定返來報仇 |『香港釣魚 : 艇釣』維港 {粵語旁白+中英文字幕}</v>
      </c>
      <c r="E1269" s="82">
        <v>44375.0</v>
      </c>
      <c r="F1269" s="80">
        <v>256.0</v>
      </c>
      <c r="G1269" s="80" t="s">
        <v>63</v>
      </c>
      <c r="H1269" s="80" t="s">
        <v>63</v>
      </c>
      <c r="I1269" s="80" t="s">
        <v>63</v>
      </c>
      <c r="J1269" s="80">
        <v>315.0</v>
      </c>
      <c r="K1269" s="80">
        <v>0.957446808510638</v>
      </c>
      <c r="L1269" s="80" t="s">
        <v>88</v>
      </c>
    </row>
    <row r="1270">
      <c r="A1270" s="80" t="s">
        <v>61</v>
      </c>
      <c r="B1270" s="81" t="str">
        <f>HYPERLINK("https://www.youtube.com/channel/UCJ4XVrJuqKHbc9yF9oUFseg", "MEeeep More")</f>
        <v>MEeeep More</v>
      </c>
      <c r="C1270" s="80" t="s">
        <v>1509</v>
      </c>
      <c r="D1270" s="81" t="str">
        <f>HYPERLINK("https://youtube.com/watch?v=Khb_rIIIgH0", "小米11 Mi11 國際版現身！三鏡頭配 5G 旗艦機 | Xiaomi 11 Mi 11 mi11 international Wifi-6 5G手機 香港5G")</f>
        <v>小米11 Mi11 國際版現身！三鏡頭配 5G 旗艦機 | Xiaomi 11 Mi 11 mi11 international Wifi-6 5G手機 香港5G</v>
      </c>
      <c r="E1270" s="82">
        <v>44236.0</v>
      </c>
      <c r="F1270" s="80">
        <v>245.0</v>
      </c>
      <c r="G1270" s="80" t="s">
        <v>63</v>
      </c>
      <c r="I1270" s="80" t="s">
        <v>63</v>
      </c>
      <c r="J1270" s="80">
        <v>672.0</v>
      </c>
      <c r="K1270" s="80">
        <v>0.802867383512544</v>
      </c>
      <c r="L1270" s="80" t="s">
        <v>64</v>
      </c>
    </row>
    <row r="1271">
      <c r="A1271" s="80" t="s">
        <v>221</v>
      </c>
      <c r="B1271" s="81" t="str">
        <f>HYPERLINK("https://www.youtube.com/channel/UCBgWgQyEb5eTzvh4lLcuipQ", "Wikitongues")</f>
        <v>Wikitongues</v>
      </c>
      <c r="C1271" s="80" t="s">
        <v>1510</v>
      </c>
      <c r="D1271" s="81" t="str">
        <f>HYPERLINK("https://youtube.com/watch?v=Ki4W4QVm2Hk", "WIKITONGUES: Joyce speaking Cantonese")</f>
        <v>WIKITONGUES: Joyce speaking Cantonese</v>
      </c>
      <c r="E1271" s="82">
        <v>41362.0</v>
      </c>
      <c r="F1271" s="80">
        <v>75.0</v>
      </c>
      <c r="G1271" s="80" t="s">
        <v>63</v>
      </c>
      <c r="I1271" s="80" t="s">
        <v>63</v>
      </c>
      <c r="J1271" s="80">
        <v>185.0</v>
      </c>
      <c r="K1271" s="80">
        <v>0.752032520325203</v>
      </c>
      <c r="L1271" s="80" t="s">
        <v>102</v>
      </c>
    </row>
    <row r="1272">
      <c r="A1272" s="80" t="s">
        <v>1373</v>
      </c>
      <c r="B1272" s="81" t="str">
        <f>HYPERLINK("https://www.youtube.com/channel/UCNsL7xLGZvocrljHcCJ71VA", "漏墨佬")</f>
        <v>漏墨佬</v>
      </c>
      <c r="C1272" s="80" t="s">
        <v>1511</v>
      </c>
      <c r="D1272" s="81" t="str">
        <f>HYPERLINK("https://youtube.com/watch?v=KimmiS5gzqk", "浩嵐闖入性商店 老闆教人玩菊花？？內有飛機杯 fk.薑檸樂")</f>
        <v>浩嵐闖入性商店 老闆教人玩菊花？？內有飛機杯 fk.薑檸樂</v>
      </c>
      <c r="E1272" s="82">
        <v>43462.0</v>
      </c>
      <c r="F1272" s="80">
        <v>731.0</v>
      </c>
      <c r="G1272" s="80" t="s">
        <v>63</v>
      </c>
      <c r="I1272" s="80" t="s">
        <v>63</v>
      </c>
      <c r="J1272" s="80">
        <v>2378.0</v>
      </c>
      <c r="K1272" s="80">
        <v>0.950819672131147</v>
      </c>
      <c r="L1272" s="80" t="s">
        <v>64</v>
      </c>
    </row>
    <row r="1273">
      <c r="A1273" s="80" t="s">
        <v>96</v>
      </c>
      <c r="B1273" s="81" t="str">
        <f>HYPERLINK("https://www.youtube.com/channel/UCGtyHJ-L_4RDIHe3XaLofQQ", "Anson Cheung")</f>
        <v>Anson Cheung</v>
      </c>
      <c r="C1273" s="80" t="s">
        <v>1512</v>
      </c>
      <c r="D1273" s="81" t="str">
        <f>HYPERLINK("https://youtube.com/watch?v=KmCZcEbxlrY", "Samsung Galaxy A71 評測 - 世紀大難題｜Anson Cheung 手機評測｜Samsung Galaxy A71 Review")</f>
        <v>Samsung Galaxy A71 評測 - 世紀大難題｜Anson Cheung 手機評測｜Samsung Galaxy A71 Review</v>
      </c>
      <c r="E1273" s="82">
        <v>43923.0</v>
      </c>
      <c r="F1273" s="80">
        <v>679.0</v>
      </c>
      <c r="G1273" s="80" t="s">
        <v>63</v>
      </c>
      <c r="I1273" s="80" t="s">
        <v>63</v>
      </c>
      <c r="J1273" s="80">
        <v>2495.0</v>
      </c>
      <c r="K1273" s="80">
        <v>0.725290697674418</v>
      </c>
      <c r="L1273" s="80" t="s">
        <v>64</v>
      </c>
    </row>
    <row r="1274">
      <c r="A1274" s="80" t="s">
        <v>61</v>
      </c>
      <c r="B1274" s="81" t="str">
        <f t="shared" ref="B1274:B1275" si="49">HYPERLINK("https://www.youtube.com/channel/UCJ4XVrJuqKHbc9yF9oUFseg", "MEeeep More")</f>
        <v>MEeeep More</v>
      </c>
      <c r="C1274" s="80" t="s">
        <v>1513</v>
      </c>
      <c r="D1274" s="81" t="str">
        <f>HYPERLINK("https://youtube.com/watch?v=KpoMh-btIR8", "3香港 DIY儲值卡 $10/月 自助轉台 養號碼最正選擇 全年120GB 全速數據 每月只需 $22.5 | SoSim 3hk prepaid sim card")</f>
        <v>3香港 DIY儲值卡 $10/月 自助轉台 養號碼最正選擇 全年120GB 全速數據 每月只需 $22.5 | SoSim 3hk prepaid sim card</v>
      </c>
      <c r="E1274" s="82">
        <v>44269.0</v>
      </c>
      <c r="F1274" s="80">
        <v>196.0</v>
      </c>
      <c r="G1274" s="80" t="s">
        <v>63</v>
      </c>
      <c r="I1274" s="80" t="s">
        <v>63</v>
      </c>
      <c r="J1274" s="80">
        <v>494.0</v>
      </c>
      <c r="K1274" s="80">
        <v>0.761171032357473</v>
      </c>
      <c r="L1274" s="80" t="s">
        <v>64</v>
      </c>
    </row>
    <row r="1275">
      <c r="A1275" s="80" t="s">
        <v>61</v>
      </c>
      <c r="B1275" s="81" t="str">
        <f t="shared" si="49"/>
        <v>MEeeep More</v>
      </c>
      <c r="C1275" s="80" t="s">
        <v>1514</v>
      </c>
      <c r="D1275" s="81" t="str">
        <f>HYPERLINK("https://youtube.com/watch?v=KqHhQN_ngM8", "POCO M3開箱！唔洗HK$1000驚喜高通處理器 即試表現掂唔掂！ 小米POCO M3 PocoM3 Xiaomi Poco M3 Xiaomi M3 Redmi 2021新機")</f>
        <v>POCO M3開箱！唔洗HK$1000驚喜高通處理器 即試表現掂唔掂！ 小米POCO M3 PocoM3 Xiaomi Poco M3 Xiaomi M3 Redmi 2021新機</v>
      </c>
      <c r="E1275" s="82">
        <v>44208.0</v>
      </c>
      <c r="F1275" s="80">
        <v>237.0</v>
      </c>
      <c r="G1275" s="80" t="s">
        <v>63</v>
      </c>
      <c r="I1275" s="80" t="s">
        <v>63</v>
      </c>
      <c r="J1275" s="80">
        <v>574.0</v>
      </c>
      <c r="K1275" s="80">
        <v>0.723833543505674</v>
      </c>
      <c r="L1275" s="80" t="s">
        <v>64</v>
      </c>
    </row>
    <row r="1276">
      <c r="A1276" s="80" t="s">
        <v>112</v>
      </c>
      <c r="B1276" s="81" t="str">
        <f>HYPERLINK("https://www.youtube.com/channel/UCW_n_gfIv4HhRqCk8EnRhJA", "Happy Kongner")</f>
        <v>Happy Kongner</v>
      </c>
      <c r="C1276" s="80" t="s">
        <v>1515</v>
      </c>
      <c r="D1276" s="81" t="str">
        <f>HYPERLINK("https://youtube.com/watch?v=KsAr-rmqlTc", "勇氣智慧也永不滅—突破書誌 BREAKAZINE #60 《勇氣不滅—在極權時代直面恐懼》[做乜嘢懶人包]")</f>
        <v>勇氣智慧也永不滅—突破書誌 BREAKAZINE #60 《勇氣不滅—在極權時代直面恐懼》[做乜嘢懶人包]</v>
      </c>
      <c r="E1276" s="82">
        <v>43967.0</v>
      </c>
      <c r="F1276" s="80">
        <v>1820.0</v>
      </c>
      <c r="G1276" s="80" t="s">
        <v>63</v>
      </c>
      <c r="I1276" s="80" t="s">
        <v>63</v>
      </c>
      <c r="J1276" s="80">
        <v>9482.0</v>
      </c>
      <c r="K1276" s="80">
        <v>0.927697876920066</v>
      </c>
      <c r="L1276" s="80" t="s">
        <v>64</v>
      </c>
    </row>
    <row r="1277">
      <c r="A1277" s="80" t="s">
        <v>74</v>
      </c>
      <c r="B1277" s="81" t="str">
        <f>HYPERLINK("https://www.youtube.com/channel/UCO_5XP-qd-udNxBlzzSzgvw", "Handline Fishing")</f>
        <v>Handline Fishing</v>
      </c>
      <c r="C1277" s="80" t="s">
        <v>1516</v>
      </c>
      <c r="D1277" s="81" t="str">
        <f>HYPERLINK("https://youtube.com/watch?v=KwYQfm9YPAE", "#119 紅色暴雨下，追雞魚釣，究竟有無? 咪咁傻啦『香港釣魚 : 艇釣 』維港東 {粵語旁白+中英文字幕}")</f>
        <v>#119 紅色暴雨下，追雞魚釣，究竟有無? 咪咁傻啦『香港釣魚 : 艇釣 』維港東 {粵語旁白+中英文字幕}</v>
      </c>
      <c r="E1277" s="82">
        <v>43983.0</v>
      </c>
      <c r="F1277" s="80">
        <v>662.0</v>
      </c>
      <c r="G1277" s="80" t="s">
        <v>63</v>
      </c>
      <c r="I1277" s="80" t="s">
        <v>63</v>
      </c>
      <c r="J1277" s="80">
        <v>1097.0</v>
      </c>
      <c r="K1277" s="80">
        <v>0.971656333038086</v>
      </c>
      <c r="L1277" s="80" t="s">
        <v>76</v>
      </c>
    </row>
    <row r="1278">
      <c r="A1278" s="80" t="s">
        <v>129</v>
      </c>
      <c r="B1278" s="81" t="str">
        <f>HYPERLINK("https://www.youtube.com/channel/UCBbTnorwzva0ZIMGW0ttwVA", "阿豬 Ah Ju")</f>
        <v>阿豬 Ah Ju</v>
      </c>
      <c r="C1278" s="80" t="s">
        <v>1517</v>
      </c>
      <c r="D1278" s="81" t="str">
        <f>HYPERLINK("https://youtube.com/watch?v=KxM6h_3lSbc", "Elon Musk帶Dogecoin (DOGE) 狂升140倍 拆解狗狗幣走勢+玩法")</f>
        <v>Elon Musk帶Dogecoin (DOGE) 狂升140倍 拆解狗狗幣走勢+玩法</v>
      </c>
      <c r="E1278" s="82">
        <v>44321.0</v>
      </c>
      <c r="F1278" s="80">
        <v>647.0</v>
      </c>
      <c r="G1278" s="80" t="s">
        <v>63</v>
      </c>
      <c r="I1278" s="80" t="s">
        <v>63</v>
      </c>
      <c r="J1278" s="80">
        <v>2264.0</v>
      </c>
      <c r="K1278" s="80">
        <v>0.672009498367468</v>
      </c>
      <c r="L1278" s="80" t="s">
        <v>64</v>
      </c>
    </row>
    <row r="1279">
      <c r="A1279" s="80" t="s">
        <v>1082</v>
      </c>
      <c r="B1279" s="81" t="str">
        <f>HYPERLINK("https://www.youtube.com/channel/UCMosCy_NDf55rDQhzdX_h3w", "熊熊兒童音樂 Bear Music Ltd.")</f>
        <v>熊熊兒童音樂 Bear Music Ltd.</v>
      </c>
      <c r="C1279" s="80" t="s">
        <v>1518</v>
      </c>
      <c r="D1279" s="81" t="str">
        <f>HYPERLINK("https://youtube.com/watch?v=L28fzw_vRa8", "熊熊粵語兒童故事精選｜聽故事．講故事｜第一輯 *  給彩蛋找媽媽 * 快樂樹 * 狡滑狐狸笨山羊")</f>
        <v>熊熊粵語兒童故事精選｜聽故事．講故事｜第一輯 *  給彩蛋找媽媽 * 快樂樹 * 狡滑狐狸笨山羊</v>
      </c>
      <c r="E1279" s="82">
        <v>43543.0</v>
      </c>
      <c r="F1279" s="80">
        <v>1120.0</v>
      </c>
      <c r="G1279" s="80" t="s">
        <v>63</v>
      </c>
      <c r="I1279" s="80" t="s">
        <v>63</v>
      </c>
      <c r="J1279" s="80">
        <v>1342.0</v>
      </c>
      <c r="K1279" s="80">
        <v>0.978134110787172</v>
      </c>
      <c r="L1279" s="80" t="s">
        <v>64</v>
      </c>
    </row>
    <row r="1280">
      <c r="A1280" s="80" t="s">
        <v>61</v>
      </c>
      <c r="B1280" s="81" t="str">
        <f t="shared" ref="B1280:B1281" si="50">HYPERLINK("https://www.youtube.com/channel/UCJ4XVrJuqKHbc9yF9oUFseg", "MEeeep More")</f>
        <v>MEeeep More</v>
      </c>
      <c r="C1280" s="80" t="s">
        <v>1519</v>
      </c>
      <c r="D1280" s="81" t="str">
        <f>HYPERLINK("https://youtube.com/watch?v=L3PAj9DLWVQ", "Linksys 5G Mobile Hotspot登場！香港5G全頻段 支援Wi-Fi 6 csl/1010有優惠wifi6 linksys 5G Pocket Wifi 5G Router 2021")</f>
        <v>Linksys 5G Mobile Hotspot登場！香港5G全頻段 支援Wi-Fi 6 csl/1010有優惠wifi6 linksys 5G Pocket Wifi 5G Router 2021</v>
      </c>
      <c r="E1280" s="82">
        <v>44134.0</v>
      </c>
      <c r="F1280" s="80">
        <v>113.0</v>
      </c>
      <c r="G1280" s="80" t="s">
        <v>63</v>
      </c>
      <c r="I1280" s="80" t="s">
        <v>63</v>
      </c>
      <c r="J1280" s="80">
        <v>243.0</v>
      </c>
      <c r="K1280" s="80">
        <v>0.58695652173913</v>
      </c>
      <c r="L1280" s="80" t="s">
        <v>64</v>
      </c>
    </row>
    <row r="1281">
      <c r="A1281" s="80" t="s">
        <v>61</v>
      </c>
      <c r="B1281" s="81" t="str">
        <f t="shared" si="50"/>
        <v>MEeeep More</v>
      </c>
      <c r="C1281" s="80" t="s">
        <v>1520</v>
      </c>
      <c r="D1281" s="81" t="str">
        <f>HYPERLINK("https://youtube.com/watch?v=L4a07X3Me8M", "gbd h1000 開箱 G-shock GBD-H1000 獨立GPS首試！ 運動模式掂唔掂？ 太陽能充電最啱心水！G-SQUAD gshock 開箱 gbdh1000")</f>
        <v>gbd h1000 開箱 G-shock GBD-H1000 獨立GPS首試！ 運動模式掂唔掂？ 太陽能充電最啱心水！G-SQUAD gshock 開箱 gbdh1000</v>
      </c>
      <c r="E1281" s="82">
        <v>44048.0</v>
      </c>
      <c r="F1281" s="80">
        <v>171.0</v>
      </c>
      <c r="G1281" s="80" t="s">
        <v>63</v>
      </c>
      <c r="I1281" s="80" t="s">
        <v>63</v>
      </c>
      <c r="J1281" s="80">
        <v>462.0</v>
      </c>
      <c r="K1281" s="80">
        <v>0.75</v>
      </c>
      <c r="L1281" s="80" t="s">
        <v>64</v>
      </c>
    </row>
    <row r="1282">
      <c r="A1282" s="80" t="s">
        <v>112</v>
      </c>
      <c r="B1282" s="81" t="str">
        <f>HYPERLINK("https://www.youtube.com/channel/UCW_n_gfIv4HhRqCk8EnRhJA", "Happy Kongner")</f>
        <v>Happy Kongner</v>
      </c>
      <c r="C1282" s="80" t="s">
        <v>1521</v>
      </c>
      <c r="D1282" s="81" t="str">
        <f>HYPERLINK("https://youtube.com/watch?v=L6g4QOGqMBY", "[Re-Re-Upload] 米迦精選集：社會變革要有嘅覺悟—讓子彈飛 Let the Bullets Fly [𠝹櫈電影學會]")</f>
        <v>[Re-Re-Upload] 米迦精選集：社會變革要有嘅覺悟—讓子彈飛 Let the Bullets Fly [𠝹櫈電影學會]</v>
      </c>
      <c r="E1282" s="82">
        <v>43708.0</v>
      </c>
      <c r="F1282" s="80">
        <v>2050.0</v>
      </c>
      <c r="G1282" s="80" t="s">
        <v>63</v>
      </c>
      <c r="H1282" s="80" t="s">
        <v>63</v>
      </c>
      <c r="I1282" s="80" t="s">
        <v>63</v>
      </c>
      <c r="J1282" s="80">
        <v>8979.0</v>
      </c>
      <c r="K1282" s="80">
        <v>0.960423574713873</v>
      </c>
      <c r="L1282" s="80" t="s">
        <v>1013</v>
      </c>
    </row>
    <row r="1283">
      <c r="A1283" s="80" t="s">
        <v>118</v>
      </c>
      <c r="B1283" s="81" t="str">
        <f>HYPERLINK("https://www.youtube.com/channel/UCHrgHYFc5KShMJDZNsDZh4g", "BETHNI Y")</f>
        <v>BETHNI Y</v>
      </c>
      <c r="C1283" s="80" t="s">
        <v>1522</v>
      </c>
      <c r="D1283" s="81" t="str">
        <f>HYPERLINK("https://youtube.com/watch?v=L939OBcsmec", "測試一天: 新品！DIOR FOREVER CUSHION | Bethni Y")</f>
        <v>測試一天: 新品！DIOR FOREVER CUSHION | Bethni Y</v>
      </c>
      <c r="E1283" s="82">
        <v>42732.0</v>
      </c>
      <c r="F1283" s="80">
        <v>697.0</v>
      </c>
      <c r="G1283" s="80" t="s">
        <v>63</v>
      </c>
      <c r="I1283" s="80" t="s">
        <v>63</v>
      </c>
      <c r="J1283" s="80">
        <v>2101.0</v>
      </c>
      <c r="K1283" s="80">
        <v>0.910706545296922</v>
      </c>
      <c r="L1283" s="80" t="s">
        <v>64</v>
      </c>
    </row>
    <row r="1284">
      <c r="A1284" s="80" t="s">
        <v>61</v>
      </c>
      <c r="B1284" s="81" t="str">
        <f>HYPERLINK("https://www.youtube.com/channel/UCJ4XVrJuqKHbc9yF9oUFseg", "MEeeep More")</f>
        <v>MEeeep More</v>
      </c>
      <c r="C1284" s="80" t="s">
        <v>1523</v>
      </c>
      <c r="D1284" s="81" t="str">
        <f>HYPERLINK("https://youtube.com/watch?v=LC9pRg1WEyE", "Ipad Pro 2021 M1處理器加持Thunderbolt 快速連接 Liquid Retina XDR屏幕 設計執相剪片一機完成 | ipadpro 2021 ipadpro2021")</f>
        <v>Ipad Pro 2021 M1處理器加持Thunderbolt 快速連接 Liquid Retina XDR屏幕 設計執相剪片一機完成 | ipadpro 2021 ipadpro2021</v>
      </c>
      <c r="E1284" s="82">
        <v>44309.0</v>
      </c>
      <c r="F1284" s="80">
        <v>166.0</v>
      </c>
      <c r="G1284" s="80" t="s">
        <v>63</v>
      </c>
      <c r="I1284" s="80" t="s">
        <v>63</v>
      </c>
      <c r="J1284" s="80">
        <v>398.0</v>
      </c>
      <c r="K1284" s="80">
        <v>0.625786163522012</v>
      </c>
      <c r="L1284" s="80" t="s">
        <v>64</v>
      </c>
    </row>
    <row r="1285">
      <c r="A1285" s="80" t="s">
        <v>140</v>
      </c>
      <c r="B1285" s="81" t="str">
        <f>HYPERLINK("https://www.youtube.com/channel/UCHK0CZf9HEXs42qIO1GUouA", "TechiCardia")</f>
        <v>TechiCardia</v>
      </c>
      <c r="C1285" s="80" t="s">
        <v>1524</v>
      </c>
      <c r="D1285" s="81" t="str">
        <f>HYPERLINK("https://youtube.com/watch?v=LHNIEpWEf7I", "【TechiCardia】醫科二年級生每日用嘅科技產品| 2nd Year Med Student's EDC // ft. RHA TrueConnect 2 // 終於復課啦！(CC中文字幕)")</f>
        <v>【TechiCardia】醫科二年級生每日用嘅科技產品| 2nd Year Med Student's EDC // ft. RHA TrueConnect 2 // 終於復課啦！(CC中文字幕)</v>
      </c>
      <c r="E1285" s="82">
        <v>44121.0</v>
      </c>
      <c r="F1285" s="80">
        <v>755.0</v>
      </c>
      <c r="G1285" s="80" t="s">
        <v>63</v>
      </c>
      <c r="I1285" s="80" t="s">
        <v>63</v>
      </c>
      <c r="J1285" s="80">
        <v>2297.0</v>
      </c>
      <c r="K1285" s="80">
        <v>0.701588271227855</v>
      </c>
      <c r="L1285" s="80" t="s">
        <v>102</v>
      </c>
    </row>
    <row r="1286">
      <c r="A1286" s="80" t="s">
        <v>112</v>
      </c>
      <c r="B1286" s="81" t="str">
        <f>HYPERLINK("https://www.youtube.com/channel/UCW_n_gfIv4HhRqCk8EnRhJA", "Happy Kongner")</f>
        <v>Happy Kongner</v>
      </c>
      <c r="C1286" s="80" t="s">
        <v>1525</v>
      </c>
      <c r="D1286" s="81" t="str">
        <f>HYPERLINK("https://youtube.com/watch?v=LKH1BxIVbz8", "用超級機械人迫婚？—《鐵甲萬能俠：決戰魔神》觀後感 [公仔書與卡通片]")</f>
        <v>用超級機械人迫婚？—《鐵甲萬能俠：決戰魔神》觀後感 [公仔書與卡通片]</v>
      </c>
      <c r="E1286" s="82">
        <v>43991.0</v>
      </c>
      <c r="F1286" s="80">
        <v>742.0</v>
      </c>
      <c r="G1286" s="80" t="s">
        <v>63</v>
      </c>
      <c r="I1286" s="80" t="s">
        <v>63</v>
      </c>
      <c r="J1286" s="80">
        <v>4054.0</v>
      </c>
      <c r="K1286" s="80">
        <v>0.95703493862134</v>
      </c>
      <c r="L1286" s="80" t="s">
        <v>64</v>
      </c>
    </row>
    <row r="1287">
      <c r="A1287" s="80" t="s">
        <v>94</v>
      </c>
      <c r="B1287" s="81" t="str">
        <f>HYPERLINK("https://www.youtube.com/channel/UCT_dMyI3pNselsmfR6FC8tQ", "PrideLab")</f>
        <v>PrideLab</v>
      </c>
      <c r="C1287" s="80" t="s">
        <v>1526</v>
      </c>
      <c r="D1287" s="81" t="str">
        <f>HYPERLINK("https://youtube.com/watch?v=LL6nCs59bqA", "同性婚姻你點睇?")</f>
        <v>同性婚姻你點睇?</v>
      </c>
      <c r="E1287" s="82">
        <v>42934.0</v>
      </c>
      <c r="F1287" s="80">
        <v>144.0</v>
      </c>
      <c r="G1287" s="80" t="s">
        <v>63</v>
      </c>
      <c r="I1287" s="80" t="s">
        <v>63</v>
      </c>
      <c r="J1287" s="80">
        <v>498.0</v>
      </c>
      <c r="K1287" s="80">
        <v>0.937853107344632</v>
      </c>
      <c r="L1287" s="80" t="s">
        <v>64</v>
      </c>
    </row>
    <row r="1288">
      <c r="A1288" s="80" t="s">
        <v>1280</v>
      </c>
      <c r="B1288" s="81" t="str">
        <f>HYPERLINK("https://www.youtube.com/channel/UCE_8XiKCl79p7UZoStMu4RA", "Dr Winnie Chor Linguistics Lab")</f>
        <v>Dr Winnie Chor Linguistics Lab</v>
      </c>
      <c r="C1288" s="80" t="s">
        <v>1527</v>
      </c>
      <c r="D1288" s="81" t="str">
        <f>HYPERLINK("https://youtube.com/watch?v=LUr63HhuR70", "跟左博士學語言學 【分享篇】教授放暑假")</f>
        <v>跟左博士學語言學 【分享篇】教授放暑假</v>
      </c>
      <c r="E1288" s="82">
        <v>44037.0</v>
      </c>
      <c r="F1288" s="80">
        <v>1098.0</v>
      </c>
      <c r="G1288" s="80" t="s">
        <v>63</v>
      </c>
      <c r="I1288" s="80" t="s">
        <v>63</v>
      </c>
      <c r="J1288" s="80">
        <v>3824.0</v>
      </c>
      <c r="K1288" s="80">
        <v>0.853190539937527</v>
      </c>
      <c r="L1288" s="80" t="s">
        <v>102</v>
      </c>
    </row>
    <row r="1289">
      <c r="A1289" s="80" t="s">
        <v>129</v>
      </c>
      <c r="B1289" s="81" t="str">
        <f>HYPERLINK("https://www.youtube.com/channel/UCBbTnorwzva0ZIMGW0ttwVA", "阿豬 Ah Ju")</f>
        <v>阿豬 Ah Ju</v>
      </c>
      <c r="C1289" s="80" t="s">
        <v>1528</v>
      </c>
      <c r="D1289" s="81" t="str">
        <f>HYPERLINK("https://youtube.com/watch?v=LWi3CEp-BbQ", "Bitcoin目標價 $130,000?")</f>
        <v>Bitcoin目標價 $130,000?</v>
      </c>
      <c r="E1289" s="82">
        <v>44318.0</v>
      </c>
      <c r="F1289" s="80">
        <v>1022.0</v>
      </c>
      <c r="G1289" s="80" t="s">
        <v>63</v>
      </c>
      <c r="I1289" s="80" t="s">
        <v>63</v>
      </c>
      <c r="J1289" s="80">
        <v>3447.0</v>
      </c>
      <c r="K1289" s="80">
        <v>0.621753246753246</v>
      </c>
      <c r="L1289" s="80" t="s">
        <v>1004</v>
      </c>
    </row>
    <row r="1290">
      <c r="A1290" s="80" t="s">
        <v>112</v>
      </c>
      <c r="B1290" s="81" t="str">
        <f>HYPERLINK("https://www.youtube.com/channel/UCW_n_gfIv4HhRqCk8EnRhJA", "Happy Kongner")</f>
        <v>Happy Kongner</v>
      </c>
      <c r="C1290" s="80" t="s">
        <v>1529</v>
      </c>
      <c r="D1290" s="81" t="str">
        <f>HYPERLINK("https://youtube.com/watch?v=LaP2oCdS8jw", "《黑豹》暗藏玄機！ Black Panther《黑豹》劇情及內容深度探討 [𠝹櫈電影學會]")</f>
        <v>《黑豹》暗藏玄機！ Black Panther《黑豹》劇情及內容深度探討 [𠝹櫈電影學會]</v>
      </c>
      <c r="E1290" s="82">
        <v>43149.0</v>
      </c>
      <c r="F1290" s="80">
        <v>719.0</v>
      </c>
      <c r="G1290" s="80" t="s">
        <v>63</v>
      </c>
      <c r="I1290" s="80" t="s">
        <v>63</v>
      </c>
      <c r="J1290" s="80">
        <v>3245.0</v>
      </c>
      <c r="K1290" s="80">
        <v>0.807816778690565</v>
      </c>
      <c r="L1290" s="80" t="s">
        <v>64</v>
      </c>
    </row>
    <row r="1291">
      <c r="A1291" s="80" t="s">
        <v>1168</v>
      </c>
      <c r="B1291" s="81" t="str">
        <f>HYPERLINK("https://www.youtube.com/channel/UCbu2FeFXZ1RAuhioQDF-npQ", "英倫爸爸")</f>
        <v>英倫爸爸</v>
      </c>
      <c r="C1291" s="80" t="s">
        <v>1530</v>
      </c>
      <c r="D1291" s="81" t="str">
        <f>HYPERLINK("https://youtube.com/watch?v=LbGrh_yYWRc", "【Brighton】彩虹城市海邊走走 | Brighton | 白禮頓 | 布萊頓 | Hove | 霍夫 (CC中文字幕)")</f>
        <v>【Brighton】彩虹城市海邊走走 | Brighton | 白禮頓 | 布萊頓 | Hove | 霍夫 (CC中文字幕)</v>
      </c>
      <c r="E1291" s="82">
        <v>44322.0</v>
      </c>
      <c r="F1291" s="80">
        <v>534.0</v>
      </c>
      <c r="G1291" s="80" t="s">
        <v>63</v>
      </c>
      <c r="I1291" s="80" t="s">
        <v>63</v>
      </c>
      <c r="J1291" s="80">
        <v>550.0</v>
      </c>
      <c r="K1291" s="80">
        <v>0.77683615819209</v>
      </c>
      <c r="L1291" s="80" t="s">
        <v>64</v>
      </c>
    </row>
    <row r="1292">
      <c r="A1292" s="80" t="s">
        <v>1082</v>
      </c>
      <c r="B1292" s="81" t="str">
        <f>HYPERLINK("https://www.youtube.com/channel/UCMosCy_NDf55rDQhzdX_h3w", "熊熊兒童音樂 Bear Music Ltd.")</f>
        <v>熊熊兒童音樂 Bear Music Ltd.</v>
      </c>
      <c r="C1292" s="80" t="s">
        <v>1531</v>
      </c>
      <c r="D1292" s="81" t="str">
        <f>HYPERLINK("https://youtube.com/watch?v=LfUURms-ZPU", "熊熊兒童故事精選｜親子故事｜哥哥換牙了")</f>
        <v>熊熊兒童故事精選｜親子故事｜哥哥換牙了</v>
      </c>
      <c r="E1292" s="82">
        <v>44202.0</v>
      </c>
      <c r="F1292" s="80">
        <v>697.0</v>
      </c>
      <c r="G1292" s="80" t="s">
        <v>63</v>
      </c>
      <c r="I1292" s="80" t="s">
        <v>63</v>
      </c>
      <c r="J1292" s="80">
        <v>1330.0</v>
      </c>
      <c r="K1292" s="80">
        <v>0.988112927191679</v>
      </c>
      <c r="L1292" s="80" t="s">
        <v>64</v>
      </c>
    </row>
    <row r="1293">
      <c r="A1293" s="80" t="s">
        <v>112</v>
      </c>
      <c r="B1293" s="81" t="str">
        <f>HYPERLINK("https://www.youtube.com/channel/UCW_n_gfIv4HhRqCk8EnRhJA", "Happy Kongner")</f>
        <v>Happy Kongner</v>
      </c>
      <c r="C1293" s="80" t="s">
        <v>1532</v>
      </c>
      <c r="D1293" s="81" t="str">
        <f>HYPERLINK("https://youtube.com/watch?v=LfVyQtXV_Sw", "臺灣民主國真係好「民主」？超簡略台灣史—台灣民主國 [做乜嘢懶人包]")</f>
        <v>臺灣民主國真係好「民主」？超簡略台灣史—台灣民主國 [做乜嘢懶人包]</v>
      </c>
      <c r="E1293" s="82">
        <v>43889.0</v>
      </c>
      <c r="F1293" s="80">
        <v>2370.0</v>
      </c>
      <c r="G1293" s="80" t="s">
        <v>63</v>
      </c>
      <c r="I1293" s="80" t="s">
        <v>63</v>
      </c>
      <c r="J1293" s="80">
        <v>10814.0</v>
      </c>
      <c r="K1293" s="80">
        <v>0.946106736657917</v>
      </c>
      <c r="L1293" s="80" t="s">
        <v>64</v>
      </c>
    </row>
    <row r="1294">
      <c r="A1294" s="80" t="s">
        <v>1533</v>
      </c>
      <c r="B1294" s="81" t="str">
        <f>HYPERLINK("https://www.youtube.com/channel/UC8KiyunvRWgmUb9OmisoBug", "3分鐘教學")</f>
        <v>3分鐘教學</v>
      </c>
      <c r="C1294" s="80" t="s">
        <v>1534</v>
      </c>
      <c r="D1294" s="81" t="str">
        <f>HYPERLINK("https://youtube.com/watch?v=LhFGymqWy5k", "免費自動生成廣東話Transcript 教學! 將 Video 或錄音轉成文字! 開會/interview transcript 恩物! Windows 機教學")</f>
        <v>免費自動生成廣東話Transcript 教學! 將 Video 或錄音轉成文字! 開會/interview transcript 恩物! Windows 機教學</v>
      </c>
      <c r="E1294" s="82">
        <v>43368.0</v>
      </c>
      <c r="F1294" s="80">
        <v>168.0</v>
      </c>
      <c r="G1294" s="80" t="s">
        <v>63</v>
      </c>
      <c r="H1294" s="80" t="s">
        <v>63</v>
      </c>
      <c r="I1294" s="80" t="s">
        <v>63</v>
      </c>
      <c r="J1294" s="80">
        <v>410.0</v>
      </c>
      <c r="K1294" s="80">
        <v>0.735714285714285</v>
      </c>
      <c r="L1294" s="80" t="s">
        <v>1535</v>
      </c>
    </row>
    <row r="1295">
      <c r="A1295" s="80" t="s">
        <v>61</v>
      </c>
      <c r="B1295" s="81" t="str">
        <f>HYPERLINK("https://www.youtube.com/channel/UCJ4XVrJuqKHbc9yF9oUFseg", "MEeeep More")</f>
        <v>MEeeep More</v>
      </c>
      <c r="C1295" s="80" t="s">
        <v>1536</v>
      </c>
      <c r="D1295" s="81" t="str">
        <f>HYPERLINK("https://youtube.com/watch?v=LmK5SvQQp-M", "亞洲萬里通 Asiamiles 里數從此永久有效！ 登記一次整月享額外10%里數 ！")</f>
        <v>亞洲萬里通 Asiamiles 里數從此永久有效！ 登記一次整月享額外10%里數 ！</v>
      </c>
      <c r="E1295" s="82">
        <v>43836.0</v>
      </c>
      <c r="F1295" s="80">
        <v>169.0</v>
      </c>
      <c r="G1295" s="80" t="s">
        <v>63</v>
      </c>
      <c r="I1295" s="80" t="s">
        <v>63</v>
      </c>
      <c r="J1295" s="80">
        <v>532.0</v>
      </c>
      <c r="K1295" s="80">
        <v>0.885191347753743</v>
      </c>
      <c r="L1295" s="80" t="s">
        <v>64</v>
      </c>
    </row>
    <row r="1296">
      <c r="A1296" s="80" t="s">
        <v>112</v>
      </c>
      <c r="B1296" s="81" t="str">
        <f>HYPERLINK("https://www.youtube.com/channel/UCW_n_gfIv4HhRqCk8EnRhJA", "Happy Kongner")</f>
        <v>Happy Kongner</v>
      </c>
      <c r="C1296" s="80" t="s">
        <v>1537</v>
      </c>
      <c r="D1296" s="81" t="str">
        <f>HYPERLINK("https://youtube.com/watch?v=LozkBQ33H4s", "成王之路：世界嘅正義  [公仔書與卡通片:海賊王特輯 第十集]")</f>
        <v>成王之路：世界嘅正義  [公仔書與卡通片:海賊王特輯 第十集]</v>
      </c>
      <c r="E1296" s="82">
        <v>43863.0</v>
      </c>
      <c r="F1296" s="80">
        <v>868.0</v>
      </c>
      <c r="G1296" s="80" t="s">
        <v>63</v>
      </c>
      <c r="I1296" s="80" t="s">
        <v>63</v>
      </c>
      <c r="J1296" s="80">
        <v>3996.0</v>
      </c>
      <c r="K1296" s="80">
        <v>0.950749464668094</v>
      </c>
      <c r="L1296" s="80" t="s">
        <v>64</v>
      </c>
    </row>
    <row r="1297">
      <c r="A1297" s="80" t="s">
        <v>61</v>
      </c>
      <c r="B1297" s="81" t="str">
        <f>HYPERLINK("https://www.youtube.com/channel/UCJ4XVrJuqKHbc9yF9oUFseg", "MEeeep More")</f>
        <v>MEeeep More</v>
      </c>
      <c r="C1297" s="80" t="s">
        <v>1538</v>
      </c>
      <c r="D1297" s="81" t="str">
        <f>HYPERLINK("https://youtube.com/watch?v=LqaiGSGJ1Ck", "北海道雷電蜜瓜試食！ 教你點揀蜜瓜先夠甜？仲有抵食好介紹！ 蜜瓜 點揀 日本雷電蜜瓜")</f>
        <v>北海道雷電蜜瓜試食！ 教你點揀蜜瓜先夠甜？仲有抵食好介紹！ 蜜瓜 點揀 日本雷電蜜瓜</v>
      </c>
      <c r="E1297" s="82">
        <v>44162.0</v>
      </c>
      <c r="F1297" s="80">
        <v>153.0</v>
      </c>
      <c r="G1297" s="80" t="s">
        <v>63</v>
      </c>
      <c r="I1297" s="80" t="s">
        <v>63</v>
      </c>
      <c r="J1297" s="80">
        <v>325.0</v>
      </c>
      <c r="K1297" s="80">
        <v>0.779376498800959</v>
      </c>
      <c r="L1297" s="80" t="s">
        <v>64</v>
      </c>
    </row>
    <row r="1298">
      <c r="A1298" s="80" t="s">
        <v>74</v>
      </c>
      <c r="B1298" s="81" t="str">
        <f>HYPERLINK("https://www.youtube.com/channel/UCO_5XP-qd-udNxBlzzSzgvw", "Handline Fishing")</f>
        <v>Handline Fishing</v>
      </c>
      <c r="C1298" s="80" t="s">
        <v>1539</v>
      </c>
      <c r="D1298" s="81" t="str">
        <f>HYPERLINK("https://youtube.com/watch?v=LssOHLghuTw", "#159 陪艇家釣魚，唔係掛? | 『香港釣魚 : 艇釣』青洲航道 {粵語旁白+中英文字幕}")</f>
        <v>#159 陪艇家釣魚，唔係掛? | 『香港釣魚 : 艇釣』青洲航道 {粵語旁白+中英文字幕}</v>
      </c>
      <c r="E1298" s="82">
        <v>44131.0</v>
      </c>
      <c r="F1298" s="80">
        <v>866.0</v>
      </c>
      <c r="G1298" s="80" t="s">
        <v>63</v>
      </c>
      <c r="I1298" s="80" t="s">
        <v>63</v>
      </c>
      <c r="J1298" s="80">
        <v>783.0</v>
      </c>
      <c r="K1298" s="80">
        <v>0.947941888619854</v>
      </c>
      <c r="L1298" s="80" t="s">
        <v>271</v>
      </c>
    </row>
    <row r="1299">
      <c r="A1299" s="80" t="s">
        <v>278</v>
      </c>
      <c r="B1299" s="81" t="str">
        <f>HYPERLINK("https://www.youtube.com/channel/UCDoEdJo-PI-EKGNKomwLroQ", "mingjai14")</f>
        <v>mingjai14</v>
      </c>
      <c r="C1299" s="80" t="s">
        <v>1540</v>
      </c>
      <c r="D1299" s="81" t="str">
        <f>HYPERLINK("https://youtube.com/watch?v=M0L_df8tzw8", "抵達丹麥🇩🇰全球快樂指數最高城市😄| 歐遊列國6｜Day1")</f>
        <v>抵達丹麥🇩🇰全球快樂指數最高城市😄| 歐遊列國6｜Day1</v>
      </c>
      <c r="E1299" s="82">
        <v>43561.0</v>
      </c>
      <c r="F1299" s="80">
        <v>947.0</v>
      </c>
      <c r="G1299" s="80" t="s">
        <v>63</v>
      </c>
      <c r="H1299" s="80" t="s">
        <v>63</v>
      </c>
      <c r="I1299" s="80" t="s">
        <v>63</v>
      </c>
      <c r="J1299" s="80">
        <v>2753.0</v>
      </c>
      <c r="K1299" s="80">
        <v>0.930717568045245</v>
      </c>
      <c r="L1299" s="80" t="s">
        <v>66</v>
      </c>
    </row>
    <row r="1300">
      <c r="A1300" s="80" t="s">
        <v>1016</v>
      </c>
      <c r="B1300" s="81" t="str">
        <f>HYPERLINK("https://www.youtube.com/channel/UCSbiR1l-cfzk44iTJVSAZVQ", "Rhapsody in Lingo")</f>
        <v>Rhapsody in Lingo</v>
      </c>
      <c r="C1300" s="80" t="s">
        <v>1541</v>
      </c>
      <c r="D1300" s="81" t="str">
        <f>HYPERLINK("https://youtube.com/watch?v=M242tR2TUB4", "POLYGLOT SPEAKS POLISH: How I practise speaking [en subs/粵字]")</f>
        <v>POLYGLOT SPEAKS POLISH: How I practise speaking [en subs/粵字]</v>
      </c>
      <c r="E1300" s="82">
        <v>44493.0</v>
      </c>
      <c r="F1300" s="80">
        <v>898.0</v>
      </c>
      <c r="G1300" s="80" t="s">
        <v>63</v>
      </c>
      <c r="I1300" s="80" t="s">
        <v>63</v>
      </c>
      <c r="J1300" s="80">
        <v>1685.0</v>
      </c>
      <c r="K1300" s="80">
        <v>0.937152391546162</v>
      </c>
      <c r="L1300" s="80" t="s">
        <v>757</v>
      </c>
    </row>
    <row r="1301">
      <c r="A1301" s="80" t="s">
        <v>96</v>
      </c>
      <c r="B1301" s="81" t="str">
        <f>HYPERLINK("https://www.youtube.com/channel/UCGtyHJ-L_4RDIHe3XaLofQQ", "Anson Cheung")</f>
        <v>Anson Cheung</v>
      </c>
      <c r="C1301" s="80" t="s">
        <v>1542</v>
      </c>
      <c r="D1301" s="81" t="str">
        <f>HYPERLINK("https://youtube.com/watch?v=M2umtVXvPhI", "【放到入褲袋的可換鏡拍vlog相機】 Panasonic Lumix G100 評測 - 不用外置Mic都有靚聲")</f>
        <v>【放到入褲袋的可換鏡拍vlog相機】 Panasonic Lumix G100 評測 - 不用外置Mic都有靚聲</v>
      </c>
      <c r="E1301" s="82">
        <v>44091.0</v>
      </c>
      <c r="F1301" s="80">
        <v>736.0</v>
      </c>
      <c r="G1301" s="80" t="s">
        <v>63</v>
      </c>
      <c r="I1301" s="80" t="s">
        <v>63</v>
      </c>
      <c r="J1301" s="80">
        <v>1713.0</v>
      </c>
      <c r="K1301" s="80">
        <v>0.677878907795805</v>
      </c>
      <c r="L1301" s="80" t="s">
        <v>102</v>
      </c>
    </row>
    <row r="1302">
      <c r="A1302" s="80" t="s">
        <v>71</v>
      </c>
      <c r="B1302" s="81" t="str">
        <f>HYPERLINK("https://www.youtube.com/channel/UCXTE-gQCetfrx_lC9yFM2aw", "arhoTV")</f>
        <v>arhoTV</v>
      </c>
      <c r="C1302" s="80" t="s">
        <v>1543</v>
      </c>
      <c r="D1302" s="81" t="str">
        <f>HYPERLINK("https://youtube.com/watch?v=METyAHLN40E", "【日常】我親手設計 送俾觀眾嘅 日新國護照 仲會送Switch ?!")</f>
        <v>【日常】我親手設計 送俾觀眾嘅 日新國護照 仲會送Switch ?!</v>
      </c>
      <c r="E1302" s="82">
        <v>43025.0</v>
      </c>
      <c r="F1302" s="80">
        <v>237.0</v>
      </c>
      <c r="G1302" s="80" t="s">
        <v>63</v>
      </c>
      <c r="I1302" s="80" t="s">
        <v>63</v>
      </c>
      <c r="J1302" s="80">
        <v>1397.0</v>
      </c>
      <c r="K1302" s="80">
        <v>0.835526315789473</v>
      </c>
      <c r="L1302" s="80" t="s">
        <v>64</v>
      </c>
    </row>
    <row r="1303">
      <c r="A1303" s="80" t="s">
        <v>1007</v>
      </c>
      <c r="B1303" s="81" t="str">
        <f>HYPERLINK("https://www.youtube.com/channel/UCCzgNTkFyDel0FDJtVNgEtQ", "香港人. 德國讀書之【真.洗濕左個頭.無得返轉頭】Miss Chan Life in Germany")</f>
        <v>香港人. 德國讀書之【真.洗濕左個頭.無得返轉頭】Miss Chan Life in Germany</v>
      </c>
      <c r="C1303" s="80" t="s">
        <v>1544</v>
      </c>
      <c r="D1303" s="81" t="str">
        <f>HYPERLINK("https://youtube.com/watch?v=MGXum0Cd900", "【德國無菌旅行團 】之土耳其系列｜點解德國科隆咁多土耳其人｜食物要試足七次先可以話唔鍾意？預告片 Trailer (香港人製作. 廣東話. 中文字幕)")</f>
        <v>【德國無菌旅行團 】之土耳其系列｜點解德國科隆咁多土耳其人｜食物要試足七次先可以話唔鍾意？預告片 Trailer (香港人製作. 廣東話. 中文字幕)</v>
      </c>
      <c r="E1303" s="82">
        <v>44386.0</v>
      </c>
      <c r="F1303" s="80">
        <v>85.0</v>
      </c>
      <c r="G1303" s="80" t="s">
        <v>63</v>
      </c>
      <c r="I1303" s="80" t="s">
        <v>63</v>
      </c>
      <c r="J1303" s="80">
        <v>375.0</v>
      </c>
      <c r="K1303" s="80">
        <v>0.899280575539568</v>
      </c>
      <c r="L1303" s="80" t="s">
        <v>64</v>
      </c>
    </row>
    <row r="1304">
      <c r="A1304" s="80" t="s">
        <v>1018</v>
      </c>
      <c r="B1304" s="81" t="str">
        <f>HYPERLINK("https://www.youtube.com/channel/UCAov0-xtECNVYPn46Ltifeg", "Jodieee in UK")</f>
        <v>Jodieee in UK</v>
      </c>
      <c r="C1304" s="80" t="s">
        <v>1545</v>
      </c>
      <c r="D1304" s="81" t="str">
        <f>HYPERLINK("https://youtube.com/watch?v=MHFSqgh1hI8", "【英倫出走記】商務艙｜兩個人八個喼疫情下飛英國🇬🇧｜瑞士🇨🇭上空風景｜入SWISS Lounge食早餐")</f>
        <v>【英倫出走記】商務艙｜兩個人八個喼疫情下飛英國🇬🇧｜瑞士🇨🇭上空風景｜入SWISS Lounge食早餐</v>
      </c>
      <c r="E1304" s="82">
        <v>44437.0</v>
      </c>
      <c r="F1304" s="80">
        <v>674.0</v>
      </c>
      <c r="G1304" s="80" t="s">
        <v>63</v>
      </c>
      <c r="I1304" s="80" t="s">
        <v>63</v>
      </c>
      <c r="J1304" s="80">
        <v>996.0</v>
      </c>
      <c r="K1304" s="80">
        <v>0.83069224353628</v>
      </c>
      <c r="L1304" s="80" t="s">
        <v>102</v>
      </c>
    </row>
    <row r="1305">
      <c r="A1305" s="80" t="s">
        <v>121</v>
      </c>
      <c r="B1305" s="81" t="str">
        <f>HYPERLINK("https://www.youtube.com/channel/UC-2hWXRgCg-o5Waz36Yt7BA", "Arm Channel TV")</f>
        <v>Arm Channel TV</v>
      </c>
      <c r="C1305" s="80" t="s">
        <v>1546</v>
      </c>
      <c r="D1305" s="81" t="str">
        <f>HYPERLINK("https://youtube.com/watch?v=MHMIVBrepCQ", "【夜晚自遊EP02】突然失去？😤 | 當你突然去工作...")</f>
        <v>【夜晚自遊EP02】突然失去？😤 | 當你突然去工作...</v>
      </c>
      <c r="E1305" s="82">
        <v>44375.0</v>
      </c>
      <c r="F1305" s="80">
        <v>736.0</v>
      </c>
      <c r="G1305" s="80" t="s">
        <v>63</v>
      </c>
      <c r="I1305" s="80" t="s">
        <v>63</v>
      </c>
      <c r="J1305" s="80">
        <v>1453.0</v>
      </c>
      <c r="K1305" s="80">
        <v>0.969312875250166</v>
      </c>
      <c r="L1305" s="80" t="s">
        <v>64</v>
      </c>
    </row>
    <row r="1306">
      <c r="A1306" s="80" t="s">
        <v>278</v>
      </c>
      <c r="B1306" s="81" t="str">
        <f>HYPERLINK("https://www.youtube.com/channel/UCDoEdJo-PI-EKGNKomwLroQ", "mingjai14")</f>
        <v>mingjai14</v>
      </c>
      <c r="C1306" s="80" t="s">
        <v>1547</v>
      </c>
      <c r="D1306" s="81" t="str">
        <f>HYPERLINK("https://youtube.com/watch?v=MIq8UWfh3AA", "向南美出發｜非南非旅｜Ep 1")</f>
        <v>向南美出發｜非南非旅｜Ep 1</v>
      </c>
      <c r="E1306" s="82">
        <v>42523.0</v>
      </c>
      <c r="F1306" s="80">
        <v>490.0</v>
      </c>
      <c r="G1306" s="80" t="s">
        <v>63</v>
      </c>
      <c r="H1306" s="80" t="s">
        <v>63</v>
      </c>
      <c r="I1306" s="80" t="s">
        <v>63</v>
      </c>
      <c r="J1306" s="80">
        <v>742.0</v>
      </c>
      <c r="K1306" s="80">
        <v>0.759278897136797</v>
      </c>
      <c r="L1306" s="80" t="s">
        <v>120</v>
      </c>
    </row>
    <row r="1307">
      <c r="A1307" s="80" t="s">
        <v>61</v>
      </c>
      <c r="B1307" s="81" t="str">
        <f>HYPERLINK("https://www.youtube.com/channel/UCJ4XVrJuqKHbc9yF9oUFseg", "MEeeep More")</f>
        <v>MEeeep More</v>
      </c>
      <c r="C1307" s="80" t="s">
        <v>1548</v>
      </c>
      <c r="D1307" s="81" t="str">
        <f>HYPERLINK("https://youtube.com/watch?v=MM4ff_-XPCk", "【簡單食譜】醉雞做法大公開！醉雞卷 即睇好食前菜在家做！醉雞食譜 醉雞卷食譜 紹興醉雞 Drunk Chicken Recipe")</f>
        <v>【簡單食譜】醉雞做法大公開！醉雞卷 即睇好食前菜在家做！醉雞食譜 醉雞卷食譜 紹興醉雞 Drunk Chicken Recipe</v>
      </c>
      <c r="E1307" s="82">
        <v>44199.0</v>
      </c>
      <c r="F1307" s="80">
        <v>204.0</v>
      </c>
      <c r="G1307" s="80" t="s">
        <v>63</v>
      </c>
      <c r="I1307" s="80" t="s">
        <v>63</v>
      </c>
      <c r="J1307" s="80">
        <v>401.0</v>
      </c>
      <c r="K1307" s="80">
        <v>0.883259911894273</v>
      </c>
      <c r="L1307" s="80" t="s">
        <v>64</v>
      </c>
    </row>
    <row r="1308">
      <c r="A1308" s="80" t="s">
        <v>140</v>
      </c>
      <c r="B1308" s="81" t="str">
        <f>HYPERLINK("https://www.youtube.com/channel/UCHK0CZf9HEXs42qIO1GUouA", "TechiCardia")</f>
        <v>TechiCardia</v>
      </c>
      <c r="C1308" s="80" t="s">
        <v>1549</v>
      </c>
      <c r="D1308" s="81" t="str">
        <f>HYPERLINK("https://youtube.com/watch?v=MOntjn9gFR0", "自組鍵盤初體驗！由清潔、改裝、上油一步一步幫舊機械鍵盤終極變身！不用花幾千元都可以入門//KEYCHRON K6 MOD// 4K 【TechiCardia】(CC廣東話字幕)")</f>
        <v>自組鍵盤初體驗！由清潔、改裝、上油一步一步幫舊機械鍵盤終極變身！不用花幾千元都可以入門//KEYCHRON K6 MOD// 4K 【TechiCardia】(CC廣東話字幕)</v>
      </c>
      <c r="E1308" s="82">
        <v>44352.0</v>
      </c>
      <c r="F1308" s="80">
        <v>1282.0</v>
      </c>
      <c r="G1308" s="80" t="s">
        <v>63</v>
      </c>
      <c r="I1308" s="80" t="s">
        <v>63</v>
      </c>
      <c r="J1308" s="80">
        <v>4162.0</v>
      </c>
      <c r="K1308" s="80">
        <v>0.817681728880157</v>
      </c>
      <c r="L1308" s="80" t="s">
        <v>102</v>
      </c>
    </row>
    <row r="1309">
      <c r="A1309" s="80" t="s">
        <v>1550</v>
      </c>
      <c r="B1309" s="81" t="str">
        <f>HYPERLINK("https://www.youtube.com/channel/UCcmAegX-cgcOOconZIwqynw", "Learn Jyutping")</f>
        <v>Learn Jyutping</v>
      </c>
      <c r="C1309" s="80" t="s">
        <v>1551</v>
      </c>
      <c r="D1309" s="81" t="str">
        <f>HYPERLINK("https://youtube.com/watch?v=MOsf0BcLzlc", "【廣東話教室】52 分鐘學識 LSHK 粵拼（中文科老師、語言學同學必睇）")</f>
        <v>【廣東話教室】52 分鐘學識 LSHK 粵拼（中文科老師、語言學同學必睇）</v>
      </c>
      <c r="E1309" s="82">
        <v>43947.0</v>
      </c>
      <c r="F1309" s="80">
        <v>3135.0</v>
      </c>
      <c r="G1309" s="80" t="s">
        <v>63</v>
      </c>
      <c r="H1309" s="80" t="s">
        <v>63</v>
      </c>
      <c r="I1309" s="80" t="s">
        <v>63</v>
      </c>
      <c r="J1309" s="80">
        <v>7850.0</v>
      </c>
      <c r="K1309" s="80">
        <v>0.846361185983827</v>
      </c>
      <c r="L1309" s="80" t="s">
        <v>1552</v>
      </c>
    </row>
    <row r="1310">
      <c r="A1310" s="80" t="s">
        <v>1553</v>
      </c>
      <c r="B1310" s="81" t="str">
        <f>HYPERLINK("https://www.youtube.com/channel/UC5gQ01ai9nF2x43fYmO1vow", "Ck釣魚冒險")</f>
        <v>Ck釣魚冒險</v>
      </c>
      <c r="C1310" s="80" t="s">
        <v>1554</v>
      </c>
      <c r="D1310" s="81" t="str">
        <f>HYPERLINK("https://youtube.com/watch?v=6Gehd5iDPBk", "【Jig】石仔排 釣鮫鮫 Jigging 鐵板!  / 香港の近海ジギング 📣CC字幕")</f>
        <v>【Jig】石仔排 釣鮫鮫 Jigging 鐵板!  / 香港の近海ジギング 📣CC字幕</v>
      </c>
      <c r="E1310" s="82">
        <v>44130.0</v>
      </c>
      <c r="F1310" s="80">
        <v>885.0</v>
      </c>
      <c r="G1310" s="80" t="s">
        <v>63</v>
      </c>
      <c r="I1310" s="80" t="s">
        <v>63</v>
      </c>
      <c r="J1310" s="80">
        <v>1055.0</v>
      </c>
      <c r="K1310" s="80">
        <v>0.911053540587219</v>
      </c>
      <c r="L1310" s="80" t="s">
        <v>64</v>
      </c>
    </row>
    <row r="1311">
      <c r="A1311" s="80" t="s">
        <v>61</v>
      </c>
      <c r="B1311" s="81" t="str">
        <f>HYPERLINK("https://www.youtube.com/channel/UCJ4XVrJuqKHbc9yF9oUFseg", "MEeeep More")</f>
        <v>MEeeep More</v>
      </c>
      <c r="C1311" s="80" t="s">
        <v>1555</v>
      </c>
      <c r="D1311" s="81" t="str">
        <f>HYPERLINK("https://youtube.com/watch?v=MQJOrUKV4hc", "Jabra Evolve2 30 頭戴式耳機 | 內置高階數位晶片雙mic清晰收音 | Microsoft Teams 認證 辦公室/在家工作會議良品 | evolve2 30 duo 電腦耳機")</f>
        <v>Jabra Evolve2 30 頭戴式耳機 | 內置高階數位晶片雙mic清晰收音 | Microsoft Teams 認證 辦公室/在家工作會議良品 | evolve2 30 duo 電腦耳機</v>
      </c>
      <c r="E1311" s="82">
        <v>44258.0</v>
      </c>
      <c r="F1311" s="80">
        <v>157.0</v>
      </c>
      <c r="G1311" s="80" t="s">
        <v>63</v>
      </c>
      <c r="I1311" s="80" t="s">
        <v>63</v>
      </c>
      <c r="J1311" s="80">
        <v>442.0</v>
      </c>
      <c r="K1311" s="80">
        <v>0.733001658374792</v>
      </c>
      <c r="L1311" s="80" t="s">
        <v>64</v>
      </c>
    </row>
    <row r="1312">
      <c r="A1312" s="80" t="s">
        <v>74</v>
      </c>
      <c r="B1312" s="81" t="str">
        <f>HYPERLINK("https://www.youtube.com/channel/UCO_5XP-qd-udNxBlzzSzgvw", "Handline Fishing")</f>
        <v>Handline Fishing</v>
      </c>
      <c r="C1312" s="80" t="s">
        <v>1556</v>
      </c>
      <c r="D1312" s="81" t="str">
        <f>HYPERLINK("https://youtube.com/watch?v=MQjWxurri4s", "#61 來馬場不一定要跑馬 《上集》『香港釣魚 : 艇釣』青龍頭 {粵語旁白+中英文字幕}")</f>
        <v>#61 來馬場不一定要跑馬 《上集》『香港釣魚 : 艇釣』青龍頭 {粵語旁白+中英文字幕}</v>
      </c>
      <c r="E1312" s="82">
        <v>43786.0</v>
      </c>
      <c r="F1312" s="80">
        <v>633.0</v>
      </c>
      <c r="G1312" s="80" t="s">
        <v>63</v>
      </c>
      <c r="I1312" s="80" t="s">
        <v>63</v>
      </c>
      <c r="J1312" s="80">
        <v>1056.0</v>
      </c>
      <c r="K1312" s="80">
        <v>0.986915887850467</v>
      </c>
      <c r="L1312" s="80" t="s">
        <v>76</v>
      </c>
    </row>
    <row r="1313">
      <c r="A1313" s="80" t="s">
        <v>274</v>
      </c>
      <c r="B1313" s="81" t="str">
        <f>HYPERLINK("https://www.youtube.com/channel/UC2oB9QCXs-RKtaKChrz4dKg", "MtzCherry")</f>
        <v>MtzCherry</v>
      </c>
      <c r="C1313" s="80" t="s">
        <v>1557</v>
      </c>
      <c r="D1313" s="81" t="str">
        <f>HYPERLINK("https://youtube.com/watch?v=MVJZU4ctbpA", "🇭🇰 CANTONESE #26 Popular Drinks in Cha Chaan Teng")</f>
        <v>🇭🇰 CANTONESE #26 Popular Drinks in Cha Chaan Teng</v>
      </c>
      <c r="E1313" s="82">
        <v>43295.0</v>
      </c>
      <c r="F1313" s="80">
        <v>302.0</v>
      </c>
      <c r="G1313" s="80" t="s">
        <v>63</v>
      </c>
      <c r="H1313" s="80" t="s">
        <v>63</v>
      </c>
      <c r="I1313" s="80" t="s">
        <v>63</v>
      </c>
      <c r="J1313" s="80">
        <v>611.0</v>
      </c>
      <c r="K1313" s="80">
        <v>0.929984779299847</v>
      </c>
      <c r="L1313" s="80" t="s">
        <v>276</v>
      </c>
    </row>
    <row r="1314">
      <c r="A1314" s="80" t="s">
        <v>74</v>
      </c>
      <c r="B1314" s="81" t="str">
        <f>HYPERLINK("https://www.youtube.com/channel/UCO_5XP-qd-udNxBlzzSzgvw", "Handline Fishing")</f>
        <v>Handline Fishing</v>
      </c>
      <c r="C1314" s="80" t="s">
        <v>1558</v>
      </c>
      <c r="D1314" s="81" t="str">
        <f>HYPERLINK("https://youtube.com/watch?v=MbDJr_-LyxA", "#187 趕及翻風前跟進哥去呔季節鱸魚 |『香港釣魚 : 艇釣』長洲外 {粵語旁白+中英文字幕}")</f>
        <v>#187 趕及翻風前跟進哥去呔季節鱸魚 |『香港釣魚 : 艇釣』長洲外 {粵語旁白+中英文字幕}</v>
      </c>
      <c r="E1314" s="82">
        <v>44232.0</v>
      </c>
      <c r="F1314" s="80">
        <v>305.0</v>
      </c>
      <c r="G1314" s="80" t="s">
        <v>63</v>
      </c>
      <c r="I1314" s="80" t="s">
        <v>63</v>
      </c>
      <c r="J1314" s="80">
        <v>208.0</v>
      </c>
      <c r="K1314" s="80">
        <v>0.981132075471698</v>
      </c>
      <c r="L1314" s="80" t="s">
        <v>271</v>
      </c>
    </row>
    <row r="1315">
      <c r="A1315" s="80" t="s">
        <v>112</v>
      </c>
      <c r="B1315" s="81" t="str">
        <f>HYPERLINK("https://www.youtube.com/channel/UCW_n_gfIv4HhRqCk8EnRhJA", "Happy Kongner")</f>
        <v>Happy Kongner</v>
      </c>
      <c r="C1315" s="80" t="s">
        <v>1559</v>
      </c>
      <c r="D1315" s="81" t="str">
        <f>HYPERLINK("https://youtube.com/watch?v=Mcg8_bwdX1o", "「廣東話講西洋書法」字得其樂 The ABC of Western Calligraphy 洗筆")</f>
        <v>「廣東話講西洋書法」字得其樂 The ABC of Western Calligraphy 洗筆</v>
      </c>
      <c r="E1315" s="82">
        <v>42998.0</v>
      </c>
      <c r="F1315" s="80">
        <v>542.0</v>
      </c>
      <c r="G1315" s="80" t="s">
        <v>63</v>
      </c>
      <c r="I1315" s="80" t="s">
        <v>63</v>
      </c>
      <c r="J1315" s="80">
        <v>1176.0</v>
      </c>
      <c r="K1315" s="80">
        <v>0.971900826446281</v>
      </c>
      <c r="L1315" s="80" t="s">
        <v>64</v>
      </c>
    </row>
    <row r="1316">
      <c r="A1316" s="80" t="s">
        <v>74</v>
      </c>
      <c r="B1316" s="81" t="str">
        <f>HYPERLINK("https://www.youtube.com/channel/UCO_5XP-qd-udNxBlzzSzgvw", "Handline Fishing")</f>
        <v>Handline Fishing</v>
      </c>
      <c r="C1316" s="80" t="s">
        <v>1560</v>
      </c>
      <c r="D1316" s="81" t="str">
        <f>HYPERLINK("https://youtube.com/watch?v=Me6Rx2JcjBQ", "#232 大師不再麻甩櫃底團 | 香港釣魚 | 艇釣 | 櫃底 【Insta360 GO 2】")</f>
        <v>#232 大師不再麻甩櫃底團 | 香港釣魚 | 艇釣 | 櫃底 【Insta360 GO 2】</v>
      </c>
      <c r="E1316" s="82">
        <v>44427.0</v>
      </c>
      <c r="F1316" s="80">
        <v>683.0</v>
      </c>
      <c r="G1316" s="80" t="s">
        <v>63</v>
      </c>
      <c r="H1316" s="80" t="s">
        <v>63</v>
      </c>
      <c r="I1316" s="80" t="s">
        <v>63</v>
      </c>
      <c r="J1316" s="80">
        <v>502.0</v>
      </c>
      <c r="K1316" s="80">
        <v>0.929629629629629</v>
      </c>
      <c r="L1316" s="80" t="s">
        <v>88</v>
      </c>
    </row>
    <row r="1317">
      <c r="A1317" s="80" t="s">
        <v>252</v>
      </c>
      <c r="B1317" s="81" t="str">
        <f>HYPERLINK("https://www.youtube.com/channel/UCrISkBm7rgsRUAw8018eWvw", "MoYung 慕容公子")</f>
        <v>MoYung 慕容公子</v>
      </c>
      <c r="C1317" s="80" t="s">
        <v>1561</v>
      </c>
      <c r="D1317" s="81" t="str">
        <f>HYPERLINK("https://youtube.com/watch?v=MhFkwsWbAhQ", "【車手】慕容客運，上車嚕！《絕地求生 Pubg》(中文字幕)")</f>
        <v>【車手】慕容客運，上車嚕！《絕地求生 Pubg》(中文字幕)</v>
      </c>
      <c r="E1317" s="82">
        <v>43116.0</v>
      </c>
      <c r="F1317" s="80">
        <v>77.0</v>
      </c>
      <c r="G1317" s="80" t="s">
        <v>63</v>
      </c>
      <c r="H1317" s="80" t="s">
        <v>63</v>
      </c>
      <c r="I1317" s="80" t="s">
        <v>63</v>
      </c>
      <c r="J1317" s="80">
        <v>155.0</v>
      </c>
      <c r="K1317" s="80">
        <v>1.0</v>
      </c>
      <c r="L1317" s="80" t="s">
        <v>1503</v>
      </c>
    </row>
    <row r="1318">
      <c r="A1318" s="80" t="s">
        <v>74</v>
      </c>
      <c r="B1318" s="81" t="str">
        <f>HYPERLINK("https://www.youtube.com/channel/UCO_5XP-qd-udNxBlzzSzgvw", "Handline Fishing")</f>
        <v>Handline Fishing</v>
      </c>
      <c r="C1318" s="80" t="s">
        <v>1562</v>
      </c>
      <c r="D1318" s="81" t="str">
        <f>HYPERLINK("https://youtube.com/watch?v=MhIP_U3ytv0", "#63 繼續尋找沙灘邊釣魚仔《第一集》『香港釣魚 : 岸釣』釣沙鯭/石刹 淺水灣  {粵語旁白+中英文字幕}")</f>
        <v>#63 繼續尋找沙灘邊釣魚仔《第一集》『香港釣魚 : 岸釣』釣沙鯭/石刹 淺水灣  {粵語旁白+中英文字幕}</v>
      </c>
      <c r="E1318" s="82">
        <v>43791.0</v>
      </c>
      <c r="F1318" s="80">
        <v>321.0</v>
      </c>
      <c r="G1318" s="80" t="s">
        <v>63</v>
      </c>
      <c r="I1318" s="80" t="s">
        <v>63</v>
      </c>
      <c r="J1318" s="80">
        <v>1140.0</v>
      </c>
      <c r="K1318" s="80">
        <v>0.978540772532188</v>
      </c>
      <c r="L1318" s="80" t="s">
        <v>76</v>
      </c>
    </row>
    <row r="1319">
      <c r="A1319" s="80" t="s">
        <v>61</v>
      </c>
      <c r="B1319" s="81" t="str">
        <f>HYPERLINK("https://www.youtube.com/channel/UCJ4XVrJuqKHbc9yF9oUFseg", "MEeeep More")</f>
        <v>MEeeep More</v>
      </c>
      <c r="C1319" s="80" t="s">
        <v>1563</v>
      </c>
      <c r="D1319" s="81" t="str">
        <f>HYPERLINK("https://youtube.com/watch?v=MisdgiRE3G4", "台北牛肉麵 邊間得獎又好食？- 食玩飛常遊")</f>
        <v>台北牛肉麵 邊間得獎又好食？- 食玩飛常遊</v>
      </c>
      <c r="E1319" s="82">
        <v>43667.0</v>
      </c>
      <c r="F1319" s="80">
        <v>168.0</v>
      </c>
      <c r="G1319" s="80" t="s">
        <v>63</v>
      </c>
      <c r="I1319" s="80" t="s">
        <v>63</v>
      </c>
      <c r="J1319" s="80">
        <v>523.0</v>
      </c>
      <c r="K1319" s="80">
        <v>0.906412478336221</v>
      </c>
      <c r="L1319" s="80" t="s">
        <v>64</v>
      </c>
    </row>
    <row r="1320">
      <c r="A1320" s="80" t="s">
        <v>1128</v>
      </c>
      <c r="B1320" s="81" t="str">
        <f>HYPERLINK("https://www.youtube.com/channel/UCe8jZzHeq8gGiqk5bESfpIw", "前線科技人員")</f>
        <v>前線科技人員</v>
      </c>
      <c r="C1320" s="80" t="s">
        <v>1564</v>
      </c>
      <c r="D1320" s="81" t="str">
        <f>HYPERLINK("https://youtube.com/watch?v=MjcmtlO8cVU", "2016立法會選舉掃盲系列 一氣呵成版")</f>
        <v>2016立法會選舉掃盲系列 一氣呵成版</v>
      </c>
      <c r="E1320" s="82">
        <v>42613.0</v>
      </c>
      <c r="F1320" s="80">
        <v>554.0</v>
      </c>
      <c r="G1320" s="80" t="s">
        <v>63</v>
      </c>
      <c r="I1320" s="80" t="s">
        <v>63</v>
      </c>
      <c r="J1320" s="80">
        <v>2365.0</v>
      </c>
      <c r="K1320" s="80">
        <v>0.987886382623224</v>
      </c>
      <c r="L1320" s="80" t="s">
        <v>64</v>
      </c>
    </row>
    <row r="1321">
      <c r="A1321" s="80" t="s">
        <v>112</v>
      </c>
      <c r="B1321" s="81" t="str">
        <f>HYPERLINK("https://www.youtube.com/channel/UCW_n_gfIv4HhRqCk8EnRhJA", "Happy Kongner")</f>
        <v>Happy Kongner</v>
      </c>
      <c r="C1321" s="80" t="s">
        <v>1565</v>
      </c>
      <c r="D1321" s="81" t="str">
        <f>HYPERLINK("https://youtube.com/watch?v=Mkr_6qEJb0E", "亞洲抗爭之國！超簡略韓國現代史 1948-1979 [做乜嘢懶人包]")</f>
        <v>亞洲抗爭之國！超簡略韓國現代史 1948-1979 [做乜嘢懶人包]</v>
      </c>
      <c r="E1321" s="82">
        <v>43731.0</v>
      </c>
      <c r="F1321" s="80">
        <v>1855.0</v>
      </c>
      <c r="G1321" s="80" t="s">
        <v>63</v>
      </c>
      <c r="I1321" s="80" t="s">
        <v>63</v>
      </c>
      <c r="J1321" s="80">
        <v>8784.0</v>
      </c>
      <c r="K1321" s="80">
        <v>0.954056695992179</v>
      </c>
      <c r="L1321" s="80" t="s">
        <v>64</v>
      </c>
    </row>
    <row r="1322">
      <c r="A1322" s="80" t="s">
        <v>82</v>
      </c>
      <c r="B1322" s="81" t="str">
        <f>HYPERLINK("https://www.youtube.com/channel/UC6C2hkbggXIgapf5jn_V2Dw", "SpongeMob 852")</f>
        <v>SpongeMob 852</v>
      </c>
      <c r="C1322" s="80" t="s">
        <v>1566</v>
      </c>
      <c r="D1322" s="81" t="str">
        <f>HYPERLINK("https://youtube.com/watch?v=MnxUoxwdA1s", "Novel Fla$h - Here We Go  [Official Music Video]")</f>
        <v>Novel Fla$h - Here We Go  [Official Music Video]</v>
      </c>
      <c r="E1322" s="82">
        <v>43928.0</v>
      </c>
      <c r="F1322" s="80">
        <v>185.0</v>
      </c>
      <c r="G1322" s="80" t="s">
        <v>63</v>
      </c>
      <c r="I1322" s="80" t="s">
        <v>63</v>
      </c>
      <c r="J1322" s="80">
        <v>579.0</v>
      </c>
      <c r="K1322" s="80">
        <v>0.676401869158878</v>
      </c>
      <c r="L1322" s="80" t="s">
        <v>64</v>
      </c>
    </row>
    <row r="1323">
      <c r="A1323" s="80" t="s">
        <v>71</v>
      </c>
      <c r="B1323" s="81" t="str">
        <f>HYPERLINK("https://www.youtube.com/channel/UCXTE-gQCetfrx_lC9yFM2aw", "arhoTV")</f>
        <v>arhoTV</v>
      </c>
      <c r="C1323" s="80" t="s">
        <v>1567</v>
      </c>
      <c r="D1323" s="81" t="str">
        <f>HYPERLINK("https://youtube.com/watch?v=MoQyUMDH45I", "【日常】嘔心！飲錯性用品！好黏！好漿！")</f>
        <v>【日常】嘔心！飲錯性用品！好黏！好漿！</v>
      </c>
      <c r="E1323" s="82">
        <v>43029.0</v>
      </c>
      <c r="F1323" s="80">
        <v>153.0</v>
      </c>
      <c r="G1323" s="80" t="s">
        <v>63</v>
      </c>
      <c r="I1323" s="80" t="s">
        <v>63</v>
      </c>
      <c r="J1323" s="80">
        <v>812.0</v>
      </c>
      <c r="K1323" s="80">
        <v>0.888402625820569</v>
      </c>
      <c r="L1323" s="80" t="s">
        <v>64</v>
      </c>
    </row>
    <row r="1324">
      <c r="A1324" s="80" t="s">
        <v>957</v>
      </c>
      <c r="B1324" s="81" t="str">
        <f>HYPERLINK("https://www.youtube.com/channel/UCNdV5VO81YBe5rfhOz1wRmA", "Con爆TV")</f>
        <v>Con爆TV</v>
      </c>
      <c r="C1324" s="80" t="s">
        <v>1568</v>
      </c>
      <c r="D1324" s="81" t="str">
        <f>HYPERLINK("https://youtube.com/watch?v=MqUtk4ze5dA", "【PAD組隊攻略】回鍋救星!! 最強執行者組隊全攻略! 最佳隊員及武裝推介、抽蛋建議及異形之存在示範")</f>
        <v>【PAD組隊攻略】回鍋救星!! 最強執行者組隊全攻略! 最佳隊員及武裝推介、抽蛋建議及異形之存在示範</v>
      </c>
      <c r="E1324" s="82">
        <v>43521.0</v>
      </c>
      <c r="F1324" s="80">
        <v>750.0</v>
      </c>
      <c r="G1324" s="80" t="s">
        <v>63</v>
      </c>
      <c r="H1324" s="80" t="s">
        <v>63</v>
      </c>
      <c r="I1324" s="80" t="s">
        <v>63</v>
      </c>
      <c r="J1324" s="80">
        <v>1907.0</v>
      </c>
      <c r="K1324" s="80">
        <v>0.947</v>
      </c>
      <c r="L1324" s="80" t="s">
        <v>66</v>
      </c>
    </row>
    <row r="1325">
      <c r="A1325" s="80" t="s">
        <v>61</v>
      </c>
      <c r="B1325" s="81" t="str">
        <f>HYPERLINK("https://www.youtube.com/channel/UCJ4XVrJuqKHbc9yF9oUFseg", "MEeeep More")</f>
        <v>MEeeep More</v>
      </c>
      <c r="C1325" s="80" t="s">
        <v>1569</v>
      </c>
      <c r="D1325" s="81" t="str">
        <f>HYPERLINK("https://youtube.com/watch?v=MuAw0uaOH08", "新加坡最好食炒貴刁！總理李顯龍都話好食！ 18炒粿條麵 新加坡自由行")</f>
        <v>新加坡最好食炒貴刁！總理李顯龍都話好食！ 18炒粿條麵 新加坡自由行</v>
      </c>
      <c r="E1325" s="82">
        <v>43704.0</v>
      </c>
      <c r="F1325" s="80">
        <v>134.0</v>
      </c>
      <c r="G1325" s="80" t="s">
        <v>63</v>
      </c>
      <c r="I1325" s="80" t="s">
        <v>63</v>
      </c>
      <c r="J1325" s="80">
        <v>370.0</v>
      </c>
      <c r="K1325" s="80">
        <v>0.807860262008733</v>
      </c>
      <c r="L1325" s="80" t="s">
        <v>64</v>
      </c>
    </row>
    <row r="1326">
      <c r="A1326" s="80" t="s">
        <v>1570</v>
      </c>
      <c r="B1326" s="81" t="str">
        <f>HYPERLINK("https://www.youtube.com/channel/UC2O7jKdvvUKr5K3lZv77dww", "Ctrip HK")</f>
        <v>Ctrip HK</v>
      </c>
      <c r="C1326" s="80" t="s">
        <v>1571</v>
      </c>
      <c r="D1326" s="81" t="str">
        <f>HYPERLINK("https://youtube.com/watch?v=MuZeYM0sEpA", "Ctrip - 慳，為咗去旅行。")</f>
        <v>Ctrip - 慳，為咗去旅行。</v>
      </c>
      <c r="E1326" s="82">
        <v>42675.0</v>
      </c>
      <c r="F1326" s="80">
        <v>30.0</v>
      </c>
      <c r="G1326" s="80" t="s">
        <v>63</v>
      </c>
      <c r="I1326" s="80" t="s">
        <v>63</v>
      </c>
      <c r="J1326" s="80">
        <v>91.0</v>
      </c>
      <c r="K1326" s="80">
        <v>0.722222222222222</v>
      </c>
      <c r="L1326" s="80" t="s">
        <v>64</v>
      </c>
    </row>
    <row r="1327">
      <c r="A1327" s="80" t="s">
        <v>112</v>
      </c>
      <c r="B1327" s="81" t="str">
        <f>HYPERLINK("https://www.youtube.com/channel/UCW_n_gfIv4HhRqCk8EnRhJA", "Happy Kongner")</f>
        <v>Happy Kongner</v>
      </c>
      <c r="C1327" s="80" t="s">
        <v>1572</v>
      </c>
      <c r="D1327" s="81" t="str">
        <f>HYPERLINK("https://youtube.com/watch?v=N-lGzjt7sMg", "字得其樂 The ABC of Western Calligraphy 歌德體-大楷 Gothic Script- Upper Case")</f>
        <v>字得其樂 The ABC of Western Calligraphy 歌德體-大楷 Gothic Script- Upper Case</v>
      </c>
      <c r="E1327" s="82">
        <v>43913.0</v>
      </c>
      <c r="F1327" s="80">
        <v>1050.0</v>
      </c>
      <c r="G1327" s="80" t="s">
        <v>63</v>
      </c>
      <c r="I1327" s="80" t="s">
        <v>63</v>
      </c>
      <c r="J1327" s="80">
        <v>2944.0</v>
      </c>
      <c r="K1327" s="80">
        <v>0.946928272756513</v>
      </c>
      <c r="L1327" s="80" t="s">
        <v>64</v>
      </c>
    </row>
    <row r="1328">
      <c r="A1328" s="80" t="s">
        <v>96</v>
      </c>
      <c r="B1328" s="81" t="str">
        <f>HYPERLINK("https://www.youtube.com/channel/UCGtyHJ-L_4RDIHe3XaLofQQ", "Anson Cheung")</f>
        <v>Anson Cheung</v>
      </c>
      <c r="C1328" s="80" t="s">
        <v>1573</v>
      </c>
      <c r="D1328" s="81" t="str">
        <f>HYPERLINK("https://youtube.com/watch?v=N0MZ-FP8A-0", "Samsung Galaxy Note 20 Ultra 評測 - 旗艦的新指標 | Samsung Galaxy Note 20 Ultra Review")</f>
        <v>Samsung Galaxy Note 20 Ultra 評測 - 旗艦的新指標 | Samsung Galaxy Note 20 Ultra Review</v>
      </c>
      <c r="E1328" s="82">
        <v>44065.0</v>
      </c>
      <c r="F1328" s="80">
        <v>585.0</v>
      </c>
      <c r="G1328" s="80" t="s">
        <v>63</v>
      </c>
      <c r="I1328" s="80" t="s">
        <v>63</v>
      </c>
      <c r="J1328" s="80">
        <v>2229.0</v>
      </c>
      <c r="K1328" s="80">
        <v>0.644778709864044</v>
      </c>
      <c r="L1328" s="80" t="s">
        <v>240</v>
      </c>
    </row>
    <row r="1329">
      <c r="A1329" s="80" t="s">
        <v>74</v>
      </c>
      <c r="B1329" s="81" t="str">
        <f>HYPERLINK("https://www.youtube.com/channel/UCO_5XP-qd-udNxBlzzSzgvw", "Handline Fishing")</f>
        <v>Handline Fishing</v>
      </c>
      <c r="C1329" s="80" t="s">
        <v>1574</v>
      </c>
      <c r="D1329" s="81" t="str">
        <f>HYPERLINK("https://youtube.com/watch?v=N0WHl-xTKkU", "#176 聖誕休閒之隨意釣行2020 | 『香港釣魚 : 岸釣』赤柱正灘  | 現場收音 |【Boya 無線咪 BY-WM4 PRO K2 評測】")</f>
        <v>#176 聖誕休閒之隨意釣行2020 | 『香港釣魚 : 岸釣』赤柱正灘  | 現場收音 |【Boya 無線咪 BY-WM4 PRO K2 評測】</v>
      </c>
      <c r="E1329" s="82">
        <v>44190.0</v>
      </c>
      <c r="F1329" s="80">
        <v>395.0</v>
      </c>
      <c r="G1329" s="80" t="s">
        <v>63</v>
      </c>
      <c r="I1329" s="80" t="s">
        <v>63</v>
      </c>
      <c r="J1329" s="80">
        <v>888.0</v>
      </c>
      <c r="K1329" s="80">
        <v>0.977973568281938</v>
      </c>
      <c r="L1329" s="80" t="s">
        <v>271</v>
      </c>
    </row>
    <row r="1330">
      <c r="A1330" s="80" t="s">
        <v>140</v>
      </c>
      <c r="B1330" s="81" t="str">
        <f>HYPERLINK("https://www.youtube.com/channel/UCHK0CZf9HEXs42qIO1GUouA", "TechiCardia")</f>
        <v>TechiCardia</v>
      </c>
      <c r="C1330" s="80" t="s">
        <v>1575</v>
      </c>
      <c r="D1330" s="81" t="str">
        <f>HYPERLINK("https://youtube.com/watch?v=N1O48Ay23Nw", "無線電競耳機放題！！試勻晒5款 LOGITECH耳機各有特色！你會揀邊一隻？| G435 G535 G733 G933s G Pro X //4K【TechiCardia】[CC廣東話字幕]")</f>
        <v>無線電競耳機放題！！試勻晒5款 LOGITECH耳機各有特色！你會揀邊一隻？| G435 G535 G733 G933s G Pro X //4K【TechiCardia】[CC廣東話字幕]</v>
      </c>
      <c r="E1330" s="82">
        <v>44541.0</v>
      </c>
      <c r="F1330" s="80">
        <v>1221.0</v>
      </c>
      <c r="G1330" s="80" t="s">
        <v>63</v>
      </c>
      <c r="I1330" s="80" t="s">
        <v>63</v>
      </c>
      <c r="J1330" s="80">
        <v>3883.0</v>
      </c>
      <c r="K1330" s="80">
        <v>0.749903437620703</v>
      </c>
      <c r="L1330" s="80" t="s">
        <v>102</v>
      </c>
    </row>
    <row r="1331">
      <c r="A1331" s="80" t="s">
        <v>61</v>
      </c>
      <c r="B1331" s="81" t="str">
        <f>HYPERLINK("https://www.youtube.com/channel/UCJ4XVrJuqKHbc9yF9oUFseg", "MEeeep More")</f>
        <v>MEeeep More</v>
      </c>
      <c r="C1331" s="80" t="s">
        <v>1576</v>
      </c>
      <c r="D1331" s="81" t="str">
        <f>HYPERLINK("https://youtube.com/watch?v=N3SwKV0jbic", "【抗疫湯水DIY】 章魚蓮藕湯 - 全食譜 滋陰清熱 補氣益血！ 章魚蓮藕豬骨湯")</f>
        <v>【抗疫湯水DIY】 章魚蓮藕湯 - 全食譜 滋陰清熱 補氣益血！ 章魚蓮藕豬骨湯</v>
      </c>
      <c r="E1331" s="82">
        <v>43941.0</v>
      </c>
      <c r="F1331" s="80">
        <v>308.0</v>
      </c>
      <c r="G1331" s="80" t="s">
        <v>63</v>
      </c>
      <c r="I1331" s="80" t="s">
        <v>63</v>
      </c>
      <c r="J1331" s="80">
        <v>450.0</v>
      </c>
      <c r="K1331" s="80">
        <v>0.896414342629482</v>
      </c>
      <c r="L1331" s="80" t="s">
        <v>64</v>
      </c>
    </row>
    <row r="1332">
      <c r="A1332" s="80" t="s">
        <v>1183</v>
      </c>
      <c r="B1332" s="81" t="str">
        <f>HYPERLINK("https://www.youtube.com/channel/UCPBBbFYG51QpjuptQtYfCDA", "siuwaiboy")</f>
        <v>siuwaiboy</v>
      </c>
      <c r="C1332" s="80" t="s">
        <v>1577</v>
      </c>
      <c r="D1332" s="81" t="str">
        <f>HYPERLINK("https://youtube.com/watch?v=N3jLNFhMfwM", "【深入評測】柏豪Facebook廣告")</f>
        <v>【深入評測】柏豪Facebook廣告</v>
      </c>
      <c r="E1332" s="82">
        <v>42994.0</v>
      </c>
      <c r="F1332" s="80">
        <v>258.0</v>
      </c>
      <c r="G1332" s="80" t="s">
        <v>63</v>
      </c>
      <c r="I1332" s="80" t="s">
        <v>63</v>
      </c>
      <c r="J1332" s="80">
        <v>876.0</v>
      </c>
      <c r="K1332" s="80">
        <v>0.86818632309217</v>
      </c>
      <c r="L1332" s="80" t="s">
        <v>64</v>
      </c>
    </row>
    <row r="1333">
      <c r="A1333" s="80" t="s">
        <v>112</v>
      </c>
      <c r="B1333" s="81" t="str">
        <f>HYPERLINK("https://www.youtube.com/channel/UCW_n_gfIv4HhRqCk8EnRhJA", "Happy Kongner")</f>
        <v>Happy Kongner</v>
      </c>
      <c r="C1333" s="80" t="s">
        <v>1578</v>
      </c>
      <c r="D1333" s="81" t="str">
        <f>HYPERLINK("https://youtube.com/watch?v=N94_7XooGxs", "DC罪大惡極！？AQUAMAN《水行俠》簡評 [𠝹櫈電影學會]")</f>
        <v>DC罪大惡極！？AQUAMAN《水行俠》簡評 [𠝹櫈電影學會]</v>
      </c>
      <c r="E1333" s="82">
        <v>43457.0</v>
      </c>
      <c r="F1333" s="80">
        <v>705.0</v>
      </c>
      <c r="G1333" s="80" t="s">
        <v>63</v>
      </c>
      <c r="I1333" s="80" t="s">
        <v>63</v>
      </c>
      <c r="J1333" s="80">
        <v>3469.0</v>
      </c>
      <c r="K1333" s="80">
        <v>0.829507412721186</v>
      </c>
      <c r="L1333" s="80" t="s">
        <v>64</v>
      </c>
    </row>
    <row r="1334">
      <c r="A1334" s="80" t="s">
        <v>74</v>
      </c>
      <c r="B1334" s="81" t="str">
        <f t="shared" ref="B1334:B1335" si="51">HYPERLINK("https://www.youtube.com/channel/UCO_5XP-qd-udNxBlzzSzgvw", "Handline Fishing")</f>
        <v>Handline Fishing</v>
      </c>
      <c r="C1334" s="80" t="s">
        <v>1579</v>
      </c>
      <c r="D1334" s="81" t="str">
        <f>HYPERLINK("https://youtube.com/watch?v=NEx9J5V1J5Y", "#122 汀九四匹仔之中伏日記『香港釣魚 : 艇釣』汀九四匹自駕遊 {粵語旁白+中英文字幕}")</f>
        <v>#122 汀九四匹仔之中伏日記『香港釣魚 : 艇釣』汀九四匹自駕遊 {粵語旁白+中英文字幕}</v>
      </c>
      <c r="E1334" s="82">
        <v>43992.0</v>
      </c>
      <c r="F1334" s="80">
        <v>214.0</v>
      </c>
      <c r="G1334" s="80" t="s">
        <v>63</v>
      </c>
      <c r="I1334" s="80" t="s">
        <v>63</v>
      </c>
      <c r="J1334" s="80">
        <v>899.0</v>
      </c>
      <c r="K1334" s="80">
        <v>0.990088105726872</v>
      </c>
      <c r="L1334" s="80" t="s">
        <v>76</v>
      </c>
    </row>
    <row r="1335">
      <c r="A1335" s="80" t="s">
        <v>74</v>
      </c>
      <c r="B1335" s="81" t="str">
        <f t="shared" si="51"/>
        <v>Handline Fishing</v>
      </c>
      <c r="C1335" s="80" t="s">
        <v>1580</v>
      </c>
      <c r="D1335" s="81" t="str">
        <f>HYPERLINK("https://youtube.com/watch?v=NIUwDCQ86P4", "#216 鮮為人釣的釣點 | 『香港釣魚 : 岸釣』數碼港 【Insta360 ONE X2 R 夏日限時優惠】")</f>
        <v>#216 鮮為人釣的釣點 | 『香港釣魚 : 岸釣』數碼港 【Insta360 ONE X2 R 夏日限時優惠】</v>
      </c>
      <c r="E1335" s="82">
        <v>44348.0</v>
      </c>
      <c r="F1335" s="80">
        <v>510.0</v>
      </c>
      <c r="G1335" s="80" t="s">
        <v>63</v>
      </c>
      <c r="H1335" s="80" t="s">
        <v>63</v>
      </c>
      <c r="I1335" s="80" t="s">
        <v>63</v>
      </c>
      <c r="J1335" s="80">
        <v>836.0</v>
      </c>
      <c r="K1335" s="80">
        <v>0.968713789107763</v>
      </c>
      <c r="L1335" s="80" t="s">
        <v>1581</v>
      </c>
    </row>
    <row r="1336">
      <c r="A1336" s="80" t="s">
        <v>69</v>
      </c>
      <c r="B1336" s="81" t="str">
        <f>HYPERLINK("https://www.youtube.com/channel/UCoVycxbCXEsd-mrP83EqVWQ", "馬米高 Michael MMG")</f>
        <v>馬米高 Michael MMG</v>
      </c>
      <c r="C1336" s="80" t="s">
        <v>1582</v>
      </c>
      <c r="D1336" s="81" t="str">
        <f>HYPERLINK("https://youtube.com/watch?v=NKLcBW_dLuY", "拿督大宅家居常用英文 | 家居約會心理學101")</f>
        <v>拿督大宅家居常用英文 | 家居約會心理學101</v>
      </c>
      <c r="E1336" s="82">
        <v>43393.0</v>
      </c>
      <c r="F1336" s="80">
        <v>188.0</v>
      </c>
      <c r="G1336" s="80" t="s">
        <v>63</v>
      </c>
      <c r="I1336" s="80" t="s">
        <v>63</v>
      </c>
      <c r="J1336" s="80">
        <v>81.0</v>
      </c>
      <c r="K1336" s="80">
        <v>0.5625</v>
      </c>
      <c r="L1336" s="80" t="s">
        <v>64</v>
      </c>
    </row>
    <row r="1337">
      <c r="A1337" s="80" t="s">
        <v>957</v>
      </c>
      <c r="B1337" s="81" t="str">
        <f>HYPERLINK("https://www.youtube.com/channel/UCNdV5VO81YBe5rfhOz1wRmA", "Con爆TV")</f>
        <v>Con爆TV</v>
      </c>
      <c r="C1337" s="80" t="s">
        <v>1583</v>
      </c>
      <c r="D1337" s="81" t="str">
        <f>HYPERLINK("https://youtube.com/watch?v=NOWyF-kMmvw", "【PAD/Puzzle &amp; Dragons】究極司令太屈機!？ 1C激減傷+225倍高火力、回鍋佳品司令簡單易用組隊攻略")</f>
        <v>【PAD/Puzzle &amp; Dragons】究極司令太屈機!？ 1C激減傷+225倍高火力、回鍋佳品司令簡單易用組隊攻略</v>
      </c>
      <c r="E1337" s="82">
        <v>43515.0</v>
      </c>
      <c r="F1337" s="80">
        <v>723.0</v>
      </c>
      <c r="G1337" s="80" t="s">
        <v>63</v>
      </c>
      <c r="H1337" s="80" t="s">
        <v>63</v>
      </c>
      <c r="I1337" s="80" t="s">
        <v>63</v>
      </c>
      <c r="J1337" s="80">
        <v>837.0</v>
      </c>
      <c r="K1337" s="80">
        <v>0.956571428571428</v>
      </c>
      <c r="L1337" s="80" t="s">
        <v>66</v>
      </c>
    </row>
    <row r="1338">
      <c r="A1338" s="80" t="s">
        <v>252</v>
      </c>
      <c r="B1338" s="81" t="str">
        <f>HYPERLINK("https://www.youtube.com/channel/UCrISkBm7rgsRUAw8018eWvw", "MoYung 慕容公子")</f>
        <v>MoYung 慕容公子</v>
      </c>
      <c r="C1338" s="80" t="s">
        <v>1584</v>
      </c>
      <c r="D1338" s="81" t="str">
        <f>HYPERLINK("https://youtube.com/watch?v=NQxyAVv9u38", "【沒有人】女仔屋企無人，叫我上佢屋企？(中文字幕)")</f>
        <v>【沒有人】女仔屋企無人，叫我上佢屋企？(中文字幕)</v>
      </c>
      <c r="E1338" s="82">
        <v>43251.0</v>
      </c>
      <c r="F1338" s="80">
        <v>232.0</v>
      </c>
      <c r="G1338" s="80" t="s">
        <v>63</v>
      </c>
      <c r="I1338" s="80" t="s">
        <v>63</v>
      </c>
      <c r="J1338" s="80">
        <v>745.0</v>
      </c>
      <c r="K1338" s="80">
        <v>0.97769028871391</v>
      </c>
      <c r="L1338" s="80" t="s">
        <v>64</v>
      </c>
    </row>
    <row r="1339">
      <c r="A1339" s="80" t="s">
        <v>1039</v>
      </c>
      <c r="B1339" s="81" t="str">
        <f>HYPERLINK("https://www.youtube.com/channel/UCiKEIxbv4RTzyLCKG17N-AA", "Hunting Archer")</f>
        <v>Hunting Archer</v>
      </c>
      <c r="C1339" s="80" t="s">
        <v>1585</v>
      </c>
      <c r="D1339" s="81" t="str">
        <f>HYPERLINK("https://youtube.com/watch?v=NSjBoZqc7b0", "【广州漫步】午后在珠江新城的贵价超市购物 【Walk in GuangZhou】")</f>
        <v>【广州漫步】午后在珠江新城的贵价超市购物 【Walk in GuangZhou】</v>
      </c>
      <c r="E1339" s="82">
        <v>44325.0</v>
      </c>
      <c r="F1339" s="80">
        <v>1921.0</v>
      </c>
      <c r="G1339" s="80" t="s">
        <v>63</v>
      </c>
      <c r="I1339" s="80" t="s">
        <v>63</v>
      </c>
      <c r="J1339" s="80">
        <v>5928.0</v>
      </c>
      <c r="K1339" s="80">
        <v>0.986520219670494</v>
      </c>
      <c r="L1339" s="80" t="s">
        <v>912</v>
      </c>
    </row>
    <row r="1340">
      <c r="A1340" s="80" t="s">
        <v>61</v>
      </c>
      <c r="B1340" s="81" t="str">
        <f>HYPERLINK("https://www.youtube.com/channel/UCJ4XVrJuqKHbc9yF9oUFseg", "MEeeep More")</f>
        <v>MEeeep More</v>
      </c>
      <c r="C1340" s="80" t="s">
        <v>1586</v>
      </c>
      <c r="D1340" s="81" t="str">
        <f>HYPERLINK("https://youtube.com/watch?v=NVZa2aRQwxk", "帶你食日本大阪滿瀉吞拿魚壽司！　- 《食玩飛常遊》")</f>
        <v>帶你食日本大阪滿瀉吞拿魚壽司！　- 《食玩飛常遊》</v>
      </c>
      <c r="E1340" s="82">
        <v>43534.0</v>
      </c>
      <c r="F1340" s="80">
        <v>141.0</v>
      </c>
      <c r="G1340" s="80" t="s">
        <v>63</v>
      </c>
      <c r="I1340" s="80" t="s">
        <v>63</v>
      </c>
      <c r="J1340" s="80">
        <v>481.0</v>
      </c>
      <c r="K1340" s="80">
        <v>0.868231046931408</v>
      </c>
      <c r="L1340" s="80" t="s">
        <v>66</v>
      </c>
    </row>
    <row r="1341">
      <c r="A1341" s="80" t="s">
        <v>219</v>
      </c>
      <c r="B1341" s="81" t="str">
        <f>HYPERLINK("https://www.youtube.com/channel/UC9_PnptBIpNF0JXbJjd8TsQ", "Brown's Channel")</f>
        <v>Brown's Channel</v>
      </c>
      <c r="C1341" s="80" t="s">
        <v>1587</v>
      </c>
      <c r="D1341" s="81" t="str">
        <f>HYPERLINK("https://youtube.com/watch?v=NbWg8tHkLFY", "【一隻熊仔去旅行 @深圳】#5 Dairy Queen － 反轉個杯都唔會瀉嘅雪糕？")</f>
        <v>【一隻熊仔去旅行 @深圳】#5 Dairy Queen － 反轉個杯都唔會瀉嘅雪糕？</v>
      </c>
      <c r="E1341" s="82">
        <v>43602.0</v>
      </c>
      <c r="F1341" s="80">
        <v>225.0</v>
      </c>
      <c r="G1341" s="80" t="s">
        <v>63</v>
      </c>
      <c r="I1341" s="80" t="s">
        <v>63</v>
      </c>
      <c r="J1341" s="80">
        <v>651.0</v>
      </c>
      <c r="K1341" s="80">
        <v>0.803703703703703</v>
      </c>
      <c r="L1341" s="80" t="s">
        <v>64</v>
      </c>
    </row>
    <row r="1342">
      <c r="A1342" s="80" t="s">
        <v>1310</v>
      </c>
      <c r="B1342" s="81" t="str">
        <f>HYPERLINK("https://www.youtube.com/channel/UC0-DuAJ8XNn3RH1aevvJWgA", "TomorrowLAN CSGO")</f>
        <v>TomorrowLAN CSGO</v>
      </c>
      <c r="C1342" s="80" t="s">
        <v>1588</v>
      </c>
      <c r="D1342" s="81" t="str">
        <f>HYPERLINK("https://youtube.com/watch?v=Nh5fnZoVYsI", "[Team Outlaws] Comeback好夢幻, 決賽希望對上BTRG.HK較有信心一戰 [WESG 2018香港區四強]")</f>
        <v>[Team Outlaws] Comeback好夢幻, 決賽希望對上BTRG.HK較有信心一戰 [WESG 2018香港區四強]</v>
      </c>
      <c r="E1342" s="82">
        <v>43414.0</v>
      </c>
      <c r="F1342" s="80">
        <v>182.0</v>
      </c>
      <c r="G1342" s="80" t="s">
        <v>63</v>
      </c>
      <c r="I1342" s="80" t="s">
        <v>63</v>
      </c>
      <c r="J1342" s="80">
        <v>597.0</v>
      </c>
      <c r="K1342" s="80">
        <v>0.77431906614786</v>
      </c>
      <c r="L1342" s="80" t="s">
        <v>64</v>
      </c>
    </row>
    <row r="1343">
      <c r="A1343" s="80" t="s">
        <v>1082</v>
      </c>
      <c r="B1343" s="81" t="str">
        <f>HYPERLINK("https://www.youtube.com/channel/UCMosCy_NDf55rDQhzdX_h3w", "熊熊兒童音樂 Bear Music Ltd.")</f>
        <v>熊熊兒童音樂 Bear Music Ltd.</v>
      </c>
      <c r="C1343" s="80" t="s">
        <v>1589</v>
      </c>
      <c r="D1343" s="81" t="str">
        <f>HYPERLINK("https://youtube.com/watch?v=No6ONoLGxQc", "熊熊粵語兒童故事精選｜中國民間故事｜鑽木取火")</f>
        <v>熊熊粵語兒童故事精選｜中國民間故事｜鑽木取火</v>
      </c>
      <c r="E1343" s="82">
        <v>43511.0</v>
      </c>
      <c r="F1343" s="80">
        <v>438.0</v>
      </c>
      <c r="G1343" s="80" t="s">
        <v>63</v>
      </c>
      <c r="I1343" s="80" t="s">
        <v>63</v>
      </c>
      <c r="J1343" s="80">
        <v>975.0</v>
      </c>
      <c r="K1343" s="80">
        <v>0.998975409836065</v>
      </c>
      <c r="L1343" s="80" t="s">
        <v>64</v>
      </c>
    </row>
    <row r="1344">
      <c r="A1344" s="80" t="s">
        <v>278</v>
      </c>
      <c r="B1344" s="81" t="str">
        <f>HYPERLINK("https://www.youtube.com/channel/UCDoEdJo-PI-EKGNKomwLroQ", "mingjai14")</f>
        <v>mingjai14</v>
      </c>
      <c r="C1344" s="80" t="s">
        <v>1590</v>
      </c>
      <c r="D1344" s="81" t="str">
        <f>HYPERLINK("https://youtube.com/watch?v=Nre1vFSAbXc", "被非洲野生大象群重重包圍｜非南非旅2｜Ep 7")</f>
        <v>被非洲野生大象群重重包圍｜非南非旅2｜Ep 7</v>
      </c>
      <c r="E1344" s="82">
        <v>42949.0</v>
      </c>
      <c r="F1344" s="80">
        <v>772.0</v>
      </c>
      <c r="G1344" s="80" t="s">
        <v>63</v>
      </c>
      <c r="H1344" s="80" t="s">
        <v>63</v>
      </c>
      <c r="I1344" s="80" t="s">
        <v>63</v>
      </c>
      <c r="J1344" s="80">
        <v>2285.0</v>
      </c>
      <c r="K1344" s="80">
        <v>0.960891505466778</v>
      </c>
      <c r="L1344" s="80" t="s">
        <v>120</v>
      </c>
    </row>
    <row r="1345">
      <c r="A1345" s="80" t="s">
        <v>61</v>
      </c>
      <c r="B1345" s="81" t="str">
        <f>HYPERLINK("https://www.youtube.com/channel/UCJ4XVrJuqKHbc9yF9oUFseg", "MEeeep More")</f>
        <v>MEeeep More</v>
      </c>
      <c r="C1345" s="80" t="s">
        <v>1591</v>
      </c>
      <c r="D1345" s="81" t="str">
        <f>HYPERLINK("https://youtube.com/watch?v=O-us3nrQSYM", "[2020突發] 兩部手機同時登入一個 WhatsApp 有方法！iPhone Android 一樣得！ WhatsApp Dual Login Whats Web Whats Chat")</f>
        <v>[2020突發] 兩部手機同時登入一個 WhatsApp 有方法！iPhone Android 一樣得！ WhatsApp Dual Login Whats Web Whats Chat</v>
      </c>
      <c r="E1345" s="82">
        <v>44077.0</v>
      </c>
      <c r="F1345" s="80">
        <v>136.0</v>
      </c>
      <c r="G1345" s="80" t="s">
        <v>63</v>
      </c>
      <c r="I1345" s="80" t="s">
        <v>63</v>
      </c>
      <c r="J1345" s="80">
        <v>363.0</v>
      </c>
      <c r="K1345" s="80">
        <v>0.655234657039711</v>
      </c>
      <c r="L1345" s="80" t="s">
        <v>64</v>
      </c>
    </row>
    <row r="1346">
      <c r="A1346" s="80" t="s">
        <v>96</v>
      </c>
      <c r="B1346" s="81" t="str">
        <f>HYPERLINK("https://www.youtube.com/channel/UCGtyHJ-L_4RDIHe3XaLofQQ", "Anson Cheung")</f>
        <v>Anson Cheung</v>
      </c>
      <c r="C1346" s="80" t="s">
        <v>1592</v>
      </c>
      <c r="D1346" s="81" t="str">
        <f>HYPERLINK("https://youtube.com/watch?v=O0fKO1W87Oo", "Samsung Galaxy Z Flip 3 兩個月後評測：第一部可以做日常機的摺機")</f>
        <v>Samsung Galaxy Z Flip 3 兩個月後評測：第一部可以做日常機的摺機</v>
      </c>
      <c r="E1346" s="82">
        <v>44506.0</v>
      </c>
      <c r="F1346" s="80">
        <v>693.0</v>
      </c>
      <c r="G1346" s="80" t="s">
        <v>63</v>
      </c>
      <c r="I1346" s="80" t="s">
        <v>63</v>
      </c>
      <c r="J1346" s="80">
        <v>2758.0</v>
      </c>
      <c r="K1346" s="80">
        <v>0.683519206939281</v>
      </c>
      <c r="L1346" s="80" t="s">
        <v>64</v>
      </c>
    </row>
    <row r="1347">
      <c r="A1347" s="80" t="s">
        <v>61</v>
      </c>
      <c r="B1347" s="81" t="str">
        <f>HYPERLINK("https://www.youtube.com/channel/UCJ4XVrJuqKHbc9yF9oUFseg", "MEeeep More")</f>
        <v>MEeeep More</v>
      </c>
      <c r="C1347" s="80" t="s">
        <v>1593</v>
      </c>
      <c r="D1347" s="81" t="str">
        <f>HYPERLINK("https://youtube.com/watch?v=O6Vg0wtdRf8", "新加坡傳統潮州美食 - 面薄 Mee Pok 超水準 你食過未？ 食玩飛常遊")</f>
        <v>新加坡傳統潮州美食 - 面薄 Mee Pok 超水準 你食過未？ 食玩飛常遊</v>
      </c>
      <c r="E1347" s="82">
        <v>43422.0</v>
      </c>
      <c r="F1347" s="80">
        <v>160.0</v>
      </c>
      <c r="G1347" s="80" t="s">
        <v>63</v>
      </c>
      <c r="I1347" s="80" t="s">
        <v>63</v>
      </c>
      <c r="J1347" s="80">
        <v>455.0</v>
      </c>
      <c r="K1347" s="80">
        <v>0.936213991769547</v>
      </c>
      <c r="L1347" s="80" t="s">
        <v>64</v>
      </c>
    </row>
    <row r="1348">
      <c r="A1348" s="80" t="s">
        <v>1594</v>
      </c>
      <c r="B1348" s="81" t="str">
        <f>HYPERLINK("https://www.youtube.com/channel/UCUtm1awT2EO9D7uJ2OlMcTQ", "黐住這一家 Sticky Love Family")</f>
        <v>黐住這一家 Sticky Love Family</v>
      </c>
      <c r="C1348" s="80" t="s">
        <v>1595</v>
      </c>
      <c r="D1348" s="81" t="str">
        <f>HYPERLINK("https://youtube.com/watch?v=6JFkgI9FE6U", "【粵語 | 廣東話  社交故事👦🏻💬🧒🏻】❝遇到困難時 , 可以點做？❞   [ Eng Sub| 繁簡粵語字幕 ]")</f>
        <v>【粵語 | 廣東話  社交故事👦🏻💬🧒🏻】❝遇到困難時 , 可以點做？❞   [ Eng Sub| 繁簡粵語字幕 ]</v>
      </c>
      <c r="E1348" s="82">
        <v>44456.0</v>
      </c>
      <c r="F1348" s="80">
        <v>224.0</v>
      </c>
      <c r="G1348" s="80" t="s">
        <v>63</v>
      </c>
      <c r="H1348" s="80" t="s">
        <v>63</v>
      </c>
      <c r="I1348" s="80" t="s">
        <v>63</v>
      </c>
      <c r="J1348" s="80">
        <v>794.0</v>
      </c>
      <c r="K1348" s="80">
        <v>0.933823529411764</v>
      </c>
      <c r="L1348" s="80" t="s">
        <v>1596</v>
      </c>
    </row>
    <row r="1349">
      <c r="A1349" s="80" t="s">
        <v>252</v>
      </c>
      <c r="B1349" s="81" t="str">
        <f>HYPERLINK("https://www.youtube.com/channel/UCrISkBm7rgsRUAw8018eWvw", "MoYung 慕容公子")</f>
        <v>MoYung 慕容公子</v>
      </c>
      <c r="C1349" s="80" t="s">
        <v>1597</v>
      </c>
      <c r="D1349" s="81" t="str">
        <f>HYPERLINK("https://youtube.com/watch?v=O8Vx9ty44DQ", "慕容玩爐石：加兩攻果隻叫咩 ?")</f>
        <v>慕容玩爐石：加兩攻果隻叫咩 ?</v>
      </c>
      <c r="E1349" s="82">
        <v>42193.0</v>
      </c>
      <c r="F1349" s="80">
        <v>42.0</v>
      </c>
      <c r="G1349" s="80" t="s">
        <v>63</v>
      </c>
      <c r="H1349" s="80" t="s">
        <v>63</v>
      </c>
      <c r="I1349" s="80" t="s">
        <v>63</v>
      </c>
      <c r="J1349" s="80">
        <v>49.0</v>
      </c>
      <c r="K1349" s="80">
        <v>0.93103448275862</v>
      </c>
      <c r="L1349" s="80" t="s">
        <v>1503</v>
      </c>
    </row>
    <row r="1350">
      <c r="A1350" s="80" t="s">
        <v>74</v>
      </c>
      <c r="B1350" s="81" t="str">
        <f>HYPERLINK("https://www.youtube.com/channel/UCO_5XP-qd-udNxBlzzSzgvw", "Handline Fishing")</f>
        <v>Handline Fishing</v>
      </c>
      <c r="C1350" s="80" t="s">
        <v>1598</v>
      </c>
      <c r="D1350" s="81" t="str">
        <f>HYPERLINK("https://youtube.com/watch?v=O97yb8EyqGI", "#221 用花竹，釣黑沙鱲，現在誠獻! | 根叔 |『香港釣魚 : 艇釣』維港 {粵語旁白+中英文字幕}")</f>
        <v>#221 用花竹，釣黑沙鱲，現在誠獻! | 根叔 |『香港釣魚 : 艇釣』維港 {粵語旁白+中英文字幕}</v>
      </c>
      <c r="E1350" s="82">
        <v>44377.0</v>
      </c>
      <c r="F1350" s="80">
        <v>605.0</v>
      </c>
      <c r="G1350" s="80" t="s">
        <v>63</v>
      </c>
      <c r="H1350" s="80" t="s">
        <v>63</v>
      </c>
      <c r="I1350" s="80" t="s">
        <v>63</v>
      </c>
      <c r="J1350" s="80">
        <v>462.0</v>
      </c>
      <c r="K1350" s="80">
        <v>0.911949685534591</v>
      </c>
      <c r="L1350" s="80" t="s">
        <v>88</v>
      </c>
    </row>
    <row r="1351">
      <c r="A1351" s="80" t="s">
        <v>61</v>
      </c>
      <c r="B1351" s="81" t="str">
        <f t="shared" ref="B1351:B1352" si="52">HYPERLINK("https://www.youtube.com/channel/UCJ4XVrJuqKHbc9yF9oUFseg", "MEeeep More")</f>
        <v>MEeeep More</v>
      </c>
      <c r="C1351" s="80" t="s">
        <v>1599</v>
      </c>
      <c r="D1351" s="81" t="str">
        <f>HYPERLINK("https://youtube.com/watch?v=ODFDxaNikJw", "Xiaomi 小米11 Ultra 小米11 Lite 實機評測 | 機背有型副屏幕 Dxomark 史上最高 | mi11 ultra mi11 lite 5g雙卡雙待 多機聯錄 魔法換天 香港5G")</f>
        <v>Xiaomi 小米11 Ultra 小米11 Lite 實機評測 | 機背有型副屏幕 Dxomark 史上最高 | mi11 ultra mi11 lite 5g雙卡雙待 多機聯錄 魔法換天 香港5G</v>
      </c>
      <c r="E1351" s="82">
        <v>44285.0</v>
      </c>
      <c r="F1351" s="80">
        <v>271.0</v>
      </c>
      <c r="G1351" s="80" t="s">
        <v>63</v>
      </c>
      <c r="I1351" s="80" t="s">
        <v>63</v>
      </c>
      <c r="J1351" s="80">
        <v>703.0</v>
      </c>
      <c r="K1351" s="80">
        <v>0.724742268041237</v>
      </c>
      <c r="L1351" s="80" t="s">
        <v>64</v>
      </c>
    </row>
    <row r="1352">
      <c r="A1352" s="80" t="s">
        <v>61</v>
      </c>
      <c r="B1352" s="81" t="str">
        <f t="shared" si="52"/>
        <v>MEeeep More</v>
      </c>
      <c r="C1352" s="80" t="s">
        <v>1600</v>
      </c>
      <c r="D1352" s="81" t="str">
        <f>HYPERLINK("https://youtube.com/watch?v=OJpgKz0zQRU", "銀通ATM 即日推出無卡提款服務？ 邊間銀行率先用得？")</f>
        <v>銀通ATM 即日推出無卡提款服務？ 邊間銀行率先用得？</v>
      </c>
      <c r="E1352" s="82">
        <v>43989.0</v>
      </c>
      <c r="F1352" s="80">
        <v>102.0</v>
      </c>
      <c r="G1352" s="80" t="s">
        <v>63</v>
      </c>
      <c r="I1352" s="80" t="s">
        <v>63</v>
      </c>
      <c r="J1352" s="80">
        <v>290.0</v>
      </c>
      <c r="K1352" s="80">
        <v>0.792349726775956</v>
      </c>
      <c r="L1352" s="80" t="s">
        <v>64</v>
      </c>
    </row>
    <row r="1353">
      <c r="A1353" s="80" t="s">
        <v>74</v>
      </c>
      <c r="B1353" s="81" t="str">
        <f>HYPERLINK("https://www.youtube.com/channel/UCO_5XP-qd-udNxBlzzSzgvw", "Handline Fishing")</f>
        <v>Handline Fishing</v>
      </c>
      <c r="C1353" s="80" t="s">
        <v>1601</v>
      </c>
      <c r="D1353" s="81" t="str">
        <f>HYPERLINK("https://youtube.com/watch?v=OLiEtrbDL24", "#225 兩個女釣魚友...7條煙... | 香港釣魚 | 艇釣 | 南丫島測風台 {粵語旁白+中英文字幕}")</f>
        <v>#225 兩個女釣魚友...7條煙... | 香港釣魚 | 艇釣 | 南丫島測風台 {粵語旁白+中英文字幕}</v>
      </c>
      <c r="E1353" s="82">
        <v>44399.0</v>
      </c>
      <c r="F1353" s="80">
        <v>725.0</v>
      </c>
      <c r="G1353" s="80" t="s">
        <v>63</v>
      </c>
      <c r="H1353" s="80" t="s">
        <v>63</v>
      </c>
      <c r="I1353" s="80" t="s">
        <v>63</v>
      </c>
      <c r="J1353" s="80">
        <v>480.0</v>
      </c>
      <c r="K1353" s="80">
        <v>0.969696969696969</v>
      </c>
      <c r="L1353" s="80" t="s">
        <v>88</v>
      </c>
    </row>
    <row r="1354">
      <c r="A1354" s="80" t="s">
        <v>260</v>
      </c>
      <c r="B1354" s="81" t="str">
        <f>HYPERLINK("https://www.youtube.com/channel/UC-HXOikkLx7BGEfILGIpYOg", "港短 . 英移")</f>
        <v>港短 . 英移</v>
      </c>
      <c r="C1354" s="80" t="s">
        <v>1602</v>
      </c>
      <c r="D1354" s="81" t="str">
        <f>HYPERLINK("https://youtube.com/watch?v=OQ7vhIN_LLw", "揀啱地方💪 揾工已經成功左一半 | Birmingham係下一個倫敦? | 一定要知高鐵線HS2 | 港短.英移 #HongKonger #英國揾工 #英國香港人 #Birmingham #伯明翰")</f>
        <v>揀啱地方💪 揾工已經成功左一半 | Birmingham係下一個倫敦? | 一定要知高鐵線HS2 | 港短.英移 #HongKonger #英國揾工 #英國香港人 #Birmingham #伯明翰</v>
      </c>
      <c r="E1354" s="82">
        <v>44539.0</v>
      </c>
      <c r="F1354" s="80">
        <v>415.0</v>
      </c>
      <c r="G1354" s="80" t="s">
        <v>63</v>
      </c>
      <c r="I1354" s="80" t="s">
        <v>63</v>
      </c>
      <c r="J1354" s="80">
        <v>1502.0</v>
      </c>
      <c r="K1354" s="80">
        <v>0.76243654822335</v>
      </c>
      <c r="L1354" s="80" t="s">
        <v>102</v>
      </c>
    </row>
    <row r="1355">
      <c r="A1355" s="80" t="s">
        <v>1183</v>
      </c>
      <c r="B1355" s="81" t="str">
        <f>HYPERLINK("https://www.youtube.com/channel/UCPBBbFYG51QpjuptQtYfCDA", "siuwaiboy")</f>
        <v>siuwaiboy</v>
      </c>
      <c r="C1355" s="80" t="s">
        <v>1603</v>
      </c>
      <c r="D1355" s="81" t="str">
        <f>HYPERLINK("https://youtube.com/watch?v=OQGvlFgfrhE", "討厭 Supreme 的人")</f>
        <v>討厭 Supreme 的人</v>
      </c>
      <c r="E1355" s="82">
        <v>43213.0</v>
      </c>
      <c r="F1355" s="80">
        <v>190.0</v>
      </c>
      <c r="G1355" s="80" t="s">
        <v>63</v>
      </c>
      <c r="H1355" s="80" t="s">
        <v>63</v>
      </c>
      <c r="I1355" s="80" t="s">
        <v>63</v>
      </c>
      <c r="J1355" s="80">
        <v>669.0</v>
      </c>
      <c r="K1355" s="80">
        <v>0.861660079051383</v>
      </c>
      <c r="L1355" s="80" t="s">
        <v>86</v>
      </c>
    </row>
    <row r="1356">
      <c r="A1356" s="80" t="s">
        <v>278</v>
      </c>
      <c r="B1356" s="81" t="str">
        <f>HYPERLINK("https://www.youtube.com/channel/UCDoEdJo-PI-EKGNKomwLroQ", "mingjai14")</f>
        <v>mingjai14</v>
      </c>
      <c r="C1356" s="80" t="s">
        <v>1604</v>
      </c>
      <c r="D1356" s="81" t="str">
        <f>HYPERLINK("https://youtube.com/watch?v=OSK__qndQmk", "成日聽人講「脫歐、脫歐」，其實即係咩？| 脫歐懶人包🇬🇧")</f>
        <v>成日聽人講「脫歐、脫歐」，其實即係咩？| 脫歐懶人包🇬🇧</v>
      </c>
      <c r="E1356" s="82">
        <v>43547.0</v>
      </c>
      <c r="F1356" s="80">
        <v>540.0</v>
      </c>
      <c r="G1356" s="80" t="s">
        <v>63</v>
      </c>
      <c r="H1356" s="80" t="s">
        <v>63</v>
      </c>
      <c r="I1356" s="80" t="s">
        <v>63</v>
      </c>
      <c r="J1356" s="80">
        <v>2075.0</v>
      </c>
      <c r="K1356" s="80">
        <v>0.985542168674698</v>
      </c>
      <c r="L1356" s="80" t="s">
        <v>66</v>
      </c>
    </row>
    <row r="1357">
      <c r="A1357" s="80" t="s">
        <v>74</v>
      </c>
      <c r="B1357" s="81" t="str">
        <f>HYPERLINK("https://www.youtube.com/channel/UCO_5XP-qd-udNxBlzzSzgvw", "Handline Fishing")</f>
        <v>Handline Fishing</v>
      </c>
      <c r="C1357" s="80" t="s">
        <v>1605</v>
      </c>
      <c r="D1357" s="81" t="str">
        <f>HYPERLINK("https://youtube.com/watch?v=OSvzz-EIe24", "#155 維港釣魚全攻略 | 『香港釣魚 : 艇釣』維港 {粵語旁白+中英文字幕}")</f>
        <v>#155 維港釣魚全攻略 | 『香港釣魚 : 艇釣』維港 {粵語旁白+中英文字幕}</v>
      </c>
      <c r="E1357" s="82">
        <v>44118.0</v>
      </c>
      <c r="F1357" s="80">
        <v>798.0</v>
      </c>
      <c r="G1357" s="80" t="s">
        <v>63</v>
      </c>
      <c r="I1357" s="80" t="s">
        <v>63</v>
      </c>
      <c r="J1357" s="80">
        <v>1883.0</v>
      </c>
      <c r="K1357" s="80">
        <v>0.95680894308943</v>
      </c>
      <c r="L1357" s="80" t="s">
        <v>1105</v>
      </c>
    </row>
    <row r="1358">
      <c r="A1358" s="80" t="s">
        <v>1606</v>
      </c>
      <c r="B1358" s="81" t="str">
        <f>HYPERLINK("https://www.youtube.com/channel/UCk25FUc8pLiP3A6Zniknxbg", "希治閣【遊戲情報科】")</f>
        <v>希治閣【遊戲情報科】</v>
      </c>
      <c r="C1358" s="80" t="s">
        <v>1607</v>
      </c>
      <c r="D1358" s="81" t="str">
        <f>HYPERLINK("https://youtube.com/watch?v=6JLjkEv21qM", "【特別推介】 Corsair 無線耳機 VIRTUOSO RGB WIRELESS XT // HS80 介紹")</f>
        <v>【特別推介】 Corsair 無線耳機 VIRTUOSO RGB WIRELESS XT // HS80 介紹</v>
      </c>
      <c r="E1358" s="82">
        <v>44536.0</v>
      </c>
      <c r="F1358" s="80">
        <v>387.0</v>
      </c>
      <c r="G1358" s="80" t="s">
        <v>63</v>
      </c>
      <c r="I1358" s="80" t="s">
        <v>63</v>
      </c>
      <c r="J1358" s="80">
        <v>1652.0</v>
      </c>
      <c r="K1358" s="80">
        <v>0.852865255549819</v>
      </c>
      <c r="L1358" s="80" t="s">
        <v>64</v>
      </c>
    </row>
    <row r="1359">
      <c r="A1359" s="80" t="s">
        <v>74</v>
      </c>
      <c r="B1359" s="81" t="str">
        <f>HYPERLINK("https://www.youtube.com/channel/UCO_5XP-qd-udNxBlzzSzgvw", "Handline Fishing")</f>
        <v>Handline Fishing</v>
      </c>
      <c r="C1359" s="80" t="s">
        <v>1608</v>
      </c>
      <c r="D1359" s="81" t="str">
        <f>HYPERLINK("https://youtube.com/watch?v=OWqGhRQfE1o", "#222 釣魚無TAKE 2，1 TAKE 過咪得 |『香港釣魚 : 艇釣』維港東 {粵語旁白+中英文字幕}")</f>
        <v>#222 釣魚無TAKE 2，1 TAKE 過咪得 |『香港釣魚 : 艇釣』維港東 {粵語旁白+中英文字幕}</v>
      </c>
      <c r="E1359" s="82">
        <v>44380.0</v>
      </c>
      <c r="F1359" s="80">
        <v>399.0</v>
      </c>
      <c r="G1359" s="80" t="s">
        <v>63</v>
      </c>
      <c r="H1359" s="80" t="s">
        <v>63</v>
      </c>
      <c r="I1359" s="80" t="s">
        <v>63</v>
      </c>
      <c r="J1359" s="80">
        <v>596.0</v>
      </c>
      <c r="K1359" s="80">
        <v>0.966725043782837</v>
      </c>
      <c r="L1359" s="80" t="s">
        <v>88</v>
      </c>
    </row>
    <row r="1360">
      <c r="A1360" s="80" t="s">
        <v>140</v>
      </c>
      <c r="B1360" s="81" t="str">
        <f>HYPERLINK("https://www.youtube.com/channel/UCHK0CZf9HEXs42qIO1GUouA", "TechiCardia")</f>
        <v>TechiCardia</v>
      </c>
      <c r="C1360" s="80" t="s">
        <v>1609</v>
      </c>
      <c r="D1360" s="81" t="str">
        <f>HYPERLINK("https://youtube.com/watch?v=OYeC-z3Sqkc", "正式官方免費 Windows 11 Pro | 超簡易準備、安裝一站式詳細教學 // 砌機新手教學 【TechiCardia】(CC廣東話字幕)")</f>
        <v>正式官方免費 Windows 11 Pro | 超簡易準備、安裝一站式詳細教學 // 砌機新手教學 【TechiCardia】(CC廣東話字幕)</v>
      </c>
      <c r="E1360" s="82">
        <v>44478.0</v>
      </c>
      <c r="F1360" s="80">
        <v>585.0</v>
      </c>
      <c r="G1360" s="80" t="s">
        <v>63</v>
      </c>
      <c r="I1360" s="80" t="s">
        <v>63</v>
      </c>
      <c r="J1360" s="80">
        <v>2039.0</v>
      </c>
      <c r="K1360" s="80">
        <v>0.676061007957559</v>
      </c>
      <c r="L1360" s="80" t="s">
        <v>102</v>
      </c>
    </row>
    <row r="1361">
      <c r="A1361" s="80" t="s">
        <v>94</v>
      </c>
      <c r="B1361" s="81" t="str">
        <f>HYPERLINK("https://www.youtube.com/channel/UCT_dMyI3pNselsmfR6FC8tQ", "PrideLab")</f>
        <v>PrideLab</v>
      </c>
      <c r="C1361" s="80" t="s">
        <v>1610</v>
      </c>
      <c r="D1361" s="81" t="str">
        <f>HYPERLINK("https://youtube.com/watch?v=OZZps1xuEtA", "教你點樣睇出女仔係唔係女同志")</f>
        <v>教你點樣睇出女仔係唔係女同志</v>
      </c>
      <c r="E1361" s="82">
        <v>42697.0</v>
      </c>
      <c r="F1361" s="80">
        <v>244.0</v>
      </c>
      <c r="G1361" s="80" t="s">
        <v>63</v>
      </c>
      <c r="I1361" s="80" t="s">
        <v>63</v>
      </c>
      <c r="J1361" s="80">
        <v>786.0</v>
      </c>
      <c r="K1361" s="80">
        <v>0.906574394463667</v>
      </c>
      <c r="L1361" s="80" t="s">
        <v>64</v>
      </c>
    </row>
    <row r="1362">
      <c r="A1362" s="80" t="s">
        <v>96</v>
      </c>
      <c r="B1362" s="81" t="str">
        <f>HYPERLINK("https://www.youtube.com/channel/UCGtyHJ-L_4RDIHe3XaLofQQ", "Anson Cheung")</f>
        <v>Anson Cheung</v>
      </c>
      <c r="C1362" s="80" t="s">
        <v>1611</v>
      </c>
      <c r="D1362" s="81" t="str">
        <f>HYPERLINK("https://youtube.com/watch?v=ObIlyv0UmKI", "停一停諗一諗！iPhone 12 Pro Max 未必係你想像中咁好！🤨🤨｜iPhone 12 Pro Max 評測｜Anson Cheung")</f>
        <v>停一停諗一諗！iPhone 12 Pro Max 未必係你想像中咁好！🤨🤨｜iPhone 12 Pro Max 評測｜Anson Cheung</v>
      </c>
      <c r="E1362" s="82">
        <v>44180.0</v>
      </c>
      <c r="F1362" s="80">
        <v>807.0</v>
      </c>
      <c r="G1362" s="80" t="s">
        <v>63</v>
      </c>
      <c r="I1362" s="80" t="s">
        <v>63</v>
      </c>
      <c r="J1362" s="80">
        <v>2817.0</v>
      </c>
      <c r="K1362" s="80">
        <v>0.701269604182225</v>
      </c>
      <c r="L1362" s="80" t="s">
        <v>64</v>
      </c>
    </row>
    <row r="1363">
      <c r="A1363" s="80" t="s">
        <v>61</v>
      </c>
      <c r="B1363" s="81" t="str">
        <f>HYPERLINK("https://www.youtube.com/channel/UCJ4XVrJuqKHbc9yF9oUFseg", "MEeeep More")</f>
        <v>MEeeep More</v>
      </c>
      <c r="C1363" s="80" t="s">
        <v>1612</v>
      </c>
      <c r="D1363" s="81" t="str">
        <f>HYPERLINK("https://youtube.com/watch?v=Ofnnjt0KJcQ", "新機開箱 紅米 Redmi Note 10 5G 開箱 發佈現場睇！5G實地測速 4800萬像素試影即時睇！ redmiNote105G xiaomi 小米 香港5G  Z世代達人 麥卓華")</f>
        <v>新機開箱 紅米 Redmi Note 10 5G 開箱 發佈現場睇！5G實地測速 4800萬像素試影即時睇！ redmiNote105G xiaomi 小米 香港5G  Z世代達人 麥卓華</v>
      </c>
      <c r="E1363" s="82">
        <v>44367.0</v>
      </c>
      <c r="F1363" s="80">
        <v>142.0</v>
      </c>
      <c r="G1363" s="80" t="s">
        <v>63</v>
      </c>
      <c r="I1363" s="80" t="s">
        <v>63</v>
      </c>
      <c r="J1363" s="80">
        <v>398.0</v>
      </c>
      <c r="K1363" s="80">
        <v>0.771317829457364</v>
      </c>
      <c r="L1363" s="80" t="s">
        <v>64</v>
      </c>
    </row>
    <row r="1364">
      <c r="A1364" s="80" t="s">
        <v>112</v>
      </c>
      <c r="B1364" s="81" t="str">
        <f>HYPERLINK("https://www.youtube.com/channel/UCW_n_gfIv4HhRqCk8EnRhJA", "Happy Kongner")</f>
        <v>Happy Kongner</v>
      </c>
      <c r="C1364" s="80" t="s">
        <v>1613</v>
      </c>
      <c r="D1364" s="81" t="str">
        <f>HYPERLINK("https://youtube.com/watch?v=OkRApedmz0Y", "[廣東話講動漫] 期望過高？一月兩大霸權簡評 （DARLING in the FRANXX/紫羅蘭永恆花園） 公仔書與卡通片 第六集 Comic &amp; Cartoon Episode 6")</f>
        <v>[廣東話講動漫] 期望過高？一月兩大霸權簡評 （DARLING in the FRANXX/紫羅蘭永恆花園） 公仔書與卡通片 第六集 Comic &amp; Cartoon Episode 6</v>
      </c>
      <c r="E1364" s="82">
        <v>43202.0</v>
      </c>
      <c r="F1364" s="80">
        <v>570.0</v>
      </c>
      <c r="G1364" s="80" t="s">
        <v>63</v>
      </c>
      <c r="I1364" s="80" t="s">
        <v>63</v>
      </c>
      <c r="J1364" s="80">
        <v>2968.0</v>
      </c>
      <c r="K1364" s="80">
        <v>0.955877616747182</v>
      </c>
      <c r="L1364" s="80" t="s">
        <v>64</v>
      </c>
    </row>
    <row r="1365">
      <c r="A1365" s="80" t="s">
        <v>74</v>
      </c>
      <c r="B1365" s="81" t="str">
        <f>HYPERLINK("https://www.youtube.com/channel/UCO_5XP-qd-udNxBlzzSzgvw", "Handline Fishing")</f>
        <v>Handline Fishing</v>
      </c>
      <c r="C1365" s="80" t="s">
        <v>1614</v>
      </c>
      <c r="D1365" s="81" t="str">
        <f>HYPERLINK("https://youtube.com/watch?v=OkmYC3okXCI", "#136 玩轉香港仔大頭艇 妹妹篇 ｜『香港釣魚  艇釣』南丫島 【Capillus】")</f>
        <v>#136 玩轉香港仔大頭艇 妹妹篇 ｜『香港釣魚  艇釣』南丫島 【Capillus】</v>
      </c>
      <c r="E1365" s="82">
        <v>44046.0</v>
      </c>
      <c r="F1365" s="80">
        <v>535.0</v>
      </c>
      <c r="G1365" s="80" t="s">
        <v>63</v>
      </c>
      <c r="I1365" s="80" t="s">
        <v>63</v>
      </c>
      <c r="J1365" s="80">
        <v>1240.0</v>
      </c>
      <c r="K1365" s="80">
        <v>0.975609756097561</v>
      </c>
      <c r="L1365" s="80" t="s">
        <v>76</v>
      </c>
    </row>
    <row r="1366">
      <c r="A1366" s="80" t="s">
        <v>61</v>
      </c>
      <c r="B1366" s="81" t="str">
        <f>HYPERLINK("https://www.youtube.com/channel/UCJ4XVrJuqKHbc9yF9oUFseg", "MEeeep More")</f>
        <v>MEeeep More</v>
      </c>
      <c r="C1366" s="80" t="s">
        <v>1615</v>
      </c>
      <c r="D1366" s="81" t="str">
        <f>HYPERLINK("https://youtube.com/watch?v=OlxM8h_UrcY", "【Mi 10 Lite 5G】開箱 - 小米10 Lite 5G 開箱實測！性價王 香港5G 最平行貨 5G上網測速 夜拍 Mi 10 Lite 5g vs Galaxy S20 Ultra 5G")</f>
        <v>【Mi 10 Lite 5G】開箱 - 小米10 Lite 5G 開箱實測！性價王 香港5G 最平行貨 5G上網測速 夜拍 Mi 10 Lite 5g vs Galaxy S20 Ultra 5G</v>
      </c>
      <c r="E1366" s="82">
        <v>44011.0</v>
      </c>
      <c r="F1366" s="80">
        <v>275.0</v>
      </c>
      <c r="G1366" s="80" t="s">
        <v>63</v>
      </c>
      <c r="I1366" s="80" t="s">
        <v>63</v>
      </c>
      <c r="J1366" s="80">
        <v>762.0</v>
      </c>
      <c r="K1366" s="80">
        <v>0.769696969696969</v>
      </c>
      <c r="L1366" s="80" t="s">
        <v>64</v>
      </c>
    </row>
    <row r="1367">
      <c r="A1367" s="80" t="s">
        <v>96</v>
      </c>
      <c r="B1367" s="81" t="str">
        <f>HYPERLINK("https://www.youtube.com/channel/UCGtyHJ-L_4RDIHe3XaLofQQ", "Anson Cheung")</f>
        <v>Anson Cheung</v>
      </c>
      <c r="C1367" s="80" t="s">
        <v>1616</v>
      </c>
      <c r="D1367" s="81" t="str">
        <f>HYPERLINK("https://youtube.com/watch?v=Omk4ZeA3Yws", "8分鐘講到你明：Samsung Neo QLED 電視箇中科技解說！MICRO LED與Mini LED又有關係嗎？｜Samsung CES 2021 發佈會整合｜Samsung 特約")</f>
        <v>8分鐘講到你明：Samsung Neo QLED 電視箇中科技解說！MICRO LED與Mini LED又有關係嗎？｜Samsung CES 2021 發佈會整合｜Samsung 特約</v>
      </c>
      <c r="E1367" s="82">
        <v>44206.0</v>
      </c>
      <c r="F1367" s="80">
        <v>482.0</v>
      </c>
      <c r="G1367" s="80" t="s">
        <v>63</v>
      </c>
      <c r="I1367" s="80" t="s">
        <v>63</v>
      </c>
      <c r="J1367" s="80">
        <v>1789.0</v>
      </c>
      <c r="K1367" s="80">
        <v>0.637335233345208</v>
      </c>
      <c r="L1367" s="80" t="s">
        <v>64</v>
      </c>
    </row>
    <row r="1368">
      <c r="A1368" s="80" t="s">
        <v>61</v>
      </c>
      <c r="B1368" s="81" t="str">
        <f>HYPERLINK("https://www.youtube.com/channel/UCJ4XVrJuqKHbc9yF9oUFseg", "MEeeep More")</f>
        <v>MEeeep More</v>
      </c>
      <c r="C1368" s="80" t="s">
        <v>1617</v>
      </c>
      <c r="D1368" s="81" t="str">
        <f>HYPERLINK("https://youtube.com/watch?v=OoMyWbMtRRU", "AlipayHK 支付寶香港又出招！ 教你1分鐘綁定PPS戶口送$15屈臣氏現金券 ！現金券可即時用！ppshk.com 繳費靈 支付宝 Ali pay")</f>
        <v>AlipayHK 支付寶香港又出招！ 教你1分鐘綁定PPS戶口送$15屈臣氏現金券 ！現金券可即時用！ppshk.com 繳費靈 支付宝 Ali pay</v>
      </c>
      <c r="E1368" s="82">
        <v>43986.0</v>
      </c>
      <c r="F1368" s="80">
        <v>149.0</v>
      </c>
      <c r="G1368" s="80" t="s">
        <v>63</v>
      </c>
      <c r="I1368" s="80" t="s">
        <v>63</v>
      </c>
      <c r="J1368" s="80">
        <v>358.0</v>
      </c>
      <c r="K1368" s="80">
        <v>0.778260869565217</v>
      </c>
      <c r="L1368" s="80" t="s">
        <v>64</v>
      </c>
    </row>
    <row r="1369">
      <c r="A1369" s="80" t="s">
        <v>129</v>
      </c>
      <c r="B1369" s="81" t="str">
        <f>HYPERLINK("https://www.youtube.com/channel/UCBbTnorwzva0ZIMGW0ttwVA", "阿豬 Ah Ju")</f>
        <v>阿豬 Ah Ju</v>
      </c>
      <c r="C1369" s="80" t="s">
        <v>1618</v>
      </c>
      <c r="D1369" s="81" t="str">
        <f>HYPERLINK("https://youtube.com/watch?v=P-feUxPW34A", "美國債務爆煲引致股災?")</f>
        <v>美國債務爆煲引致股災?</v>
      </c>
      <c r="E1369" s="82">
        <v>44396.0</v>
      </c>
      <c r="F1369" s="80">
        <v>1289.0</v>
      </c>
      <c r="G1369" s="80" t="s">
        <v>63</v>
      </c>
      <c r="I1369" s="80" t="s">
        <v>63</v>
      </c>
      <c r="J1369" s="80">
        <v>4799.0</v>
      </c>
      <c r="K1369" s="80">
        <v>0.779311464761286</v>
      </c>
      <c r="L1369" s="80" t="s">
        <v>1004</v>
      </c>
    </row>
    <row r="1370">
      <c r="A1370" s="80" t="s">
        <v>74</v>
      </c>
      <c r="B1370" s="81" t="str">
        <f>HYPERLINK("https://www.youtube.com/channel/UCO_5XP-qd-udNxBlzzSzgvw", "Handline Fishing")</f>
        <v>Handline Fishing</v>
      </c>
      <c r="C1370" s="80" t="s">
        <v>1619</v>
      </c>
      <c r="D1370" s="81" t="str">
        <f>HYPERLINK("https://youtube.com/watch?v=P0WSpQi9HBI", "#70 肥瘦大盜突擊維港大黃腳鱲『香港釣魚 : 艇釣』維港 (粵語旁白+中英文字幕}")</f>
        <v>#70 肥瘦大盜突擊維港大黃腳鱲『香港釣魚 : 艇釣』維港 (粵語旁白+中英文字幕}</v>
      </c>
      <c r="E1370" s="82">
        <v>43816.0</v>
      </c>
      <c r="F1370" s="80">
        <v>438.0</v>
      </c>
      <c r="G1370" s="80" t="s">
        <v>63</v>
      </c>
      <c r="I1370" s="80" t="s">
        <v>63</v>
      </c>
      <c r="J1370" s="80">
        <v>867.0</v>
      </c>
      <c r="K1370" s="80">
        <v>0.960132890365448</v>
      </c>
      <c r="L1370" s="80" t="s">
        <v>1134</v>
      </c>
    </row>
    <row r="1371">
      <c r="A1371" s="80" t="s">
        <v>252</v>
      </c>
      <c r="B1371" s="81" t="str">
        <f>HYPERLINK("https://www.youtube.com/channel/UCrISkBm7rgsRUAw8018eWvw", "MoYung 慕容公子")</f>
        <v>MoYung 慕容公子</v>
      </c>
      <c r="C1371" s="80" t="s">
        <v>1620</v>
      </c>
      <c r="D1371" s="81" t="str">
        <f>HYPERLINK("https://youtube.com/watch?v=PEHx6NWX3MI", "【慕容Live直播】2017-01-06 : 虎豹騎")</f>
        <v>【慕容Live直播】2017-01-06 : 虎豹騎</v>
      </c>
      <c r="E1371" s="82">
        <v>42741.0</v>
      </c>
      <c r="F1371" s="80">
        <v>694.0</v>
      </c>
      <c r="G1371" s="80" t="s">
        <v>63</v>
      </c>
      <c r="I1371" s="80" t="s">
        <v>63</v>
      </c>
      <c r="J1371" s="80">
        <v>853.0</v>
      </c>
      <c r="K1371" s="80">
        <v>0.956278026905829</v>
      </c>
      <c r="L1371" s="80" t="s">
        <v>64</v>
      </c>
    </row>
    <row r="1372">
      <c r="A1372" s="80" t="s">
        <v>71</v>
      </c>
      <c r="B1372" s="81" t="str">
        <f>HYPERLINK("https://www.youtube.com/channel/UCXTE-gQCetfrx_lC9yFM2aw", "arhoTV")</f>
        <v>arhoTV</v>
      </c>
      <c r="C1372" s="80" t="s">
        <v>1621</v>
      </c>
      <c r="D1372" s="81" t="str">
        <f>HYPERLINK("https://youtube.com/watch?v=PNqqaapnvQc", "【挑戰】18件麥樂雞新食法！")</f>
        <v>【挑戰】18件麥樂雞新食法！</v>
      </c>
      <c r="E1372" s="82">
        <v>42845.0</v>
      </c>
      <c r="F1372" s="80">
        <v>119.0</v>
      </c>
      <c r="G1372" s="80" t="s">
        <v>63</v>
      </c>
      <c r="H1372" s="80" t="s">
        <v>63</v>
      </c>
      <c r="I1372" s="80" t="s">
        <v>63</v>
      </c>
      <c r="J1372" s="80">
        <v>466.0</v>
      </c>
      <c r="K1372" s="80">
        <v>0.842676311030741</v>
      </c>
      <c r="L1372" s="80" t="s">
        <v>86</v>
      </c>
    </row>
    <row r="1373">
      <c r="A1373" s="80" t="s">
        <v>96</v>
      </c>
      <c r="B1373" s="81" t="str">
        <f>HYPERLINK("https://www.youtube.com/channel/UCGtyHJ-L_4RDIHe3XaLofQQ", "Anson Cheung")</f>
        <v>Anson Cheung</v>
      </c>
      <c r="C1373" s="80" t="s">
        <v>1622</v>
      </c>
      <c r="D1373" s="81" t="str">
        <f>HYPERLINK("https://youtube.com/watch?v=PO_9R4WGhR8", "Sony Xperia 10 II 評測 - 最值得推薦的Sony入門機｜Anson Cheung 手機評測｜Sony Xperia 10 II Review")</f>
        <v>Sony Xperia 10 II 評測 - 最值得推薦的Sony入門機｜Anson Cheung 手機評測｜Sony Xperia 10 II Review</v>
      </c>
      <c r="E1373" s="82">
        <v>44006.0</v>
      </c>
      <c r="F1373" s="80">
        <v>635.0</v>
      </c>
      <c r="G1373" s="80" t="s">
        <v>63</v>
      </c>
      <c r="I1373" s="80" t="s">
        <v>63</v>
      </c>
      <c r="J1373" s="80">
        <v>2102.0</v>
      </c>
      <c r="K1373" s="80">
        <v>0.766314254465913</v>
      </c>
      <c r="L1373" s="80" t="s">
        <v>64</v>
      </c>
    </row>
    <row r="1374">
      <c r="A1374" s="80" t="s">
        <v>1623</v>
      </c>
      <c r="B1374" s="81" t="str">
        <f>HYPERLINK("https://www.youtube.com/channel/UCDykDDjpIjJ54JTBpJGuH2A", "頴珊頻道 | The Wingshantsui Channel")</f>
        <v>頴珊頻道 | The Wingshantsui Channel</v>
      </c>
      <c r="C1374" s="80" t="s">
        <v>1624</v>
      </c>
      <c r="D1374" s="81" t="str">
        <f>HYPERLINK("https://youtube.com/watch?v=PW8gFLw3Tk8", "Complicated Cantonese Family 祖宗十八代")</f>
        <v>Complicated Cantonese Family 祖宗十八代</v>
      </c>
      <c r="E1374" s="82">
        <v>40961.0</v>
      </c>
      <c r="F1374" s="80">
        <v>172.0</v>
      </c>
      <c r="G1374" s="80" t="s">
        <v>63</v>
      </c>
      <c r="I1374" s="80" t="s">
        <v>63</v>
      </c>
      <c r="J1374" s="80">
        <v>341.0</v>
      </c>
      <c r="K1374" s="80">
        <v>0.231186440677966</v>
      </c>
      <c r="L1374" s="80" t="s">
        <v>896</v>
      </c>
    </row>
    <row r="1375">
      <c r="A1375" s="80" t="s">
        <v>1082</v>
      </c>
      <c r="B1375" s="81" t="str">
        <f>HYPERLINK("https://www.youtube.com/channel/UCMosCy_NDf55rDQhzdX_h3w", "熊熊兒童音樂 Bear Music Ltd.")</f>
        <v>熊熊兒童音樂 Bear Music Ltd.</v>
      </c>
      <c r="C1375" s="80" t="s">
        <v>1625</v>
      </c>
      <c r="D1375" s="81" t="str">
        <f>HYPERLINK("https://youtube.com/watch?v=PX2mbq7V8mc", "小學生成語故事集｜濫竽充數")</f>
        <v>小學生成語故事集｜濫竽充數</v>
      </c>
      <c r="E1375" s="82">
        <v>43919.0</v>
      </c>
      <c r="F1375" s="80">
        <v>366.0</v>
      </c>
      <c r="G1375" s="80" t="s">
        <v>63</v>
      </c>
      <c r="I1375" s="80" t="s">
        <v>63</v>
      </c>
      <c r="J1375" s="80">
        <v>514.0</v>
      </c>
      <c r="K1375" s="80">
        <v>0.986564299424184</v>
      </c>
      <c r="L1375" s="80" t="s">
        <v>64</v>
      </c>
    </row>
    <row r="1376">
      <c r="A1376" s="80" t="s">
        <v>112</v>
      </c>
      <c r="B1376" s="81" t="str">
        <f>HYPERLINK("https://www.youtube.com/channel/UCW_n_gfIv4HhRqCk8EnRhJA", "Happy Kongner")</f>
        <v>Happy Kongner</v>
      </c>
      <c r="C1376" s="80" t="s">
        <v>1626</v>
      </c>
      <c r="D1376" s="81" t="str">
        <f>HYPERLINK("https://youtube.com/watch?v=PXsIpYoq3Jk", "網球角落頭 Tennis Corner 第三集 Episode 3 2019 泥地王 NADAL 泥地賽季高低起伏")</f>
        <v>網球角落頭 Tennis Corner 第三集 Episode 3 2019 泥地王 NADAL 泥地賽季高低起伏</v>
      </c>
      <c r="E1376" s="82">
        <v>43842.0</v>
      </c>
      <c r="F1376" s="80">
        <v>1175.0</v>
      </c>
      <c r="G1376" s="80" t="s">
        <v>63</v>
      </c>
      <c r="I1376" s="80" t="s">
        <v>63</v>
      </c>
      <c r="J1376" s="80">
        <v>4917.0</v>
      </c>
      <c r="K1376" s="80">
        <v>0.706161137440758</v>
      </c>
      <c r="L1376" s="80" t="s">
        <v>64</v>
      </c>
    </row>
    <row r="1377">
      <c r="A1377" s="80" t="s">
        <v>217</v>
      </c>
      <c r="B1377" s="81" t="str">
        <f>HYPERLINK("https://www.youtube.com/channel/UCXKg0qPRz32bs5Z4mTGF3TQ", "Stormtrooper白兵")</f>
        <v>Stormtrooper白兵</v>
      </c>
      <c r="C1377" s="80" t="s">
        <v>1627</v>
      </c>
      <c r="D1377" s="81" t="str">
        <f>HYPERLINK("https://youtube.com/watch?v=PeZqFkwoomE", "[懶人包]簡介美國總統大選2020－何謂選舉人票、搖擺州份｜總統聽選民話定係受幕後金主擺佈？對照香港政治環境！簡介美國既民主黑歷史！")</f>
        <v>[懶人包]簡介美國總統大選2020－何謂選舉人票、搖擺州份｜總統聽選民話定係受幕後金主擺佈？對照香港政治環境！簡介美國既民主黑歷史！</v>
      </c>
      <c r="E1377" s="82">
        <v>44126.0</v>
      </c>
      <c r="F1377" s="80">
        <v>1171.0</v>
      </c>
      <c r="G1377" s="80" t="s">
        <v>63</v>
      </c>
      <c r="I1377" s="80" t="s">
        <v>63</v>
      </c>
      <c r="J1377" s="80">
        <v>5226.0</v>
      </c>
      <c r="K1377" s="80">
        <v>0.916199158485273</v>
      </c>
      <c r="L1377" s="80" t="s">
        <v>64</v>
      </c>
    </row>
    <row r="1378">
      <c r="A1378" s="80" t="s">
        <v>69</v>
      </c>
      <c r="B1378" s="81" t="str">
        <f>HYPERLINK("https://www.youtube.com/channel/UCoVycxbCXEsd-mrP83EqVWQ", "馬米高 Michael MMG")</f>
        <v>馬米高 Michael MMG</v>
      </c>
      <c r="C1378" s="80" t="s">
        <v>1628</v>
      </c>
      <c r="D1378" s="81" t="str">
        <f>HYPERLINK("https://youtube.com/watch?v=Pev2zh_l5WI", "謝偉俊I'll pass白韻琹?!(中英YES/NO意思大不同)｜英該咁講")</f>
        <v>謝偉俊I'll pass白韻琹?!(中英YES/NO意思大不同)｜英該咁講</v>
      </c>
      <c r="E1378" s="82">
        <v>42993.0</v>
      </c>
      <c r="F1378" s="80">
        <v>307.0</v>
      </c>
      <c r="G1378" s="80" t="s">
        <v>63</v>
      </c>
      <c r="I1378" s="80" t="s">
        <v>63</v>
      </c>
      <c r="J1378" s="80">
        <v>907.0</v>
      </c>
      <c r="K1378" s="80">
        <v>0.626381215469613</v>
      </c>
      <c r="L1378" s="80" t="s">
        <v>521</v>
      </c>
    </row>
    <row r="1379">
      <c r="A1379" s="80" t="s">
        <v>1050</v>
      </c>
      <c r="B1379" s="81" t="str">
        <f>HYPERLINK("https://www.youtube.com/channel/UCNCwcNnkhHviS0xyJHbhX2Q", "Man The Fvck Up")</f>
        <v>Man The Fvck Up</v>
      </c>
      <c r="C1379" s="80" t="s">
        <v>1629</v>
      </c>
      <c r="D1379" s="81" t="str">
        <f>HYPERLINK("https://youtube.com/watch?v=Pf9kn4Kv250", "[溝女] 點解你腥msg再好笑都係冇用? - Why Funny Texts Don’t Mean Sh!t To Girls Anymore?")</f>
        <v>[溝女] 點解你腥msg再好笑都係冇用? - Why Funny Texts Don’t Mean Sh!t To Girls Anymore?</v>
      </c>
      <c r="E1379" s="82">
        <v>42755.0</v>
      </c>
      <c r="F1379" s="80">
        <v>253.0</v>
      </c>
      <c r="G1379" s="80" t="s">
        <v>63</v>
      </c>
      <c r="I1379" s="80" t="s">
        <v>63</v>
      </c>
      <c r="J1379" s="80">
        <v>804.0</v>
      </c>
      <c r="K1379" s="80">
        <v>0.73224043715847</v>
      </c>
      <c r="L1379" s="80" t="s">
        <v>64</v>
      </c>
    </row>
    <row r="1380">
      <c r="A1380" s="80" t="s">
        <v>1630</v>
      </c>
      <c r="B1380" s="81" t="str">
        <f>HYPERLINK("https://www.youtube.com/channel/UC_ozVYyGkVQBaaXI9jrCFqQ", "Keo Tsang")</f>
        <v>Keo Tsang</v>
      </c>
      <c r="C1380" s="80" t="s">
        <v>1631</v>
      </c>
      <c r="D1380" s="81" t="str">
        <f>HYPERLINK("https://youtube.com/watch?v=PjJEJvpfMgE", "Skipped School and Went to Japan | 京都秋•葉緣 (Cinematic Vlog)")</f>
        <v>Skipped School and Went to Japan | 京都秋•葉緣 (Cinematic Vlog)</v>
      </c>
      <c r="E1380" s="82">
        <v>43825.0</v>
      </c>
      <c r="F1380" s="80">
        <v>347.0</v>
      </c>
      <c r="G1380" s="80" t="s">
        <v>63</v>
      </c>
      <c r="I1380" s="80" t="s">
        <v>63</v>
      </c>
      <c r="J1380" s="80">
        <v>480.0</v>
      </c>
      <c r="K1380" s="80">
        <v>0.897196261682243</v>
      </c>
      <c r="L1380" s="80" t="s">
        <v>521</v>
      </c>
    </row>
    <row r="1381">
      <c r="A1381" s="80" t="s">
        <v>217</v>
      </c>
      <c r="B1381" s="81" t="str">
        <f>HYPERLINK("https://www.youtube.com/channel/UCXKg0qPRz32bs5Z4mTGF3TQ", "Stormtrooper白兵")</f>
        <v>Stormtrooper白兵</v>
      </c>
      <c r="C1381" s="80" t="s">
        <v>1632</v>
      </c>
      <c r="D1381" s="81" t="str">
        <f>HYPERLINK("https://youtube.com/watch?v=PmSL3EnRYq4", "[7月1號]跨越200年的政治呼應與隱喻，揭示香港命運－法國大革化命 vs 雙城記 vs 蝙蝠俠3—夜神起義｜現在的香港，需要什麼？｜國安大法下的香港，是最好的時代嗎？｜粵語中字")</f>
        <v>[7月1號]跨越200年的政治呼應與隱喻，揭示香港命運－法國大革化命 vs 雙城記 vs 蝙蝠俠3—夜神起義｜現在的香港，需要什麼？｜國安大法下的香港，是最好的時代嗎？｜粵語中字</v>
      </c>
      <c r="E1381" s="82">
        <v>44378.0</v>
      </c>
      <c r="F1381" s="80">
        <v>816.0</v>
      </c>
      <c r="G1381" s="80" t="s">
        <v>63</v>
      </c>
      <c r="H1381" s="80" t="s">
        <v>63</v>
      </c>
      <c r="I1381" s="80" t="s">
        <v>63</v>
      </c>
      <c r="J1381" s="80">
        <v>2954.0</v>
      </c>
      <c r="K1381" s="80">
        <v>0.866275659824047</v>
      </c>
      <c r="L1381" s="80" t="s">
        <v>86</v>
      </c>
    </row>
    <row r="1382">
      <c r="A1382" s="80" t="s">
        <v>1260</v>
      </c>
      <c r="B1382" s="81" t="str">
        <f>HYPERLINK("https://www.youtube.com/channel/UCh1k4i86BpiXEO3nzJIYynw", "The Wave")</f>
        <v>The Wave</v>
      </c>
      <c r="C1382" s="80" t="s">
        <v>1633</v>
      </c>
      <c r="D1382" s="81" t="str">
        <f>HYPERLINK("https://youtube.com/watch?v=6KmCVdmNIew", "TheWave | 你部電話其實好有可能唔防水 | IP 防護等級")</f>
        <v>TheWave | 你部電話其實好有可能唔防水 | IP 防護等級</v>
      </c>
      <c r="E1382" s="82">
        <v>43705.0</v>
      </c>
      <c r="F1382" s="80">
        <v>166.0</v>
      </c>
      <c r="G1382" s="80" t="s">
        <v>63</v>
      </c>
      <c r="H1382" s="80" t="s">
        <v>63</v>
      </c>
      <c r="I1382" s="80" t="s">
        <v>63</v>
      </c>
      <c r="J1382" s="80">
        <v>659.0</v>
      </c>
      <c r="K1382" s="80">
        <v>0.896598639455782</v>
      </c>
      <c r="L1382" s="80" t="s">
        <v>1634</v>
      </c>
    </row>
    <row r="1383">
      <c r="A1383" s="80" t="s">
        <v>74</v>
      </c>
      <c r="B1383" s="81" t="str">
        <f>HYPERLINK("https://www.youtube.com/channel/UCO_5XP-qd-udNxBlzzSzgvw", "Handline Fishing")</f>
        <v>Handline Fishing</v>
      </c>
      <c r="C1383" s="80" t="s">
        <v>1635</v>
      </c>
      <c r="D1383" s="81" t="str">
        <f>HYPERLINK("https://youtube.com/watch?v=PowSrrhkDFI", "#88 大頭艇 尋 雞 記『香港釣魚 : 艇釣』維港東 {粵語旁白+中英文字幕}")</f>
        <v>#88 大頭艇 尋 雞 記『香港釣魚 : 艇釣』維港東 {粵語旁白+中英文字幕}</v>
      </c>
      <c r="E1383" s="82">
        <v>43894.0</v>
      </c>
      <c r="F1383" s="80">
        <v>368.0</v>
      </c>
      <c r="G1383" s="80" t="s">
        <v>63</v>
      </c>
      <c r="I1383" s="80" t="s">
        <v>63</v>
      </c>
      <c r="J1383" s="80">
        <v>1087.0</v>
      </c>
      <c r="K1383" s="80">
        <v>0.954345917471466</v>
      </c>
      <c r="L1383" s="80" t="s">
        <v>76</v>
      </c>
    </row>
    <row r="1384">
      <c r="A1384" s="80" t="s">
        <v>61</v>
      </c>
      <c r="B1384" s="81" t="str">
        <f>HYPERLINK("https://www.youtube.com/channel/UCJ4XVrJuqKHbc9yF9oUFseg", "MEeeep More")</f>
        <v>MEeeep More</v>
      </c>
      <c r="C1384" s="80" t="s">
        <v>1636</v>
      </c>
      <c r="D1384" s="81" t="str">
        <f>HYPERLINK("https://youtube.com/watch?v=PpH-VzNnIik", "wifi 6 你有需要嗎？開箱 Linksys Velop MX-5300 Mesh Wi-Fi，wifi 5 vs wifi 6 測試！802.11ax WI-FI 6 路由器 MX5300")</f>
        <v>wifi 6 你有需要嗎？開箱 Linksys Velop MX-5300 Mesh Wi-Fi，wifi 5 vs wifi 6 測試！802.11ax WI-FI 6 路由器 MX5300</v>
      </c>
      <c r="E1384" s="82">
        <v>44019.0</v>
      </c>
      <c r="F1384" s="80">
        <v>235.0</v>
      </c>
      <c r="G1384" s="80" t="s">
        <v>63</v>
      </c>
      <c r="I1384" s="80" t="s">
        <v>63</v>
      </c>
      <c r="J1384" s="80">
        <v>626.0</v>
      </c>
      <c r="K1384" s="80">
        <v>0.663135593220339</v>
      </c>
      <c r="L1384" s="80" t="s">
        <v>64</v>
      </c>
    </row>
    <row r="1385">
      <c r="A1385" s="80" t="s">
        <v>1183</v>
      </c>
      <c r="B1385" s="81" t="str">
        <f>HYPERLINK("https://www.youtube.com/channel/UCPBBbFYG51QpjuptQtYfCDA", "siuwaiboy")</f>
        <v>siuwaiboy</v>
      </c>
      <c r="C1385" s="80" t="s">
        <v>1637</v>
      </c>
      <c r="D1385" s="81" t="str">
        <f>HYPERLINK("https://youtube.com/watch?v=Ps041FlT_Aw", "暑假最後衝刺")</f>
        <v>暑假最後衝刺</v>
      </c>
      <c r="E1385" s="82">
        <v>42976.0</v>
      </c>
      <c r="F1385" s="80">
        <v>45.0</v>
      </c>
      <c r="G1385" s="80" t="s">
        <v>63</v>
      </c>
      <c r="I1385" s="80" t="s">
        <v>63</v>
      </c>
      <c r="J1385" s="80">
        <v>101.0</v>
      </c>
      <c r="K1385" s="80">
        <v>0.961904761904761</v>
      </c>
      <c r="L1385" s="80" t="s">
        <v>64</v>
      </c>
    </row>
    <row r="1386">
      <c r="A1386" s="80" t="s">
        <v>61</v>
      </c>
      <c r="B1386" s="81" t="str">
        <f t="shared" ref="B1386:B1387" si="53">HYPERLINK("https://www.youtube.com/channel/UCJ4XVrJuqKHbc9yF9oUFseg", "MEeeep More")</f>
        <v>MEeeep More</v>
      </c>
      <c r="C1386" s="80" t="s">
        <v>1638</v>
      </c>
      <c r="D1386" s="81" t="str">
        <f>HYPERLINK("https://youtube.com/watch?v=Psuk9ng8RBU", "【簡易抗疫保健湯水】煲湯DIY！霸王花煲瘦肉湯話都無咁易！")</f>
        <v>【簡易抗疫保健湯水】煲湯DIY！霸王花煲瘦肉湯話都無咁易！</v>
      </c>
      <c r="E1386" s="82">
        <v>43884.0</v>
      </c>
      <c r="F1386" s="80">
        <v>211.0</v>
      </c>
      <c r="G1386" s="80" t="s">
        <v>63</v>
      </c>
      <c r="I1386" s="80" t="s">
        <v>63</v>
      </c>
      <c r="J1386" s="80">
        <v>546.0</v>
      </c>
      <c r="K1386" s="80">
        <v>0.908485856905158</v>
      </c>
      <c r="L1386" s="80" t="s">
        <v>64</v>
      </c>
    </row>
    <row r="1387">
      <c r="A1387" s="80" t="s">
        <v>61</v>
      </c>
      <c r="B1387" s="81" t="str">
        <f t="shared" si="53"/>
        <v>MEeeep More</v>
      </c>
      <c r="C1387" s="80" t="s">
        <v>1639</v>
      </c>
      <c r="D1387" s="81" t="str">
        <f>HYPERLINK("https://youtube.com/watch?v=PuWyjB7TWoc", "【突發】轉實體八達通卡落 iPhone ApplePay Smart Octopus 公共交通費用補貼嘟唔到？ 即睇官方點解釋！八達通 apple pay Smart Octopus")</f>
        <v>【突發】轉實體八達通卡落 iPhone ApplePay Smart Octopus 公共交通費用補貼嘟唔到？ 即睇官方點解釋！八達通 apple pay Smart Octopus</v>
      </c>
      <c r="E1387" s="82">
        <v>44000.0</v>
      </c>
      <c r="F1387" s="80">
        <v>113.0</v>
      </c>
      <c r="G1387" s="80" t="s">
        <v>63</v>
      </c>
      <c r="I1387" s="80" t="s">
        <v>63</v>
      </c>
      <c r="J1387" s="80">
        <v>332.0</v>
      </c>
      <c r="K1387" s="80">
        <v>0.673427991886409</v>
      </c>
      <c r="L1387" s="80" t="s">
        <v>64</v>
      </c>
    </row>
    <row r="1388">
      <c r="A1388" s="80" t="s">
        <v>1018</v>
      </c>
      <c r="B1388" s="81" t="str">
        <f>HYPERLINK("https://www.youtube.com/channel/UCAov0-xtECNVYPn46Ltifeg", "Jodieee in UK")</f>
        <v>Jodieee in UK</v>
      </c>
      <c r="C1388" s="80" t="s">
        <v>1640</v>
      </c>
      <c r="D1388" s="81" t="str">
        <f>HYPERLINK("https://youtube.com/watch?v=Pvv6uU6T5m0", "另類長洲活動？！飛去英國🇬🇧前紀錄低香港最後生活")</f>
        <v>另類長洲活動？！飛去英國🇬🇧前紀錄低香港最後生活</v>
      </c>
      <c r="E1388" s="82">
        <v>44411.0</v>
      </c>
      <c r="F1388" s="80">
        <v>329.0</v>
      </c>
      <c r="G1388" s="80" t="s">
        <v>63</v>
      </c>
      <c r="I1388" s="80" t="s">
        <v>63</v>
      </c>
      <c r="J1388" s="80">
        <v>335.0</v>
      </c>
      <c r="K1388" s="80">
        <v>0.917808219178082</v>
      </c>
      <c r="L1388" s="80" t="s">
        <v>102</v>
      </c>
    </row>
    <row r="1389">
      <c r="A1389" s="80" t="s">
        <v>69</v>
      </c>
      <c r="B1389" s="81" t="str">
        <f>HYPERLINK("https://www.youtube.com/channel/UCoVycxbCXEsd-mrP83EqVWQ", "馬米高 Michael MMG")</f>
        <v>馬米高 Michael MMG</v>
      </c>
      <c r="C1389" s="80" t="s">
        <v>1641</v>
      </c>
      <c r="D1389" s="81" t="str">
        <f>HYPERLINK("https://youtube.com/watch?v=Px6-rRB7jQU", "[笑話一汁 Juicy Joke] 我個髮型師癲左丫!!!")</f>
        <v>[笑話一汁 Juicy Joke] 我個髮型師癲左丫!!!</v>
      </c>
      <c r="E1389" s="82">
        <v>42353.0</v>
      </c>
      <c r="F1389" s="80">
        <v>150.0</v>
      </c>
      <c r="G1389" s="80" t="s">
        <v>63</v>
      </c>
      <c r="I1389" s="80" t="s">
        <v>63</v>
      </c>
      <c r="J1389" s="80">
        <v>587.0</v>
      </c>
      <c r="K1389" s="80">
        <v>0.735588972431077</v>
      </c>
      <c r="L1389" s="80" t="s">
        <v>64</v>
      </c>
    </row>
    <row r="1390">
      <c r="A1390" s="80" t="s">
        <v>140</v>
      </c>
      <c r="B1390" s="81" t="str">
        <f>HYPERLINK("https://www.youtube.com/channel/UCHK0CZf9HEXs42qIO1GUouA", "TechiCardia")</f>
        <v>TechiCardia</v>
      </c>
      <c r="C1390" s="80" t="s">
        <v>1642</v>
      </c>
      <c r="D1390" s="81" t="str">
        <f>HYPERLINK("https://youtube.com/watch?v=Q-hrguJb-yw", "【TechiCardia】RTX 3070有幾勁？ZOTAC GAMING RTX 3070 Twin Edge OC  //雙風扇短卡散熱掂唔掂？(廣東話字幕)")</f>
        <v>【TechiCardia】RTX 3070有幾勁？ZOTAC GAMING RTX 3070 Twin Edge OC  //雙風扇短卡散熱掂唔掂？(廣東話字幕)</v>
      </c>
      <c r="E1390" s="82">
        <v>44133.0</v>
      </c>
      <c r="F1390" s="80">
        <v>579.0</v>
      </c>
      <c r="G1390" s="80" t="s">
        <v>63</v>
      </c>
      <c r="I1390" s="80" t="s">
        <v>63</v>
      </c>
      <c r="J1390" s="80">
        <v>1852.0</v>
      </c>
      <c r="K1390" s="80">
        <v>0.644622345979812</v>
      </c>
      <c r="L1390" s="80" t="s">
        <v>102</v>
      </c>
    </row>
    <row r="1391">
      <c r="A1391" s="80" t="s">
        <v>1007</v>
      </c>
      <c r="B1391" s="81" t="str">
        <f>HYPERLINK("https://www.youtube.com/channel/UCCzgNTkFyDel0FDJtVNgEtQ", "香港人. 德國讀書之【真.洗濕左個頭.無得返轉頭】Miss Chan Life in Germany")</f>
        <v>香港人. 德國讀書之【真.洗濕左個頭.無得返轉頭】Miss Chan Life in Germany</v>
      </c>
      <c r="C1391" s="80" t="s">
        <v>1643</v>
      </c>
      <c r="D1391" s="81" t="str">
        <f>HYPERLINK("https://youtube.com/watch?v=Q10XLnNKo1U", "【和你- 在德國Lockdown 下 夜遊德國科隆 Köln】 (下集) (香港人製作. 廣東話)")</f>
        <v>【和你- 在德國Lockdown 下 夜遊德國科隆 Köln】 (下集) (香港人製作. 廣東話)</v>
      </c>
      <c r="E1391" s="82">
        <v>44182.0</v>
      </c>
      <c r="F1391" s="80">
        <v>190.0</v>
      </c>
      <c r="G1391" s="80" t="s">
        <v>63</v>
      </c>
      <c r="I1391" s="80" t="s">
        <v>63</v>
      </c>
      <c r="J1391" s="80">
        <v>708.0</v>
      </c>
      <c r="K1391" s="80">
        <v>0.907692307692307</v>
      </c>
      <c r="L1391" s="80" t="s">
        <v>64</v>
      </c>
    </row>
    <row r="1392">
      <c r="A1392" s="80" t="s">
        <v>1039</v>
      </c>
      <c r="B1392" s="81" t="str">
        <f>HYPERLINK("https://www.youtube.com/channel/UCiKEIxbv4RTzyLCKG17N-AA", "Hunting Archer")</f>
        <v>Hunting Archer</v>
      </c>
      <c r="C1392" s="80" t="s">
        <v>1644</v>
      </c>
      <c r="D1392" s="81" t="str">
        <f>HYPERLINK("https://youtube.com/watch?v=Q55luNPmcDo", "【广州漫步】 驾游环市路探寻广州繁华路段背后的故事 【Walk in GuangZhou】（粤语中字）")</f>
        <v>【广州漫步】 驾游环市路探寻广州繁华路段背后的故事 【Walk in GuangZhou】（粤语中字）</v>
      </c>
      <c r="E1392" s="82">
        <v>44298.0</v>
      </c>
      <c r="F1392" s="80">
        <v>2387.0</v>
      </c>
      <c r="G1392" s="80" t="s">
        <v>63</v>
      </c>
      <c r="I1392" s="80" t="s">
        <v>63</v>
      </c>
      <c r="J1392" s="80">
        <v>8297.0</v>
      </c>
      <c r="K1392" s="80">
        <v>0.991396821603536</v>
      </c>
      <c r="L1392" s="80" t="s">
        <v>757</v>
      </c>
    </row>
    <row r="1393">
      <c r="A1393" s="80" t="s">
        <v>217</v>
      </c>
      <c r="B1393" s="81" t="str">
        <f>HYPERLINK("https://www.youtube.com/channel/UCXKg0qPRz32bs5Z4mTGF3TQ", "Stormtrooper白兵")</f>
        <v>Stormtrooper白兵</v>
      </c>
      <c r="C1393" s="80" t="s">
        <v>1645</v>
      </c>
      <c r="D1393" s="81" t="str">
        <f>HYPERLINK("https://youtube.com/watch?v=Q8LvXjgNbKI", "你是魯迅眼中的聰明人嗎？｜解讀魯迅《聰明人和傻子和奴才》｜揭示中國人積重百年的劣根性｜香港人和大陸人有分別嗎？｜粵語中字")</f>
        <v>你是魯迅眼中的聰明人嗎？｜解讀魯迅《聰明人和傻子和奴才》｜揭示中國人積重百年的劣根性｜香港人和大陸人有分別嗎？｜粵語中字</v>
      </c>
      <c r="E1393" s="82">
        <v>44399.0</v>
      </c>
      <c r="F1393" s="80">
        <v>893.0</v>
      </c>
      <c r="G1393" s="80" t="s">
        <v>63</v>
      </c>
      <c r="H1393" s="80" t="s">
        <v>63</v>
      </c>
      <c r="I1393" s="80" t="s">
        <v>63</v>
      </c>
      <c r="J1393" s="80">
        <v>3424.0</v>
      </c>
      <c r="K1393" s="80">
        <v>0.97086818575137</v>
      </c>
      <c r="L1393" s="80" t="s">
        <v>86</v>
      </c>
    </row>
    <row r="1394">
      <c r="A1394" s="80" t="s">
        <v>121</v>
      </c>
      <c r="B1394" s="81" t="str">
        <f>HYPERLINK("https://www.youtube.com/channel/UC-2hWXRgCg-o5Waz36Yt7BA", "Arm Channel TV")</f>
        <v>Arm Channel TV</v>
      </c>
      <c r="C1394" s="80" t="s">
        <v>1646</v>
      </c>
      <c r="D1394" s="81" t="str">
        <f>HYPERLINK("https://youtube.com/watch?v=QCa-pZdgPBQ", "🤦著住波衫落場🤦我要做足球員⚽️ | 不怕隔離睇好波 EP05")</f>
        <v>🤦著住波衫落場🤦我要做足球員⚽️ | 不怕隔離睇好波 EP05</v>
      </c>
      <c r="E1394" s="82">
        <v>44358.0</v>
      </c>
      <c r="F1394" s="80">
        <v>405.0</v>
      </c>
      <c r="G1394" s="80" t="s">
        <v>63</v>
      </c>
      <c r="I1394" s="80" t="s">
        <v>63</v>
      </c>
      <c r="J1394" s="80">
        <v>1097.0</v>
      </c>
      <c r="K1394" s="80">
        <v>0.981216457960644</v>
      </c>
      <c r="L1394" s="80" t="s">
        <v>64</v>
      </c>
    </row>
    <row r="1395">
      <c r="A1395" s="80" t="s">
        <v>1007</v>
      </c>
      <c r="B1395" s="81" t="str">
        <f>HYPERLINK("https://www.youtube.com/channel/UCCzgNTkFyDel0FDJtVNgEtQ", "香港人. 德國讀書之【真.洗濕左個頭.無得返轉頭】Miss Chan Life in Germany")</f>
        <v>香港人. 德國讀書之【真.洗濕左個頭.無得返轉頭】Miss Chan Life in Germany</v>
      </c>
      <c r="C1395" s="80" t="s">
        <v>1647</v>
      </c>
      <c r="D1395" s="81" t="str">
        <f>HYPERLINK("https://youtube.com/watch?v=QHVXittAWzE", "【德國無菌旅行團 】之土耳其系列｜超市篇 - 上集｜同香港街市有得 fight｜蔬菜生果｜麵包｜茶｜咖啡｜(香港人製作. 廣東話. 中文字幕)")</f>
        <v>【德國無菌旅行團 】之土耳其系列｜超市篇 - 上集｜同香港街市有得 fight｜蔬菜生果｜麵包｜茶｜咖啡｜(香港人製作. 廣東話. 中文字幕)</v>
      </c>
      <c r="E1395" s="82">
        <v>44394.0</v>
      </c>
      <c r="F1395" s="80">
        <v>351.0</v>
      </c>
      <c r="G1395" s="80" t="s">
        <v>63</v>
      </c>
      <c r="I1395" s="80" t="s">
        <v>63</v>
      </c>
      <c r="J1395" s="80">
        <v>1594.0</v>
      </c>
      <c r="K1395" s="80">
        <v>0.906712172923777</v>
      </c>
      <c r="L1395" s="80" t="s">
        <v>64</v>
      </c>
    </row>
    <row r="1396">
      <c r="A1396" s="80" t="s">
        <v>74</v>
      </c>
      <c r="B1396" s="81" t="str">
        <f>HYPERLINK("https://www.youtube.com/channel/UCO_5XP-qd-udNxBlzzSzgvw", "Handline Fishing")</f>
        <v>Handline Fishing</v>
      </c>
      <c r="C1396" s="80" t="s">
        <v>1648</v>
      </c>
      <c r="D1396" s="81" t="str">
        <f>HYPERLINK("https://youtube.com/watch?v=QIYvFIz9CPk", "#96 筏仔集郵好去處 同場加映俊男美女 爽呀『香港釣魚 : 岸釣』數碼港 {粵語旁白+中英文字幕}")</f>
        <v>#96 筏仔集郵好去處 同場加映俊男美女 爽呀『香港釣魚 : 岸釣』數碼港 {粵語旁白+中英文字幕}</v>
      </c>
      <c r="E1396" s="82">
        <v>43914.0</v>
      </c>
      <c r="F1396" s="80">
        <v>292.0</v>
      </c>
      <c r="G1396" s="80" t="s">
        <v>63</v>
      </c>
      <c r="I1396" s="80" t="s">
        <v>63</v>
      </c>
      <c r="J1396" s="80">
        <v>926.0</v>
      </c>
      <c r="K1396" s="80">
        <v>0.962577962577962</v>
      </c>
      <c r="L1396" s="80" t="s">
        <v>76</v>
      </c>
    </row>
    <row r="1397">
      <c r="A1397" s="80" t="s">
        <v>89</v>
      </c>
      <c r="B1397" s="81" t="str">
        <f>HYPERLINK("https://www.youtube.com/channel/UClc7lRdOhLxh3orjosY1R7g", "三木大師")</f>
        <v>三木大師</v>
      </c>
      <c r="C1397" s="80" t="s">
        <v>1649</v>
      </c>
      <c r="D1397" s="81" t="str">
        <f>HYPERLINK("https://youtube.com/watch?v=QMPe8zsg5k0", "Billy Meier 比利·麥爾 系列 - 昂宿星 外星人 - UFO及超自然力量 簡介")</f>
        <v>Billy Meier 比利·麥爾 系列 - 昂宿星 外星人 - UFO及超自然力量 簡介</v>
      </c>
      <c r="E1397" s="82">
        <v>43959.0</v>
      </c>
      <c r="F1397" s="80">
        <v>569.0</v>
      </c>
      <c r="G1397" s="80" t="s">
        <v>63</v>
      </c>
      <c r="I1397" s="80" t="s">
        <v>63</v>
      </c>
      <c r="J1397" s="80">
        <v>1404.0</v>
      </c>
      <c r="K1397" s="80">
        <v>0.900577293136626</v>
      </c>
      <c r="L1397" s="80" t="s">
        <v>91</v>
      </c>
    </row>
    <row r="1398">
      <c r="A1398" s="80" t="s">
        <v>71</v>
      </c>
      <c r="B1398" s="81" t="str">
        <f>HYPERLINK("https://www.youtube.com/channel/UCXTE-gQCetfrx_lC9yFM2aw", "arhoTV")</f>
        <v>arhoTV</v>
      </c>
      <c r="C1398" s="80" t="s">
        <v>1650</v>
      </c>
      <c r="D1398" s="81" t="str">
        <f>HYPERLINK("https://youtube.com/watch?v=QMYx_h_n66A", "【日常】愚人節告白大作戰！")</f>
        <v>【日常】愚人節告白大作戰！</v>
      </c>
      <c r="E1398" s="82">
        <v>42826.0</v>
      </c>
      <c r="F1398" s="80">
        <v>111.0</v>
      </c>
      <c r="G1398" s="80" t="s">
        <v>63</v>
      </c>
      <c r="H1398" s="80" t="s">
        <v>63</v>
      </c>
      <c r="I1398" s="80" t="s">
        <v>63</v>
      </c>
      <c r="J1398" s="80">
        <v>494.0</v>
      </c>
      <c r="K1398" s="80">
        <v>0.886894075403949</v>
      </c>
      <c r="L1398" s="80" t="s">
        <v>86</v>
      </c>
    </row>
    <row r="1399">
      <c r="A1399" s="80" t="s">
        <v>1118</v>
      </c>
      <c r="B1399" s="81" t="str">
        <f>HYPERLINK("https://www.youtube.com/channel/UCeyXZA7ofepOhL9Z9BATC1w", "80後夫婦移英日記 80s Couple UK Diary")</f>
        <v>80後夫婦移英日記 80s Couple UK Diary</v>
      </c>
      <c r="C1399" s="80" t="s">
        <v>1651</v>
      </c>
      <c r="D1399" s="81" t="str">
        <f>HYPERLINK("https://youtube.com/watch?v=QM_qXqP1lAk", "只係用左兩日，就成功搵到工啦!! 今次等老公同大家分享下移英兩星期內番嘅第一份工!!")</f>
        <v>只係用左兩日，就成功搵到工啦!! 今次等老公同大家分享下移英兩星期內番嘅第一份工!!</v>
      </c>
      <c r="E1399" s="82">
        <v>44426.0</v>
      </c>
      <c r="F1399" s="80">
        <v>909.0</v>
      </c>
      <c r="G1399" s="80" t="s">
        <v>63</v>
      </c>
      <c r="I1399" s="80" t="s">
        <v>63</v>
      </c>
      <c r="J1399" s="80">
        <v>2672.0</v>
      </c>
      <c r="K1399" s="80">
        <v>0.878369493754109</v>
      </c>
      <c r="L1399" s="80" t="s">
        <v>102</v>
      </c>
    </row>
    <row r="1400">
      <c r="A1400" s="80" t="s">
        <v>1007</v>
      </c>
      <c r="B1400" s="81" t="str">
        <f>HYPERLINK("https://www.youtube.com/channel/UCCzgNTkFyDel0FDJtVNgEtQ", "香港人. 德國讀書之【真.洗濕左個頭.無得返轉頭】Miss Chan Life in Germany")</f>
        <v>香港人. 德國讀書之【真.洗濕左個頭.無得返轉頭】Miss Chan Life in Germany</v>
      </c>
      <c r="C1400" s="80" t="s">
        <v>1652</v>
      </c>
      <c r="D1400" s="81" t="str">
        <f>HYPERLINK("https://youtube.com/watch?v=QXt1iEbvAfU", "【德國無菌旅行團 】之土耳其系列｜試食篇 - 第一集｜麵包小食｜我們在德國認識既土耳其｜(香港人製作. 廣東話. 中文字幕)")</f>
        <v>【德國無菌旅行團 】之土耳其系列｜試食篇 - 第一集｜麵包小食｜我們在德國認識既土耳其｜(香港人製作. 廣東話. 中文字幕)</v>
      </c>
      <c r="E1400" s="82">
        <v>44404.0</v>
      </c>
      <c r="F1400" s="80">
        <v>935.0</v>
      </c>
      <c r="G1400" s="80" t="s">
        <v>63</v>
      </c>
      <c r="I1400" s="80" t="s">
        <v>63</v>
      </c>
      <c r="J1400" s="80">
        <v>3781.0</v>
      </c>
      <c r="K1400" s="80">
        <v>0.862651152178872</v>
      </c>
      <c r="L1400" s="80" t="s">
        <v>64</v>
      </c>
    </row>
    <row r="1401">
      <c r="A1401" s="80" t="s">
        <v>71</v>
      </c>
      <c r="B1401" s="81" t="str">
        <f>HYPERLINK("https://www.youtube.com/channel/UCXTE-gQCetfrx_lC9yFM2aw", "arhoTV")</f>
        <v>arhoTV</v>
      </c>
      <c r="C1401" s="80" t="s">
        <v>1653</v>
      </c>
      <c r="D1401" s="81" t="str">
        <f>HYPERLINK("https://youtube.com/watch?v=Qal5ti9gbNU", "【飲食】100元一盒的海膽罐頭！")</f>
        <v>【飲食】100元一盒的海膽罐頭！</v>
      </c>
      <c r="E1401" s="82">
        <v>43062.0</v>
      </c>
      <c r="F1401" s="80">
        <v>179.0</v>
      </c>
      <c r="G1401" s="80" t="s">
        <v>63</v>
      </c>
      <c r="I1401" s="80" t="s">
        <v>63</v>
      </c>
      <c r="J1401" s="80">
        <v>719.0</v>
      </c>
      <c r="K1401" s="80">
        <v>0.907828282828282</v>
      </c>
      <c r="L1401" s="80" t="s">
        <v>64</v>
      </c>
    </row>
    <row r="1402">
      <c r="A1402" s="80" t="s">
        <v>74</v>
      </c>
      <c r="B1402" s="81" t="str">
        <f>HYPERLINK("https://www.youtube.com/channel/UCO_5XP-qd-udNxBlzzSzgvw", "Handline Fishing")</f>
        <v>Handline Fishing</v>
      </c>
      <c r="C1402" s="80" t="s">
        <v>1654</v>
      </c>
      <c r="D1402" s="81" t="str">
        <f>HYPERLINK("https://youtube.com/watch?v=QcuoAFVeyFg", "#145 日夜水櫃底之旅...爆釣青鱸 | 『香港釣魚  艇釣』櫃底 {粵語旁白+中英文字幕}")</f>
        <v>#145 日夜水櫃底之旅...爆釣青鱸 | 『香港釣魚  艇釣』櫃底 {粵語旁白+中英文字幕}</v>
      </c>
      <c r="E1402" s="82">
        <v>44078.0</v>
      </c>
      <c r="F1402" s="80">
        <v>565.0</v>
      </c>
      <c r="G1402" s="80" t="s">
        <v>63</v>
      </c>
      <c r="I1402" s="80" t="s">
        <v>63</v>
      </c>
      <c r="J1402" s="80">
        <v>967.0</v>
      </c>
      <c r="K1402" s="80">
        <v>0.972837022132796</v>
      </c>
      <c r="L1402" s="80" t="s">
        <v>1105</v>
      </c>
    </row>
    <row r="1403">
      <c r="A1403" s="80" t="s">
        <v>1310</v>
      </c>
      <c r="B1403" s="81" t="str">
        <f>HYPERLINK("https://www.youtube.com/channel/UC0-DuAJ8XNn3RH1aevvJWgA", "TomorrowLAN CSGO")</f>
        <v>TomorrowLAN CSGO</v>
      </c>
      <c r="C1403" s="80" t="s">
        <v>1655</v>
      </c>
      <c r="D1403" s="81" t="str">
        <f>HYPERLINK("https://youtube.com/watch?v=QdXHhiv9sos", "[BTRG.HK] JeffvanB, HeiB: 估唔到會打nuke, Outlaws未發揮自己水準 [WESG 2018香港區冠軍]")</f>
        <v>[BTRG.HK] JeffvanB, HeiB: 估唔到會打nuke, Outlaws未發揮自己水準 [WESG 2018香港區冠軍]</v>
      </c>
      <c r="E1403" s="82">
        <v>43416.0</v>
      </c>
      <c r="F1403" s="80">
        <v>186.0</v>
      </c>
      <c r="G1403" s="80" t="s">
        <v>63</v>
      </c>
      <c r="I1403" s="80" t="s">
        <v>63</v>
      </c>
      <c r="J1403" s="80">
        <v>454.0</v>
      </c>
      <c r="K1403" s="80">
        <v>0.714960629921259</v>
      </c>
      <c r="L1403" s="80" t="s">
        <v>64</v>
      </c>
    </row>
    <row r="1404">
      <c r="A1404" s="80" t="s">
        <v>121</v>
      </c>
      <c r="B1404" s="81" t="str">
        <f>HYPERLINK("https://www.youtube.com/channel/UC-2hWXRgCg-o5Waz36Yt7BA", "Arm Channel TV")</f>
        <v>Arm Channel TV</v>
      </c>
      <c r="C1404" s="80" t="s">
        <v>1656</v>
      </c>
      <c r="D1404" s="81" t="str">
        <f>HYPERLINK("https://youtube.com/watch?v=Qe_nvSLKCSk", "🇬🇧為咗仔女做移民逃兵？ | 拍拍囉柚去英國#02")</f>
        <v>🇬🇧為咗仔女做移民逃兵？ | 拍拍囉柚去英國#02</v>
      </c>
      <c r="E1404" s="82">
        <v>44312.0</v>
      </c>
      <c r="F1404" s="80">
        <v>750.0</v>
      </c>
      <c r="G1404" s="80" t="s">
        <v>63</v>
      </c>
      <c r="I1404" s="80" t="s">
        <v>63</v>
      </c>
      <c r="J1404" s="80">
        <v>2068.0</v>
      </c>
      <c r="K1404" s="80">
        <v>0.970436414828718</v>
      </c>
      <c r="L1404" s="80" t="s">
        <v>64</v>
      </c>
    </row>
    <row r="1405">
      <c r="A1405" s="80" t="s">
        <v>61</v>
      </c>
      <c r="B1405" s="81" t="str">
        <f>HYPERLINK("https://www.youtube.com/channel/UCJ4XVrJuqKHbc9yF9oUFseg", "MEeeep More")</f>
        <v>MEeeep More</v>
      </c>
      <c r="C1405" s="80" t="s">
        <v>1657</v>
      </c>
      <c r="D1405" s="81" t="str">
        <f>HYPERLINK("https://youtube.com/watch?v=QfCh4Z3mpwA", "[2021咖啡機推介] Thanko My Barista 日本雙用式咖啡機 磨豆沖粉一機完成 家用/辦公室不二之選 | 評價開箱 咖啡機2021 nespresso nescafe delonghi")</f>
        <v>[2021咖啡機推介] Thanko My Barista 日本雙用式咖啡機 磨豆沖粉一機完成 家用/辦公室不二之選 | 評價開箱 咖啡機2021 nespresso nescafe delonghi</v>
      </c>
      <c r="E1405" s="82">
        <v>44280.0</v>
      </c>
      <c r="F1405" s="80">
        <v>176.0</v>
      </c>
      <c r="G1405" s="80" t="s">
        <v>63</v>
      </c>
      <c r="I1405" s="80" t="s">
        <v>63</v>
      </c>
      <c r="J1405" s="80">
        <v>480.0</v>
      </c>
      <c r="K1405" s="80">
        <v>0.808080808080808</v>
      </c>
      <c r="L1405" s="80" t="s">
        <v>64</v>
      </c>
    </row>
    <row r="1406">
      <c r="A1406" s="80" t="s">
        <v>78</v>
      </c>
      <c r="B1406" s="81" t="str">
        <f>HYPERLINK("https://www.youtube.com/channel/UCXnWjmQ8BDE0sDIeZLK5yJg", "點 Cook Guide")</f>
        <v>點 Cook Guide</v>
      </c>
      <c r="C1406" s="80" t="s">
        <v>1658</v>
      </c>
      <c r="D1406" s="81" t="str">
        <f>HYPERLINK("https://youtube.com/watch?v=Qgw5d1Gre0A", "我的行李 帶多件器材定帶多條底褲 [東京求學之旅]")</f>
        <v>我的行李 帶多件器材定帶多條底褲 [東京求學之旅]</v>
      </c>
      <c r="E1406" s="82">
        <v>42832.0</v>
      </c>
      <c r="F1406" s="80">
        <v>279.0</v>
      </c>
      <c r="G1406" s="80" t="s">
        <v>63</v>
      </c>
      <c r="H1406" s="80" t="s">
        <v>63</v>
      </c>
      <c r="I1406" s="80" t="s">
        <v>63</v>
      </c>
      <c r="J1406" s="80">
        <v>780.0</v>
      </c>
      <c r="K1406" s="80">
        <v>0.975206611570247</v>
      </c>
      <c r="L1406" s="80" t="s">
        <v>86</v>
      </c>
    </row>
    <row r="1407">
      <c r="A1407" s="80" t="s">
        <v>1007</v>
      </c>
      <c r="B1407" s="81" t="str">
        <f>HYPERLINK("https://www.youtube.com/channel/UCCzgNTkFyDel0FDJtVNgEtQ", "香港人. 德國讀書之【真.洗濕左個頭.無得返轉頭】Miss Chan Life in Germany")</f>
        <v>香港人. 德國讀書之【真.洗濕左個頭.無得返轉頭】Miss Chan Life in Germany</v>
      </c>
      <c r="C1407" s="80" t="s">
        <v>1659</v>
      </c>
      <c r="D1407" s="81" t="str">
        <f>HYPERLINK("https://youtube.com/watch?v=QkV28sV4nOU", "【德國無菌旅行團 】之土耳其系列｜試食篇 - 第二集｜土耳其葡萄葉捲飯｜Miss Chan 恐怖生吞橄欖｜ 芝士麵包醬 (香港人製作. 廣東話. 中文字幕)")</f>
        <v>【德國無菌旅行團 】之土耳其系列｜試食篇 - 第二集｜土耳其葡萄葉捲飯｜Miss Chan 恐怖生吞橄欖｜ 芝士麵包醬 (香港人製作. 廣東話. 中文字幕)</v>
      </c>
      <c r="E1407" s="82">
        <v>44411.0</v>
      </c>
      <c r="F1407" s="80">
        <v>718.0</v>
      </c>
      <c r="G1407" s="80" t="s">
        <v>63</v>
      </c>
      <c r="I1407" s="80" t="s">
        <v>63</v>
      </c>
      <c r="J1407" s="80">
        <v>2883.0</v>
      </c>
      <c r="K1407" s="80">
        <v>0.872842870118074</v>
      </c>
      <c r="L1407" s="80" t="s">
        <v>64</v>
      </c>
    </row>
    <row r="1408">
      <c r="A1408" s="80" t="s">
        <v>1069</v>
      </c>
      <c r="B1408" s="81" t="str">
        <f>HYPERLINK("https://www.youtube.com/channel/UCAnpoZYvOIZUPp66LrWl9OA", "Leave Your Mark")</f>
        <v>Leave Your Mark</v>
      </c>
      <c r="C1408" s="80" t="s">
        <v>1660</v>
      </c>
      <c r="D1408" s="81" t="str">
        <f>HYPERLINK("https://youtube.com/watch?v=QkYeni-p3P0", "#8 恭碩良 //我來，只為娛樂大家//")</f>
        <v>#8 恭碩良 //我來，只為娛樂大家//</v>
      </c>
      <c r="E1408" s="82">
        <v>42618.0</v>
      </c>
      <c r="F1408" s="80">
        <v>136.0</v>
      </c>
      <c r="G1408" s="80" t="s">
        <v>63</v>
      </c>
      <c r="I1408" s="80" t="s">
        <v>63</v>
      </c>
      <c r="J1408" s="80">
        <v>365.0</v>
      </c>
      <c r="K1408" s="80">
        <v>0.602310231023102</v>
      </c>
      <c r="L1408" s="80" t="s">
        <v>1071</v>
      </c>
    </row>
    <row r="1409">
      <c r="A1409" s="80" t="s">
        <v>219</v>
      </c>
      <c r="B1409" s="81" t="str">
        <f>HYPERLINK("https://www.youtube.com/channel/UC9_PnptBIpNF0JXbJjd8TsQ", "Brown's Channel")</f>
        <v>Brown's Channel</v>
      </c>
      <c r="C1409" s="80" t="s">
        <v>1661</v>
      </c>
      <c r="D1409" s="81" t="str">
        <f>HYPERLINK("https://youtube.com/watch?v=QpDDpv5tUoY", "【Brown’s vlog @深圳】#1-1－喜茶 Lab")</f>
        <v>【Brown’s vlog @深圳】#1-1－喜茶 Lab</v>
      </c>
      <c r="E1409" s="82">
        <v>43793.0</v>
      </c>
      <c r="F1409" s="80">
        <v>321.0</v>
      </c>
      <c r="G1409" s="80" t="s">
        <v>63</v>
      </c>
      <c r="I1409" s="80" t="s">
        <v>63</v>
      </c>
      <c r="J1409" s="80">
        <v>843.0</v>
      </c>
      <c r="K1409" s="80">
        <v>0.828094302554027</v>
      </c>
      <c r="L1409" s="80" t="s">
        <v>64</v>
      </c>
    </row>
    <row r="1410">
      <c r="A1410" s="80" t="s">
        <v>71</v>
      </c>
      <c r="B1410" s="81" t="str">
        <f>HYPERLINK("https://www.youtube.com/channel/UCXTE-gQCetfrx_lC9yFM2aw", "arhoTV")</f>
        <v>arhoTV</v>
      </c>
      <c r="C1410" s="80" t="s">
        <v>1662</v>
      </c>
      <c r="D1410" s="81" t="str">
        <f>HYPERLINK("https://youtube.com/watch?v=QpolcXpqnEE", "【美容】傻仔幫我化妝 【Stupid boy Does My Makeup】")</f>
        <v>【美容】傻仔幫我化妝 【Stupid boy Does My Makeup】</v>
      </c>
      <c r="E1410" s="82">
        <v>42733.0</v>
      </c>
      <c r="F1410" s="80">
        <v>228.0</v>
      </c>
      <c r="G1410" s="80" t="s">
        <v>63</v>
      </c>
      <c r="H1410" s="80" t="s">
        <v>63</v>
      </c>
      <c r="I1410" s="80" t="s">
        <v>63</v>
      </c>
      <c r="J1410" s="80">
        <v>1129.0</v>
      </c>
      <c r="K1410" s="80">
        <v>0.926645091693635</v>
      </c>
      <c r="L1410" s="80" t="s">
        <v>86</v>
      </c>
    </row>
    <row r="1411">
      <c r="A1411" s="80" t="s">
        <v>217</v>
      </c>
      <c r="B1411" s="81" t="str">
        <f>HYPERLINK("https://www.youtube.com/channel/UCXKg0qPRz32bs5Z4mTGF3TQ", "Stormtrooper白兵")</f>
        <v>Stormtrooper白兵</v>
      </c>
      <c r="C1411" s="80" t="s">
        <v>1663</v>
      </c>
      <c r="D1411" s="81" t="str">
        <f>HYPERLINK("https://youtube.com/watch?v=QrUi5RUq-Sc", "[不是陰謀論]特朗普任內最強敵人－潛藏美國政府背後的影子政府｜深層國家都要睇佢面色？｜權力比總統更大｜掌控情報等於掌控一切｜凌駕法律的龐然大物｜粵語中字")</f>
        <v>[不是陰謀論]特朗普任內最強敵人－潛藏美國政府背後的影子政府｜深層國家都要睇佢面色？｜權力比總統更大｜掌控情報等於掌控一切｜凌駕法律的龐然大物｜粵語中字</v>
      </c>
      <c r="E1411" s="82">
        <v>44329.0</v>
      </c>
      <c r="F1411" s="80">
        <v>1161.0</v>
      </c>
      <c r="G1411" s="80" t="s">
        <v>63</v>
      </c>
      <c r="H1411" s="80" t="s">
        <v>63</v>
      </c>
      <c r="I1411" s="80" t="s">
        <v>63</v>
      </c>
      <c r="J1411" s="80">
        <v>4909.0</v>
      </c>
      <c r="K1411" s="80">
        <v>0.893845593590677</v>
      </c>
      <c r="L1411" s="80" t="s">
        <v>86</v>
      </c>
    </row>
    <row r="1412">
      <c r="A1412" s="80" t="s">
        <v>112</v>
      </c>
      <c r="B1412" s="81" t="str">
        <f>HYPERLINK("https://www.youtube.com/channel/UCW_n_gfIv4HhRqCk8EnRhJA", "Happy Kongner")</f>
        <v>Happy Kongner</v>
      </c>
      <c r="C1412" s="80" t="s">
        <v>1664</v>
      </c>
      <c r="D1412" s="81" t="str">
        <f>HYPERLINK("https://youtube.com/watch?v=QtbhlLyyDhw", "美帝的籃球x字得其樂  ""四月一日特別篇"" —字體介紹: Spencerian")</f>
        <v>美帝的籃球x字得其樂  "四月一日特別篇" —字體介紹: Spencerian</v>
      </c>
      <c r="E1412" s="82">
        <v>43555.0</v>
      </c>
      <c r="F1412" s="80">
        <v>1021.0</v>
      </c>
      <c r="G1412" s="80" t="s">
        <v>63</v>
      </c>
      <c r="I1412" s="80" t="s">
        <v>63</v>
      </c>
      <c r="J1412" s="80">
        <v>824.0</v>
      </c>
      <c r="K1412" s="80">
        <v>0.705479452054794</v>
      </c>
      <c r="L1412" s="80" t="s">
        <v>64</v>
      </c>
    </row>
    <row r="1413">
      <c r="A1413" s="80" t="s">
        <v>61</v>
      </c>
      <c r="B1413" s="81" t="str">
        <f>HYPERLINK("https://www.youtube.com/channel/UCJ4XVrJuqKHbc9yF9oUFseg", "MEeeep More")</f>
        <v>MEeeep More</v>
      </c>
      <c r="C1413" s="80" t="s">
        <v>1665</v>
      </c>
      <c r="D1413" s="81" t="str">
        <f>HYPERLINK("https://youtube.com/watch?v=Qw3E56OLNX4", "CSL全新儲值卡系列 月費$38 無限數據 再送500分鐘 漫遊數據$48用足成個旅程！prepaid SIM birdie roaming")</f>
        <v>CSL全新儲值卡系列 月費$38 無限數據 再送500分鐘 漫遊數據$48用足成個旅程！prepaid SIM birdie roaming</v>
      </c>
      <c r="E1413" s="82">
        <v>44103.0</v>
      </c>
      <c r="F1413" s="80">
        <v>139.0</v>
      </c>
      <c r="G1413" s="80" t="s">
        <v>63</v>
      </c>
      <c r="I1413" s="80" t="s">
        <v>63</v>
      </c>
      <c r="J1413" s="80">
        <v>381.0</v>
      </c>
      <c r="K1413" s="80">
        <v>0.790456431535269</v>
      </c>
      <c r="L1413" s="80" t="s">
        <v>64</v>
      </c>
    </row>
    <row r="1414">
      <c r="A1414" s="80" t="s">
        <v>69</v>
      </c>
      <c r="B1414" s="81" t="str">
        <f>HYPERLINK("https://www.youtube.com/channel/UCoVycxbCXEsd-mrP83EqVWQ", "馬米高 Michael MMG")</f>
        <v>馬米高 Michael MMG</v>
      </c>
      <c r="C1414" s="80" t="s">
        <v>1666</v>
      </c>
      <c r="D1414" s="81" t="str">
        <f>HYPERLINK("https://youtube.com/watch?v=QxOIgK4hL5E", "【BNO平權】為什麼外國人不跟我玩（繼續發放未曝光醜照）")</f>
        <v>【BNO平權】為什麼外國人不跟我玩（繼續發放未曝光醜照）</v>
      </c>
      <c r="E1414" s="82">
        <v>44082.0</v>
      </c>
      <c r="F1414" s="80">
        <v>683.0</v>
      </c>
      <c r="G1414" s="80" t="s">
        <v>63</v>
      </c>
      <c r="I1414" s="80" t="s">
        <v>63</v>
      </c>
      <c r="J1414" s="80">
        <v>2179.0</v>
      </c>
      <c r="K1414" s="80">
        <v>0.8716</v>
      </c>
      <c r="L1414" s="80" t="s">
        <v>820</v>
      </c>
    </row>
    <row r="1415">
      <c r="A1415" s="80" t="s">
        <v>1082</v>
      </c>
      <c r="B1415" s="81" t="str">
        <f>HYPERLINK("https://www.youtube.com/channel/UCMosCy_NDf55rDQhzdX_h3w", "熊熊兒童音樂 Bear Music Ltd.")</f>
        <v>熊熊兒童音樂 Bear Music Ltd.</v>
      </c>
      <c r="C1415" s="80" t="s">
        <v>1667</v>
      </c>
      <c r="D1415" s="81" t="str">
        <f>HYPERLINK("https://youtube.com/watch?v=QzgmQowGWMk", "熊熊粵語兒童故事精選｜聽故事．講故事｜第五輯 （不關我事的小胖）")</f>
        <v>熊熊粵語兒童故事精選｜聽故事．講故事｜第五輯 （不關我事的小胖）</v>
      </c>
      <c r="E1415" s="82">
        <v>43571.0</v>
      </c>
      <c r="F1415" s="80">
        <v>1021.0</v>
      </c>
      <c r="G1415" s="80" t="s">
        <v>63</v>
      </c>
      <c r="I1415" s="80" t="s">
        <v>63</v>
      </c>
      <c r="J1415" s="80">
        <v>1516.0</v>
      </c>
      <c r="K1415" s="80">
        <v>0.998025016458196</v>
      </c>
      <c r="L1415" s="80" t="s">
        <v>64</v>
      </c>
    </row>
    <row r="1416">
      <c r="A1416" s="80" t="s">
        <v>61</v>
      </c>
      <c r="B1416" s="81" t="str">
        <f t="shared" ref="B1416:B1417" si="54">HYPERLINK("https://www.youtube.com/channel/UCJ4XVrJuqKHbc9yF9oUFseg", "MEeeep More")</f>
        <v>MEeeep More</v>
      </c>
      <c r="C1416" s="80" t="s">
        <v>1668</v>
      </c>
      <c r="D1416" s="81" t="str">
        <f>HYPERLINK("https://youtube.com/watch?v=R-Up_auP_pw", "Samsung Galaxy A22 5G | 更低門檻享有5G 入門級媲美中階級 5G 機? | a22 5g galaxy a32")</f>
        <v>Samsung Galaxy A22 5G | 更低門檻享有5G 入門級媲美中階級 5G 機? | a22 5g galaxy a32</v>
      </c>
      <c r="E1416" s="82">
        <v>44354.0</v>
      </c>
      <c r="F1416" s="80">
        <v>135.0</v>
      </c>
      <c r="G1416" s="80" t="s">
        <v>63</v>
      </c>
      <c r="I1416" s="80" t="s">
        <v>63</v>
      </c>
      <c r="J1416" s="80">
        <v>298.0</v>
      </c>
      <c r="K1416" s="80">
        <v>0.639484978540772</v>
      </c>
      <c r="L1416" s="80" t="s">
        <v>64</v>
      </c>
    </row>
    <row r="1417">
      <c r="A1417" s="80" t="s">
        <v>61</v>
      </c>
      <c r="B1417" s="81" t="str">
        <f t="shared" si="54"/>
        <v>MEeeep More</v>
      </c>
      <c r="C1417" s="80" t="s">
        <v>1669</v>
      </c>
      <c r="D1417" s="81" t="str">
        <f>HYPERLINK("https://youtube.com/watch?v=R0nnTh3JWg0", "24小時寄掛號信、寄包裹無難度！即試香港郵政「智郵寄 」iPostal Kiosk！| 八達通 AlipayHK WechatPay BOCPay Hongkongpost")</f>
        <v>24小時寄掛號信、寄包裹無難度！即試香港郵政「智郵寄 」iPostal Kiosk！| 八達通 AlipayHK WechatPay BOCPay Hongkongpost</v>
      </c>
      <c r="E1417" s="82">
        <v>44460.0</v>
      </c>
      <c r="F1417" s="80">
        <v>164.0</v>
      </c>
      <c r="G1417" s="80" t="s">
        <v>63</v>
      </c>
      <c r="I1417" s="80" t="s">
        <v>63</v>
      </c>
      <c r="J1417" s="80">
        <v>480.0</v>
      </c>
      <c r="K1417" s="80">
        <v>0.87114337568058</v>
      </c>
      <c r="L1417" s="80" t="s">
        <v>64</v>
      </c>
    </row>
    <row r="1418">
      <c r="A1418" s="80" t="s">
        <v>1670</v>
      </c>
      <c r="B1418" s="81" t="str">
        <f>HYPERLINK("https://www.youtube.com/channel/UC-PIt5m-WOg8UVBkt2RnN0g", "阿JACK睇樓團")</f>
        <v>阿JACK睇樓團</v>
      </c>
      <c r="C1418" s="80" t="s">
        <v>1671</v>
      </c>
      <c r="D1418" s="81" t="str">
        <f>HYPERLINK("https://youtube.com/watch?v=6LuQUHYf2AQ", "[[上車荀盤]] 55萬首期買元朗半新樓!!輕鐵站隔離!!勁靚環境OMG!!!! #上車 #買樓 #VLOG #洪水橋 #元朗#新手買樓")</f>
        <v>[[上車荀盤]] 55萬首期買元朗半新樓!!輕鐵站隔離!!勁靚環境OMG!!!! #上車 #買樓 #VLOG #洪水橋 #元朗#新手買樓</v>
      </c>
      <c r="E1418" s="82">
        <v>43943.0</v>
      </c>
      <c r="F1418" s="80">
        <v>192.0</v>
      </c>
      <c r="G1418" s="80" t="s">
        <v>63</v>
      </c>
      <c r="I1418" s="80" t="s">
        <v>63</v>
      </c>
      <c r="J1418" s="80">
        <v>100.0</v>
      </c>
      <c r="K1418" s="80">
        <v>0.91743119266055</v>
      </c>
      <c r="L1418" s="80" t="s">
        <v>64</v>
      </c>
    </row>
    <row r="1419">
      <c r="A1419" s="80" t="s">
        <v>1128</v>
      </c>
      <c r="B1419" s="81" t="str">
        <f>HYPERLINK("https://www.youtube.com/channel/UCe8jZzHeq8gGiqk5bESfpIw", "前線科技人員")</f>
        <v>前線科技人員</v>
      </c>
      <c r="C1419" s="80" t="s">
        <v>1672</v>
      </c>
      <c r="D1419" s="81" t="str">
        <f>HYPERLINK("https://youtube.com/watch?v=R4GZESER1HY", "2016選舉委員會選舉 懶人包")</f>
        <v>2016選舉委員會選舉 懶人包</v>
      </c>
      <c r="E1419" s="82">
        <v>42686.0</v>
      </c>
      <c r="F1419" s="80">
        <v>116.0</v>
      </c>
      <c r="G1419" s="80" t="s">
        <v>63</v>
      </c>
      <c r="I1419" s="80" t="s">
        <v>63</v>
      </c>
      <c r="J1419" s="80">
        <v>453.0</v>
      </c>
      <c r="K1419" s="80">
        <v>0.895256916996047</v>
      </c>
      <c r="L1419" s="80" t="s">
        <v>64</v>
      </c>
    </row>
    <row r="1420">
      <c r="A1420" s="80" t="s">
        <v>219</v>
      </c>
      <c r="B1420" s="81" t="str">
        <f>HYPERLINK("https://www.youtube.com/channel/UC9_PnptBIpNF0JXbJjd8TsQ", "Brown's Channel")</f>
        <v>Brown's Channel</v>
      </c>
      <c r="C1420" s="80" t="s">
        <v>1673</v>
      </c>
      <c r="D1420" s="81" t="str">
        <f>HYPERLINK("https://youtube.com/watch?v=R5lUzgjJV5A", "【一隻熊仔去旅行@深圳】#1 喜茶 － 超濃郁嘅芝士奶蓋！")</f>
        <v>【一隻熊仔去旅行@深圳】#1 喜茶 － 超濃郁嘅芝士奶蓋！</v>
      </c>
      <c r="E1420" s="82">
        <v>43568.0</v>
      </c>
      <c r="F1420" s="80">
        <v>243.0</v>
      </c>
      <c r="G1420" s="80" t="s">
        <v>63</v>
      </c>
      <c r="I1420" s="80" t="s">
        <v>63</v>
      </c>
      <c r="J1420" s="80">
        <v>781.0</v>
      </c>
      <c r="K1420" s="80">
        <v>0.806818181818181</v>
      </c>
      <c r="L1420" s="80" t="s">
        <v>64</v>
      </c>
    </row>
    <row r="1421">
      <c r="A1421" s="80" t="s">
        <v>121</v>
      </c>
      <c r="B1421" s="81" t="str">
        <f>HYPERLINK("https://www.youtube.com/channel/UC-2hWXRgCg-o5Waz36Yt7BA", "Arm Channel TV")</f>
        <v>Arm Channel TV</v>
      </c>
      <c r="C1421" s="80" t="s">
        <v>1674</v>
      </c>
      <c r="D1421" s="81" t="str">
        <f>HYPERLINK("https://youtube.com/watch?v=R8Bu5_6z6kc", "😍 原來香港有個地方咁日本🗾 🇯🇵  | 偽香港旅遊雜誌 #05")</f>
        <v>😍 原來香港有個地方咁日本🗾 🇯🇵  | 偽香港旅遊雜誌 #05</v>
      </c>
      <c r="E1421" s="82">
        <v>44298.0</v>
      </c>
      <c r="F1421" s="80">
        <v>448.0</v>
      </c>
      <c r="G1421" s="80" t="s">
        <v>63</v>
      </c>
      <c r="I1421" s="80" t="s">
        <v>63</v>
      </c>
      <c r="J1421" s="80">
        <v>963.0</v>
      </c>
      <c r="K1421" s="80">
        <v>0.927745664739884</v>
      </c>
      <c r="L1421" s="80" t="s">
        <v>64</v>
      </c>
    </row>
    <row r="1422">
      <c r="A1422" s="80" t="s">
        <v>252</v>
      </c>
      <c r="B1422" s="81" t="str">
        <f t="shared" ref="B1422:B1424" si="55">HYPERLINK("https://www.youtube.com/channel/UCrISkBm7rgsRUAw8018eWvw", "MoYung 慕容公子")</f>
        <v>MoYung 慕容公子</v>
      </c>
      <c r="C1422" s="80" t="s">
        <v>1675</v>
      </c>
      <c r="D1422" s="81" t="str">
        <f>HYPERLINK("https://youtube.com/watch?v=R8ljsQYLAuw", "《人中之龍》桐生的壁咚")</f>
        <v>《人中之龍》桐生的壁咚</v>
      </c>
      <c r="E1422" s="82">
        <v>42729.0</v>
      </c>
      <c r="F1422" s="80">
        <v>320.0</v>
      </c>
      <c r="G1422" s="80" t="s">
        <v>63</v>
      </c>
      <c r="I1422" s="80" t="s">
        <v>63</v>
      </c>
      <c r="J1422" s="80">
        <v>228.0</v>
      </c>
      <c r="K1422" s="80">
        <v>0.970212765957446</v>
      </c>
      <c r="L1422" s="80" t="s">
        <v>236</v>
      </c>
    </row>
    <row r="1423">
      <c r="A1423" s="80" t="s">
        <v>252</v>
      </c>
      <c r="B1423" s="81" t="str">
        <f t="shared" si="55"/>
        <v>MoYung 慕容公子</v>
      </c>
      <c r="C1423" s="80" t="s">
        <v>1676</v>
      </c>
      <c r="D1423" s="81" t="str">
        <f>HYPERLINK("https://youtube.com/watch?v=RDIEwkomgB8", "底線女朋友 ? 他/她是...?《絕地求生 Pubg》(中文字幕)")</f>
        <v>底線女朋友 ? 他/她是...?《絕地求生 Pubg》(中文字幕)</v>
      </c>
      <c r="E1423" s="82">
        <v>43057.0</v>
      </c>
      <c r="F1423" s="80">
        <v>259.0</v>
      </c>
      <c r="G1423" s="80" t="s">
        <v>63</v>
      </c>
      <c r="I1423" s="80" t="s">
        <v>63</v>
      </c>
      <c r="J1423" s="80">
        <v>367.0</v>
      </c>
      <c r="K1423" s="80">
        <v>0.869668246445497</v>
      </c>
      <c r="L1423" s="80" t="s">
        <v>64</v>
      </c>
    </row>
    <row r="1424">
      <c r="A1424" s="80" t="s">
        <v>252</v>
      </c>
      <c r="B1424" s="81" t="str">
        <f t="shared" si="55"/>
        <v>MoYung 慕容公子</v>
      </c>
      <c r="C1424" s="80" t="s">
        <v>1677</v>
      </c>
      <c r="D1424" s="81" t="str">
        <f>HYPERLINK("https://youtube.com/watch?v=RFg1XBr5GIM", "「NicePlay3」華麗爬分教學 單殺跌牌憑空消失Carry")</f>
        <v>「NicePlay3」華麗爬分教學 單殺跌牌憑空消失Carry</v>
      </c>
      <c r="E1424" s="82">
        <v>42770.0</v>
      </c>
      <c r="F1424" s="80">
        <v>417.0</v>
      </c>
      <c r="G1424" s="80" t="s">
        <v>63</v>
      </c>
      <c r="I1424" s="80" t="s">
        <v>63</v>
      </c>
      <c r="J1424" s="80">
        <v>777.0</v>
      </c>
      <c r="K1424" s="80">
        <v>0.89516129032258</v>
      </c>
      <c r="L1424" s="80" t="s">
        <v>521</v>
      </c>
    </row>
    <row r="1425">
      <c r="A1425" s="80" t="s">
        <v>74</v>
      </c>
      <c r="B1425" s="81" t="str">
        <f>HYPERLINK("https://www.youtube.com/channel/UCO_5XP-qd-udNxBlzzSzgvw", "Handline Fishing")</f>
        <v>Handline Fishing</v>
      </c>
      <c r="C1425" s="80" t="s">
        <v>1678</v>
      </c>
      <c r="D1425" s="81" t="str">
        <f>HYPERLINK("https://youtube.com/watch?v=RGIFjdzC6JI", "#78 高級食材在此尋，繼續尋找沙灘邊釣魚仔《第五集》『香港釣魚 : 岸釣』淺水灣  {粵語旁白+中英文字幕}")</f>
        <v>#78 高級食材在此尋，繼續尋找沙灘邊釣魚仔《第五集》『香港釣魚 : 岸釣』淺水灣  {粵語旁白+中英文字幕}</v>
      </c>
      <c r="E1425" s="82">
        <v>43849.0</v>
      </c>
      <c r="F1425" s="80">
        <v>186.0</v>
      </c>
      <c r="G1425" s="80" t="s">
        <v>63</v>
      </c>
      <c r="I1425" s="80" t="s">
        <v>63</v>
      </c>
      <c r="J1425" s="80">
        <v>920.0</v>
      </c>
      <c r="K1425" s="80">
        <v>0.983957219251337</v>
      </c>
      <c r="L1425" s="80" t="s">
        <v>76</v>
      </c>
    </row>
    <row r="1426">
      <c r="A1426" s="80" t="s">
        <v>219</v>
      </c>
      <c r="B1426" s="81" t="str">
        <f>HYPERLINK("https://www.youtube.com/channel/UC9_PnptBIpNF0JXbJjd8TsQ", "Brown's Channel")</f>
        <v>Brown's Channel</v>
      </c>
      <c r="C1426" s="80" t="s">
        <v>1679</v>
      </c>
      <c r="D1426" s="81" t="str">
        <f>HYPERLINK("https://youtube.com/watch?v=RGTlmKEnw4E", "【一隻熊仔去旅行@首爾】#1 Samsung d’light－三星嘅未來體驗館")</f>
        <v>【一隻熊仔去旅行@首爾】#1 Samsung d’light－三星嘅未來體驗館</v>
      </c>
      <c r="E1426" s="82">
        <v>43806.0</v>
      </c>
      <c r="F1426" s="80">
        <v>301.0</v>
      </c>
      <c r="G1426" s="80" t="s">
        <v>63</v>
      </c>
      <c r="I1426" s="80" t="s">
        <v>63</v>
      </c>
      <c r="J1426" s="80">
        <v>995.0</v>
      </c>
      <c r="K1426" s="80">
        <v>0.761285386381025</v>
      </c>
      <c r="L1426" s="80" t="s">
        <v>64</v>
      </c>
    </row>
    <row r="1427">
      <c r="A1427" s="80" t="s">
        <v>71</v>
      </c>
      <c r="B1427" s="81" t="str">
        <f>HYPERLINK("https://www.youtube.com/channel/UCXTE-gQCetfrx_lC9yFM2aw", "arhoTV")</f>
        <v>arhoTV</v>
      </c>
      <c r="C1427" s="80" t="s">
        <v>1680</v>
      </c>
      <c r="D1427" s="81" t="str">
        <f>HYPERLINK("https://youtube.com/watch?v=RH7JDTgsML4", "【飲食】食300塊蒲燒太郎 最後竟然食到...？")</f>
        <v>【飲食】食300塊蒲燒太郎 最後竟然食到...？</v>
      </c>
      <c r="E1427" s="82">
        <v>42871.0</v>
      </c>
      <c r="F1427" s="80">
        <v>215.0</v>
      </c>
      <c r="G1427" s="80" t="s">
        <v>63</v>
      </c>
      <c r="H1427" s="80" t="s">
        <v>63</v>
      </c>
      <c r="I1427" s="80" t="s">
        <v>63</v>
      </c>
      <c r="J1427" s="80">
        <v>800.0</v>
      </c>
      <c r="K1427" s="80">
        <v>0.90516206482593</v>
      </c>
      <c r="L1427" s="80" t="s">
        <v>86</v>
      </c>
    </row>
    <row r="1428">
      <c r="A1428" s="80" t="s">
        <v>67</v>
      </c>
      <c r="B1428" s="81" t="str">
        <f>HYPERLINK("https://www.youtube.com/channel/UC7U6-j2DrKRIKXmPo4kE7YA", "雞WING")</f>
        <v>雞WING</v>
      </c>
      <c r="C1428" s="80" t="s">
        <v>1681</v>
      </c>
      <c r="D1428" s="81" t="str">
        <f>HYPERLINK("https://youtube.com/watch?v=RHDjf-2-AF4", "開箱 Resident evil 8 Figurine公仔&amp; 嘗試360空中飛人新拍法！")</f>
        <v>開箱 Resident evil 8 Figurine公仔&amp; 嘗試360空中飛人新拍法！</v>
      </c>
      <c r="E1428" s="82">
        <v>44354.0</v>
      </c>
      <c r="F1428" s="80">
        <v>565.0</v>
      </c>
      <c r="G1428" s="80" t="s">
        <v>63</v>
      </c>
      <c r="I1428" s="80" t="s">
        <v>63</v>
      </c>
      <c r="J1428" s="80">
        <v>1444.0</v>
      </c>
      <c r="K1428" s="80">
        <v>0.883180428134556</v>
      </c>
      <c r="L1428" s="80" t="s">
        <v>64</v>
      </c>
    </row>
    <row r="1429">
      <c r="A1429" s="80" t="s">
        <v>219</v>
      </c>
      <c r="B1429" s="81" t="str">
        <f>HYPERLINK("https://www.youtube.com/channel/UC9_PnptBIpNF0JXbJjd8TsQ", "Brown's Channel")</f>
        <v>Brown's Channel</v>
      </c>
      <c r="C1429" s="80" t="s">
        <v>1682</v>
      </c>
      <c r="D1429" s="81" t="str">
        <f>HYPERLINK("https://youtube.com/watch?v=RKNMT8sOOpE", "【一隻熊仔去旅行@深圳】#12 盒馬鮮生——即撈即食嘅海鮮超市🐟🐟")</f>
        <v>【一隻熊仔去旅行@深圳】#12 盒馬鮮生——即撈即食嘅海鮮超市🐟🐟</v>
      </c>
      <c r="E1429" s="82">
        <v>43849.0</v>
      </c>
      <c r="F1429" s="80">
        <v>367.0</v>
      </c>
      <c r="G1429" s="80" t="s">
        <v>63</v>
      </c>
      <c r="I1429" s="80" t="s">
        <v>63</v>
      </c>
      <c r="J1429" s="80">
        <v>1355.0</v>
      </c>
      <c r="K1429" s="80">
        <v>0.954225352112676</v>
      </c>
      <c r="L1429" s="80" t="s">
        <v>64</v>
      </c>
    </row>
    <row r="1430">
      <c r="A1430" s="80" t="s">
        <v>61</v>
      </c>
      <c r="B1430" s="81" t="str">
        <f>HYPERLINK("https://www.youtube.com/channel/UCJ4XVrJuqKHbc9yF9oUFseg", "MEeeep More")</f>
        <v>MEeeep More</v>
      </c>
      <c r="C1430" s="80" t="s">
        <v>1683</v>
      </c>
      <c r="D1430" s="81" t="str">
        <f>HYPERLINK("https://youtube.com/watch?v=RKeTY2Gm-MU", "電子領養動物點玩法？ 馬來西亞 Zoo Negara 新招助營運")</f>
        <v>電子領養動物點玩法？ 馬來西亞 Zoo Negara 新招助營運</v>
      </c>
      <c r="E1430" s="82">
        <v>43930.0</v>
      </c>
      <c r="F1430" s="80">
        <v>111.0</v>
      </c>
      <c r="G1430" s="80" t="s">
        <v>63</v>
      </c>
      <c r="I1430" s="80" t="s">
        <v>63</v>
      </c>
      <c r="J1430" s="80">
        <v>329.0</v>
      </c>
      <c r="K1430" s="80">
        <v>0.863517060367454</v>
      </c>
      <c r="L1430" s="80" t="s">
        <v>64</v>
      </c>
    </row>
    <row r="1431">
      <c r="A1431" s="80" t="s">
        <v>74</v>
      </c>
      <c r="B1431" s="81" t="str">
        <f>HYPERLINK("https://www.youtube.com/channel/UCO_5XP-qd-udNxBlzzSzgvw", "Handline Fishing")</f>
        <v>Handline Fishing</v>
      </c>
      <c r="C1431" s="80" t="s">
        <v>1684</v>
      </c>
      <c r="D1431" s="81" t="str">
        <f>HYPERLINK("https://youtube.com/watch?v=RTPvojNKops", "#109 悠閒、經濟釣魚仔雙人一天團『香港釣魚 : 艇釣』將軍澳2匹自駕遊+白沙灣扒艇仔 {粵語旁白+中英文字幕}")</f>
        <v>#109 悠閒、經濟釣魚仔雙人一天團『香港釣魚 : 艇釣』將軍澳2匹自駕遊+白沙灣扒艇仔 {粵語旁白+中英文字幕}</v>
      </c>
      <c r="E1431" s="82">
        <v>43953.0</v>
      </c>
      <c r="F1431" s="80">
        <v>283.0</v>
      </c>
      <c r="G1431" s="80" t="s">
        <v>63</v>
      </c>
      <c r="I1431" s="80" t="s">
        <v>63</v>
      </c>
      <c r="J1431" s="80">
        <v>1162.0</v>
      </c>
      <c r="K1431" s="80">
        <v>0.984745762711864</v>
      </c>
      <c r="L1431" s="80" t="s">
        <v>76</v>
      </c>
    </row>
    <row r="1432">
      <c r="A1432" s="80" t="s">
        <v>61</v>
      </c>
      <c r="B1432" s="81" t="str">
        <f t="shared" ref="B1432:B1433" si="56">HYPERLINK("https://www.youtube.com/channel/UCJ4XVrJuqKHbc9yF9oUFseg", "MEeeep More")</f>
        <v>MEeeep More</v>
      </c>
      <c r="C1432" s="80" t="s">
        <v>1685</v>
      </c>
      <c r="D1432" s="81" t="str">
        <f>HYPERLINK("https://youtube.com/watch?v=RZ_s5qNyqwY", "吉隆坡零晨路邊覓食 - 大大碟叉燒雲吞撈！［吉隆坡美食2019］")</f>
        <v>吉隆坡零晨路邊覓食 - 大大碟叉燒雲吞撈！［吉隆坡美食2019］</v>
      </c>
      <c r="E1432" s="82">
        <v>43779.0</v>
      </c>
      <c r="F1432" s="80">
        <v>295.0</v>
      </c>
      <c r="G1432" s="80" t="s">
        <v>63</v>
      </c>
      <c r="I1432" s="80" t="s">
        <v>63</v>
      </c>
      <c r="J1432" s="80">
        <v>736.0</v>
      </c>
      <c r="K1432" s="80">
        <v>0.887816646562123</v>
      </c>
      <c r="L1432" s="80" t="s">
        <v>64</v>
      </c>
    </row>
    <row r="1433">
      <c r="A1433" s="80" t="s">
        <v>61</v>
      </c>
      <c r="B1433" s="81" t="str">
        <f t="shared" si="56"/>
        <v>MEeeep More</v>
      </c>
      <c r="C1433" s="80" t="s">
        <v>1686</v>
      </c>
      <c r="D1433" s="81" t="str">
        <f>HYPERLINK("https://youtube.com/watch?v=R_rwqExT9n4", "Amazfit GTR3 Pro GTR3 GTS3 革新發佈 | 纖薄輕巧 省電續航 特大螢幕 入手必睇 | 性價比智能手錶")</f>
        <v>Amazfit GTR3 Pro GTR3 GTS3 革新發佈 | 纖薄輕巧 省電續航 特大螢幕 入手必睇 | 性價比智能手錶</v>
      </c>
      <c r="E1433" s="82">
        <v>44491.0</v>
      </c>
      <c r="F1433" s="80">
        <v>203.0</v>
      </c>
      <c r="G1433" s="80" t="s">
        <v>63</v>
      </c>
      <c r="I1433" s="80" t="s">
        <v>63</v>
      </c>
      <c r="J1433" s="80">
        <v>590.0</v>
      </c>
      <c r="K1433" s="80">
        <v>0.771241830065359</v>
      </c>
      <c r="L1433" s="80" t="s">
        <v>64</v>
      </c>
    </row>
    <row r="1434">
      <c r="A1434" s="80" t="s">
        <v>1373</v>
      </c>
      <c r="B1434" s="81" t="str">
        <f>HYPERLINK("https://www.youtube.com/channel/UCNsL7xLGZvocrljHcCJ71VA", "漏墨佬")</f>
        <v>漏墨佬</v>
      </c>
      <c r="C1434" s="80" t="s">
        <v>1687</v>
      </c>
      <c r="D1434" s="81" t="str">
        <f>HYPERLINK("https://youtube.com/watch?v=RakFUOwLdbU", "【Dragalia Lost】必中五星都可以仆街")</f>
        <v>【Dragalia Lost】必中五星都可以仆街</v>
      </c>
      <c r="E1434" s="82">
        <v>43434.0</v>
      </c>
      <c r="F1434" s="80">
        <v>175.0</v>
      </c>
      <c r="G1434" s="80" t="s">
        <v>63</v>
      </c>
      <c r="I1434" s="80" t="s">
        <v>63</v>
      </c>
      <c r="J1434" s="80">
        <v>324.0</v>
      </c>
      <c r="K1434" s="80">
        <v>0.801980198019802</v>
      </c>
      <c r="L1434" s="80" t="s">
        <v>64</v>
      </c>
    </row>
    <row r="1435">
      <c r="A1435" s="80" t="s">
        <v>260</v>
      </c>
      <c r="B1435" s="81" t="str">
        <f>HYPERLINK("https://www.youtube.com/channel/UC-HXOikkLx7BGEfILGIpYOg", "港短 . 英移")</f>
        <v>港短 . 英移</v>
      </c>
      <c r="C1435" s="80" t="s">
        <v>1688</v>
      </c>
      <c r="D1435" s="81" t="str">
        <f>HYPERLINK("https://youtube.com/watch?v=RbQQKu7wWUk", "全英國最靚既城市😮 | 劍橋好迷人? | 港短.英移 #HongKonger #劍橋 #Cambridge #英國生活 #英國香港人 #BNO #英國移民")</f>
        <v>全英國最靚既城市😮 | 劍橋好迷人? | 港短.英移 #HongKonger #劍橋 #Cambridge #英國生活 #英國香港人 #BNO #英國移民</v>
      </c>
      <c r="E1435" s="82">
        <v>44495.0</v>
      </c>
      <c r="F1435" s="80">
        <v>626.0</v>
      </c>
      <c r="G1435" s="80" t="s">
        <v>63</v>
      </c>
      <c r="I1435" s="80" t="s">
        <v>63</v>
      </c>
      <c r="J1435" s="80">
        <v>2452.0</v>
      </c>
      <c r="K1435" s="80">
        <v>0.8214405360134</v>
      </c>
      <c r="L1435" s="80" t="s">
        <v>102</v>
      </c>
    </row>
    <row r="1436">
      <c r="A1436" s="80" t="s">
        <v>74</v>
      </c>
      <c r="B1436" s="81" t="str">
        <f>HYPERLINK("https://www.youtube.com/channel/UCO_5XP-qd-udNxBlzzSzgvw", "Handline Fishing")</f>
        <v>Handline Fishing</v>
      </c>
      <c r="C1436" s="80" t="s">
        <v>1689</v>
      </c>
      <c r="D1436" s="81" t="str">
        <f>HYPERLINK("https://youtube.com/watch?v=Rgvi4kvzGec", "#153 針墨季初全攻略 | 『香港釣魚 : 艇釣』維港 【Insta360 ONE R 4K 廣角鏡頭評測】")</f>
        <v>#153 針墨季初全攻略 | 『香港釣魚 : 艇釣』維港 【Insta360 ONE R 4K 廣角鏡頭評測】</v>
      </c>
      <c r="E1436" s="82">
        <v>44110.0</v>
      </c>
      <c r="F1436" s="80">
        <v>1824.0</v>
      </c>
      <c r="G1436" s="80" t="s">
        <v>63</v>
      </c>
      <c r="I1436" s="80" t="s">
        <v>63</v>
      </c>
      <c r="J1436" s="80">
        <v>1382.0</v>
      </c>
      <c r="K1436" s="80">
        <v>0.955079474775397</v>
      </c>
      <c r="L1436" s="80" t="s">
        <v>1105</v>
      </c>
    </row>
    <row r="1437">
      <c r="A1437" s="80" t="s">
        <v>112</v>
      </c>
      <c r="B1437" s="81" t="str">
        <f>HYPERLINK("https://www.youtube.com/channel/UCW_n_gfIv4HhRqCk8EnRhJA", "Happy Kongner")</f>
        <v>Happy Kongner</v>
      </c>
      <c r="C1437" s="80" t="s">
        <v>1690</v>
      </c>
      <c r="D1437" s="81" t="str">
        <f>HYPERLINK("https://youtube.com/watch?v=RhApTeQWbZU", "賀歲片大冒險！米加瘋子愷簡評《家和萬事驚》/《恭喜八婆》/《新喜劇之王》[𠝹櫈電影學會]")</f>
        <v>賀歲片大冒險！米加瘋子愷簡評《家和萬事驚》/《恭喜八婆》/《新喜劇之王》[𠝹櫈電影學會]</v>
      </c>
      <c r="E1437" s="82">
        <v>43511.0</v>
      </c>
      <c r="F1437" s="80">
        <v>1560.0</v>
      </c>
      <c r="G1437" s="80" t="s">
        <v>63</v>
      </c>
      <c r="I1437" s="80" t="s">
        <v>63</v>
      </c>
      <c r="J1437" s="80">
        <v>8372.0</v>
      </c>
      <c r="K1437" s="80">
        <v>0.950931394820536</v>
      </c>
      <c r="L1437" s="80" t="s">
        <v>64</v>
      </c>
    </row>
    <row r="1438">
      <c r="A1438" s="80" t="s">
        <v>94</v>
      </c>
      <c r="B1438" s="81" t="str">
        <f>HYPERLINK("https://www.youtube.com/channel/UCT_dMyI3pNselsmfR6FC8tQ", "PrideLab")</f>
        <v>PrideLab</v>
      </c>
      <c r="C1438" s="80" t="s">
        <v>1691</v>
      </c>
      <c r="D1438" s="81" t="str">
        <f>HYPERLINK("https://youtube.com/watch?v=RisXc1GQsjU", "性別承認諮詢懶人包 第三集    更改性別仲要考慮乜")</f>
        <v>性別承認諮詢懶人包 第三集    更改性別仲要考慮乜</v>
      </c>
      <c r="E1438" s="82">
        <v>42998.0</v>
      </c>
      <c r="F1438" s="80">
        <v>364.0</v>
      </c>
      <c r="G1438" s="80" t="s">
        <v>63</v>
      </c>
      <c r="I1438" s="80" t="s">
        <v>63</v>
      </c>
      <c r="J1438" s="80">
        <v>1387.0</v>
      </c>
      <c r="K1438" s="80">
        <v>0.961858529819694</v>
      </c>
      <c r="L1438" s="80" t="s">
        <v>64</v>
      </c>
    </row>
    <row r="1439">
      <c r="A1439" s="80" t="s">
        <v>61</v>
      </c>
      <c r="B1439" s="81" t="str">
        <f>HYPERLINK("https://www.youtube.com/channel/UCJ4XVrJuqKHbc9yF9oUFseg", "MEeeep More")</f>
        <v>MEeeep More</v>
      </c>
      <c r="C1439" s="80" t="s">
        <v>1692</v>
      </c>
      <c r="D1439" s="81" t="str">
        <f>HYPERLINK("https://youtube.com/watch?v=RjRpTkUjWiY", "吉隆坡最正瓦煲雞飯！啖啖飯都有雞香！ 禤記瓦煲雞飯 - 食玩飛常遊")</f>
        <v>吉隆坡最正瓦煲雞飯！啖啖飯都有雞香！ 禤記瓦煲雞飯 - 食玩飛常遊</v>
      </c>
      <c r="E1439" s="82">
        <v>43698.0</v>
      </c>
      <c r="F1439" s="80">
        <v>182.0</v>
      </c>
      <c r="G1439" s="80" t="s">
        <v>63</v>
      </c>
      <c r="I1439" s="80" t="s">
        <v>63</v>
      </c>
      <c r="J1439" s="80">
        <v>531.0</v>
      </c>
      <c r="K1439" s="80">
        <v>0.893939393939393</v>
      </c>
      <c r="L1439" s="80" t="s">
        <v>64</v>
      </c>
    </row>
    <row r="1440">
      <c r="A1440" s="80" t="s">
        <v>96</v>
      </c>
      <c r="B1440" s="81" t="str">
        <f>HYPERLINK("https://www.youtube.com/channel/UCGtyHJ-L_4RDIHe3XaLofQQ", "Anson Cheung")</f>
        <v>Anson Cheung</v>
      </c>
      <c r="C1440" s="80" t="s">
        <v>1693</v>
      </c>
      <c r="D1440" s="81" t="str">
        <f>HYPERLINK("https://youtube.com/watch?v=Rpyek4ln2F8", "【找數系列】Samsung Galaxy Note 20 評測 - 仍然係最百思不解的手機🤨  | Anson Cheung 手機評測")</f>
        <v>【找數系列】Samsung Galaxy Note 20 評測 - 仍然係最百思不解的手機🤨  | Anson Cheung 手機評測</v>
      </c>
      <c r="E1440" s="82">
        <v>44124.0</v>
      </c>
      <c r="F1440" s="80">
        <v>531.0</v>
      </c>
      <c r="G1440" s="80" t="s">
        <v>63</v>
      </c>
      <c r="I1440" s="80" t="s">
        <v>63</v>
      </c>
      <c r="J1440" s="80">
        <v>1662.0</v>
      </c>
      <c r="K1440" s="80">
        <v>0.632660829843928</v>
      </c>
      <c r="L1440" s="80" t="s">
        <v>64</v>
      </c>
    </row>
    <row r="1441">
      <c r="A1441" s="80" t="s">
        <v>1039</v>
      </c>
      <c r="B1441" s="81" t="str">
        <f>HYPERLINK("https://www.youtube.com/channel/UCiKEIxbv4RTzyLCKG17N-AA", "Hunting Archer")</f>
        <v>Hunting Archer</v>
      </c>
      <c r="C1441" s="80" t="s">
        <v>1694</v>
      </c>
      <c r="D1441" s="81" t="str">
        <f>HYPERLINK("https://youtube.com/watch?v=Rw2tsqeTBWQ", "【广州漫步】 驾游海珠路，观看远途广州特色骑楼和批发市场 【Walk in GuangZhou】（粤语中字）")</f>
        <v>【广州漫步】 驾游海珠路，观看远途广州特色骑楼和批发市场 【Walk in GuangZhou】（粤语中字）</v>
      </c>
      <c r="E1441" s="82">
        <v>44299.0</v>
      </c>
      <c r="F1441" s="80">
        <v>1149.0</v>
      </c>
      <c r="G1441" s="80" t="s">
        <v>63</v>
      </c>
      <c r="I1441" s="80" t="s">
        <v>63</v>
      </c>
      <c r="J1441" s="80">
        <v>3569.0</v>
      </c>
      <c r="K1441" s="80">
        <v>0.993320345115502</v>
      </c>
      <c r="L1441" s="80" t="s">
        <v>1471</v>
      </c>
    </row>
    <row r="1442">
      <c r="A1442" s="80" t="s">
        <v>217</v>
      </c>
      <c r="B1442" s="81" t="str">
        <f t="shared" ref="B1442:B1443" si="57">HYPERLINK("https://www.youtube.com/channel/UCXKg0qPRz32bs5Z4mTGF3TQ", "Stormtrooper白兵")</f>
        <v>Stormtrooper白兵</v>
      </c>
      <c r="C1442" s="80" t="s">
        <v>1695</v>
      </c>
      <c r="D1442" s="81" t="str">
        <f>HYPERLINK("https://youtube.com/watch?v=RwwSsBKLcOk", "[懶人包]美國選情曝光「大重構」計劃－疫情加速跨國大財團＋中共聯手支配地球｜Cyberpunk成為事實！人類命運面臨最終決擇！")</f>
        <v>[懶人包]美國選情曝光「大重構」計劃－疫情加速跨國大財團＋中共聯手支配地球｜Cyberpunk成為事實！人類命運面臨最終決擇！</v>
      </c>
      <c r="E1442" s="82">
        <v>44182.0</v>
      </c>
      <c r="F1442" s="80">
        <v>1316.0</v>
      </c>
      <c r="G1442" s="80" t="s">
        <v>63</v>
      </c>
      <c r="H1442" s="80" t="s">
        <v>63</v>
      </c>
      <c r="I1442" s="80" t="s">
        <v>63</v>
      </c>
      <c r="J1442" s="80">
        <v>5027.0</v>
      </c>
      <c r="K1442" s="80">
        <v>0.898566308243727</v>
      </c>
      <c r="L1442" s="80" t="s">
        <v>86</v>
      </c>
    </row>
    <row r="1443">
      <c r="A1443" s="80" t="s">
        <v>217</v>
      </c>
      <c r="B1443" s="81" t="str">
        <f t="shared" si="57"/>
        <v>Stormtrooper白兵</v>
      </c>
      <c r="C1443" s="80" t="s">
        <v>1696</v>
      </c>
      <c r="D1443" s="81" t="str">
        <f>HYPERLINK("https://youtube.com/watch?v=RzkuacEJBPk", "[後蘋果時代]杜汶澤神之一手，勇救蘋果果籽！｜國安惡法打壓異見聲音，大眾如何獲取真相？｜分享外國著名案例｜如何打破局限，發揮民眾影響力｜粵語中字")</f>
        <v>[後蘋果時代]杜汶澤神之一手，勇救蘋果果籽！｜國安惡法打壓異見聲音，大眾如何獲取真相？｜分享外國著名案例｜如何打破局限，發揮民眾影響力｜粵語中字</v>
      </c>
      <c r="E1443" s="82">
        <v>44371.0</v>
      </c>
      <c r="F1443" s="80">
        <v>767.0</v>
      </c>
      <c r="G1443" s="80" t="s">
        <v>63</v>
      </c>
      <c r="H1443" s="80" t="s">
        <v>63</v>
      </c>
      <c r="I1443" s="80" t="s">
        <v>63</v>
      </c>
      <c r="J1443" s="80">
        <v>3115.0</v>
      </c>
      <c r="K1443" s="80">
        <v>0.86431742508324</v>
      </c>
      <c r="L1443" s="80" t="s">
        <v>86</v>
      </c>
    </row>
    <row r="1444">
      <c r="A1444" s="80" t="s">
        <v>233</v>
      </c>
      <c r="B1444" s="81" t="str">
        <f>HYPERLINK("https://www.youtube.com/channel/UCjL61vw5qtDQudezRnnv-ig", "rickolam1")</f>
        <v>rickolam1</v>
      </c>
      <c r="C1444" s="80" t="s">
        <v>1697</v>
      </c>
      <c r="D1444" s="81" t="str">
        <f>HYPERLINK("https://youtube.com/watch?v=S1aXkS5FDu0", "【真人show】如何製作YouTube影片・林俊傑既外貌?!")</f>
        <v>【真人show】如何製作YouTube影片・林俊傑既外貌?!</v>
      </c>
      <c r="E1444" s="82">
        <v>42482.0</v>
      </c>
      <c r="F1444" s="80">
        <v>302.0</v>
      </c>
      <c r="G1444" s="80" t="s">
        <v>63</v>
      </c>
      <c r="H1444" s="80" t="s">
        <v>63</v>
      </c>
      <c r="I1444" s="80" t="s">
        <v>63</v>
      </c>
      <c r="J1444" s="80">
        <v>1209.0</v>
      </c>
      <c r="K1444" s="80">
        <v>0.901565995525727</v>
      </c>
      <c r="L1444" s="80" t="s">
        <v>120</v>
      </c>
    </row>
    <row r="1445">
      <c r="A1445" s="80" t="s">
        <v>1069</v>
      </c>
      <c r="B1445" s="81" t="str">
        <f>HYPERLINK("https://www.youtube.com/channel/UCAnpoZYvOIZUPp66LrWl9OA", "Leave Your Mark")</f>
        <v>Leave Your Mark</v>
      </c>
      <c r="C1445" s="80" t="s">
        <v>1698</v>
      </c>
      <c r="D1445" s="81" t="str">
        <f>HYPERLINK("https://youtube.com/watch?v=S5SqgmZYJZk", "#12 許瀚文 //字體設計師//")</f>
        <v>#12 許瀚文 //字體設計師//</v>
      </c>
      <c r="E1445" s="82">
        <v>42650.0</v>
      </c>
      <c r="F1445" s="80">
        <v>140.0</v>
      </c>
      <c r="G1445" s="80" t="s">
        <v>63</v>
      </c>
      <c r="I1445" s="80" t="s">
        <v>63</v>
      </c>
      <c r="J1445" s="80">
        <v>399.0</v>
      </c>
      <c r="K1445" s="80">
        <v>0.84</v>
      </c>
      <c r="L1445" s="80" t="s">
        <v>1071</v>
      </c>
    </row>
    <row r="1446">
      <c r="A1446" s="80" t="s">
        <v>74</v>
      </c>
      <c r="B1446" s="81" t="str">
        <f>HYPERLINK("https://www.youtube.com/channel/UCO_5XP-qd-udNxBlzzSzgvw", "Handline Fishing")</f>
        <v>Handline Fishing</v>
      </c>
      <c r="C1446" s="80" t="s">
        <v>1699</v>
      </c>
      <c r="D1446" s="81" t="str">
        <f>HYPERLINK("https://youtube.com/watch?v=S821OACxkXI", "#260 魚與熊掌 牛屎與金鼓 你點樣選擇?  | 香港釣魚 | 岸釣 | 港珠澳橋墩 【東涌逸東藍鯨魚餌】")</f>
        <v>#260 魚與熊掌 牛屎與金鼓 你點樣選擇?  | 香港釣魚 | 岸釣 | 港珠澳橋墩 【東涌逸東藍鯨魚餌】</v>
      </c>
      <c r="E1446" s="82">
        <v>44550.0</v>
      </c>
      <c r="F1446" s="80">
        <v>502.0</v>
      </c>
      <c r="G1446" s="80" t="s">
        <v>63</v>
      </c>
      <c r="H1446" s="80" t="s">
        <v>63</v>
      </c>
      <c r="I1446" s="80" t="s">
        <v>63</v>
      </c>
      <c r="J1446" s="80">
        <v>552.0</v>
      </c>
      <c r="K1446" s="80">
        <v>0.955017301038062</v>
      </c>
      <c r="L1446" s="80" t="s">
        <v>88</v>
      </c>
    </row>
    <row r="1447">
      <c r="A1447" s="80" t="s">
        <v>112</v>
      </c>
      <c r="B1447" s="81" t="str">
        <f>HYPERLINK("https://www.youtube.com/channel/UCW_n_gfIv4HhRqCk8EnRhJA", "Happy Kongner")</f>
        <v>Happy Kongner</v>
      </c>
      <c r="C1447" s="80" t="s">
        <v>1700</v>
      </c>
      <c r="D1447" s="81" t="str">
        <f>HYPERLINK("https://youtube.com/watch?v=S9NE0NEv6Ls", "關於 HappyKongner 你要知嘅嘢係....")</f>
        <v>關於 HappyKongner 你要知嘅嘢係....</v>
      </c>
      <c r="E1447" s="82">
        <v>43370.0</v>
      </c>
      <c r="F1447" s="80">
        <v>386.0</v>
      </c>
      <c r="G1447" s="80" t="s">
        <v>63</v>
      </c>
      <c r="I1447" s="80" t="s">
        <v>63</v>
      </c>
      <c r="J1447" s="80">
        <v>1968.0</v>
      </c>
      <c r="K1447" s="80">
        <v>0.852317020355132</v>
      </c>
      <c r="L1447" s="80" t="s">
        <v>64</v>
      </c>
    </row>
    <row r="1448">
      <c r="A1448" s="80" t="s">
        <v>957</v>
      </c>
      <c r="B1448" s="81" t="str">
        <f>HYPERLINK("https://www.youtube.com/channel/UCNdV5VO81YBe5rfhOz1wRmA", "Con爆TV")</f>
        <v>Con爆TV</v>
      </c>
      <c r="C1448" s="80" t="s">
        <v>1701</v>
      </c>
      <c r="D1448" s="81" t="str">
        <f>HYPERLINK("https://youtube.com/watch?v=SB2m7Gk1_0s", "【PAD】PAD回復強勢迎接7周年! 最新財報力證PAD回鍋熱潮、2018年手遊課金排行榜柝局")</f>
        <v>【PAD】PAD回復強勢迎接7周年! 最新財報力證PAD回鍋熱潮、2018年手遊課金排行榜柝局</v>
      </c>
      <c r="E1448" s="82">
        <v>43520.0</v>
      </c>
      <c r="F1448" s="80">
        <v>827.0</v>
      </c>
      <c r="G1448" s="80" t="s">
        <v>63</v>
      </c>
      <c r="H1448" s="80" t="s">
        <v>63</v>
      </c>
      <c r="I1448" s="80" t="s">
        <v>63</v>
      </c>
      <c r="J1448" s="80">
        <v>3087.0</v>
      </c>
      <c r="K1448" s="80">
        <v>0.883098186006334</v>
      </c>
      <c r="L1448" s="80" t="s">
        <v>66</v>
      </c>
    </row>
    <row r="1449">
      <c r="A1449" s="80" t="s">
        <v>112</v>
      </c>
      <c r="B1449" s="81" t="str">
        <f>HYPERLINK("https://www.youtube.com/channel/UCW_n_gfIv4HhRqCk8EnRhJA", "Happy Kongner")</f>
        <v>Happy Kongner</v>
      </c>
      <c r="C1449" s="80" t="s">
        <v>1702</v>
      </c>
      <c r="D1449" s="81" t="str">
        <f>HYPERLINK("https://youtube.com/watch?v=SBpSA0VmICE", "[廣東話Game評] [米加客串] 極地戰嚎5 FarCry5 點解可以咁垃圾？ — 垃圾驚批鬥座 第三集 Humiliation Seat for Shitty Games Episode 3")</f>
        <v>[廣東話Game評] [米加客串] 極地戰嚎5 FarCry5 點解可以咁垃圾？ — 垃圾驚批鬥座 第三集 Humiliation Seat for Shitty Games Episode 3</v>
      </c>
      <c r="E1449" s="82">
        <v>43195.0</v>
      </c>
      <c r="F1449" s="80">
        <v>1027.0</v>
      </c>
      <c r="G1449" s="80" t="s">
        <v>63</v>
      </c>
      <c r="I1449" s="80" t="s">
        <v>63</v>
      </c>
      <c r="J1449" s="80">
        <v>4521.0</v>
      </c>
      <c r="K1449" s="80">
        <v>0.859505703422053</v>
      </c>
      <c r="L1449" s="80" t="s">
        <v>64</v>
      </c>
    </row>
    <row r="1450">
      <c r="A1450" s="80" t="s">
        <v>74</v>
      </c>
      <c r="B1450" s="81" t="str">
        <f t="shared" ref="B1450:B1451" si="58">HYPERLINK("https://www.youtube.com/channel/UCO_5XP-qd-udNxBlzzSzgvw", "Handline Fishing")</f>
        <v>Handline Fishing</v>
      </c>
      <c r="C1450" s="80" t="s">
        <v>1703</v>
      </c>
      <c r="D1450" s="81" t="str">
        <f>HYPERLINK("https://youtube.com/watch?v=SDNLxbVui_I", "#177 一齊去搞青馬孖寶..黃祥+爛肉梳 | 🎁片尾 Marco賞禮物Giveaways預告🎁 | 『香港釣魚 : 艇釣』青龍頭 | 現場收音")</f>
        <v>#177 一齊去搞青馬孖寶..黃祥+爛肉梳 | 🎁片尾 Marco賞禮物Giveaways預告🎁 | 『香港釣魚 : 艇釣』青龍頭 | 現場收音</v>
      </c>
      <c r="E1450" s="82">
        <v>44195.0</v>
      </c>
      <c r="F1450" s="80">
        <v>1136.0</v>
      </c>
      <c r="G1450" s="80" t="s">
        <v>63</v>
      </c>
      <c r="I1450" s="80" t="s">
        <v>63</v>
      </c>
      <c r="J1450" s="80">
        <v>391.0</v>
      </c>
      <c r="K1450" s="80">
        <v>0.911421911421911</v>
      </c>
      <c r="L1450" s="80" t="s">
        <v>271</v>
      </c>
    </row>
    <row r="1451">
      <c r="A1451" s="80" t="s">
        <v>74</v>
      </c>
      <c r="B1451" s="81" t="str">
        <f t="shared" si="58"/>
        <v>Handline Fishing</v>
      </c>
      <c r="C1451" s="80" t="s">
        <v>1704</v>
      </c>
      <c r="D1451" s="81" t="str">
        <f>HYPERLINK("https://youtube.com/watch?v=SFXG6KzA-HQ", "#228 一個充滿無比鬥志的艇家 | 維港基哥 | 香港釣魚 | 艇釣 | 維港 {粵語旁白+中英文字幕}")</f>
        <v>#228 一個充滿無比鬥志的艇家 | 維港基哥 | 香港釣魚 | 艇釣 | 維港 {粵語旁白+中英文字幕}</v>
      </c>
      <c r="E1451" s="82">
        <v>44410.0</v>
      </c>
      <c r="F1451" s="80">
        <v>421.0</v>
      </c>
      <c r="G1451" s="80" t="s">
        <v>63</v>
      </c>
      <c r="H1451" s="80" t="s">
        <v>63</v>
      </c>
      <c r="I1451" s="80" t="s">
        <v>63</v>
      </c>
      <c r="J1451" s="80">
        <v>456.0</v>
      </c>
      <c r="K1451" s="80">
        <v>0.951983298538622</v>
      </c>
      <c r="L1451" s="80" t="s">
        <v>88</v>
      </c>
    </row>
    <row r="1452">
      <c r="A1452" s="80" t="s">
        <v>1016</v>
      </c>
      <c r="B1452" s="81" t="str">
        <f>HYPERLINK("https://www.youtube.com/channel/UCSbiR1l-cfzk44iTJVSAZVQ", "Rhapsody in Lingo")</f>
        <v>Rhapsody in Lingo</v>
      </c>
      <c r="C1452" s="80" t="s">
        <v>1705</v>
      </c>
      <c r="D1452" s="81" t="str">
        <f>HYPERLINK("https://youtube.com/watch?v=SI77UCJ6m7Q", "兩个香港人講台語【eng subs/粵字】為啥物學台語？有困難無？台語聽有就好？")</f>
        <v>兩个香港人講台語【eng subs/粵字】為啥物學台語？有困難無？台語聽有就好？</v>
      </c>
      <c r="E1452" s="82">
        <v>44159.0</v>
      </c>
      <c r="F1452" s="80">
        <v>1436.0</v>
      </c>
      <c r="G1452" s="80" t="s">
        <v>63</v>
      </c>
      <c r="I1452" s="80" t="s">
        <v>63</v>
      </c>
      <c r="J1452" s="80">
        <v>3537.0</v>
      </c>
      <c r="K1452" s="80">
        <v>0.984962406015037</v>
      </c>
      <c r="L1452" s="80" t="s">
        <v>287</v>
      </c>
    </row>
    <row r="1453">
      <c r="A1453" s="80" t="s">
        <v>96</v>
      </c>
      <c r="B1453" s="81" t="str">
        <f>HYPERLINK("https://www.youtube.com/channel/UCGtyHJ-L_4RDIHe3XaLofQQ", "Anson Cheung")</f>
        <v>Anson Cheung</v>
      </c>
      <c r="C1453" s="80" t="s">
        <v>1706</v>
      </c>
      <c r="D1453" s="81" t="str">
        <f>HYPERLINK("https://youtube.com/watch?v=SJKKd5P3FJw", "iPhone 12 評測 - 一部好手機的示範作｜iPhone 12 Review｜Anson Cheung 手機評測")</f>
        <v>iPhone 12 評測 - 一部好手機的示範作｜iPhone 12 Review｜Anson Cheung 手機評測</v>
      </c>
      <c r="E1453" s="82">
        <v>44135.0</v>
      </c>
      <c r="F1453" s="80">
        <v>932.0</v>
      </c>
      <c r="G1453" s="80" t="s">
        <v>63</v>
      </c>
      <c r="I1453" s="80" t="s">
        <v>63</v>
      </c>
      <c r="J1453" s="80">
        <v>3199.0</v>
      </c>
      <c r="K1453" s="80">
        <v>0.660677406030565</v>
      </c>
      <c r="L1453" s="80" t="s">
        <v>64</v>
      </c>
    </row>
    <row r="1454">
      <c r="A1454" s="80" t="s">
        <v>1016</v>
      </c>
      <c r="B1454" s="81" t="str">
        <f>HYPERLINK("https://www.youtube.com/channel/UCSbiR1l-cfzk44iTJVSAZVQ", "Rhapsody in Lingo")</f>
        <v>Rhapsody in Lingo</v>
      </c>
      <c r="C1454" s="80" t="s">
        <v>1707</v>
      </c>
      <c r="D1454" s="81" t="str">
        <f>HYPERLINK("https://youtube.com/watch?v=SK6-OgkRTyY", "Polyglot's Project to Pursue Professional Proficiency! Producing a Polish Podcast?? [en/粵字]")</f>
        <v>Polyglot's Project to Pursue Professional Proficiency! Producing a Polish Podcast?? [en/粵字]</v>
      </c>
      <c r="E1454" s="82">
        <v>44445.0</v>
      </c>
      <c r="F1454" s="80">
        <v>713.0</v>
      </c>
      <c r="G1454" s="80" t="s">
        <v>63</v>
      </c>
      <c r="I1454" s="80" t="s">
        <v>63</v>
      </c>
      <c r="J1454" s="80">
        <v>1908.0</v>
      </c>
      <c r="K1454" s="80">
        <v>0.935294117647058</v>
      </c>
      <c r="L1454" s="80" t="s">
        <v>105</v>
      </c>
    </row>
    <row r="1455">
      <c r="A1455" s="80" t="s">
        <v>112</v>
      </c>
      <c r="B1455" s="81" t="str">
        <f>HYPERLINK("https://www.youtube.com/channel/UCW_n_gfIv4HhRqCk8EnRhJA", "Happy Kongner")</f>
        <v>Happy Kongner</v>
      </c>
      <c r="C1455" s="80" t="s">
        <v>1708</v>
      </c>
      <c r="D1455" s="81" t="str">
        <f>HYPERLINK("https://youtube.com/watch?v=SP2JjBBe8mU", "「廣東話講西洋書法」字得其樂 The ABC of Western Calligraphy 鋼筆")</f>
        <v>「廣東話講西洋書法」字得其樂 The ABC of Western Calligraphy 鋼筆</v>
      </c>
      <c r="E1455" s="82">
        <v>42911.0</v>
      </c>
      <c r="F1455" s="80">
        <v>726.0</v>
      </c>
      <c r="G1455" s="80" t="s">
        <v>63</v>
      </c>
      <c r="I1455" s="80" t="s">
        <v>63</v>
      </c>
      <c r="J1455" s="80">
        <v>1428.0</v>
      </c>
      <c r="K1455" s="80">
        <v>0.931506849315068</v>
      </c>
      <c r="L1455" s="80" t="s">
        <v>64</v>
      </c>
    </row>
    <row r="1456">
      <c r="A1456" s="80" t="s">
        <v>74</v>
      </c>
      <c r="B1456" s="81" t="str">
        <f t="shared" ref="B1456:B1457" si="59">HYPERLINK("https://www.youtube.com/channel/UCO_5XP-qd-udNxBlzzSzgvw", "Handline Fishing")</f>
        <v>Handline Fishing</v>
      </c>
      <c r="C1456" s="80" t="s">
        <v>1709</v>
      </c>
      <c r="D1456" s="81" t="str">
        <f>HYPERLINK("https://youtube.com/watch?v=SSDx7_kKKP4", "#259 遊閒半天釣遊海旁 | 香港釣魚 | 岸釣 | 堅尼地城 {粵語旁白+中英文字幕}")</f>
        <v>#259 遊閒半天釣遊海旁 | 香港釣魚 | 岸釣 | 堅尼地城 {粵語旁白+中英文字幕}</v>
      </c>
      <c r="E1456" s="82">
        <v>44545.0</v>
      </c>
      <c r="F1456" s="80">
        <v>178.0</v>
      </c>
      <c r="G1456" s="80" t="s">
        <v>63</v>
      </c>
      <c r="H1456" s="80" t="s">
        <v>63</v>
      </c>
      <c r="I1456" s="80" t="s">
        <v>63</v>
      </c>
      <c r="J1456" s="80">
        <v>211.0</v>
      </c>
      <c r="K1456" s="80">
        <v>0.929515418502202</v>
      </c>
      <c r="L1456" s="80" t="s">
        <v>88</v>
      </c>
    </row>
    <row r="1457">
      <c r="A1457" s="80" t="s">
        <v>74</v>
      </c>
      <c r="B1457" s="81" t="str">
        <f t="shared" si="59"/>
        <v>Handline Fishing</v>
      </c>
      <c r="C1457" s="80" t="s">
        <v>1710</v>
      </c>
      <c r="D1457" s="81" t="str">
        <f>HYPERLINK("https://youtube.com/watch?v=STLQwC4Uyds", "#251 吹北風前把握機會 | 香港釣魚 | 磯釣筏釣岸釣 | 港珠澳橋墩 {粵語旁白+中英文字幕}")</f>
        <v>#251 吹北風前把握機會 | 香港釣魚 | 磯釣筏釣岸釣 | 港珠澳橋墩 {粵語旁白+中英文字幕}</v>
      </c>
      <c r="E1457" s="82">
        <v>44510.0</v>
      </c>
      <c r="F1457" s="80">
        <v>175.0</v>
      </c>
      <c r="G1457" s="80" t="s">
        <v>63</v>
      </c>
      <c r="H1457" s="80" t="s">
        <v>63</v>
      </c>
      <c r="I1457" s="80" t="s">
        <v>63</v>
      </c>
      <c r="J1457" s="80">
        <v>293.0</v>
      </c>
      <c r="K1457" s="80">
        <v>0.912772585669781</v>
      </c>
      <c r="L1457" s="80" t="s">
        <v>88</v>
      </c>
    </row>
    <row r="1458">
      <c r="A1458" s="80" t="s">
        <v>1310</v>
      </c>
      <c r="B1458" s="81" t="str">
        <f>HYPERLINK("https://www.youtube.com/channel/UC0-DuAJ8XNn3RH1aevvJWgA", "TomorrowLAN CSGO")</f>
        <v>TomorrowLAN CSGO</v>
      </c>
      <c r="C1458" s="80" t="s">
        <v>1711</v>
      </c>
      <c r="D1458" s="81" t="str">
        <f>HYPERLINK("https://youtube.com/watch?v=SWokgvinePE", "TML CS:GO週報 EP.2 (WESG 2018香港區回顧, IEM Chicago 2018, 10月Team ranking)")</f>
        <v>TML CS:GO週報 EP.2 (WESG 2018香港區回顧, IEM Chicago 2018, 10月Team ranking)</v>
      </c>
      <c r="E1458" s="82">
        <v>43419.0</v>
      </c>
      <c r="F1458" s="80">
        <v>370.0</v>
      </c>
      <c r="G1458" s="80" t="s">
        <v>63</v>
      </c>
      <c r="I1458" s="80" t="s">
        <v>63</v>
      </c>
      <c r="J1458" s="80">
        <v>1215.0</v>
      </c>
      <c r="K1458" s="80">
        <v>0.637795275590551</v>
      </c>
      <c r="L1458" s="80" t="s">
        <v>64</v>
      </c>
    </row>
    <row r="1459">
      <c r="A1459" s="80" t="s">
        <v>743</v>
      </c>
      <c r="B1459" s="81" t="str">
        <f>HYPERLINK("https://www.youtube.com/channel/UCe6qQ8zbYQJgTBnZ9wBzm9w", "Willy Lee")</f>
        <v>Willy Lee</v>
      </c>
      <c r="C1459" s="80" t="s">
        <v>1712</v>
      </c>
      <c r="D1459" s="81" t="str">
        <f>HYPERLINK("https://youtube.com/watch?v=SX1c1hF4FRI", "🇭🇰【海洋公園】海洋公園水上樂園2021 詳細攻略！邊個最刺激？仲有大海景打卡？Ocean Park Water World 2021 - Willy Lee")</f>
        <v>🇭🇰【海洋公園】海洋公園水上樂園2021 詳細攻略！邊個最刺激？仲有大海景打卡？Ocean Park Water World 2021 - Willy Lee</v>
      </c>
      <c r="E1459" s="82">
        <v>44447.0</v>
      </c>
      <c r="F1459" s="80">
        <v>647.0</v>
      </c>
      <c r="G1459" s="80" t="s">
        <v>63</v>
      </c>
      <c r="I1459" s="80" t="s">
        <v>63</v>
      </c>
      <c r="J1459" s="80">
        <v>3071.0</v>
      </c>
      <c r="K1459" s="80">
        <v>0.930888147923613</v>
      </c>
      <c r="L1459" s="80" t="s">
        <v>521</v>
      </c>
    </row>
    <row r="1460">
      <c r="A1460" s="80" t="s">
        <v>96</v>
      </c>
      <c r="B1460" s="81" t="str">
        <f>HYPERLINK("https://www.youtube.com/channel/UCGtyHJ-L_4RDIHe3XaLofQQ", "Anson Cheung")</f>
        <v>Anson Cheung</v>
      </c>
      <c r="C1460" s="80" t="s">
        <v>1713</v>
      </c>
      <c r="D1460" s="81" t="str">
        <f>HYPERLINK("https://youtube.com/watch?v=SZDV_S8Eur4", "【認真】聽我講！唔好買iPhone 12 Mini！🙅🏻‍♂️🙅🏻‍♂️🙅🏻‍♂️🙅🏻‍♂️｜iPhone 12 Mini 簡評｜Anson Cheung")</f>
        <v>【認真】聽我講！唔好買iPhone 12 Mini！🙅🏻‍♂️🙅🏻‍♂️🙅🏻‍♂️🙅🏻‍♂️｜iPhone 12 Mini 簡評｜Anson Cheung</v>
      </c>
      <c r="E1460" s="82">
        <v>44171.0</v>
      </c>
      <c r="F1460" s="80">
        <v>400.0</v>
      </c>
      <c r="G1460" s="80" t="s">
        <v>63</v>
      </c>
      <c r="I1460" s="80" t="s">
        <v>63</v>
      </c>
      <c r="J1460" s="80">
        <v>1500.0</v>
      </c>
      <c r="K1460" s="80">
        <v>0.747011952191235</v>
      </c>
      <c r="L1460" s="80" t="s">
        <v>64</v>
      </c>
    </row>
    <row r="1461">
      <c r="A1461" s="80" t="s">
        <v>217</v>
      </c>
      <c r="B1461" s="81" t="str">
        <f>HYPERLINK("https://www.youtube.com/channel/UCXKg0qPRz32bs5Z4mTGF3TQ", "Stormtrooper白兵")</f>
        <v>Stormtrooper白兵</v>
      </c>
      <c r="C1461" s="80" t="s">
        <v>1714</v>
      </c>
      <c r="D1461" s="81" t="str">
        <f>HYPERLINK("https://youtube.com/watch?v=S_evg53muw4", "[最熱話題]什麼是NFT?｜為何可以炒賣到一夜發達？｜元宇宙唔可以冇NFT？｜黃明志都上面賣歌！？")</f>
        <v>[最熱話題]什麼是NFT?｜為何可以炒賣到一夜發達？｜元宇宙唔可以冇NFT？｜黃明志都上面賣歌！？</v>
      </c>
      <c r="E1461" s="82">
        <v>44511.0</v>
      </c>
      <c r="F1461" s="80">
        <v>889.0</v>
      </c>
      <c r="G1461" s="80" t="s">
        <v>63</v>
      </c>
      <c r="I1461" s="80" t="s">
        <v>63</v>
      </c>
      <c r="J1461" s="80">
        <v>3410.0</v>
      </c>
      <c r="K1461" s="80">
        <v>0.834148727984344</v>
      </c>
      <c r="L1461" s="80" t="s">
        <v>64</v>
      </c>
    </row>
    <row r="1462">
      <c r="A1462" s="80" t="s">
        <v>74</v>
      </c>
      <c r="B1462" s="81" t="str">
        <f>HYPERLINK("https://www.youtube.com/channel/UCO_5XP-qd-udNxBlzzSzgvw", "Handline Fishing")</f>
        <v>Handline Fishing</v>
      </c>
      <c r="C1462" s="80" t="s">
        <v>1715</v>
      </c>
      <c r="D1462" s="81" t="str">
        <f>HYPERLINK("https://youtube.com/watch?v=SbJGaQzNimg", "#93 筏仔第二擊釣黑沙鱲，問你服唔服『香港釣魚 : 岸釣』東涌橋墩 {粵語旁白+中英文字幕}")</f>
        <v>#93 筏仔第二擊釣黑沙鱲，問你服唔服『香港釣魚 : 岸釣』東涌橋墩 {粵語旁白+中英文字幕}</v>
      </c>
      <c r="E1462" s="82">
        <v>43907.0</v>
      </c>
      <c r="F1462" s="80">
        <v>407.0</v>
      </c>
      <c r="G1462" s="80" t="s">
        <v>63</v>
      </c>
      <c r="I1462" s="80" t="s">
        <v>63</v>
      </c>
      <c r="J1462" s="80">
        <v>1525.0</v>
      </c>
      <c r="K1462" s="80">
        <v>0.957313245448838</v>
      </c>
      <c r="L1462" s="80" t="s">
        <v>76</v>
      </c>
    </row>
    <row r="1463">
      <c r="A1463" s="80" t="s">
        <v>1069</v>
      </c>
      <c r="B1463" s="81" t="str">
        <f>HYPERLINK("https://www.youtube.com/channel/UCAnpoZYvOIZUPp66LrWl9OA", "Leave Your Mark")</f>
        <v>Leave Your Mark</v>
      </c>
      <c r="C1463" s="80" t="s">
        <v>1716</v>
      </c>
      <c r="D1463" s="81" t="str">
        <f>HYPERLINK("https://youtube.com/watch?v=ShooK_y1FcI", "#3 陳濬人  //香港 BAND 唔係廢嘅...?//")</f>
        <v>#3 陳濬人  //香港 BAND 唔係廢嘅...?//</v>
      </c>
      <c r="E1463" s="82">
        <v>42600.0</v>
      </c>
      <c r="F1463" s="80">
        <v>118.0</v>
      </c>
      <c r="G1463" s="80" t="s">
        <v>63</v>
      </c>
      <c r="I1463" s="80" t="s">
        <v>63</v>
      </c>
      <c r="J1463" s="80">
        <v>401.0</v>
      </c>
      <c r="K1463" s="80">
        <v>0.853191489361702</v>
      </c>
      <c r="L1463" s="80" t="s">
        <v>1071</v>
      </c>
    </row>
    <row r="1464">
      <c r="A1464" s="80" t="s">
        <v>61</v>
      </c>
      <c r="B1464" s="81" t="str">
        <f>HYPERLINK("https://www.youtube.com/channel/UCJ4XVrJuqKHbc9yF9oUFseg", "MEeeep More")</f>
        <v>MEeeep More</v>
      </c>
      <c r="C1464" s="80" t="s">
        <v>1717</v>
      </c>
      <c r="D1464" s="81" t="str">
        <f>HYPERLINK("https://youtube.com/watch?v=SnmoOVaGZKQ", "Jabra Evolve2 30 頭戴式耳機 開箱評測 | 隨時隨地 輕鬆線上會議 | jabra evolve2 在家工作 wfh 共享辦公室 辦公室耳機")</f>
        <v>Jabra Evolve2 30 頭戴式耳機 開箱評測 | 隨時隨地 輕鬆線上會議 | jabra evolve2 在家工作 wfh 共享辦公室 辦公室耳機</v>
      </c>
      <c r="E1464" s="82">
        <v>44351.0</v>
      </c>
      <c r="F1464" s="80">
        <v>147.0</v>
      </c>
      <c r="G1464" s="80" t="s">
        <v>63</v>
      </c>
      <c r="I1464" s="80" t="s">
        <v>63</v>
      </c>
      <c r="J1464" s="80">
        <v>435.0</v>
      </c>
      <c r="K1464" s="80">
        <v>0.764499121265377</v>
      </c>
      <c r="L1464" s="80" t="s">
        <v>64</v>
      </c>
    </row>
    <row r="1465">
      <c r="A1465" s="80" t="s">
        <v>112</v>
      </c>
      <c r="B1465" s="81" t="str">
        <f>HYPERLINK("https://www.youtube.com/channel/UCW_n_gfIv4HhRqCk8EnRhJA", "Happy Kongner")</f>
        <v>Happy Kongner</v>
      </c>
      <c r="C1465" s="80" t="s">
        <v>1718</v>
      </c>
      <c r="D1465" s="81" t="str">
        <f>HYPERLINK("https://youtube.com/watch?v=Spl6yfTczI8", "咩係女權？女性主義背景簡介 [婦女新知]")</f>
        <v>咩係女權？女性主義背景簡介 [婦女新知]</v>
      </c>
      <c r="E1465" s="82">
        <v>43897.0</v>
      </c>
      <c r="F1465" s="80">
        <v>615.0</v>
      </c>
      <c r="G1465" s="80" t="s">
        <v>63</v>
      </c>
      <c r="I1465" s="80" t="s">
        <v>63</v>
      </c>
      <c r="J1465" s="80">
        <v>3262.0</v>
      </c>
      <c r="K1465" s="80">
        <v>0.914750420639371</v>
      </c>
      <c r="L1465" s="80" t="s">
        <v>64</v>
      </c>
    </row>
    <row r="1466">
      <c r="A1466" s="80" t="s">
        <v>217</v>
      </c>
      <c r="B1466" s="81" t="str">
        <f>HYPERLINK("https://www.youtube.com/channel/UCXKg0qPRz32bs5Z4mTGF3TQ", "Stormtrooper白兵")</f>
        <v>Stormtrooper白兵</v>
      </c>
      <c r="C1466" s="80" t="s">
        <v>1719</v>
      </c>
      <c r="D1466" s="81" t="str">
        <f>HYPERLINK("https://youtube.com/watch?v=Spn5uZqM7y8", "[劉國父的致富攻略]「和你抗爭，我很發達」｜簡介法國著名冤案，點出為何涼粉總是一錯再錯")</f>
        <v>[劉國父的致富攻略]「和你抗爭，我很發達」｜簡介法國著名冤案，點出為何涼粉總是一錯再錯</v>
      </c>
      <c r="E1466" s="82">
        <v>44294.0</v>
      </c>
      <c r="F1466" s="80">
        <v>1019.0</v>
      </c>
      <c r="G1466" s="80" t="s">
        <v>63</v>
      </c>
      <c r="H1466" s="80" t="s">
        <v>63</v>
      </c>
      <c r="I1466" s="80" t="s">
        <v>63</v>
      </c>
      <c r="J1466" s="80">
        <v>4376.0</v>
      </c>
      <c r="K1466" s="80">
        <v>0.984920099032185</v>
      </c>
      <c r="L1466" s="80" t="s">
        <v>86</v>
      </c>
    </row>
    <row r="1467">
      <c r="A1467" s="80" t="s">
        <v>61</v>
      </c>
      <c r="B1467" s="81" t="str">
        <f>HYPERLINK("https://www.youtube.com/channel/UCJ4XVrJuqKHbc9yF9oUFseg", "MEeeep More")</f>
        <v>MEeeep More</v>
      </c>
      <c r="C1467" s="80" t="s">
        <v>1720</v>
      </c>
      <c r="D1467" s="81" t="str">
        <f>HYPERLINK("https://youtube.com/watch?v=SqQCv_iW8Hg", "Mi10T Pro 5G 開箱評測！5G Wi-Fi 6 掂唔掂？主打相機又得唔得？ 分身功能點玩法？ 小米10T Pro Xiaomi 10T Mi10tPro Mi10tPro5G")</f>
        <v>Mi10T Pro 5G 開箱評測！5G Wi-Fi 6 掂唔掂？主打相機又得唔得？ 分身功能點玩法？ 小米10T Pro Xiaomi 10T Mi10tPro Mi10tPro5G</v>
      </c>
      <c r="E1467" s="82">
        <v>44216.0</v>
      </c>
      <c r="F1467" s="80">
        <v>264.0</v>
      </c>
      <c r="G1467" s="80" t="s">
        <v>63</v>
      </c>
      <c r="I1467" s="80" t="s">
        <v>63</v>
      </c>
      <c r="J1467" s="80">
        <v>758.0</v>
      </c>
      <c r="K1467" s="80">
        <v>0.772680937818552</v>
      </c>
      <c r="L1467" s="80" t="s">
        <v>64</v>
      </c>
    </row>
    <row r="1468">
      <c r="A1468" s="80" t="s">
        <v>118</v>
      </c>
      <c r="B1468" s="81" t="str">
        <f>HYPERLINK("https://www.youtube.com/channel/UCHrgHYFc5KShMJDZNsDZh4g", "BETHNI Y")</f>
        <v>BETHNI Y</v>
      </c>
      <c r="C1468" s="80" t="s">
        <v>1721</v>
      </c>
      <c r="D1468" s="81" t="str">
        <f>HYPERLINK("https://youtube.com/watch?v=SrVjEkx4esc", "再見最愛的粉底 ＋ 可愛狗仔衫 [22 NOV, 2016] | Bethni Y")</f>
        <v>再見最愛的粉底 ＋ 可愛狗仔衫 [22 NOV, 2016] | Bethni Y</v>
      </c>
      <c r="E1468" s="82">
        <v>42702.0</v>
      </c>
      <c r="F1468" s="80">
        <v>532.0</v>
      </c>
      <c r="G1468" s="80" t="s">
        <v>63</v>
      </c>
      <c r="I1468" s="80" t="s">
        <v>63</v>
      </c>
      <c r="J1468" s="80">
        <v>600.0</v>
      </c>
      <c r="K1468" s="80">
        <v>0.842696629213483</v>
      </c>
      <c r="L1468" s="80" t="s">
        <v>64</v>
      </c>
    </row>
    <row r="1469">
      <c r="A1469" s="80" t="s">
        <v>74</v>
      </c>
      <c r="B1469" s="81" t="str">
        <f t="shared" ref="B1469:B1470" si="60">HYPERLINK("https://www.youtube.com/channel/UCO_5XP-qd-udNxBlzzSzgvw", "Handline Fishing")</f>
        <v>Handline Fishing</v>
      </c>
      <c r="C1469" s="80" t="s">
        <v>1722</v>
      </c>
      <c r="D1469" s="81" t="str">
        <f>HYPERLINK("https://youtube.com/watch?v=SzTXdBAIY9U", "#64 維港大頭艇釣魚預習賽2019『香港釣魚 : 艇釣』維港 {粵語旁白+中英文字幕}")</f>
        <v>#64 維港大頭艇釣魚預習賽2019『香港釣魚 : 艇釣』維港 {粵語旁白+中英文字幕}</v>
      </c>
      <c r="E1469" s="82">
        <v>43794.0</v>
      </c>
      <c r="F1469" s="80">
        <v>607.0</v>
      </c>
      <c r="G1469" s="80" t="s">
        <v>63</v>
      </c>
      <c r="I1469" s="80" t="s">
        <v>63</v>
      </c>
      <c r="J1469" s="80">
        <v>1386.0</v>
      </c>
      <c r="K1469" s="80">
        <v>0.937119675456389</v>
      </c>
      <c r="L1469" s="80" t="s">
        <v>76</v>
      </c>
    </row>
    <row r="1470">
      <c r="A1470" s="80" t="s">
        <v>74</v>
      </c>
      <c r="B1470" s="81" t="str">
        <f t="shared" si="60"/>
        <v>Handline Fishing</v>
      </c>
      <c r="C1470" s="80" t="s">
        <v>1723</v>
      </c>
      <c r="D1470" s="81" t="str">
        <f>HYPERLINK("https://youtube.com/watch?v=T2OqqYf7T48", "#80 釣龍蝦，鼠年第一擊，向大家拜年『香港釣魚 : 艇釣』維港 {粵語旁白+中英文字幕}")</f>
        <v>#80 釣龍蝦，鼠年第一擊，向大家拜年『香港釣魚 : 艇釣』維港 {粵語旁白+中英文字幕}</v>
      </c>
      <c r="E1470" s="82">
        <v>43859.0</v>
      </c>
      <c r="F1470" s="80">
        <v>163.0</v>
      </c>
      <c r="G1470" s="80" t="s">
        <v>63</v>
      </c>
      <c r="I1470" s="80" t="s">
        <v>63</v>
      </c>
      <c r="J1470" s="80">
        <v>716.0</v>
      </c>
      <c r="K1470" s="80">
        <v>0.934725848563968</v>
      </c>
      <c r="L1470" s="80" t="s">
        <v>76</v>
      </c>
    </row>
    <row r="1471">
      <c r="A1471" s="80" t="s">
        <v>94</v>
      </c>
      <c r="B1471" s="81" t="str">
        <f>HYPERLINK("https://www.youtube.com/channel/UCT_dMyI3pNselsmfR6FC8tQ", "PrideLab")</f>
        <v>PrideLab</v>
      </c>
      <c r="C1471" s="80" t="s">
        <v>1724</v>
      </c>
      <c r="D1471" s="81" t="str">
        <f>HYPERLINK("https://youtube.com/watch?v=T3J0smnKK1E", "【FB直播精華】女性性小眾睇婦科分享  |  真人真事經歷  | 醫生都會歧視女同志 | 政府醫院誤診跨性別")</f>
        <v>【FB直播精華】女性性小眾睇婦科分享  |  真人真事經歷  | 醫生都會歧視女同志 | 政府醫院誤診跨性別</v>
      </c>
      <c r="E1471" s="82">
        <v>44062.0</v>
      </c>
      <c r="F1471" s="80">
        <v>1617.0</v>
      </c>
      <c r="G1471" s="80" t="s">
        <v>63</v>
      </c>
      <c r="H1471" s="80" t="s">
        <v>63</v>
      </c>
      <c r="I1471" s="80" t="s">
        <v>63</v>
      </c>
      <c r="J1471" s="80">
        <v>7036.0</v>
      </c>
      <c r="K1471" s="80">
        <v>0.983464125560538</v>
      </c>
      <c r="L1471" s="80" t="s">
        <v>66</v>
      </c>
    </row>
    <row r="1472">
      <c r="A1472" s="80" t="s">
        <v>112</v>
      </c>
      <c r="B1472" s="81" t="str">
        <f>HYPERLINK("https://www.youtube.com/channel/UCW_n_gfIv4HhRqCk8EnRhJA", "Happy Kongner")</f>
        <v>Happy Kongner</v>
      </c>
      <c r="C1472" s="80" t="s">
        <v>1725</v>
      </c>
      <c r="D1472" s="81" t="str">
        <f>HYPERLINK("https://youtube.com/watch?v=T51tWYC2jwI", "台灣點解叫「台灣」？超簡略台灣史—明末至清末台灣民主國前 [做乜嘢懶人包]")</f>
        <v>台灣點解叫「台灣」？超簡略台灣史—明末至清末台灣民主國前 [做乜嘢懶人包]</v>
      </c>
      <c r="E1472" s="82">
        <v>43858.0</v>
      </c>
      <c r="F1472" s="80">
        <v>2435.0</v>
      </c>
      <c r="G1472" s="80" t="s">
        <v>63</v>
      </c>
      <c r="I1472" s="80" t="s">
        <v>63</v>
      </c>
      <c r="J1472" s="80">
        <v>11567.0</v>
      </c>
      <c r="K1472" s="80">
        <v>0.928405168954169</v>
      </c>
      <c r="L1472" s="80" t="s">
        <v>64</v>
      </c>
    </row>
    <row r="1473">
      <c r="A1473" s="80" t="s">
        <v>74</v>
      </c>
      <c r="B1473" s="81" t="str">
        <f>HYPERLINK("https://www.youtube.com/channel/UCO_5XP-qd-udNxBlzzSzgvw", "Handline Fishing")</f>
        <v>Handline Fishing</v>
      </c>
      <c r="C1473" s="80" t="s">
        <v>1726</v>
      </c>
      <c r="D1473" s="81" t="str">
        <f>HYPERLINK("https://youtube.com/watch?v=T6HOrSV8l5o", "雞魚仕掛不求人，1分鐘學識 | 釣魚教學 | 香港釣魚 | 艇釣 | 手絲釣魚 | #Shorts")</f>
        <v>雞魚仕掛不求人，1分鐘學識 | 釣魚教學 | 香港釣魚 | 艇釣 | 手絲釣魚 | #Shorts</v>
      </c>
      <c r="E1473" s="82">
        <v>44446.0</v>
      </c>
      <c r="F1473" s="80">
        <v>52.0</v>
      </c>
      <c r="G1473" s="80" t="s">
        <v>63</v>
      </c>
      <c r="I1473" s="80" t="s">
        <v>63</v>
      </c>
      <c r="J1473" s="80">
        <v>218.0</v>
      </c>
      <c r="K1473" s="80">
        <v>0.995433789954337</v>
      </c>
      <c r="L1473" s="80" t="s">
        <v>64</v>
      </c>
    </row>
    <row r="1474">
      <c r="A1474" s="80" t="s">
        <v>61</v>
      </c>
      <c r="B1474" s="81" t="str">
        <f>HYPERLINK("https://www.youtube.com/channel/UCJ4XVrJuqKHbc9yF9oUFseg", "MEeeep More")</f>
        <v>MEeeep More</v>
      </c>
      <c r="C1474" s="80" t="s">
        <v>1727</v>
      </c>
      <c r="D1474" s="81" t="str">
        <f>HYPERLINK("https://youtube.com/watch?v=T9Pzpbfn6Bg", "80s Catering 甜品到會 | 滋味自家製蛋糕即時外送 慶祝派對不二之選 | 到會推介2021 party room 食物 蛋糕速遞 甜品外賣 80s LCM")</f>
        <v>80s Catering 甜品到會 | 滋味自家製蛋糕即時外送 慶祝派對不二之選 | 到會推介2021 party room 食物 蛋糕速遞 甜品外賣 80s LCM</v>
      </c>
      <c r="E1474" s="82">
        <v>44452.0</v>
      </c>
      <c r="F1474" s="80">
        <v>301.0</v>
      </c>
      <c r="G1474" s="80" t="s">
        <v>63</v>
      </c>
      <c r="I1474" s="80" t="s">
        <v>63</v>
      </c>
      <c r="J1474" s="80">
        <v>744.0</v>
      </c>
      <c r="K1474" s="80">
        <v>0.842582106455266</v>
      </c>
      <c r="L1474" s="80" t="s">
        <v>64</v>
      </c>
    </row>
    <row r="1475">
      <c r="A1475" s="80" t="s">
        <v>217</v>
      </c>
      <c r="B1475" s="81" t="str">
        <f>HYPERLINK("https://www.youtube.com/channel/UCXKg0qPRz32bs5Z4mTGF3TQ", "Stormtrooper白兵")</f>
        <v>Stormtrooper白兵</v>
      </c>
      <c r="C1475" s="80" t="s">
        <v>1728</v>
      </c>
      <c r="D1475" s="81" t="str">
        <f>HYPERLINK("https://youtube.com/watch?v=T9WRdizoWXg", "文化大革命重臨美國、香港！｜防疫版、反特朗普版紅衛兵大量湧現？以防疫為名，民眾鬥民眾，剝削別人自由！｜極權之下，人命如草芥，用完即棄，下個到你…")</f>
        <v>文化大革命重臨美國、香港！｜防疫版、反特朗普版紅衛兵大量湧現？以防疫為名，民眾鬥民眾，剝削別人自由！｜極權之下，人命如草芥，用完即棄，下個到你…</v>
      </c>
      <c r="E1475" s="82">
        <v>44210.0</v>
      </c>
      <c r="F1475" s="80">
        <v>1155.0</v>
      </c>
      <c r="G1475" s="80" t="s">
        <v>63</v>
      </c>
      <c r="I1475" s="80" t="s">
        <v>63</v>
      </c>
      <c r="J1475" s="80">
        <v>4868.0</v>
      </c>
      <c r="K1475" s="80">
        <v>0.973016190285828</v>
      </c>
      <c r="L1475" s="80" t="s">
        <v>64</v>
      </c>
    </row>
    <row r="1476">
      <c r="A1476" s="80" t="s">
        <v>1069</v>
      </c>
      <c r="B1476" s="81" t="str">
        <f>HYPERLINK("https://www.youtube.com/channel/UCAnpoZYvOIZUPp66LrWl9OA", "Leave Your Mark")</f>
        <v>Leave Your Mark</v>
      </c>
      <c r="C1476" s="80" t="s">
        <v>1729</v>
      </c>
      <c r="D1476" s="81" t="str">
        <f>HYPERLINK("https://youtube.com/watch?v=T9_LsVTlTjw", "#1 鐘燕齊  //物件的靈魂//")</f>
        <v>#1 鐘燕齊  //物件的靈魂//</v>
      </c>
      <c r="E1476" s="82">
        <v>42600.0</v>
      </c>
      <c r="F1476" s="80">
        <v>125.0</v>
      </c>
      <c r="G1476" s="80" t="s">
        <v>63</v>
      </c>
      <c r="I1476" s="80" t="s">
        <v>63</v>
      </c>
      <c r="J1476" s="80">
        <v>487.0</v>
      </c>
      <c r="K1476" s="80">
        <v>0.922348484848484</v>
      </c>
      <c r="L1476" s="80" t="s">
        <v>1071</v>
      </c>
    </row>
    <row r="1477">
      <c r="A1477" s="80" t="s">
        <v>274</v>
      </c>
      <c r="B1477" s="81" t="str">
        <f>HYPERLINK("https://www.youtube.com/channel/UC2oB9QCXs-RKtaKChrz4dKg", "MtzCherry")</f>
        <v>MtzCherry</v>
      </c>
      <c r="C1477" s="80" t="s">
        <v>1730</v>
      </c>
      <c r="D1477" s="81" t="str">
        <f>HYPERLINK("https://youtube.com/watch?v=TA52WmNU9kA", "🇭🇰CANTONESE TUTORIAL#33 HK Style Bread &amp; Pastry 🍞 + free eBook sharing!")</f>
        <v>🇭🇰CANTONESE TUTORIAL#33 HK Style Bread &amp; Pastry 🍞 + free eBook sharing!</v>
      </c>
      <c r="E1477" s="82">
        <v>44012.0</v>
      </c>
      <c r="F1477" s="80">
        <v>414.0</v>
      </c>
      <c r="G1477" s="80" t="s">
        <v>63</v>
      </c>
      <c r="H1477" s="80" t="s">
        <v>63</v>
      </c>
      <c r="I1477" s="80" t="s">
        <v>63</v>
      </c>
      <c r="J1477" s="80">
        <v>1149.0</v>
      </c>
      <c r="K1477" s="80">
        <v>0.676207513416815</v>
      </c>
      <c r="L1477" s="80" t="s">
        <v>1596</v>
      </c>
    </row>
    <row r="1478">
      <c r="A1478" s="80" t="s">
        <v>1082</v>
      </c>
      <c r="B1478" s="81" t="str">
        <f>HYPERLINK("https://www.youtube.com/channel/UCMosCy_NDf55rDQhzdX_h3w", "熊熊兒童音樂 Bear Music Ltd.")</f>
        <v>熊熊兒童音樂 Bear Music Ltd.</v>
      </c>
      <c r="C1478" s="80" t="s">
        <v>1731</v>
      </c>
      <c r="D1478" s="81" t="str">
        <f>HYPERLINK("https://youtube.com/watch?v=TB2D48rO1p4", "熊熊粵語兒童故事精選｜聽故事．講故事｜第二輯 *拔蘿蔔 * 孤寒叔叔 * 吃月亮")</f>
        <v>熊熊粵語兒童故事精選｜聽故事．講故事｜第二輯 *拔蘿蔔 * 孤寒叔叔 * 吃月亮</v>
      </c>
      <c r="E1478" s="82">
        <v>43550.0</v>
      </c>
      <c r="F1478" s="80">
        <v>904.0</v>
      </c>
      <c r="G1478" s="80" t="s">
        <v>63</v>
      </c>
      <c r="I1478" s="80" t="s">
        <v>63</v>
      </c>
      <c r="J1478" s="80">
        <v>1421.0</v>
      </c>
      <c r="K1478" s="80">
        <v>0.967983651226158</v>
      </c>
      <c r="L1478" s="80" t="s">
        <v>64</v>
      </c>
    </row>
    <row r="1479">
      <c r="A1479" s="80" t="s">
        <v>74</v>
      </c>
      <c r="B1479" s="81" t="str">
        <f>HYPERLINK("https://www.youtube.com/channel/UCO_5XP-qd-udNxBlzzSzgvw", "Handline Fishing")</f>
        <v>Handline Fishing</v>
      </c>
      <c r="C1479" s="80" t="s">
        <v>1732</v>
      </c>
      <c r="D1479" s="81" t="str">
        <f>HYPERLINK("https://youtube.com/watch?v=THcb-lHWMMc", "#147 孖辮魔女青馬釣大魔鬼 再釣黃花  | 『香港釣魚 : 艇釣』青龍頭 【Insta360 ONE R 全景鏡頭評測】")</f>
        <v>#147 孖辮魔女青馬釣大魔鬼 再釣黃花  | 『香港釣魚 : 艇釣』青龍頭 【Insta360 ONE R 全景鏡頭評測】</v>
      </c>
      <c r="E1479" s="82">
        <v>44085.0</v>
      </c>
      <c r="F1479" s="80">
        <v>1028.0</v>
      </c>
      <c r="G1479" s="80" t="s">
        <v>63</v>
      </c>
      <c r="I1479" s="80" t="s">
        <v>63</v>
      </c>
      <c r="J1479" s="80">
        <v>829.0</v>
      </c>
      <c r="K1479" s="80">
        <v>0.94634703196347</v>
      </c>
      <c r="L1479" s="80" t="s">
        <v>1105</v>
      </c>
    </row>
    <row r="1480">
      <c r="A1480" s="80" t="s">
        <v>112</v>
      </c>
      <c r="B1480" s="81" t="str">
        <f>HYPERLINK("https://www.youtube.com/channel/UCW_n_gfIv4HhRqCk8EnRhJA", "Happy Kongner")</f>
        <v>Happy Kongner</v>
      </c>
      <c r="C1480" s="80" t="s">
        <v>1733</v>
      </c>
      <c r="D1480" s="81" t="str">
        <f>HYPERLINK("https://youtube.com/watch?v=TIgZdg7w8C8", "[微量劇透] DC終於有喜劇型英雄片！""SHAZAM!"" 《沙贊！神力集結》簡評  [𠝹櫈電影學會]")</f>
        <v>[微量劇透] DC終於有喜劇型英雄片！"SHAZAM!" 《沙贊！神力集結》簡評  [𠝹櫈電影學會]</v>
      </c>
      <c r="E1480" s="82">
        <v>43558.0</v>
      </c>
      <c r="F1480" s="80">
        <v>945.0</v>
      </c>
      <c r="G1480" s="80" t="s">
        <v>63</v>
      </c>
      <c r="I1480" s="80" t="s">
        <v>63</v>
      </c>
      <c r="J1480" s="80">
        <v>4741.0</v>
      </c>
      <c r="K1480" s="80">
        <v>0.820952380952381</v>
      </c>
      <c r="L1480" s="80" t="s">
        <v>64</v>
      </c>
    </row>
    <row r="1481">
      <c r="A1481" s="80" t="s">
        <v>1310</v>
      </c>
      <c r="B1481" s="81" t="str">
        <f>HYPERLINK("https://www.youtube.com/channel/UC0-DuAJ8XNn3RH1aevvJWgA", "TomorrowLAN CSGO")</f>
        <v>TomorrowLAN CSGO</v>
      </c>
      <c r="C1481" s="80" t="s">
        <v>1734</v>
      </c>
      <c r="D1481" s="81" t="str">
        <f>HYPERLINK("https://youtube.com/watch?v=TMDFxthGizQ", "[Team Outlaws] H1mz: 會好好準備跑圖去打AEEC [WESG 2018香港區]")</f>
        <v>[Team Outlaws] H1mz: 會好好準備跑圖去打AEEC [WESG 2018香港區]</v>
      </c>
      <c r="E1481" s="82">
        <v>43413.0</v>
      </c>
      <c r="F1481" s="80">
        <v>103.0</v>
      </c>
      <c r="G1481" s="80" t="s">
        <v>63</v>
      </c>
      <c r="I1481" s="80" t="s">
        <v>63</v>
      </c>
      <c r="J1481" s="80">
        <v>249.0</v>
      </c>
      <c r="K1481" s="80">
        <v>0.787974683544303</v>
      </c>
      <c r="L1481" s="80" t="s">
        <v>64</v>
      </c>
    </row>
    <row r="1482">
      <c r="A1482" s="80" t="s">
        <v>260</v>
      </c>
      <c r="B1482" s="81" t="str">
        <f>HYPERLINK("https://www.youtube.com/channel/UC-HXOikkLx7BGEfILGIpYOg", "港短 . 英移")</f>
        <v>港短 . 英移</v>
      </c>
      <c r="C1482" s="80" t="s">
        <v>1735</v>
      </c>
      <c r="D1482" s="81" t="str">
        <f>HYPERLINK("https://youtube.com/watch?v=TMSOUVFiTcI", "London北部住邊好? [3大地區治安/就業/校網分析] [英國地區搵樓攻略]  港短.英移​ #Enfield #Harringey #Barnet​​​ #HongKonger #英國租樓")</f>
        <v>London北部住邊好? [3大地區治安/就業/校網分析] [英國地區搵樓攻略]  港短.英移​ #Enfield #Harringey #Barnet​​​ #HongKonger #英國租樓</v>
      </c>
      <c r="E1482" s="82">
        <v>44409.0</v>
      </c>
      <c r="F1482" s="80">
        <v>445.0</v>
      </c>
      <c r="G1482" s="80" t="s">
        <v>63</v>
      </c>
      <c r="I1482" s="80" t="s">
        <v>63</v>
      </c>
      <c r="J1482" s="80">
        <v>1622.0</v>
      </c>
      <c r="K1482" s="80">
        <v>0.800987654320987</v>
      </c>
      <c r="L1482" s="80" t="s">
        <v>102</v>
      </c>
    </row>
    <row r="1483">
      <c r="A1483" s="80" t="s">
        <v>74</v>
      </c>
      <c r="B1483" s="81" t="str">
        <f>HYPERLINK("https://www.youtube.com/channel/UCO_5XP-qd-udNxBlzzSzgvw", "Handline Fishing")</f>
        <v>Handline Fishing</v>
      </c>
      <c r="C1483" s="80" t="s">
        <v>1736</v>
      </c>
      <c r="D1483" s="81" t="str">
        <f>HYPERLINK("https://youtube.com/watch?v=TNiLRA60B3U", "#254 近排真係好靜 | 根叔 | 香港釣魚 | 艇釣 | 維港 {粵語旁白+中英文字幕}")</f>
        <v>#254 近排真係好靜 | 根叔 | 香港釣魚 | 艇釣 | 維港 {粵語旁白+中英文字幕}</v>
      </c>
      <c r="E1483" s="82">
        <v>44519.0</v>
      </c>
      <c r="F1483" s="80">
        <v>321.0</v>
      </c>
      <c r="G1483" s="80" t="s">
        <v>63</v>
      </c>
      <c r="H1483" s="80" t="s">
        <v>63</v>
      </c>
      <c r="I1483" s="80" t="s">
        <v>63</v>
      </c>
      <c r="J1483" s="80">
        <v>472.0</v>
      </c>
      <c r="K1483" s="80">
        <v>0.947791164658634</v>
      </c>
      <c r="L1483" s="80" t="s">
        <v>88</v>
      </c>
    </row>
    <row r="1484">
      <c r="A1484" s="80" t="s">
        <v>61</v>
      </c>
      <c r="B1484" s="81" t="str">
        <f>HYPERLINK("https://www.youtube.com/channel/UCJ4XVrJuqKHbc9yF9oUFseg", "MEeeep More")</f>
        <v>MEeeep More</v>
      </c>
      <c r="C1484" s="80" t="s">
        <v>1737</v>
      </c>
      <c r="D1484" s="81" t="str">
        <f>HYPERLINK("https://youtube.com/watch?v=TP-EJWzEpLw", "Huawei華為 P50 | 全新萬象雙圓環後置三攝設計 預載鴻蒙OS 2.0系統 | p50 pro huawei harmonyos 2.0")</f>
        <v>Huawei華為 P50 | 全新萬象雙圓環後置三攝設計 預載鴻蒙OS 2.0系統 | p50 pro huawei harmonyos 2.0</v>
      </c>
      <c r="E1484" s="82">
        <v>44413.0</v>
      </c>
      <c r="F1484" s="80">
        <v>137.0</v>
      </c>
      <c r="G1484" s="80" t="s">
        <v>63</v>
      </c>
      <c r="I1484" s="80" t="s">
        <v>63</v>
      </c>
      <c r="J1484" s="80">
        <v>338.0</v>
      </c>
      <c r="K1484" s="80">
        <v>0.728448275862069</v>
      </c>
      <c r="L1484" s="80" t="s">
        <v>64</v>
      </c>
    </row>
    <row r="1485">
      <c r="A1485" s="80" t="s">
        <v>217</v>
      </c>
      <c r="B1485" s="81" t="str">
        <f>HYPERLINK("https://www.youtube.com/channel/UCXKg0qPRz32bs5Z4mTGF3TQ", "Stormtrooper白兵")</f>
        <v>Stormtrooper白兵</v>
      </c>
      <c r="C1485" s="80" t="s">
        <v>1738</v>
      </c>
      <c r="D1485" s="81" t="str">
        <f>HYPERLINK("https://youtube.com/watch?v=TR5manlTzC8", "淺白分析疫苗原理｜疫苗背後隱藏世界大陰謀？｜踢爆深層國家永久控制人民詭計！|粵語中字")</f>
        <v>淺白分析疫苗原理｜疫苗背後隱藏世界大陰謀？｜踢爆深層國家永久控制人民詭計！|粵語中字</v>
      </c>
      <c r="E1485" s="82">
        <v>44299.0</v>
      </c>
      <c r="F1485" s="80">
        <v>853.0</v>
      </c>
      <c r="G1485" s="80" t="s">
        <v>63</v>
      </c>
      <c r="H1485" s="80" t="s">
        <v>63</v>
      </c>
      <c r="I1485" s="80" t="s">
        <v>63</v>
      </c>
      <c r="J1485" s="80">
        <v>3285.0</v>
      </c>
      <c r="K1485" s="80">
        <v>0.919652855543113</v>
      </c>
      <c r="L1485" s="80" t="s">
        <v>86</v>
      </c>
    </row>
    <row r="1486">
      <c r="A1486" s="80" t="s">
        <v>71</v>
      </c>
      <c r="B1486" s="81" t="str">
        <f>HYPERLINK("https://www.youtube.com/channel/UCXTE-gQCetfrx_lC9yFM2aw", "arhoTV")</f>
        <v>arhoTV</v>
      </c>
      <c r="C1486" s="80" t="s">
        <v>1739</v>
      </c>
      <c r="D1486" s="81" t="str">
        <f>HYPERLINK("https://youtube.com/watch?v=TSzAc3gvoV8", "【飲食】試食宇宙第一卡邦尼意粉！")</f>
        <v>【飲食】試食宇宙第一卡邦尼意粉！</v>
      </c>
      <c r="E1486" s="82">
        <v>42808.0</v>
      </c>
      <c r="F1486" s="80">
        <v>159.0</v>
      </c>
      <c r="G1486" s="80" t="s">
        <v>63</v>
      </c>
      <c r="H1486" s="80" t="s">
        <v>63</v>
      </c>
      <c r="I1486" s="80" t="s">
        <v>63</v>
      </c>
      <c r="J1486" s="80">
        <v>593.0</v>
      </c>
      <c r="K1486" s="80">
        <v>0.719167904903417</v>
      </c>
      <c r="L1486" s="80" t="s">
        <v>86</v>
      </c>
    </row>
    <row r="1487">
      <c r="A1487" s="80" t="s">
        <v>252</v>
      </c>
      <c r="B1487" s="81" t="str">
        <f>HYPERLINK("https://www.youtube.com/channel/UCrISkBm7rgsRUAw8018eWvw", "MoYung 慕容公子")</f>
        <v>MoYung 慕容公子</v>
      </c>
      <c r="C1487" s="80" t="s">
        <v>1740</v>
      </c>
      <c r="D1487" s="81" t="str">
        <f>HYPERLINK("https://youtube.com/watch?v=TXOEmIjR3ZE", "【慕容Call iN】我由你戴帽，睇到無戴帽 (中文字幕)")</f>
        <v>【慕容Call iN】我由你戴帽，睇到無戴帽 (中文字幕)</v>
      </c>
      <c r="E1487" s="82">
        <v>42592.0</v>
      </c>
      <c r="F1487" s="80">
        <v>660.0</v>
      </c>
      <c r="G1487" s="80" t="s">
        <v>63</v>
      </c>
      <c r="I1487" s="80" t="s">
        <v>63</v>
      </c>
      <c r="J1487" s="80">
        <v>3865.0</v>
      </c>
      <c r="K1487" s="80">
        <v>0.939246658566221</v>
      </c>
      <c r="L1487" s="80" t="s">
        <v>236</v>
      </c>
    </row>
    <row r="1488">
      <c r="A1488" s="80" t="s">
        <v>233</v>
      </c>
      <c r="B1488" s="81" t="str">
        <f>HYPERLINK("https://www.youtube.com/channel/UCjL61vw5qtDQudezRnnv-ig", "rickolam1")</f>
        <v>rickolam1</v>
      </c>
      <c r="C1488" s="80" t="s">
        <v>1741</v>
      </c>
      <c r="D1488" s="81" t="str">
        <f>HYPERLINK("https://youtube.com/watch?v=TZJzC19dO3g", "【真人show】比卡超劇場 ・ RICKO被大整蠱?! [ENG SUB]")</f>
        <v>【真人show】比卡超劇場 ・ RICKO被大整蠱?! [ENG SUB]</v>
      </c>
      <c r="E1488" s="82">
        <v>42650.0</v>
      </c>
      <c r="F1488" s="80">
        <v>364.0</v>
      </c>
      <c r="G1488" s="80" t="s">
        <v>63</v>
      </c>
      <c r="H1488" s="80" t="s">
        <v>63</v>
      </c>
      <c r="I1488" s="80" t="s">
        <v>63</v>
      </c>
      <c r="J1488" s="80">
        <v>1239.0</v>
      </c>
      <c r="K1488" s="80">
        <v>0.894584837545126</v>
      </c>
      <c r="L1488" s="80" t="s">
        <v>1105</v>
      </c>
    </row>
    <row r="1489">
      <c r="A1489" s="80" t="s">
        <v>217</v>
      </c>
      <c r="B1489" s="81" t="str">
        <f>HYPERLINK("https://www.youtube.com/channel/UCXKg0qPRz32bs5Z4mTGF3TQ", "Stormtrooper白兵")</f>
        <v>Stormtrooper白兵</v>
      </c>
      <c r="C1489" s="80" t="s">
        <v>1742</v>
      </c>
      <c r="D1489" s="81" t="str">
        <f>HYPERLINK("https://youtube.com/watch?v=TfgIHQsR7xk", "[白兵兩周年鉅獻]政商名流背後隱藏驚天跨國兒童人口販賣，除左滿足戀童慾望，究然仲為左延年益壽？｜衰仔樂園突破禁忌、大爆權貴內幕！？｜粵語中字")</f>
        <v>[白兵兩周年鉅獻]政商名流背後隱藏驚天跨國兒童人口販賣，除左滿足戀童慾望，究然仲為左延年益壽？｜衰仔樂園突破禁忌、大爆權貴內幕！？｜粵語中字</v>
      </c>
      <c r="E1489" s="82">
        <v>44280.0</v>
      </c>
      <c r="F1489" s="80">
        <v>1128.0</v>
      </c>
      <c r="G1489" s="80" t="s">
        <v>63</v>
      </c>
      <c r="H1489" s="80" t="s">
        <v>63</v>
      </c>
      <c r="I1489" s="80" t="s">
        <v>63</v>
      </c>
      <c r="J1489" s="80">
        <v>4466.0</v>
      </c>
      <c r="K1489" s="80">
        <v>0.842800528401585</v>
      </c>
      <c r="L1489" s="80" t="s">
        <v>86</v>
      </c>
    </row>
    <row r="1490">
      <c r="A1490" s="80" t="s">
        <v>112</v>
      </c>
      <c r="B1490" s="81" t="str">
        <f>HYPERLINK("https://www.youtube.com/channel/UCW_n_gfIv4HhRqCk8EnRhJA", "Happy Kongner")</f>
        <v>Happy Kongner</v>
      </c>
      <c r="C1490" s="80" t="s">
        <v>1743</v>
      </c>
      <c r="D1490" s="81" t="str">
        <f>HYPERLINK("https://youtube.com/watch?v=TguOxTpSdZM", "[廣東話講動漫] 字宙最大嘅裸體聊天室上線啦﹗高達00簡評 Gundam00 is MyFreeCams 公仔書與卡通片 第九集 Comic &amp; Cartoon Episode 9")</f>
        <v>[廣東話講動漫] 字宙最大嘅裸體聊天室上線啦﹗高達00簡評 Gundam00 is MyFreeCams 公仔書與卡通片 第九集 Comic &amp; Cartoon Episode 9</v>
      </c>
      <c r="E1490" s="82">
        <v>43301.0</v>
      </c>
      <c r="F1490" s="80">
        <v>828.0</v>
      </c>
      <c r="G1490" s="80" t="s">
        <v>63</v>
      </c>
      <c r="I1490" s="80" t="s">
        <v>63</v>
      </c>
      <c r="J1490" s="80">
        <v>4273.0</v>
      </c>
      <c r="K1490" s="80">
        <v>0.901857323765301</v>
      </c>
      <c r="L1490" s="80" t="s">
        <v>64</v>
      </c>
    </row>
    <row r="1491">
      <c r="A1491" s="80" t="s">
        <v>96</v>
      </c>
      <c r="B1491" s="81" t="str">
        <f>HYPERLINK("https://www.youtube.com/channel/UCGtyHJ-L_4RDIHe3XaLofQQ", "Anson Cheung")</f>
        <v>Anson Cheung</v>
      </c>
      <c r="C1491" s="80" t="s">
        <v>1744</v>
      </c>
      <c r="D1491" s="81" t="str">
        <f>HYPERLINK("https://youtube.com/watch?v=Tjg1JC3TCaQ", "Sony Xperia 10 III 評測 - 叻仔咗㗎啦，不過⋯⋯🤦🏻‍♂️｜Sony Xperia 10 III Review")</f>
        <v>Sony Xperia 10 III 評測 - 叻仔咗㗎啦，不過⋯⋯🤦🏻‍♂️｜Sony Xperia 10 III Review</v>
      </c>
      <c r="E1491" s="82">
        <v>44364.0</v>
      </c>
      <c r="F1491" s="80">
        <v>689.0</v>
      </c>
      <c r="G1491" s="80" t="s">
        <v>63</v>
      </c>
      <c r="I1491" s="80" t="s">
        <v>63</v>
      </c>
      <c r="J1491" s="80">
        <v>2448.0</v>
      </c>
      <c r="K1491" s="80">
        <v>0.661979448350459</v>
      </c>
      <c r="L1491" s="80" t="s">
        <v>64</v>
      </c>
    </row>
    <row r="1492">
      <c r="A1492" s="80" t="s">
        <v>217</v>
      </c>
      <c r="B1492" s="81" t="str">
        <f>HYPERLINK("https://www.youtube.com/channel/UCXKg0qPRz32bs5Z4mTGF3TQ", "Stormtrooper白兵")</f>
        <v>Stormtrooper白兵</v>
      </c>
      <c r="C1492" s="80" t="s">
        <v>1745</v>
      </c>
      <c r="D1492" s="81" t="str">
        <f>HYPERLINK("https://youtube.com/watch?v=TkATqTcbu8A", "[獨裁者系列] 希特拉最愛的男人，被政治耽誤的偉大演員， 近代獨裁先驅－ 墨索里尼｜教大家如何成為暴君！| 粵語中字")</f>
        <v>[獨裁者系列] 希特拉最愛的男人，被政治耽誤的偉大演員， 近代獨裁先驅－ 墨索里尼｜教大家如何成為暴君！| 粵語中字</v>
      </c>
      <c r="E1492" s="82">
        <v>44406.0</v>
      </c>
      <c r="F1492" s="80">
        <v>1464.0</v>
      </c>
      <c r="G1492" s="80" t="s">
        <v>63</v>
      </c>
      <c r="I1492" s="80" t="s">
        <v>63</v>
      </c>
      <c r="J1492" s="80">
        <v>6515.0</v>
      </c>
      <c r="K1492" s="80">
        <v>0.974569932685115</v>
      </c>
      <c r="L1492" s="80" t="s">
        <v>64</v>
      </c>
    </row>
    <row r="1493">
      <c r="A1493" s="80" t="s">
        <v>274</v>
      </c>
      <c r="B1493" s="81" t="str">
        <f>HYPERLINK("https://www.youtube.com/channel/UC2oB9QCXs-RKtaKChrz4dKg", "MtzCherry")</f>
        <v>MtzCherry</v>
      </c>
      <c r="C1493" s="80" t="s">
        <v>1746</v>
      </c>
      <c r="D1493" s="81" t="str">
        <f>HYPERLINK("https://youtube.com/watch?v=Tmdcqk3UbDY", "🇭🇰香港農曆新年唔可以買鞋?! Buy Shoes = Bad Luck in Lunar New Year?! || Living in HONG KONG")</f>
        <v>🇭🇰香港農曆新年唔可以買鞋?! Buy Shoes = Bad Luck in Lunar New Year?! || Living in HONG KONG</v>
      </c>
      <c r="E1493" s="82">
        <v>43499.0</v>
      </c>
      <c r="F1493" s="80">
        <v>303.0</v>
      </c>
      <c r="G1493" s="80" t="s">
        <v>63</v>
      </c>
      <c r="I1493" s="80" t="s">
        <v>63</v>
      </c>
      <c r="J1493" s="80">
        <v>706.0</v>
      </c>
      <c r="K1493" s="80">
        <v>0.781838316722037</v>
      </c>
      <c r="L1493" s="80" t="s">
        <v>287</v>
      </c>
    </row>
    <row r="1494">
      <c r="A1494" s="80" t="s">
        <v>278</v>
      </c>
      <c r="B1494" s="81" t="str">
        <f>HYPERLINK("https://www.youtube.com/channel/UCDoEdJo-PI-EKGNKomwLroQ", "mingjai14")</f>
        <v>mingjai14</v>
      </c>
      <c r="C1494" s="80" t="s">
        <v>1747</v>
      </c>
      <c r="D1494" s="81" t="str">
        <f>HYPERLINK("https://youtube.com/watch?v=TmrkjF3q3pE", "相隔半世紀，現代人效率高咗幾多❓ | 非正式社會實驗 (ft. 羅啟新)")</f>
        <v>相隔半世紀，現代人效率高咗幾多❓ | 非正式社會實驗 (ft. 羅啟新)</v>
      </c>
      <c r="E1494" s="82">
        <v>43560.0</v>
      </c>
      <c r="F1494" s="80">
        <v>814.0</v>
      </c>
      <c r="G1494" s="80" t="s">
        <v>63</v>
      </c>
      <c r="I1494" s="80" t="s">
        <v>63</v>
      </c>
      <c r="J1494" s="80">
        <v>2998.0</v>
      </c>
      <c r="K1494" s="80">
        <v>0.912633181126331</v>
      </c>
      <c r="L1494" s="80" t="s">
        <v>64</v>
      </c>
    </row>
    <row r="1495">
      <c r="A1495" s="80" t="s">
        <v>957</v>
      </c>
      <c r="B1495" s="81" t="str">
        <f>HYPERLINK("https://www.youtube.com/channel/UCNdV5VO81YBe5rfhOz1wRmA", "Con爆TV")</f>
        <v>Con爆TV</v>
      </c>
      <c r="C1495" s="80" t="s">
        <v>1748</v>
      </c>
      <c r="D1495" s="81" t="str">
        <f>HYPERLINK("https://youtube.com/watch?v=TnDOdzmJWLc", "【PAD】自動追打輕鬆破根性!! 死死若丸x黑Saber快刷異形革命，5星神角解放路西法難民，幽遊合作真大獎?!")</f>
        <v>【PAD】自動追打輕鬆破根性!! 死死若丸x黑Saber快刷異形革命，5星神角解放路西法難民，幽遊合作真大獎?!</v>
      </c>
      <c r="E1495" s="82">
        <v>43535.0</v>
      </c>
      <c r="F1495" s="80">
        <v>659.0</v>
      </c>
      <c r="G1495" s="80" t="s">
        <v>63</v>
      </c>
      <c r="I1495" s="80" t="s">
        <v>63</v>
      </c>
      <c r="J1495" s="80">
        <v>591.0</v>
      </c>
      <c r="K1495" s="80">
        <v>0.894099848714069</v>
      </c>
      <c r="L1495" s="80" t="s">
        <v>64</v>
      </c>
    </row>
    <row r="1496">
      <c r="A1496" s="80" t="s">
        <v>129</v>
      </c>
      <c r="B1496" s="81" t="str">
        <f>HYPERLINK("https://www.youtube.com/channel/UCBbTnorwzva0ZIMGW0ttwVA", "阿豬 Ah Ju")</f>
        <v>阿豬 Ah Ju</v>
      </c>
      <c r="C1496" s="80" t="s">
        <v>1749</v>
      </c>
      <c r="D1496" s="81" t="str">
        <f>HYPERLINK("https://youtube.com/watch?v=TpVEhOqBudA", "專業 Trader 教入門期權操作")</f>
        <v>專業 Trader 教入門期權操作</v>
      </c>
      <c r="E1496" s="82">
        <v>44348.0</v>
      </c>
      <c r="F1496" s="80">
        <v>485.0</v>
      </c>
      <c r="G1496" s="80" t="s">
        <v>63</v>
      </c>
      <c r="I1496" s="80" t="s">
        <v>63</v>
      </c>
      <c r="J1496" s="80">
        <v>1659.0</v>
      </c>
      <c r="K1496" s="80">
        <v>0.688667496886675</v>
      </c>
      <c r="L1496" s="80" t="s">
        <v>1004</v>
      </c>
    </row>
    <row r="1497">
      <c r="A1497" s="80" t="s">
        <v>217</v>
      </c>
      <c r="B1497" s="81" t="str">
        <f>HYPERLINK("https://www.youtube.com/channel/UCXKg0qPRz32bs5Z4mTGF3TQ", "Stormtrooper白兵")</f>
        <v>Stormtrooper白兵</v>
      </c>
      <c r="C1497" s="80" t="s">
        <v>1750</v>
      </c>
      <c r="D1497" s="81" t="str">
        <f>HYPERLINK("https://youtube.com/watch?v=TpvjM7ue7xw", "區選有50萬張假票！？｜大陸人在香港種票絕密錄音大曝光！｜邊個話香港無出現過選舉舞弊？｜掌心雷！換票箱？")</f>
        <v>區選有50萬張假票！？｜大陸人在香港種票絕密錄音大曝光！｜邊個話香港無出現過選舉舞弊？｜掌心雷！換票箱？</v>
      </c>
      <c r="E1497" s="82">
        <v>43958.0</v>
      </c>
      <c r="F1497" s="80">
        <v>1062.0</v>
      </c>
      <c r="G1497" s="80" t="s">
        <v>63</v>
      </c>
      <c r="I1497" s="80" t="s">
        <v>63</v>
      </c>
      <c r="J1497" s="80">
        <v>3391.0</v>
      </c>
      <c r="K1497" s="80">
        <v>0.890727607039663</v>
      </c>
      <c r="L1497" s="80" t="s">
        <v>64</v>
      </c>
    </row>
    <row r="1498">
      <c r="A1498" s="80" t="s">
        <v>61</v>
      </c>
      <c r="B1498" s="81" t="str">
        <f>HYPERLINK("https://www.youtube.com/channel/UCJ4XVrJuqKHbc9yF9oUFseg", "MEeeep More")</f>
        <v>MEeeep More</v>
      </c>
      <c r="C1498" s="80" t="s">
        <v>1751</v>
      </c>
      <c r="D1498" s="81" t="str">
        <f>HYPERLINK("https://youtube.com/watch?v=TsQWyNBcDO8", "華為 P50 Pro | 萬象雙圓環 Leica 相機 2款處理器+3款儲存空間 任君選擇 | p50 pro huawei 華為 麒麟9000 vs s888")</f>
        <v>華為 P50 Pro | 萬象雙圓環 Leica 相機 2款處理器+3款儲存空間 任君選擇 | p50 pro huawei 華為 麒麟9000 vs s888</v>
      </c>
      <c r="E1498" s="82">
        <v>44414.0</v>
      </c>
      <c r="F1498" s="80">
        <v>159.0</v>
      </c>
      <c r="G1498" s="80" t="s">
        <v>63</v>
      </c>
      <c r="I1498" s="80" t="s">
        <v>63</v>
      </c>
      <c r="J1498" s="80">
        <v>397.0</v>
      </c>
      <c r="K1498" s="80">
        <v>0.715315315315315</v>
      </c>
      <c r="L1498" s="80" t="s">
        <v>64</v>
      </c>
    </row>
    <row r="1499">
      <c r="A1499" s="80" t="s">
        <v>217</v>
      </c>
      <c r="B1499" s="81" t="str">
        <f>HYPERLINK("https://www.youtube.com/channel/UCXKg0qPRz32bs5Z4mTGF3TQ", "Stormtrooper白兵")</f>
        <v>Stormtrooper白兵</v>
      </c>
      <c r="C1499" s="80" t="s">
        <v>1752</v>
      </c>
      <c r="D1499" s="81" t="str">
        <f>HYPERLINK("https://youtube.com/watch?v=TvIxD8md7wk", "[武漢肺炎]中共大玩病毒戰，只為續命；毒娥不封關，全為毒殺港人｜分析武漢肺炎流出之謎")</f>
        <v>[武漢肺炎]中共大玩病毒戰，只為續命；毒娥不封關，全為毒殺港人｜分析武漢肺炎流出之謎</v>
      </c>
      <c r="E1499" s="82">
        <v>43864.0</v>
      </c>
      <c r="F1499" s="80">
        <v>743.0</v>
      </c>
      <c r="G1499" s="80" t="s">
        <v>63</v>
      </c>
      <c r="H1499" s="80" t="s">
        <v>63</v>
      </c>
      <c r="I1499" s="80" t="s">
        <v>63</v>
      </c>
      <c r="J1499" s="80">
        <v>3291.0</v>
      </c>
      <c r="K1499" s="80">
        <v>0.958078602620087</v>
      </c>
      <c r="L1499" s="80" t="s">
        <v>86</v>
      </c>
    </row>
    <row r="1500">
      <c r="A1500" s="80" t="s">
        <v>278</v>
      </c>
      <c r="B1500" s="81" t="str">
        <f>HYPERLINK("https://www.youtube.com/channel/UCDoEdJo-PI-EKGNKomwLroQ", "mingjai14")</f>
        <v>mingjai14</v>
      </c>
      <c r="C1500" s="80" t="s">
        <v>1753</v>
      </c>
      <c r="D1500" s="81" t="str">
        <f>HYPERLINK("https://youtube.com/watch?v=TxJFZb5wjMM", "再見天空之城｜非南非旅｜Ep 5")</f>
        <v>再見天空之城｜非南非旅｜Ep 5</v>
      </c>
      <c r="E1500" s="82">
        <v>42716.0</v>
      </c>
      <c r="F1500" s="80">
        <v>467.0</v>
      </c>
      <c r="G1500" s="80" t="s">
        <v>63</v>
      </c>
      <c r="I1500" s="80" t="s">
        <v>63</v>
      </c>
      <c r="J1500" s="80">
        <v>551.0</v>
      </c>
      <c r="K1500" s="80">
        <v>0.479130434782608</v>
      </c>
      <c r="L1500" s="80" t="s">
        <v>64</v>
      </c>
    </row>
    <row r="1501">
      <c r="A1501" s="80" t="s">
        <v>112</v>
      </c>
      <c r="B1501" s="81" t="str">
        <f>HYPERLINK("https://www.youtube.com/channel/UCW_n_gfIv4HhRqCk8EnRhJA", "Happy Kongner")</f>
        <v>Happy Kongner</v>
      </c>
      <c r="C1501" s="80" t="s">
        <v>1754</v>
      </c>
      <c r="D1501" s="81" t="str">
        <f>HYPERLINK("https://youtube.com/watch?v=U2_jX9qM_YU", "成王之路：最廢嘅篇章  [公仔書與卡通片:海賊王特輯 第九集]")</f>
        <v>成王之路：最廢嘅篇章  [公仔書與卡通片:海賊王特輯 第九集]</v>
      </c>
      <c r="E1501" s="82">
        <v>43810.0</v>
      </c>
      <c r="F1501" s="80">
        <v>616.0</v>
      </c>
      <c r="G1501" s="80" t="s">
        <v>63</v>
      </c>
      <c r="I1501" s="80" t="s">
        <v>63</v>
      </c>
      <c r="J1501" s="80">
        <v>2646.0</v>
      </c>
      <c r="K1501" s="80">
        <v>0.889411764705882</v>
      </c>
      <c r="L1501" s="80" t="s">
        <v>64</v>
      </c>
    </row>
    <row r="1502">
      <c r="A1502" s="80" t="s">
        <v>61</v>
      </c>
      <c r="B1502" s="81" t="str">
        <f>HYPERLINK("https://www.youtube.com/channel/UCJ4XVrJuqKHbc9yF9oUFseg", "MEeeep More")</f>
        <v>MEeeep More</v>
      </c>
      <c r="C1502" s="80" t="s">
        <v>1755</v>
      </c>
      <c r="D1502" s="81" t="str">
        <f>HYPERLINK("https://youtube.com/watch?v=U6bjCGlYTkg", "【雪耳湯食譜】雪梨雪耳瘦肉湯 清熱滋陰 湯水推介！ [中文字幕] Chinese Soup Recipe 保健湯水 湯水食譜 在家煮 Nourishing Soup 老火湯食譜  雪耳湯食譜")</f>
        <v>【雪耳湯食譜】雪梨雪耳瘦肉湯 清熱滋陰 湯水推介！ [中文字幕] Chinese Soup Recipe 保健湯水 湯水食譜 在家煮 Nourishing Soup 老火湯食譜  雪耳湯食譜</v>
      </c>
      <c r="E1502" s="82">
        <v>43996.0</v>
      </c>
      <c r="F1502" s="80">
        <v>183.0</v>
      </c>
      <c r="G1502" s="80" t="s">
        <v>63</v>
      </c>
      <c r="I1502" s="80" t="s">
        <v>63</v>
      </c>
      <c r="J1502" s="80">
        <v>296.0</v>
      </c>
      <c r="K1502" s="80">
        <v>0.853025936599423</v>
      </c>
      <c r="L1502" s="80" t="s">
        <v>64</v>
      </c>
    </row>
    <row r="1503">
      <c r="A1503" s="80" t="s">
        <v>112</v>
      </c>
      <c r="B1503" s="81" t="str">
        <f>HYPERLINK("https://www.youtube.com/channel/UCW_n_gfIv4HhRqCk8EnRhJA", "Happy Kongner")</f>
        <v>Happy Kongner</v>
      </c>
      <c r="C1503" s="80" t="s">
        <v>1756</v>
      </c>
      <c r="D1503" s="81" t="str">
        <f>HYPERLINK("https://youtube.com/watch?v=U7Byc_WX4io", "「廣東話講西洋書法」字得其樂 The ABC of Western Calligraphy 墨水")</f>
        <v>「廣東話講西洋書法」字得其樂 The ABC of Western Calligraphy 墨水</v>
      </c>
      <c r="E1503" s="82">
        <v>43079.0</v>
      </c>
      <c r="F1503" s="80">
        <v>1166.0</v>
      </c>
      <c r="G1503" s="80" t="s">
        <v>63</v>
      </c>
      <c r="I1503" s="80" t="s">
        <v>63</v>
      </c>
      <c r="J1503" s="80">
        <v>2571.0</v>
      </c>
      <c r="K1503" s="80">
        <v>0.950462107208872</v>
      </c>
      <c r="L1503" s="80" t="s">
        <v>64</v>
      </c>
    </row>
    <row r="1504">
      <c r="A1504" s="80" t="s">
        <v>82</v>
      </c>
      <c r="B1504" s="81" t="str">
        <f>HYPERLINK("https://www.youtube.com/channel/UC6C2hkbggXIgapf5jn_V2Dw", "SpongeMob 852")</f>
        <v>SpongeMob 852</v>
      </c>
      <c r="C1504" s="80" t="s">
        <v>1757</v>
      </c>
      <c r="D1504" s="81" t="str">
        <f>HYPERLINK("https://youtube.com/watch?v=U7ZZzLb1zpw", "Novel Fla$h X ParaT - TikTok 剔噠  [Official Lyric Video]")</f>
        <v>Novel Fla$h X ParaT - TikTok 剔噠  [Official Lyric Video]</v>
      </c>
      <c r="E1504" s="82">
        <v>43665.0</v>
      </c>
      <c r="F1504" s="80">
        <v>146.0</v>
      </c>
      <c r="G1504" s="80" t="s">
        <v>63</v>
      </c>
      <c r="I1504" s="80" t="s">
        <v>63</v>
      </c>
      <c r="J1504" s="80">
        <v>432.0</v>
      </c>
      <c r="K1504" s="80">
        <v>0.813559322033898</v>
      </c>
      <c r="L1504" s="80" t="s">
        <v>64</v>
      </c>
    </row>
    <row r="1505">
      <c r="A1505" s="80" t="s">
        <v>74</v>
      </c>
      <c r="B1505" s="81" t="str">
        <f>HYPERLINK("https://www.youtube.com/channel/UCO_5XP-qd-udNxBlzzSzgvw", "Handline Fishing")</f>
        <v>Handline Fishing</v>
      </c>
      <c r="C1505" s="80" t="s">
        <v>1758</v>
      </c>
      <c r="D1505" s="81" t="str">
        <f>HYPERLINK("https://youtube.com/watch?v=U8V7vfBkKps", "#142 跟師公學玩手竿 | 『香港釣魚 : 岸釣』香港迪士尼碼頭 {粵語旁白+中英文字幕}")</f>
        <v>#142 跟師公學玩手竿 | 『香港釣魚 : 岸釣』香港迪士尼碼頭 {粵語旁白+中英文字幕}</v>
      </c>
      <c r="E1505" s="82">
        <v>44068.0</v>
      </c>
      <c r="F1505" s="80">
        <v>493.0</v>
      </c>
      <c r="G1505" s="80" t="s">
        <v>63</v>
      </c>
      <c r="I1505" s="80" t="s">
        <v>63</v>
      </c>
      <c r="J1505" s="80">
        <v>1032.0</v>
      </c>
      <c r="K1505" s="80">
        <v>0.964485981308411</v>
      </c>
      <c r="L1505" s="80" t="s">
        <v>1105</v>
      </c>
    </row>
    <row r="1506">
      <c r="A1506" s="80" t="s">
        <v>61</v>
      </c>
      <c r="B1506" s="81" t="str">
        <f>HYPERLINK("https://www.youtube.com/channel/UCJ4XVrJuqKHbc9yF9oUFseg", "MEeeep More")</f>
        <v>MEeeep More</v>
      </c>
      <c r="C1506" s="80" t="s">
        <v>1759</v>
      </c>
      <c r="D1506" s="81" t="str">
        <f>HYPERLINK("https://youtube.com/watch?v=UGCbBhbBRYY", "iOS14 Widgets 有乜推薦？用開 Gmail 同 Chrome 不可不知嘅設定全公開！widgetsmith ios14.0.1 widget iOS iphone12 Post-it")</f>
        <v>iOS14 Widgets 有乜推薦？用開 Gmail 同 Chrome 不可不知嘅設定全公開！widgetsmith ios14.0.1 widget iOS iphone12 Post-it</v>
      </c>
      <c r="E1506" s="82">
        <v>44099.0</v>
      </c>
      <c r="F1506" s="80">
        <v>155.0</v>
      </c>
      <c r="G1506" s="80" t="s">
        <v>63</v>
      </c>
      <c r="I1506" s="80" t="s">
        <v>63</v>
      </c>
      <c r="J1506" s="80">
        <v>360.0</v>
      </c>
      <c r="K1506" s="80">
        <v>0.574162679425837</v>
      </c>
      <c r="L1506" s="80" t="s">
        <v>64</v>
      </c>
    </row>
    <row r="1507">
      <c r="A1507" s="80" t="s">
        <v>140</v>
      </c>
      <c r="B1507" s="81" t="str">
        <f>HYPERLINK("https://www.youtube.com/channel/UCHK0CZf9HEXs42qIO1GUouA", "TechiCardia")</f>
        <v>TechiCardia</v>
      </c>
      <c r="C1507" s="80" t="s">
        <v>1760</v>
      </c>
      <c r="D1507" s="81" t="str">
        <f>HYPERLINK("https://youtube.com/watch?v=UGI0cz8wKPY", "【飛馬電腦節 2021 呈獻】 2077 窮砌大賽 EP3 壞左？！嚇到軟仔都腳埋！！(CC中文字幕) 4K")</f>
        <v>【飛馬電腦節 2021 呈獻】 2077 窮砌大賽 EP3 壞左？！嚇到軟仔都腳埋！！(CC中文字幕) 4K</v>
      </c>
      <c r="E1507" s="82">
        <v>44212.0</v>
      </c>
      <c r="F1507" s="80">
        <v>798.0</v>
      </c>
      <c r="G1507" s="80" t="s">
        <v>63</v>
      </c>
      <c r="I1507" s="80" t="s">
        <v>63</v>
      </c>
      <c r="J1507" s="80">
        <v>2604.0</v>
      </c>
      <c r="K1507" s="80">
        <v>0.765657159658923</v>
      </c>
      <c r="L1507" s="80" t="s">
        <v>64</v>
      </c>
    </row>
    <row r="1508">
      <c r="A1508" s="80" t="s">
        <v>129</v>
      </c>
      <c r="B1508" s="81" t="str">
        <f>HYPERLINK("https://www.youtube.com/channel/UCBbTnorwzva0ZIMGW0ttwVA", "阿豬 Ah Ju")</f>
        <v>阿豬 Ah Ju</v>
      </c>
      <c r="C1508" s="80" t="s">
        <v>1761</v>
      </c>
      <c r="D1508" s="81" t="str">
        <f>HYPERLINK("https://youtube.com/watch?v=UGgBRSK0FXw", "Bitcoin 比特幣大跌真正兇手 (唔係你所諗)")</f>
        <v>Bitcoin 比特幣大跌真正兇手 (唔係你所諗)</v>
      </c>
      <c r="E1508" s="82">
        <v>44306.0</v>
      </c>
      <c r="F1508" s="80">
        <v>663.0</v>
      </c>
      <c r="G1508" s="80" t="s">
        <v>63</v>
      </c>
      <c r="I1508" s="80" t="s">
        <v>63</v>
      </c>
      <c r="J1508" s="80">
        <v>2376.0</v>
      </c>
      <c r="K1508" s="80">
        <v>0.674042553191489</v>
      </c>
      <c r="L1508" s="80" t="s">
        <v>1004</v>
      </c>
    </row>
    <row r="1509">
      <c r="A1509" s="80" t="s">
        <v>61</v>
      </c>
      <c r="B1509" s="81" t="str">
        <f>HYPERLINK("https://www.youtube.com/channel/UCJ4XVrJuqKHbc9yF9oUFseg", "MEeeep More")</f>
        <v>MEeeep More</v>
      </c>
      <c r="C1509" s="80" t="s">
        <v>1762</v>
      </c>
      <c r="D1509" s="81" t="str">
        <f>HYPERLINK("https://youtube.com/watch?v=UI3FsvrAaRk", "iPad Pro 11"" (2018) 開箱！對比上一代 iPad Pro 10.5"" 換機值唔值？ - 《Z世代達人》")</f>
        <v>iPad Pro 11" (2018) 開箱！對比上一代 iPad Pro 10.5" 換機值唔值？ - 《Z世代達人》</v>
      </c>
      <c r="E1509" s="82">
        <v>43413.0</v>
      </c>
      <c r="F1509" s="80">
        <v>266.0</v>
      </c>
      <c r="G1509" s="80" t="s">
        <v>63</v>
      </c>
      <c r="I1509" s="80" t="s">
        <v>63</v>
      </c>
      <c r="J1509" s="80">
        <v>716.0</v>
      </c>
      <c r="K1509" s="80">
        <v>0.758474576271186</v>
      </c>
      <c r="L1509" s="80" t="s">
        <v>64</v>
      </c>
    </row>
    <row r="1510">
      <c r="A1510" s="80" t="s">
        <v>94</v>
      </c>
      <c r="B1510" s="81" t="str">
        <f>HYPERLINK("https://www.youtube.com/channel/UCT_dMyI3pNselsmfR6FC8tQ", "PrideLab")</f>
        <v>PrideLab</v>
      </c>
      <c r="C1510" s="80" t="s">
        <v>1763</v>
      </c>
      <c r="D1510" s="81" t="str">
        <f>HYPERLINK("https://youtube.com/watch?v=UNmBO5j6q2c", "性別承認諮詢懶人包  第一集：認識性別承認法諮詢")</f>
        <v>性別承認諮詢懶人包  第一集：認識性別承認法諮詢</v>
      </c>
      <c r="E1510" s="82">
        <v>42991.0</v>
      </c>
      <c r="F1510" s="80">
        <v>606.0</v>
      </c>
      <c r="G1510" s="80" t="s">
        <v>63</v>
      </c>
      <c r="I1510" s="80" t="s">
        <v>63</v>
      </c>
      <c r="J1510" s="80">
        <v>2627.0</v>
      </c>
      <c r="K1510" s="80">
        <v>0.949403686302855</v>
      </c>
      <c r="L1510" s="80" t="s">
        <v>64</v>
      </c>
    </row>
    <row r="1511">
      <c r="A1511" s="80" t="s">
        <v>278</v>
      </c>
      <c r="B1511" s="81" t="str">
        <f>HYPERLINK("https://www.youtube.com/channel/UCDoEdJo-PI-EKGNKomwLroQ", "mingjai14")</f>
        <v>mingjai14</v>
      </c>
      <c r="C1511" s="80" t="s">
        <v>1764</v>
      </c>
      <c r="D1511" s="81" t="str">
        <f>HYPERLINK("https://youtube.com/watch?v=UNuU-4kMNnI", "本地人自白：做丹麥人快樂嗎？| 歐遊列國6 | Finale")</f>
        <v>本地人自白：做丹麥人快樂嗎？| 歐遊列國6 | Finale</v>
      </c>
      <c r="E1511" s="82">
        <v>43564.0</v>
      </c>
      <c r="F1511" s="80">
        <v>740.0</v>
      </c>
      <c r="G1511" s="80" t="s">
        <v>63</v>
      </c>
      <c r="H1511" s="80" t="s">
        <v>63</v>
      </c>
      <c r="I1511" s="80" t="s">
        <v>63</v>
      </c>
      <c r="J1511" s="80">
        <v>1920.0</v>
      </c>
      <c r="K1511" s="80">
        <v>0.93971238938053</v>
      </c>
      <c r="L1511" s="80" t="s">
        <v>86</v>
      </c>
    </row>
    <row r="1512">
      <c r="A1512" s="80" t="s">
        <v>248</v>
      </c>
      <c r="B1512" s="81" t="str">
        <f>HYPERLINK("https://www.youtube.com/channel/UCUEJok-GiWaGlv5nIPwk-GQ", "Price.com.hk 香港格價網")</f>
        <v>Price.com.hk 香港格價網</v>
      </c>
      <c r="C1512" s="80" t="s">
        <v>1765</v>
      </c>
      <c r="D1512" s="81" t="str">
        <f>HYPERLINK("https://youtube.com/watch?v=6PGCsCqgYb8", "ROG Moonlight純白電競裝備Strix Scope NX TKL鍵盤、Impact II滑鼠、Go Core耳筒、Cetra II Core耳機｜特約專題【Price.com.hk產品評測】")</f>
        <v>ROG Moonlight純白電競裝備Strix Scope NX TKL鍵盤、Impact II滑鼠、Go Core耳筒、Cetra II Core耳機｜特約專題【Price.com.hk產品評測】</v>
      </c>
      <c r="E1512" s="82">
        <v>44424.0</v>
      </c>
      <c r="F1512" s="80">
        <v>390.0</v>
      </c>
      <c r="G1512" s="80" t="s">
        <v>63</v>
      </c>
      <c r="I1512" s="80" t="s">
        <v>63</v>
      </c>
      <c r="J1512" s="80">
        <v>1403.0</v>
      </c>
      <c r="K1512" s="80">
        <v>0.750267379679144</v>
      </c>
      <c r="L1512" s="80" t="s">
        <v>64</v>
      </c>
    </row>
    <row r="1513">
      <c r="A1513" s="80" t="s">
        <v>74</v>
      </c>
      <c r="B1513" s="81" t="str">
        <f>HYPERLINK("https://www.youtube.com/channel/UCO_5XP-qd-udNxBlzzSzgvw", "Handline Fishing")</f>
        <v>Handline Fishing</v>
      </c>
      <c r="C1513" s="80" t="s">
        <v>1766</v>
      </c>
      <c r="D1513" s="81" t="str">
        <f>HYPERLINK("https://youtube.com/watch?v=UOEfImdcPKA", "#130 100% 成功新手釣魚｜『香港釣魚 : 岸釣』數碼港 {粵語旁白+中英文字幕}")</f>
        <v>#130 100% 成功新手釣魚｜『香港釣魚 : 岸釣』數碼港 {粵語旁白+中英文字幕}</v>
      </c>
      <c r="E1513" s="82">
        <v>44022.0</v>
      </c>
      <c r="F1513" s="80">
        <v>245.0</v>
      </c>
      <c r="G1513" s="80" t="s">
        <v>63</v>
      </c>
      <c r="I1513" s="80" t="s">
        <v>63</v>
      </c>
      <c r="J1513" s="80">
        <v>983.0</v>
      </c>
      <c r="K1513" s="80">
        <v>0.96847290640394</v>
      </c>
      <c r="L1513" s="80" t="s">
        <v>76</v>
      </c>
    </row>
    <row r="1514">
      <c r="A1514" s="80" t="s">
        <v>112</v>
      </c>
      <c r="B1514" s="81" t="str">
        <f>HYPERLINK("https://www.youtube.com/channel/UCW_n_gfIv4HhRqCk8EnRhJA", "Happy Kongner")</f>
        <v>Happy Kongner</v>
      </c>
      <c r="C1514" s="80" t="s">
        <v>1767</v>
      </c>
      <c r="D1514" s="81" t="str">
        <f>HYPERLINK("https://youtube.com/watch?v=UP-t7jJYk1M", "港奴？點解香港人咁中意返工？港鐵不合作運動的啟示  [做乜嘢懶人包ep5]")</f>
        <v>港奴？點解香港人咁中意返工？港鐵不合作運動的啟示  [做乜嘢懶人包ep5]</v>
      </c>
      <c r="E1514" s="82">
        <v>43681.0</v>
      </c>
      <c r="F1514" s="80">
        <v>840.0</v>
      </c>
      <c r="G1514" s="80" t="s">
        <v>63</v>
      </c>
      <c r="H1514" s="80" t="s">
        <v>63</v>
      </c>
      <c r="I1514" s="80" t="s">
        <v>63</v>
      </c>
      <c r="J1514" s="80">
        <v>4531.0</v>
      </c>
      <c r="K1514" s="80">
        <v>0.983503364445409</v>
      </c>
      <c r="L1514" s="80" t="s">
        <v>86</v>
      </c>
    </row>
    <row r="1515">
      <c r="A1515" s="80" t="s">
        <v>74</v>
      </c>
      <c r="B1515" s="81" t="str">
        <f>HYPERLINK("https://www.youtube.com/channel/UCO_5XP-qd-udNxBlzzSzgvw", "Handline Fishing")</f>
        <v>Handline Fishing</v>
      </c>
      <c r="C1515" s="80" t="s">
        <v>1768</v>
      </c>
      <c r="D1515" s="81" t="str">
        <f>HYPERLINK("https://youtube.com/watch?v=URlFzetYTBM", "#158 減少手絲炒粉機會，簡單蹺妙，你做左未？ |  (艇釣+岸釣)『手絲應用篇+分享』 {粵語旁白+中文字幕}")</f>
        <v>#158 減少手絲炒粉機會，簡單蹺妙，你做左未？ |  (艇釣+岸釣)『手絲應用篇+分享』 {粵語旁白+中文字幕}</v>
      </c>
      <c r="E1515" s="82">
        <v>44127.0</v>
      </c>
      <c r="F1515" s="80">
        <v>490.0</v>
      </c>
      <c r="G1515" s="80" t="s">
        <v>63</v>
      </c>
      <c r="I1515" s="80" t="s">
        <v>63</v>
      </c>
      <c r="J1515" s="80">
        <v>1232.0</v>
      </c>
      <c r="K1515" s="80">
        <v>0.926315789473684</v>
      </c>
      <c r="L1515" s="80" t="s">
        <v>1206</v>
      </c>
    </row>
    <row r="1516">
      <c r="A1516" s="80" t="s">
        <v>112</v>
      </c>
      <c r="B1516" s="81" t="str">
        <f>HYPERLINK("https://www.youtube.com/channel/UCW_n_gfIv4HhRqCk8EnRhJA", "Happy Kongner")</f>
        <v>Happy Kongner</v>
      </c>
      <c r="C1516" s="80" t="s">
        <v>1769</v>
      </c>
      <c r="D1516" s="81" t="str">
        <f>HYPERLINK("https://youtube.com/watch?v=UVtVpkmQI0I", "網球角落頭 Tennis Corner 第四集 Episode 4 網球明日之星系列—淺談Dominic Thiem進攻弱點")</f>
        <v>網球角落頭 Tennis Corner 第四集 Episode 4 網球明日之星系列—淺談Dominic Thiem進攻弱點</v>
      </c>
      <c r="E1516" s="82">
        <v>44031.0</v>
      </c>
      <c r="F1516" s="80">
        <v>934.0</v>
      </c>
      <c r="G1516" s="80" t="s">
        <v>63</v>
      </c>
      <c r="I1516" s="80" t="s">
        <v>63</v>
      </c>
      <c r="J1516" s="80">
        <v>4224.0</v>
      </c>
      <c r="K1516" s="80">
        <v>0.745367919534145</v>
      </c>
      <c r="L1516" s="80" t="s">
        <v>64</v>
      </c>
    </row>
    <row r="1517">
      <c r="A1517" s="80" t="s">
        <v>71</v>
      </c>
      <c r="B1517" s="81" t="str">
        <f>HYPERLINK("https://www.youtube.com/channel/UCXTE-gQCetfrx_lC9yFM2aw", "arhoTV")</f>
        <v>arhoTV</v>
      </c>
      <c r="C1517" s="80" t="s">
        <v>1770</v>
      </c>
      <c r="D1517" s="81" t="str">
        <f>HYPERLINK("https://youtube.com/watch?v=UZPwRD55o6o", "【開箱】我都有隻新錶喇！")</f>
        <v>【開箱】我都有隻新錶喇！</v>
      </c>
      <c r="E1517" s="82">
        <v>42794.0</v>
      </c>
      <c r="F1517" s="80">
        <v>239.0</v>
      </c>
      <c r="G1517" s="80" t="s">
        <v>63</v>
      </c>
      <c r="H1517" s="80" t="s">
        <v>63</v>
      </c>
      <c r="I1517" s="80" t="s">
        <v>63</v>
      </c>
      <c r="J1517" s="80">
        <v>1220.0</v>
      </c>
      <c r="K1517" s="80">
        <v>0.843425605536332</v>
      </c>
      <c r="L1517" s="80" t="s">
        <v>120</v>
      </c>
    </row>
    <row r="1518">
      <c r="A1518" s="80" t="s">
        <v>112</v>
      </c>
      <c r="B1518" s="81" t="str">
        <f>HYPERLINK("https://www.youtube.com/channel/UCW_n_gfIv4HhRqCk8EnRhJA", "Happy Kongner")</f>
        <v>Happy Kongner</v>
      </c>
      <c r="C1518" s="80" t="s">
        <v>1771</v>
      </c>
      <c r="D1518" s="81" t="str">
        <f>HYPERLINK("https://youtube.com/watch?v=UfYtvYKaA4A", "字得其樂 The ABC of Western Calligraphy 意大利體 Italic Script")</f>
        <v>字得其樂 The ABC of Western Calligraphy 意大利體 Italic Script</v>
      </c>
      <c r="E1518" s="82">
        <v>43648.0</v>
      </c>
      <c r="F1518" s="80">
        <v>858.0</v>
      </c>
      <c r="G1518" s="80" t="s">
        <v>63</v>
      </c>
      <c r="I1518" s="80" t="s">
        <v>63</v>
      </c>
      <c r="J1518" s="80">
        <v>1549.0</v>
      </c>
      <c r="K1518" s="80">
        <v>0.794766546947152</v>
      </c>
      <c r="L1518" s="80" t="s">
        <v>64</v>
      </c>
    </row>
    <row r="1519">
      <c r="A1519" s="80" t="s">
        <v>74</v>
      </c>
      <c r="B1519" s="81" t="str">
        <f>HYPERLINK("https://www.youtube.com/channel/UCO_5XP-qd-udNxBlzzSzgvw", "Handline Fishing")</f>
        <v>Handline Fishing</v>
      </c>
      <c r="C1519" s="80" t="s">
        <v>1772</v>
      </c>
      <c r="D1519" s="81" t="str">
        <f>HYPERLINK("https://youtube.com/watch?v=UjgAsl886Mo", "#172 有安慰獎斤頭紅魚釣吓，人人開心 | 『香港釣魚 : 艇釣』維港 {粵語旁白+中英文字幕}")</f>
        <v>#172 有安慰獎斤頭紅魚釣吓，人人開心 | 『香港釣魚 : 艇釣』維港 {粵語旁白+中英文字幕}</v>
      </c>
      <c r="E1519" s="82">
        <v>44176.0</v>
      </c>
      <c r="F1519" s="80">
        <v>484.0</v>
      </c>
      <c r="G1519" s="80" t="s">
        <v>63</v>
      </c>
      <c r="I1519" s="80" t="s">
        <v>63</v>
      </c>
      <c r="J1519" s="80">
        <v>739.0</v>
      </c>
      <c r="K1519" s="80">
        <v>0.942602040816326</v>
      </c>
      <c r="L1519" s="80" t="s">
        <v>271</v>
      </c>
    </row>
    <row r="1520">
      <c r="A1520" s="80" t="s">
        <v>129</v>
      </c>
      <c r="B1520" s="81" t="str">
        <f>HYPERLINK("https://www.youtube.com/channel/UCBbTnorwzva0ZIMGW0ttwVA", "阿豬 Ah Ju")</f>
        <v>阿豬 Ah Ju</v>
      </c>
      <c r="C1520" s="80" t="s">
        <v>1773</v>
      </c>
      <c r="D1520" s="81" t="str">
        <f>HYPERLINK("https://youtube.com/watch?v=Un2k89iCOts", "個股票市場咁波動，應該點算？")</f>
        <v>個股票市場咁波動，應該點算？</v>
      </c>
      <c r="E1520" s="82">
        <v>44283.0</v>
      </c>
      <c r="F1520" s="80">
        <v>569.0</v>
      </c>
      <c r="G1520" s="80" t="s">
        <v>63</v>
      </c>
      <c r="I1520" s="80" t="s">
        <v>63</v>
      </c>
      <c r="J1520" s="80">
        <v>2186.0</v>
      </c>
      <c r="K1520" s="80">
        <v>0.841740469772814</v>
      </c>
      <c r="L1520" s="80" t="s">
        <v>1153</v>
      </c>
    </row>
    <row r="1521">
      <c r="A1521" s="80" t="s">
        <v>61</v>
      </c>
      <c r="B1521" s="81" t="str">
        <f>HYPERLINK("https://www.youtube.com/channel/UCJ4XVrJuqKHbc9yF9oUFseg", "MEeeep More")</f>
        <v>MEeeep More</v>
      </c>
      <c r="C1521" s="80" t="s">
        <v>1774</v>
      </c>
      <c r="D1521" s="81" t="str">
        <f>HYPERLINK("https://youtube.com/watch?v=UpRgXeVSmnA", "OPPO Reno5 Pro 5G 開箱評測 超輕薄幻彩機身 搭載多項錄影拍攝功能 Netflix Amazon 高清播放認證 oppo reno5 5g review 2021新機 香港5G")</f>
        <v>OPPO Reno5 Pro 5G 開箱評測 超輕薄幻彩機身 搭載多項錄影拍攝功能 Netflix Amazon 高清播放認證 oppo reno5 5g review 2021新機 香港5G</v>
      </c>
      <c r="E1521" s="82">
        <v>44264.0</v>
      </c>
      <c r="F1521" s="80">
        <v>273.0</v>
      </c>
      <c r="G1521" s="80" t="s">
        <v>63</v>
      </c>
      <c r="I1521" s="80" t="s">
        <v>63</v>
      </c>
      <c r="J1521" s="80">
        <v>765.0</v>
      </c>
      <c r="K1521" s="80">
        <v>0.747800586510263</v>
      </c>
      <c r="L1521" s="80" t="s">
        <v>64</v>
      </c>
    </row>
    <row r="1522">
      <c r="A1522" s="80" t="s">
        <v>112</v>
      </c>
      <c r="B1522" s="81" t="str">
        <f>HYPERLINK("https://www.youtube.com/channel/UCW_n_gfIv4HhRqCk8EnRhJA", "Happy Kongner")</f>
        <v>Happy Kongner</v>
      </c>
      <c r="C1522" s="80" t="s">
        <v>1775</v>
      </c>
      <c r="D1522" s="81" t="str">
        <f>HYPERLINK("https://youtube.com/watch?v=UqLmq7YX_jU", "成王之路：我哋係同伴啊！  [公仔書與卡通片:海賊王特輯 第四集]")</f>
        <v>成王之路：我哋係同伴啊！  [公仔書與卡通片:海賊王特輯 第四集]</v>
      </c>
      <c r="E1522" s="82">
        <v>43442.0</v>
      </c>
      <c r="F1522" s="80">
        <v>1087.0</v>
      </c>
      <c r="G1522" s="80" t="s">
        <v>63</v>
      </c>
      <c r="I1522" s="80" t="s">
        <v>63</v>
      </c>
      <c r="J1522" s="80">
        <v>4778.0</v>
      </c>
      <c r="K1522" s="80">
        <v>0.93120249464042</v>
      </c>
      <c r="L1522" s="80" t="s">
        <v>64</v>
      </c>
    </row>
    <row r="1523">
      <c r="A1523" s="80" t="s">
        <v>140</v>
      </c>
      <c r="B1523" s="81" t="str">
        <f>HYPERLINK("https://www.youtube.com/channel/UCHK0CZf9HEXs42qIO1GUouA", "TechiCardia")</f>
        <v>TechiCardia</v>
      </c>
      <c r="C1523" s="80" t="s">
        <v>1776</v>
      </c>
      <c r="D1523" s="81" t="str">
        <f>HYPERLINK("https://youtube.com/watch?v=Uqnk8FqgvKQ", "【TechiCardia】Cooler Master NR200P ITX 開箱介紹！平民版Ncase M1？！(CC廣東話中文字幕)")</f>
        <v>【TechiCardia】Cooler Master NR200P ITX 開箱介紹！平民版Ncase M1？！(CC廣東話中文字幕)</v>
      </c>
      <c r="E1523" s="82">
        <v>44053.0</v>
      </c>
      <c r="F1523" s="80">
        <v>1116.0</v>
      </c>
      <c r="G1523" s="80" t="s">
        <v>63</v>
      </c>
      <c r="I1523" s="80" t="s">
        <v>63</v>
      </c>
      <c r="J1523" s="80">
        <v>4230.0</v>
      </c>
      <c r="K1523" s="80">
        <v>0.806021341463414</v>
      </c>
      <c r="L1523" s="80" t="s">
        <v>102</v>
      </c>
    </row>
    <row r="1524">
      <c r="A1524" s="80" t="s">
        <v>74</v>
      </c>
      <c r="B1524" s="81" t="str">
        <f>HYPERLINK("https://www.youtube.com/channel/UCO_5XP-qd-udNxBlzzSzgvw", "Handline Fishing")</f>
        <v>Handline Fishing</v>
      </c>
      <c r="C1524" s="80" t="s">
        <v>1777</v>
      </c>
      <c r="D1524" s="81" t="str">
        <f>HYPERLINK("https://youtube.com/watch?v=Ur8dJpN3sxc", "#191 我竟遇上了4斤黃立鯧 | 水底拍攝，是什麼魚來八卦? |『香港釣魚 : 艇釣』{粵語旁白+中英文字幕}")</f>
        <v>#191 我竟遇上了4斤黃立鯧 | 水底拍攝，是什麼魚來八卦? |『香港釣魚 : 艇釣』{粵語旁白+中英文字幕}</v>
      </c>
      <c r="E1524" s="82">
        <v>44250.0</v>
      </c>
      <c r="F1524" s="80">
        <v>1025.0</v>
      </c>
      <c r="G1524" s="80" t="s">
        <v>63</v>
      </c>
      <c r="I1524" s="80" t="s">
        <v>63</v>
      </c>
      <c r="J1524" s="80">
        <v>1391.0</v>
      </c>
      <c r="K1524" s="80">
        <v>0.97204751921733</v>
      </c>
      <c r="L1524" s="80" t="s">
        <v>271</v>
      </c>
    </row>
    <row r="1525">
      <c r="A1525" s="80" t="s">
        <v>61</v>
      </c>
      <c r="B1525" s="81" t="str">
        <f>HYPERLINK("https://www.youtube.com/channel/UCJ4XVrJuqKHbc9yF9oUFseg", "MEeeep More")</f>
        <v>MEeeep More</v>
      </c>
      <c r="C1525" s="80" t="s">
        <v>1778</v>
      </c>
      <c r="D1525" s="81" t="str">
        <f>HYPERLINK("https://youtube.com/watch?v=Uvba7QPobn0", "一幻拉麵 Ebisoba Ichigen | 濃郁甜蝦湯底 鑄成札幌名物 紅薑天婦羅 係乜東東? | えびそば 蝦湯拉麵")</f>
        <v>一幻拉麵 Ebisoba Ichigen | 濃郁甜蝦湯底 鑄成札幌名物 紅薑天婦羅 係乜東東? | えびそば 蝦湯拉麵</v>
      </c>
      <c r="E1525" s="82">
        <v>44448.0</v>
      </c>
      <c r="F1525" s="80">
        <v>159.0</v>
      </c>
      <c r="G1525" s="80" t="s">
        <v>63</v>
      </c>
      <c r="I1525" s="80" t="s">
        <v>63</v>
      </c>
      <c r="J1525" s="80">
        <v>426.0</v>
      </c>
      <c r="K1525" s="80">
        <v>0.865853658536585</v>
      </c>
      <c r="L1525" s="80" t="s">
        <v>64</v>
      </c>
    </row>
    <row r="1526">
      <c r="A1526" s="80" t="s">
        <v>96</v>
      </c>
      <c r="B1526" s="81" t="str">
        <f>HYPERLINK("https://www.youtube.com/channel/UCGtyHJ-L_4RDIHe3XaLofQQ", "Anson Cheung")</f>
        <v>Anson Cheung</v>
      </c>
      <c r="C1526" s="80" t="s">
        <v>1779</v>
      </c>
      <c r="D1526" s="81" t="str">
        <f>HYPERLINK("https://youtube.com/watch?v=UwG7aEOgugI", "12.9"" iPad Pro (2021)：三個月後，值唔值得買？M1 iPad Pro vs M1 Macbook 買邊部好？｜2021 M1 iPad Pro 評測")</f>
        <v>12.9" iPad Pro (2021)：三個月後，值唔值得買？M1 iPad Pro vs M1 Macbook 買邊部好？｜2021 M1 iPad Pro 評測</v>
      </c>
      <c r="E1526" s="82">
        <v>44405.0</v>
      </c>
      <c r="F1526" s="80">
        <v>890.0</v>
      </c>
      <c r="G1526" s="80" t="s">
        <v>63</v>
      </c>
      <c r="I1526" s="80" t="s">
        <v>63</v>
      </c>
      <c r="J1526" s="80">
        <v>2990.0</v>
      </c>
      <c r="K1526" s="80">
        <v>0.591142744167655</v>
      </c>
      <c r="L1526" s="80" t="s">
        <v>64</v>
      </c>
    </row>
    <row r="1527">
      <c r="A1527" s="80" t="s">
        <v>219</v>
      </c>
      <c r="B1527" s="81" t="str">
        <f>HYPERLINK("https://www.youtube.com/channel/UC9_PnptBIpNF0JXbJjd8TsQ", "Brown's Channel")</f>
        <v>Brown's Channel</v>
      </c>
      <c r="C1527" s="80" t="s">
        <v>1780</v>
      </c>
      <c r="D1527" s="81" t="str">
        <f>HYPERLINK("https://youtube.com/watch?v=UxIXbvlHsFI", "【一隻熊仔去旅行@深圳】#7 木屋燒烤 － 勁親民嘅連鎖燒烤店")</f>
        <v>【一隻熊仔去旅行@深圳】#7 木屋燒烤 － 勁親民嘅連鎖燒烤店</v>
      </c>
      <c r="E1527" s="82">
        <v>43617.0</v>
      </c>
      <c r="F1527" s="80">
        <v>292.0</v>
      </c>
      <c r="G1527" s="80" t="s">
        <v>63</v>
      </c>
      <c r="I1527" s="80" t="s">
        <v>63</v>
      </c>
      <c r="J1527" s="80">
        <v>843.0</v>
      </c>
      <c r="K1527" s="80">
        <v>0.938752783964365</v>
      </c>
      <c r="L1527" s="80" t="s">
        <v>64</v>
      </c>
    </row>
    <row r="1528">
      <c r="A1528" s="80" t="s">
        <v>743</v>
      </c>
      <c r="B1528" s="81" t="str">
        <f>HYPERLINK("https://www.youtube.com/channel/UCe6qQ8zbYQJgTBnZ9wBzm9w", "Willy Lee")</f>
        <v>Willy Lee</v>
      </c>
      <c r="C1528" s="80" t="s">
        <v>1781</v>
      </c>
      <c r="D1528" s="81" t="str">
        <f>HYPERLINK("https://youtube.com/watch?v=V3b70xyj2P8", "🇭🇰【獨木舟】輕鬆！4公里短線、西貢沙下划去橋咀洲！航拍, 路線, 打卡位分享 - Willy Lee")</f>
        <v>🇭🇰【獨木舟】輕鬆！4公里短線、西貢沙下划去橋咀洲！航拍, 路線, 打卡位分享 - Willy Lee</v>
      </c>
      <c r="E1528" s="82">
        <v>44177.0</v>
      </c>
      <c r="F1528" s="80">
        <v>249.0</v>
      </c>
      <c r="G1528" s="80" t="s">
        <v>63</v>
      </c>
      <c r="I1528" s="80" t="s">
        <v>63</v>
      </c>
      <c r="J1528" s="80">
        <v>1182.0</v>
      </c>
      <c r="K1528" s="80">
        <v>0.910631741140215</v>
      </c>
      <c r="L1528" s="80" t="s">
        <v>745</v>
      </c>
    </row>
    <row r="1529">
      <c r="A1529" s="80" t="s">
        <v>61</v>
      </c>
      <c r="B1529" s="81" t="str">
        <f>HYPERLINK("https://www.youtube.com/channel/UCJ4XVrJuqKHbc9yF9oUFseg", "MEeeep More")</f>
        <v>MEeeep More</v>
      </c>
      <c r="C1529" s="80" t="s">
        <v>1782</v>
      </c>
      <c r="D1529" s="81" t="str">
        <f>HYPERLINK("https://youtube.com/watch?v=VAEyTKwPa2o", "今年必選蘿蔔糕 有乜咁特別? 教你邊度辦齊年貨 | 新年2021 新年食品 賀年食品 辦年貨 東源號")</f>
        <v>今年必選蘿蔔糕 有乜咁特別? 教你邊度辦齊年貨 | 新年2021 新年食品 賀年食品 辦年貨 東源號</v>
      </c>
      <c r="E1529" s="82">
        <v>44223.0</v>
      </c>
      <c r="F1529" s="80">
        <v>178.0</v>
      </c>
      <c r="G1529" s="80" t="s">
        <v>63</v>
      </c>
      <c r="I1529" s="80" t="s">
        <v>63</v>
      </c>
      <c r="J1529" s="80">
        <v>535.0</v>
      </c>
      <c r="K1529" s="80">
        <v>0.862903225806451</v>
      </c>
      <c r="L1529" s="80" t="s">
        <v>64</v>
      </c>
    </row>
    <row r="1530">
      <c r="A1530" s="80" t="s">
        <v>82</v>
      </c>
      <c r="B1530" s="81" t="str">
        <f>HYPERLINK("https://www.youtube.com/channel/UC6C2hkbggXIgapf5jn_V2Dw", "SpongeMob 852")</f>
        <v>SpongeMob 852</v>
      </c>
      <c r="C1530" s="80" t="s">
        <v>1783</v>
      </c>
      <c r="D1530" s="81" t="str">
        <f>HYPERLINK("https://youtube.com/watch?v=VC4PVZ4cPcw", "不痕了(字幕)")</f>
        <v>不痕了(字幕)</v>
      </c>
      <c r="E1530" s="82">
        <v>43511.0</v>
      </c>
      <c r="F1530" s="80">
        <v>77.0</v>
      </c>
      <c r="G1530" s="80" t="s">
        <v>63</v>
      </c>
      <c r="I1530" s="80" t="s">
        <v>63</v>
      </c>
      <c r="J1530" s="80">
        <v>307.0</v>
      </c>
      <c r="K1530" s="80">
        <v>0.773299748110831</v>
      </c>
      <c r="L1530" s="80" t="s">
        <v>64</v>
      </c>
    </row>
    <row r="1531">
      <c r="A1531" s="80" t="s">
        <v>274</v>
      </c>
      <c r="B1531" s="81" t="str">
        <f>HYPERLINK("https://www.youtube.com/channel/UC2oB9QCXs-RKtaKChrz4dKg", "MtzCherry")</f>
        <v>MtzCherry</v>
      </c>
      <c r="C1531" s="80" t="s">
        <v>1784</v>
      </c>
      <c r="D1531" s="81" t="str">
        <f>HYPERLINK("https://youtube.com/watch?v=VHQlBNG-jN4", "廣東話繪本終於出爐啦! Cantonese illustration book update!")</f>
        <v>廣東話繪本終於出爐啦! Cantonese illustration book update!</v>
      </c>
      <c r="E1531" s="82">
        <v>44268.0</v>
      </c>
      <c r="F1531" s="80">
        <v>423.0</v>
      </c>
      <c r="G1531" s="80" t="s">
        <v>63</v>
      </c>
      <c r="H1531" s="80" t="s">
        <v>63</v>
      </c>
      <c r="I1531" s="80" t="s">
        <v>63</v>
      </c>
      <c r="J1531" s="80">
        <v>1135.0</v>
      </c>
      <c r="K1531" s="80">
        <v>0.874901652242328</v>
      </c>
      <c r="L1531" s="80" t="s">
        <v>439</v>
      </c>
    </row>
    <row r="1532">
      <c r="A1532" s="80" t="s">
        <v>61</v>
      </c>
      <c r="B1532" s="81" t="str">
        <f>HYPERLINK("https://www.youtube.com/channel/UCJ4XVrJuqKHbc9yF9oUFseg", "MEeeep More")</f>
        <v>MEeeep More</v>
      </c>
      <c r="C1532" s="80" t="s">
        <v>1785</v>
      </c>
      <c r="D1532" s="81" t="str">
        <f>HYPERLINK("https://youtube.com/watch?v=VKez5AXbzcA", "黑鯊4 5G 開箱評測 | 小米電競手機 加入實體 L/R 鍵 抵玩過 ASUS ROG Phone? | blackshark4 xiaomi rog 5 gaming phone")</f>
        <v>黑鯊4 5G 開箱評測 | 小米電競手機 加入實體 L/R 鍵 抵玩過 ASUS ROG Phone? | blackshark4 xiaomi rog 5 gaming phone</v>
      </c>
      <c r="E1532" s="82">
        <v>44377.0</v>
      </c>
      <c r="F1532" s="80">
        <v>229.0</v>
      </c>
      <c r="G1532" s="80" t="s">
        <v>63</v>
      </c>
      <c r="I1532" s="80" t="s">
        <v>63</v>
      </c>
      <c r="J1532" s="80">
        <v>665.0</v>
      </c>
      <c r="K1532" s="80">
        <v>0.808019441069258</v>
      </c>
      <c r="L1532" s="80" t="s">
        <v>64</v>
      </c>
    </row>
    <row r="1533">
      <c r="A1533" s="80" t="s">
        <v>94</v>
      </c>
      <c r="B1533" s="81" t="str">
        <f>HYPERLINK("https://www.youtube.com/channel/UCT_dMyI3pNselsmfR6FC8tQ", "PrideLab")</f>
        <v>PrideLab</v>
      </c>
      <c r="C1533" s="80" t="s">
        <v>1786</v>
      </c>
      <c r="D1533" s="81" t="str">
        <f>HYPERLINK("https://youtube.com/watch?v=VQECj7FHRT0", "攣直後援會(PrideLab特別版) - 認識香港同志蒲點及文化")</f>
        <v>攣直後援會(PrideLab特別版) - 認識香港同志蒲點及文化</v>
      </c>
      <c r="E1533" s="82">
        <v>42874.0</v>
      </c>
      <c r="F1533" s="80">
        <v>677.0</v>
      </c>
      <c r="G1533" s="80" t="s">
        <v>63</v>
      </c>
      <c r="I1533" s="80" t="s">
        <v>63</v>
      </c>
      <c r="J1533" s="80">
        <v>2975.0</v>
      </c>
      <c r="K1533" s="80">
        <v>0.829615170105967</v>
      </c>
      <c r="L1533" s="80" t="s">
        <v>64</v>
      </c>
    </row>
    <row r="1534">
      <c r="A1534" s="80" t="s">
        <v>112</v>
      </c>
      <c r="B1534" s="81" t="str">
        <f>HYPERLINK("https://www.youtube.com/channel/UCW_n_gfIv4HhRqCk8EnRhJA", "Happy Kongner")</f>
        <v>Happy Kongner</v>
      </c>
      <c r="C1534" s="80" t="s">
        <v>1787</v>
      </c>
      <c r="D1534" s="81" t="str">
        <f>HYPERLINK("https://youtube.com/watch?v=VWTI2BJ2e2g", "「廣東話講西洋書法」字得其樂 The ABC of Western Calligraphy 橢圓練習 Oval Drills")</f>
        <v>「廣東話講西洋書法」字得其樂 The ABC of Western Calligraphy 橢圓練習 Oval Drills</v>
      </c>
      <c r="E1534" s="82">
        <v>43237.0</v>
      </c>
      <c r="F1534" s="80">
        <v>395.0</v>
      </c>
      <c r="G1534" s="80" t="s">
        <v>63</v>
      </c>
      <c r="I1534" s="80" t="s">
        <v>63</v>
      </c>
      <c r="J1534" s="80">
        <v>1238.0</v>
      </c>
      <c r="K1534" s="80">
        <v>0.902990517870167</v>
      </c>
      <c r="L1534" s="80" t="s">
        <v>64</v>
      </c>
    </row>
    <row r="1535">
      <c r="A1535" s="80" t="s">
        <v>274</v>
      </c>
      <c r="B1535" s="81" t="str">
        <f>HYPERLINK("https://www.youtube.com/channel/UC2oB9QCXs-RKtaKChrz4dKg", "MtzCherry")</f>
        <v>MtzCherry</v>
      </c>
      <c r="C1535" s="80" t="s">
        <v>1788</v>
      </c>
      <c r="D1535" s="81" t="str">
        <f>HYPERLINK("https://youtube.com/watch?v=VXvtyk2xf8M", "【香港卡通】飯碗頭同大家初次見面嘅小獨白 (廣東話版 w/ Eng Sub)")</f>
        <v>【香港卡通】飯碗頭同大家初次見面嘅小獨白 (廣東話版 w/ Eng Sub)</v>
      </c>
      <c r="E1535" s="82">
        <v>44058.0</v>
      </c>
      <c r="F1535" s="80">
        <v>87.0</v>
      </c>
      <c r="G1535" s="80" t="s">
        <v>63</v>
      </c>
      <c r="H1535" s="80" t="s">
        <v>63</v>
      </c>
      <c r="I1535" s="80" t="s">
        <v>63</v>
      </c>
      <c r="J1535" s="80">
        <v>217.0</v>
      </c>
      <c r="K1535" s="80">
        <v>0.885714285714285</v>
      </c>
      <c r="L1535" s="80" t="s">
        <v>1789</v>
      </c>
    </row>
    <row r="1536">
      <c r="A1536" s="80" t="s">
        <v>74</v>
      </c>
      <c r="B1536" s="81" t="str">
        <f>HYPERLINK("https://www.youtube.com/channel/UCO_5XP-qd-udNxBlzzSzgvw", "Handline Fishing")</f>
        <v>Handline Fishing</v>
      </c>
      <c r="C1536" s="80" t="s">
        <v>1790</v>
      </c>
      <c r="D1536" s="81" t="str">
        <f>HYPERLINK("https://youtube.com/watch?v=VZJ0WN5_Ptg", "#243 釣魚都會撞框?! | 金勝 | 香港釣魚 | 艇釣 | 青衣 {粵語旁白+中英文字幕}")</f>
        <v>#243 釣魚都會撞框?! | 金勝 | 香港釣魚 | 艇釣 | 青衣 {粵語旁白+中英文字幕}</v>
      </c>
      <c r="E1536" s="82">
        <v>44476.0</v>
      </c>
      <c r="F1536" s="80">
        <v>654.0</v>
      </c>
      <c r="G1536" s="80" t="s">
        <v>63</v>
      </c>
      <c r="H1536" s="80" t="s">
        <v>63</v>
      </c>
      <c r="I1536" s="80" t="s">
        <v>63</v>
      </c>
      <c r="J1536" s="80">
        <v>690.0</v>
      </c>
      <c r="K1536" s="80">
        <v>0.962343096234309</v>
      </c>
      <c r="L1536" s="80" t="s">
        <v>88</v>
      </c>
    </row>
    <row r="1537">
      <c r="A1537" s="80" t="s">
        <v>61</v>
      </c>
      <c r="B1537" s="81" t="str">
        <f>HYPERLINK("https://www.youtube.com/channel/UCJ4XVrJuqKHbc9yF9oUFseg", "MEeeep More")</f>
        <v>MEeeep More</v>
      </c>
      <c r="C1537" s="80" t="s">
        <v>1791</v>
      </c>
      <c r="D1537" s="81" t="str">
        <f>HYPERLINK("https://youtube.com/watch?v=VZTsLQTor3g", "$20捐贈15GB數據予有需要人士 HKT香港電訊「一卡一關愛」計劃 $20全數回贈！再送15GB本地數據！1010 csl HKT pccw Sim for Love 1010 5g csl 5g")</f>
        <v>$20捐贈15GB數據予有需要人士 HKT香港電訊「一卡一關愛」計劃 $20全數回贈！再送15GB本地數據！1010 csl HKT pccw Sim for Love 1010 5g csl 5g</v>
      </c>
      <c r="E1537" s="82">
        <v>44042.0</v>
      </c>
      <c r="F1537" s="80">
        <v>155.0</v>
      </c>
      <c r="G1537" s="80" t="s">
        <v>63</v>
      </c>
      <c r="I1537" s="80" t="s">
        <v>63</v>
      </c>
      <c r="J1537" s="80">
        <v>389.0</v>
      </c>
      <c r="K1537" s="80">
        <v>0.749518304431599</v>
      </c>
      <c r="L1537" s="80" t="s">
        <v>64</v>
      </c>
    </row>
    <row r="1538">
      <c r="A1538" s="80" t="s">
        <v>1039</v>
      </c>
      <c r="B1538" s="81" t="str">
        <f>HYPERLINK("https://www.youtube.com/channel/UCiKEIxbv4RTzyLCKG17N-AA", "Hunting Archer")</f>
        <v>Hunting Archer</v>
      </c>
      <c r="C1538" s="80" t="s">
        <v>1792</v>
      </c>
      <c r="D1538" s="81" t="str">
        <f>HYPERLINK("https://youtube.com/watch?v=VavKj-5JWzo", "【广州漫步】天雨路滑的早上到中华广场的百佳超市购物 【Walk in GuangZhou】")</f>
        <v>【广州漫步】天雨路滑的早上到中华广场的百佳超市购物 【Walk in GuangZhou】</v>
      </c>
      <c r="E1538" s="82">
        <v>44316.0</v>
      </c>
      <c r="F1538" s="80">
        <v>1511.0</v>
      </c>
      <c r="G1538" s="80" t="s">
        <v>63</v>
      </c>
      <c r="I1538" s="80" t="s">
        <v>63</v>
      </c>
      <c r="J1538" s="80">
        <v>4335.0</v>
      </c>
      <c r="K1538" s="80">
        <v>0.981213218650973</v>
      </c>
      <c r="L1538" s="80" t="s">
        <v>757</v>
      </c>
    </row>
    <row r="1539">
      <c r="A1539" s="80" t="s">
        <v>1291</v>
      </c>
      <c r="B1539" s="81" t="str">
        <f>HYPERLINK("https://www.youtube.com/channel/UCKXfe4c6jGU9I182dsakGnA", "小離地 Off to Space")</f>
        <v>小離地 Off to Space</v>
      </c>
      <c r="C1539" s="80" t="s">
        <v>1793</v>
      </c>
      <c r="D1539" s="81" t="str">
        <f>HYPERLINK("https://youtube.com/watch?v=Vd5AjbnHo8o", "[細蚊仔天文學] 我哋喺邊？")</f>
        <v>[細蚊仔天文學] 我哋喺邊？</v>
      </c>
      <c r="E1539" s="82">
        <v>44275.0</v>
      </c>
      <c r="F1539" s="80">
        <v>92.0</v>
      </c>
      <c r="G1539" s="80" t="s">
        <v>63</v>
      </c>
      <c r="I1539" s="80" t="s">
        <v>63</v>
      </c>
      <c r="J1539" s="80">
        <v>294.0</v>
      </c>
      <c r="K1539" s="80">
        <v>0.98989898989899</v>
      </c>
      <c r="L1539" s="80" t="s">
        <v>64</v>
      </c>
    </row>
    <row r="1540">
      <c r="A1540" s="80" t="s">
        <v>121</v>
      </c>
      <c r="B1540" s="81" t="str">
        <f>HYPERLINK("https://www.youtube.com/channel/UC-2hWXRgCg-o5Waz36Yt7BA", "Arm Channel TV")</f>
        <v>Arm Channel TV</v>
      </c>
      <c r="C1540" s="80" t="s">
        <v>1794</v>
      </c>
      <c r="D1540" s="81" t="str">
        <f>HYPERLINK("https://youtube.com/watch?v=VeZOK4k5YVc", "大膽？！🥶 當你發現佢掛住第二個？🤭 | 不怕隔離睇好波 EP01")</f>
        <v>大膽？！🥶 當你發現佢掛住第二個？🤭 | 不怕隔離睇好波 EP01</v>
      </c>
      <c r="E1540" s="82">
        <v>44343.0</v>
      </c>
      <c r="F1540" s="80">
        <v>462.0</v>
      </c>
      <c r="G1540" s="80" t="s">
        <v>63</v>
      </c>
      <c r="I1540" s="80" t="s">
        <v>63</v>
      </c>
      <c r="J1540" s="80">
        <v>1644.0</v>
      </c>
      <c r="K1540" s="80">
        <v>0.982665869695158</v>
      </c>
      <c r="L1540" s="80" t="s">
        <v>64</v>
      </c>
    </row>
    <row r="1541">
      <c r="A1541" s="80" t="s">
        <v>71</v>
      </c>
      <c r="B1541" s="81" t="str">
        <f>HYPERLINK("https://www.youtube.com/channel/UCXTE-gQCetfrx_lC9yFM2aw", "arhoTV")</f>
        <v>arhoTV</v>
      </c>
      <c r="C1541" s="80" t="s">
        <v>1795</v>
      </c>
      <c r="D1541" s="81" t="str">
        <f>HYPERLINK("https://youtube.com/watch?v=Voto-q1VXnU", "【挑戰】玩命杯麵新口味！？")</f>
        <v>【挑戰】玩命杯麵新口味！？</v>
      </c>
      <c r="E1541" s="82">
        <v>42754.0</v>
      </c>
      <c r="F1541" s="80">
        <v>213.0</v>
      </c>
      <c r="G1541" s="80" t="s">
        <v>63</v>
      </c>
      <c r="H1541" s="80" t="s">
        <v>63</v>
      </c>
      <c r="I1541" s="80" t="s">
        <v>63</v>
      </c>
      <c r="J1541" s="80">
        <v>1065.0</v>
      </c>
      <c r="K1541" s="80">
        <v>0.93339176161262</v>
      </c>
      <c r="L1541" s="80" t="s">
        <v>86</v>
      </c>
    </row>
    <row r="1542">
      <c r="A1542" s="80" t="s">
        <v>140</v>
      </c>
      <c r="B1542" s="81" t="str">
        <f>HYPERLINK("https://www.youtube.com/channel/UCHK0CZf9HEXs42qIO1GUouA", "TechiCardia")</f>
        <v>TechiCardia</v>
      </c>
      <c r="C1542" s="80" t="s">
        <v>1796</v>
      </c>
      <c r="D1542" s="81" t="str">
        <f>HYPERLINK("https://youtube.com/watch?v=VpJXX_Xo5xQ", "神秘驚喜！幫中學同學的電腦裝備做超過一萬元的大升級！feat. GALAX // 4K 【TechiCardia】[CC廣東話字幕]")</f>
        <v>神秘驚喜！幫中學同學的電腦裝備做超過一萬元的大升級！feat. GALAX // 4K 【TechiCardia】[CC廣東話字幕]</v>
      </c>
      <c r="E1542" s="82">
        <v>44481.0</v>
      </c>
      <c r="F1542" s="80">
        <v>894.0</v>
      </c>
      <c r="G1542" s="80" t="s">
        <v>63</v>
      </c>
      <c r="I1542" s="80" t="s">
        <v>63</v>
      </c>
      <c r="J1542" s="80">
        <v>2774.0</v>
      </c>
      <c r="K1542" s="80">
        <v>0.784502262443438</v>
      </c>
      <c r="L1542" s="80" t="s">
        <v>102</v>
      </c>
    </row>
    <row r="1543">
      <c r="A1543" s="80" t="s">
        <v>61</v>
      </c>
      <c r="B1543" s="81" t="str">
        <f>HYPERLINK("https://www.youtube.com/channel/UCJ4XVrJuqKHbc9yF9oUFseg", "MEeeep More")</f>
        <v>MEeeep More</v>
      </c>
      <c r="C1543" s="80" t="s">
        <v>1797</v>
      </c>
      <c r="D1543" s="81" t="str">
        <f>HYPERLINK("https://youtube.com/watch?v=Vqs1eu5lixY", "【湯水食譜】佛手瓜栗子瘦肉湯 開胃解熱 健脾潤肺！ 抗疫湯水 簡易 湯水")</f>
        <v>【湯水食譜】佛手瓜栗子瘦肉湯 開胃解熱 健脾潤肺！ 抗疫湯水 簡易 湯水</v>
      </c>
      <c r="E1543" s="82">
        <v>43968.0</v>
      </c>
      <c r="F1543" s="80">
        <v>224.0</v>
      </c>
      <c r="G1543" s="80" t="s">
        <v>63</v>
      </c>
      <c r="I1543" s="80" t="s">
        <v>63</v>
      </c>
      <c r="J1543" s="80">
        <v>470.0</v>
      </c>
      <c r="K1543" s="80">
        <v>0.900383141762452</v>
      </c>
      <c r="L1543" s="80" t="s">
        <v>64</v>
      </c>
    </row>
    <row r="1544">
      <c r="A1544" s="80" t="s">
        <v>1007</v>
      </c>
      <c r="B1544" s="81" t="str">
        <f>HYPERLINK("https://www.youtube.com/channel/UCCzgNTkFyDel0FDJtVNgEtQ", "香港人. 德國讀書之【真.洗濕左個頭.無得返轉頭】Miss Chan Life in Germany")</f>
        <v>香港人. 德國讀書之【真.洗濕左個頭.無得返轉頭】Miss Chan Life in Germany</v>
      </c>
      <c r="C1544" s="80" t="s">
        <v>1798</v>
      </c>
      <c r="D1544" s="81" t="str">
        <f>HYPERLINK("https://youtube.com/watch?v=VxlphkRbBAU", "【滅chan 德國煮系列 #1】俄羅斯式芝士蛋糕  - Sor9ly 芝士蛋糕冇芝士 【香港人製作，廣東話】")</f>
        <v>【滅chan 德國煮系列 #1】俄羅斯式芝士蛋糕  - Sor9ly 芝士蛋糕冇芝士 【香港人製作，廣東話】</v>
      </c>
      <c r="E1544" s="82">
        <v>44148.0</v>
      </c>
      <c r="F1544" s="80">
        <v>371.0</v>
      </c>
      <c r="G1544" s="80" t="s">
        <v>63</v>
      </c>
      <c r="I1544" s="80" t="s">
        <v>63</v>
      </c>
      <c r="J1544" s="80">
        <v>356.0</v>
      </c>
      <c r="K1544" s="80">
        <v>0.929503916449086</v>
      </c>
      <c r="L1544" s="80" t="s">
        <v>64</v>
      </c>
    </row>
    <row r="1545">
      <c r="A1545" s="80" t="s">
        <v>61</v>
      </c>
      <c r="B1545" s="81" t="str">
        <f>HYPERLINK("https://www.youtube.com/channel/UCJ4XVrJuqKHbc9yF9oUFseg", "MEeeep More")</f>
        <v>MEeeep More</v>
      </c>
      <c r="C1545" s="80" t="s">
        <v>1799</v>
      </c>
      <c r="D1545" s="81" t="str">
        <f>HYPERLINK("https://youtube.com/watch?v=W0DYur63-W8", "Nokia 1.4 新款入門智能手機 極低價錢唔使$1000 小朋友 老人家 Second Phone 必用首選 | 諾基亞 nokia1.4 入門手機2021")</f>
        <v>Nokia 1.4 新款入門智能手機 極低價錢唔使$1000 小朋友 老人家 Second Phone 必用首選 | 諾基亞 nokia1.4 入門手機2021</v>
      </c>
      <c r="E1545" s="82">
        <v>44273.0</v>
      </c>
      <c r="F1545" s="80">
        <v>137.0</v>
      </c>
      <c r="G1545" s="80" t="s">
        <v>63</v>
      </c>
      <c r="I1545" s="80" t="s">
        <v>63</v>
      </c>
      <c r="J1545" s="80">
        <v>356.0</v>
      </c>
      <c r="K1545" s="80">
        <v>0.67680608365019</v>
      </c>
      <c r="L1545" s="80" t="s">
        <v>64</v>
      </c>
    </row>
    <row r="1546">
      <c r="A1546" s="80" t="s">
        <v>1064</v>
      </c>
      <c r="B1546" s="81" t="str">
        <f>HYPERLINK("https://www.youtube.com/channel/UCmIVY_RMlQ0-86vrwdI9gFA", "威武WHEREWOLF")</f>
        <v>威武WHEREWOLF</v>
      </c>
      <c r="C1546" s="80" t="s">
        <v>1800</v>
      </c>
      <c r="D1546" s="81" t="str">
        <f>HYPERLINK("https://youtube.com/watch?v=W697ZahoR90", "#1《威武狼人殺首播》一個屬於香港人嘅狼人殺Channel｜狼人殺｜香港｜威武WHEREWOLF｜")</f>
        <v>#1《威武狼人殺首播》一個屬於香港人嘅狼人殺Channel｜狼人殺｜香港｜威武WHEREWOLF｜</v>
      </c>
      <c r="E1546" s="82">
        <v>43687.0</v>
      </c>
      <c r="F1546" s="80">
        <v>1734.0</v>
      </c>
      <c r="G1546" s="80" t="s">
        <v>63</v>
      </c>
      <c r="I1546" s="80" t="s">
        <v>63</v>
      </c>
      <c r="J1546" s="80">
        <v>5548.0</v>
      </c>
      <c r="K1546" s="80">
        <v>0.919761273209549</v>
      </c>
      <c r="L1546" s="80" t="s">
        <v>64</v>
      </c>
    </row>
    <row r="1547">
      <c r="A1547" s="80" t="s">
        <v>61</v>
      </c>
      <c r="B1547" s="81" t="str">
        <f t="shared" ref="B1547:B1548" si="61">HYPERLINK("https://www.youtube.com/channel/UCJ4XVrJuqKHbc9yF9oUFseg", "MEeeep More")</f>
        <v>MEeeep More</v>
      </c>
      <c r="C1547" s="80" t="s">
        <v>1801</v>
      </c>
      <c r="D1547" s="81" t="str">
        <f>HYPERLINK("https://youtube.com/watch?v=W7XnRTRAk84", "油炸鬼都可以自家製！零失敗自製油條 熱辣辣 脆卜卜 ｜ Fried Bread Stick")</f>
        <v>油炸鬼都可以自家製！零失敗自製油條 熱辣辣 脆卜卜 ｜ Fried Bread Stick</v>
      </c>
      <c r="E1547" s="82">
        <v>44188.0</v>
      </c>
      <c r="F1547" s="80">
        <v>167.0</v>
      </c>
      <c r="G1547" s="80" t="s">
        <v>63</v>
      </c>
      <c r="I1547" s="80" t="s">
        <v>63</v>
      </c>
      <c r="J1547" s="80">
        <v>397.0</v>
      </c>
      <c r="K1547" s="80">
        <v>0.886160714285714</v>
      </c>
      <c r="L1547" s="80" t="s">
        <v>64</v>
      </c>
    </row>
    <row r="1548">
      <c r="A1548" s="80" t="s">
        <v>61</v>
      </c>
      <c r="B1548" s="81" t="str">
        <f t="shared" si="61"/>
        <v>MEeeep More</v>
      </c>
      <c r="C1548" s="80" t="s">
        <v>1802</v>
      </c>
      <c r="D1548" s="81" t="str">
        <f>HYPERLINK("https://youtube.com/watch?v=WB8EZxVdXYw", "小米 XiaoMi Mi11 評測 | 旗艦級處理器 5G雙卡雙待 1億主鏡頭支援8K拍攝 | mi11 11小米 mi 11 ultra mi 11 lite 香港5G 魔法換天 高性價比手機")</f>
        <v>小米 XiaoMi Mi11 評測 | 旗艦級處理器 5G雙卡雙待 1億主鏡頭支援8K拍攝 | mi11 11小米 mi 11 ultra mi 11 lite 香港5G 魔法換天 高性價比手機</v>
      </c>
      <c r="E1548" s="82">
        <v>44286.0</v>
      </c>
      <c r="F1548" s="80">
        <v>226.0</v>
      </c>
      <c r="G1548" s="80" t="s">
        <v>63</v>
      </c>
      <c r="I1548" s="80" t="s">
        <v>63</v>
      </c>
      <c r="J1548" s="80">
        <v>662.0</v>
      </c>
      <c r="K1548" s="80">
        <v>0.8275</v>
      </c>
      <c r="L1548" s="80" t="s">
        <v>64</v>
      </c>
    </row>
    <row r="1549">
      <c r="A1549" s="80" t="s">
        <v>74</v>
      </c>
      <c r="B1549" s="81" t="str">
        <f>HYPERLINK("https://www.youtube.com/channel/UCO_5XP-qd-udNxBlzzSzgvw", "Handline Fishing")</f>
        <v>Handline Fishing</v>
      </c>
      <c r="C1549" s="80" t="s">
        <v>1803</v>
      </c>
      <c r="D1549" s="81" t="str">
        <f>HYPERLINK("https://youtube.com/watch?v=WCukcrxTOjc", "#181 | 天氣麻麻，但我不會放棄 | 『香港釣魚 : 艇釣』南丫島發電廠 {粵語旁白+中英文字幕}")</f>
        <v>#181 | 天氣麻麻，但我不會放棄 | 『香港釣魚 : 艇釣』南丫島發電廠 {粵語旁白+中英文字幕}</v>
      </c>
      <c r="E1549" s="82">
        <v>44211.0</v>
      </c>
      <c r="F1549" s="80">
        <v>222.0</v>
      </c>
      <c r="G1549" s="80" t="s">
        <v>63</v>
      </c>
      <c r="I1549" s="80" t="s">
        <v>63</v>
      </c>
      <c r="J1549" s="80">
        <v>451.0</v>
      </c>
      <c r="K1549" s="80">
        <v>0.949473684210526</v>
      </c>
      <c r="L1549" s="80" t="s">
        <v>271</v>
      </c>
    </row>
    <row r="1550">
      <c r="A1550" s="80" t="s">
        <v>94</v>
      </c>
      <c r="B1550" s="81" t="str">
        <f>HYPERLINK("https://www.youtube.com/channel/UCT_dMyI3pNselsmfR6FC8tQ", "PrideLab")</f>
        <v>PrideLab</v>
      </c>
      <c r="C1550" s="80" t="s">
        <v>1804</v>
      </c>
      <c r="D1550" s="81" t="str">
        <f>HYPERLINK("https://youtube.com/watch?v=WEWBIlifsBY", "【喺Lab講呢啲】TB最浪漫嘅氹女招")</f>
        <v>【喺Lab講呢啲】TB最浪漫嘅氹女招</v>
      </c>
      <c r="E1550" s="82">
        <v>43124.0</v>
      </c>
      <c r="F1550" s="80">
        <v>394.0</v>
      </c>
      <c r="G1550" s="80" t="s">
        <v>63</v>
      </c>
      <c r="I1550" s="80" t="s">
        <v>63</v>
      </c>
      <c r="J1550" s="80">
        <v>1568.0</v>
      </c>
      <c r="K1550" s="80">
        <v>0.847109670448406</v>
      </c>
      <c r="L1550" s="80" t="s">
        <v>64</v>
      </c>
    </row>
    <row r="1551">
      <c r="A1551" s="80" t="s">
        <v>82</v>
      </c>
      <c r="B1551" s="81" t="str">
        <f>HYPERLINK("https://www.youtube.com/channel/UC6C2hkbggXIgapf5jn_V2Dw", "SpongeMob 852")</f>
        <v>SpongeMob 852</v>
      </c>
      <c r="C1551" s="80" t="s">
        <v>1805</v>
      </c>
      <c r="D1551" s="81" t="str">
        <f>HYPERLINK("https://youtube.com/watch?v=WEc-8Myjeag", "Para-T - 季候風 Monsoon  [Official Lyric Video]")</f>
        <v>Para-T - 季候風 Monsoon  [Official Lyric Video]</v>
      </c>
      <c r="E1551" s="82">
        <v>44110.0</v>
      </c>
      <c r="F1551" s="80">
        <v>137.0</v>
      </c>
      <c r="G1551" s="80" t="s">
        <v>63</v>
      </c>
      <c r="I1551" s="80" t="s">
        <v>63</v>
      </c>
      <c r="J1551" s="80">
        <v>404.0</v>
      </c>
      <c r="K1551" s="80">
        <v>0.533685601056803</v>
      </c>
      <c r="L1551" s="80" t="s">
        <v>64</v>
      </c>
    </row>
    <row r="1552">
      <c r="A1552" s="80" t="s">
        <v>252</v>
      </c>
      <c r="B1552" s="81" t="str">
        <f>HYPERLINK("https://www.youtube.com/channel/UCrISkBm7rgsRUAw8018eWvw", "MoYung 慕容公子")</f>
        <v>MoYung 慕容公子</v>
      </c>
      <c r="C1552" s="80" t="s">
        <v>1806</v>
      </c>
      <c r="D1552" s="81" t="str">
        <f>HYPERLINK("https://youtube.com/watch?v=WGgVyKsnFGY", "【慕容Call iN】女粉絲唱「小幸運」我聽？超好聽呀！！！ (中文字幕)")</f>
        <v>【慕容Call iN】女粉絲唱「小幸運」我聽？超好聽呀！！！ (中文字幕)</v>
      </c>
      <c r="E1552" s="82">
        <v>43006.0</v>
      </c>
      <c r="F1552" s="80">
        <v>223.0</v>
      </c>
      <c r="G1552" s="80" t="s">
        <v>63</v>
      </c>
      <c r="I1552" s="80" t="s">
        <v>63</v>
      </c>
      <c r="J1552" s="80">
        <v>587.0</v>
      </c>
      <c r="K1552" s="80">
        <v>0.953795379537953</v>
      </c>
      <c r="L1552" s="80" t="s">
        <v>1074</v>
      </c>
    </row>
    <row r="1553">
      <c r="A1553" s="80" t="s">
        <v>1082</v>
      </c>
      <c r="B1553" s="81" t="str">
        <f>HYPERLINK("https://www.youtube.com/channel/UCMosCy_NDf55rDQhzdX_h3w", "熊熊兒童音樂 Bear Music Ltd.")</f>
        <v>熊熊兒童音樂 Bear Music Ltd.</v>
      </c>
      <c r="C1553" s="80" t="s">
        <v>1807</v>
      </c>
      <c r="D1553" s="81" t="str">
        <f>HYPERLINK("https://youtube.com/watch?v=WMx-SWUrSCw", "熊熊粵語兒童故事精選｜動物故事｜聰明螞蟻懶蚱蜢")</f>
        <v>熊熊粵語兒童故事精選｜動物故事｜聰明螞蟻懶蚱蜢</v>
      </c>
      <c r="E1553" s="82">
        <v>43536.0</v>
      </c>
      <c r="F1553" s="80">
        <v>828.0</v>
      </c>
      <c r="G1553" s="80" t="s">
        <v>63</v>
      </c>
      <c r="I1553" s="80" t="s">
        <v>63</v>
      </c>
      <c r="J1553" s="80">
        <v>1876.0</v>
      </c>
      <c r="K1553" s="80">
        <v>0.998403406067056</v>
      </c>
      <c r="L1553" s="80" t="s">
        <v>64</v>
      </c>
    </row>
    <row r="1554">
      <c r="A1554" s="80" t="s">
        <v>217</v>
      </c>
      <c r="B1554" s="81" t="str">
        <f>HYPERLINK("https://www.youtube.com/channel/UCXKg0qPRz32bs5Z4mTGF3TQ", "Stormtrooper白兵")</f>
        <v>Stormtrooper白兵</v>
      </c>
      <c r="C1554" s="80" t="s">
        <v>1808</v>
      </c>
      <c r="D1554" s="81" t="str">
        <f>HYPERLINK("https://youtube.com/watch?v=WSYAm6qP2Xw", "[人物誌]維基解密－阿桑奇－本世紀最強告密者！極權剋星！四年前已暗示今屆大選的選舉舞弊及幕後黑手？深層國家、民主黨、主流媒體眼中釘！最強揭密者！")</f>
        <v>[人物誌]維基解密－阿桑奇－本世紀最強告密者！極權剋星！四年前已暗示今屆大選的選舉舞弊及幕後黑手？深層國家、民主黨、主流媒體眼中釘！最強揭密者！</v>
      </c>
      <c r="E1554" s="82">
        <v>44168.0</v>
      </c>
      <c r="F1554" s="80">
        <v>1208.0</v>
      </c>
      <c r="G1554" s="80" t="s">
        <v>63</v>
      </c>
      <c r="I1554" s="80" t="s">
        <v>63</v>
      </c>
      <c r="J1554" s="80">
        <v>5138.0</v>
      </c>
      <c r="K1554" s="80">
        <v>0.878140488805332</v>
      </c>
      <c r="L1554" s="80" t="s">
        <v>64</v>
      </c>
    </row>
    <row r="1555">
      <c r="A1555" s="80" t="s">
        <v>74</v>
      </c>
      <c r="B1555" s="81" t="str">
        <f t="shared" ref="B1555:B1557" si="62">HYPERLINK("https://www.youtube.com/channel/UCO_5XP-qd-udNxBlzzSzgvw", "Handline Fishing")</f>
        <v>Handline Fishing</v>
      </c>
      <c r="C1555" s="80" t="s">
        <v>1809</v>
      </c>
      <c r="D1555" s="81" t="str">
        <f>HYPERLINK("https://youtube.com/watch?v=WVUGu0-9X8k", "#72 給基哥的恩物，真的可以壯陽嗎.... 加釣雙牙斑 |『香港釣魚 : 艇釣』維港 {粵語旁白+中英文字幕}")</f>
        <v>#72 給基哥的恩物，真的可以壯陽嗎.... 加釣雙牙斑 |『香港釣魚 : 艇釣』維港 {粵語旁白+中英文字幕}</v>
      </c>
      <c r="E1555" s="82">
        <v>43822.0</v>
      </c>
      <c r="F1555" s="80">
        <v>294.0</v>
      </c>
      <c r="G1555" s="80" t="s">
        <v>63</v>
      </c>
      <c r="I1555" s="80" t="s">
        <v>63</v>
      </c>
      <c r="J1555" s="80">
        <v>989.0</v>
      </c>
      <c r="K1555" s="80">
        <v>0.96771037181996</v>
      </c>
      <c r="L1555" s="80" t="s">
        <v>1810</v>
      </c>
    </row>
    <row r="1556">
      <c r="A1556" s="80" t="s">
        <v>74</v>
      </c>
      <c r="B1556" s="81" t="str">
        <f t="shared" si="62"/>
        <v>Handline Fishing</v>
      </c>
      <c r="C1556" s="80" t="s">
        <v>1811</v>
      </c>
      <c r="D1556" s="81" t="str">
        <f>HYPERLINK("https://youtube.com/watch?v=WWjlnMh3K5I", "#235 斷3口 | 根叔 | 香港釣魚 | 艇釣 | 維港 {粵語旁白+中英文字幕}")</f>
        <v>#235 斷3口 | 根叔 | 香港釣魚 | 艇釣 | 維港 {粵語旁白+中英文字幕}</v>
      </c>
      <c r="E1556" s="82">
        <v>44442.0</v>
      </c>
      <c r="F1556" s="80">
        <v>524.0</v>
      </c>
      <c r="G1556" s="80" t="s">
        <v>63</v>
      </c>
      <c r="H1556" s="80" t="s">
        <v>63</v>
      </c>
      <c r="I1556" s="80" t="s">
        <v>63</v>
      </c>
      <c r="J1556" s="80">
        <v>491.0</v>
      </c>
      <c r="K1556" s="80">
        <v>0.94078947368421</v>
      </c>
      <c r="L1556" s="80" t="s">
        <v>88</v>
      </c>
    </row>
    <row r="1557">
      <c r="A1557" s="80" t="s">
        <v>74</v>
      </c>
      <c r="B1557" s="81" t="str">
        <f t="shared" si="62"/>
        <v>Handline Fishing</v>
      </c>
      <c r="C1557" s="80" t="s">
        <v>1812</v>
      </c>
      <c r="D1557" s="81" t="str">
        <f>HYPERLINK("https://youtube.com/watch?v=WXkEFy_9trk", "#81 朋友號第四屆 - 石狗公盃2020 高手雲集，戰況激烈 『香港釣魚 : 艇釣』青龍頭 {粵語旁白+中英文字幕}")</f>
        <v>#81 朋友號第四屆 - 石狗公盃2020 高手雲集，戰況激烈 『香港釣魚 : 艇釣』青龍頭 {粵語旁白+中英文字幕}</v>
      </c>
      <c r="E1557" s="82">
        <v>43865.0</v>
      </c>
      <c r="F1557" s="80">
        <v>379.0</v>
      </c>
      <c r="G1557" s="80" t="s">
        <v>63</v>
      </c>
      <c r="I1557" s="80" t="s">
        <v>63</v>
      </c>
      <c r="J1557" s="80">
        <v>1462.0</v>
      </c>
      <c r="K1557" s="80">
        <v>0.928843710292249</v>
      </c>
      <c r="L1557" s="80" t="s">
        <v>76</v>
      </c>
    </row>
    <row r="1558">
      <c r="A1558" s="80" t="s">
        <v>957</v>
      </c>
      <c r="B1558" s="81" t="str">
        <f>HYPERLINK("https://www.youtube.com/channel/UCNdV5VO81YBe5rfhOz1wRmA", "Con爆TV")</f>
        <v>Con爆TV</v>
      </c>
      <c r="C1558" s="80" t="s">
        <v>1813</v>
      </c>
      <c r="D1558" s="81" t="str">
        <f>HYPERLINK("https://youtube.com/watch?v=WZxaqf9dfkk", "【PAD/Puzzle &amp; Dragons】究極春日野櫻SAKURA意外的必抽之處?! 5秒轉珠、回歸轉珠初心的緊張與興奮!!")</f>
        <v>【PAD/Puzzle &amp; Dragons】究極春日野櫻SAKURA意外的必抽之處?! 5秒轉珠、回歸轉珠初心的緊張與興奮!!</v>
      </c>
      <c r="E1558" s="82">
        <v>43515.0</v>
      </c>
      <c r="F1558" s="80">
        <v>1661.0</v>
      </c>
      <c r="G1558" s="80" t="s">
        <v>63</v>
      </c>
      <c r="H1558" s="80" t="s">
        <v>63</v>
      </c>
      <c r="I1558" s="80" t="s">
        <v>63</v>
      </c>
      <c r="J1558" s="80">
        <v>802.0</v>
      </c>
      <c r="K1558" s="80">
        <v>0.883259911894273</v>
      </c>
      <c r="L1558" s="80" t="s">
        <v>959</v>
      </c>
    </row>
    <row r="1559">
      <c r="A1559" s="80" t="s">
        <v>140</v>
      </c>
      <c r="B1559" s="81" t="str">
        <f>HYPERLINK("https://www.youtube.com/channel/UCHK0CZf9HEXs42qIO1GUouA", "TechiCardia")</f>
        <v>TechiCardia</v>
      </c>
      <c r="C1559" s="80" t="s">
        <v>1814</v>
      </c>
      <c r="D1559" s="81" t="str">
        <f>HYPERLINK("https://youtube.com/watch?v=We4C3UP0S18", "【數碼Youtuber集結】玩轉2020 Price網上電腦節｜12/8 8:00pm特選Super Deal優惠搶先睇｜密切留意 | Samson@TechiCardia x Pinky@Price")</f>
        <v>【數碼Youtuber集結】玩轉2020 Price網上電腦節｜12/8 8:00pm特選Super Deal優惠搶先睇｜密切留意 | Samson@TechiCardia x Pinky@Price</v>
      </c>
      <c r="E1559" s="82">
        <v>44050.0</v>
      </c>
      <c r="F1559" s="80">
        <v>65.0</v>
      </c>
      <c r="G1559" s="80" t="s">
        <v>63</v>
      </c>
      <c r="I1559" s="80" t="s">
        <v>63</v>
      </c>
      <c r="J1559" s="80">
        <v>216.0</v>
      </c>
      <c r="K1559" s="80">
        <v>0.548223350253807</v>
      </c>
      <c r="L1559" s="80" t="s">
        <v>102</v>
      </c>
    </row>
    <row r="1560">
      <c r="A1560" s="80" t="s">
        <v>260</v>
      </c>
      <c r="B1560" s="81" t="str">
        <f>HYPERLINK("https://www.youtube.com/channel/UC-HXOikkLx7BGEfILGIpYOg", "港短 . 英移")</f>
        <v>港短 . 英移</v>
      </c>
      <c r="C1560" s="80" t="s">
        <v>1815</v>
      </c>
      <c r="D1560" s="81" t="str">
        <f>HYPERLINK("https://youtube.com/watch?v=WfAC5e0FiuA", "真的有童話? - 夢境般的快樂小鎮 - St Albans [St. Albans大教堂又真係幾靚] | 港短.英移​ #HongKonger #英國租樓 #英國移民 #St.Albans #英國生活")</f>
        <v>真的有童話? - 夢境般的快樂小鎮 - St Albans [St. Albans大教堂又真係幾靚] | 港短.英移​ #HongKonger #英國租樓 #英國移民 #St.Albans #英國生活</v>
      </c>
      <c r="E1560" s="82">
        <v>44460.0</v>
      </c>
      <c r="F1560" s="80">
        <v>569.0</v>
      </c>
      <c r="G1560" s="80" t="s">
        <v>63</v>
      </c>
      <c r="I1560" s="80" t="s">
        <v>63</v>
      </c>
      <c r="J1560" s="80">
        <v>1808.0</v>
      </c>
      <c r="K1560" s="80">
        <v>0.211042371892144</v>
      </c>
      <c r="L1560" s="80" t="s">
        <v>102</v>
      </c>
    </row>
    <row r="1561">
      <c r="A1561" s="80" t="s">
        <v>1016</v>
      </c>
      <c r="B1561" s="81" t="str">
        <f>HYPERLINK("https://www.youtube.com/channel/UCSbiR1l-cfzk44iTJVSAZVQ", "Rhapsody in Lingo")</f>
        <v>Rhapsody in Lingo</v>
      </c>
      <c r="C1561" s="80" t="s">
        <v>1816</v>
      </c>
      <c r="D1561" s="81" t="str">
        <f>HYPERLINK("https://youtube.com/watch?v=WhCrleiOAB8", "【粵字】一個簡單嘅原因，令我學語言快過人")</f>
        <v>【粵字】一個簡單嘅原因，令我學語言快過人</v>
      </c>
      <c r="E1561" s="82">
        <v>44330.0</v>
      </c>
      <c r="F1561" s="80">
        <v>1204.0</v>
      </c>
      <c r="G1561" s="80" t="s">
        <v>63</v>
      </c>
      <c r="I1561" s="80" t="s">
        <v>63</v>
      </c>
      <c r="J1561" s="80">
        <v>5202.0</v>
      </c>
      <c r="K1561" s="80">
        <v>0.933596554199569</v>
      </c>
      <c r="L1561" s="80" t="s">
        <v>1817</v>
      </c>
    </row>
    <row r="1562">
      <c r="A1562" s="80" t="s">
        <v>74</v>
      </c>
      <c r="B1562" s="81" t="str">
        <f>HYPERLINK("https://www.youtube.com/channel/UCO_5XP-qd-udNxBlzzSzgvw", "Handline Fishing")</f>
        <v>Handline Fishing</v>
      </c>
      <c r="C1562" s="80" t="s">
        <v>1818</v>
      </c>
      <c r="D1562" s="81" t="str">
        <f>HYPERLINK("https://youtube.com/watch?v=Wi8jA8Mi348", "#128 落維港摷黃腳鱲 任務失敗『香港釣魚 : 艇釣』維港 {粵語旁白+中英文字幕}")</f>
        <v>#128 落維港摷黃腳鱲 任務失敗『香港釣魚 : 艇釣』維港 {粵語旁白+中英文字幕}</v>
      </c>
      <c r="E1562" s="82">
        <v>44013.0</v>
      </c>
      <c r="F1562" s="80">
        <v>209.0</v>
      </c>
      <c r="G1562" s="80" t="s">
        <v>63</v>
      </c>
      <c r="I1562" s="80" t="s">
        <v>63</v>
      </c>
      <c r="J1562" s="80">
        <v>717.0</v>
      </c>
      <c r="K1562" s="80">
        <v>0.959839357429718</v>
      </c>
      <c r="L1562" s="80" t="s">
        <v>76</v>
      </c>
    </row>
    <row r="1563">
      <c r="A1563" s="80" t="s">
        <v>71</v>
      </c>
      <c r="B1563" s="81" t="str">
        <f>HYPERLINK("https://www.youtube.com/channel/UCXTE-gQCetfrx_lC9yFM2aw", "arhoTV")</f>
        <v>arhoTV</v>
      </c>
      <c r="C1563" s="80" t="s">
        <v>1819</v>
      </c>
      <c r="D1563" s="81" t="str">
        <f>HYPERLINK("https://youtube.com/watch?v=WiF3FLugmQw", "【泰國】泰好味！去泰國食左咩？")</f>
        <v>【泰國】泰好味！去泰國食左咩？</v>
      </c>
      <c r="E1563" s="82">
        <v>42854.0</v>
      </c>
      <c r="F1563" s="80">
        <v>233.0</v>
      </c>
      <c r="G1563" s="80" t="s">
        <v>63</v>
      </c>
      <c r="H1563" s="80" t="s">
        <v>63</v>
      </c>
      <c r="I1563" s="80" t="s">
        <v>63</v>
      </c>
      <c r="J1563" s="80">
        <v>1709.0</v>
      </c>
      <c r="K1563" s="80">
        <v>0.885245901639344</v>
      </c>
      <c r="L1563" s="80" t="s">
        <v>86</v>
      </c>
    </row>
    <row r="1564">
      <c r="A1564" s="80" t="s">
        <v>78</v>
      </c>
      <c r="B1564" s="81" t="str">
        <f>HYPERLINK("https://www.youtube.com/channel/UCXnWjmQ8BDE0sDIeZLK5yJg", "點 Cook Guide")</f>
        <v>點 Cook Guide</v>
      </c>
      <c r="C1564" s="80" t="s">
        <v>1820</v>
      </c>
      <c r="D1564" s="81" t="str">
        <f>HYPERLINK("https://youtube.com/watch?v=Wmh5BRVtZLA", "掃平機票入門 $97去台灣")</f>
        <v>掃平機票入門 $97去台灣</v>
      </c>
      <c r="E1564" s="82">
        <v>42822.0</v>
      </c>
      <c r="F1564" s="80">
        <v>782.0</v>
      </c>
      <c r="G1564" s="80" t="s">
        <v>63</v>
      </c>
      <c r="H1564" s="80" t="s">
        <v>63</v>
      </c>
      <c r="I1564" s="80" t="s">
        <v>63</v>
      </c>
      <c r="J1564" s="80">
        <v>2287.0</v>
      </c>
      <c r="K1564" s="80">
        <v>0.917000801924619</v>
      </c>
      <c r="L1564" s="80" t="s">
        <v>86</v>
      </c>
    </row>
    <row r="1565">
      <c r="A1565" s="80" t="s">
        <v>69</v>
      </c>
      <c r="B1565" s="81" t="str">
        <f>HYPERLINK("https://www.youtube.com/channel/UCoVycxbCXEsd-mrP83EqVWQ", "馬米高 Michael MMG")</f>
        <v>馬米高 Michael MMG</v>
      </c>
      <c r="C1565" s="80" t="s">
        <v>1821</v>
      </c>
      <c r="D1565" s="81" t="str">
        <f>HYPERLINK("https://youtube.com/watch?v=WnEBJUEJM3M", "3分鐘改變你學英文既模式｜免費學外語app－HiNative")</f>
        <v>3分鐘改變你學英文既模式｜免費學外語app－HiNative</v>
      </c>
      <c r="E1565" s="82">
        <v>43078.0</v>
      </c>
      <c r="F1565" s="80">
        <v>211.0</v>
      </c>
      <c r="G1565" s="80" t="s">
        <v>63</v>
      </c>
      <c r="I1565" s="80" t="s">
        <v>63</v>
      </c>
      <c r="J1565" s="80">
        <v>831.0</v>
      </c>
      <c r="K1565" s="80">
        <v>0.588526912181303</v>
      </c>
      <c r="L1565" s="80" t="s">
        <v>64</v>
      </c>
    </row>
    <row r="1566">
      <c r="A1566" s="80" t="s">
        <v>74</v>
      </c>
      <c r="B1566" s="81" t="str">
        <f>HYPERLINK("https://www.youtube.com/channel/UCO_5XP-qd-udNxBlzzSzgvw", "Handline Fishing")</f>
        <v>Handline Fishing</v>
      </c>
      <c r="C1566" s="80" t="s">
        <v>1822</v>
      </c>
      <c r="D1566" s="81" t="str">
        <f>HYPERLINK("https://youtube.com/watch?v=WvP5ULY96Yo", "#230 釣魚比賽牙骹戰 | 蛋糕偉 | 香港釣魚 | 艇釣 | 維港【Capillus 香港】")</f>
        <v>#230 釣魚比賽牙骹戰 | 蛋糕偉 | 香港釣魚 | 艇釣 | 維港【Capillus 香港】</v>
      </c>
      <c r="E1566" s="82">
        <v>44418.0</v>
      </c>
      <c r="F1566" s="80">
        <v>520.0</v>
      </c>
      <c r="G1566" s="80" t="s">
        <v>63</v>
      </c>
      <c r="H1566" s="80" t="s">
        <v>63</v>
      </c>
      <c r="I1566" s="80" t="s">
        <v>63</v>
      </c>
      <c r="J1566" s="80">
        <v>593.0</v>
      </c>
      <c r="K1566" s="80">
        <v>0.918825561312608</v>
      </c>
      <c r="L1566" s="80" t="s">
        <v>88</v>
      </c>
    </row>
    <row r="1567">
      <c r="A1567" s="80" t="s">
        <v>252</v>
      </c>
      <c r="B1567" s="81" t="str">
        <f>HYPERLINK("https://www.youtube.com/channel/UCrISkBm7rgsRUAw8018eWvw", "MoYung 慕容公子")</f>
        <v>MoYung 慕容公子</v>
      </c>
      <c r="C1567" s="80" t="s">
        <v>1823</v>
      </c>
      <c r="D1567" s="81" t="str">
        <f>HYPERLINK("https://youtube.com/watch?v=WwMHNUsVgkc", "《人中之龍》一個人唱K，世界級享受！")</f>
        <v>《人中之龍》一個人唱K，世界級享受！</v>
      </c>
      <c r="E1567" s="82">
        <v>42722.0</v>
      </c>
      <c r="F1567" s="80">
        <v>269.0</v>
      </c>
      <c r="G1567" s="80" t="s">
        <v>63</v>
      </c>
      <c r="I1567" s="80" t="s">
        <v>63</v>
      </c>
      <c r="J1567" s="80">
        <v>387.0</v>
      </c>
      <c r="K1567" s="80">
        <v>0.873589164785553</v>
      </c>
      <c r="L1567" s="80" t="s">
        <v>64</v>
      </c>
    </row>
    <row r="1568">
      <c r="A1568" s="80" t="s">
        <v>61</v>
      </c>
      <c r="B1568" s="81" t="str">
        <f>HYPERLINK("https://www.youtube.com/channel/UCJ4XVrJuqKHbc9yF9oUFseg", "MEeeep More")</f>
        <v>MEeeep More</v>
      </c>
      <c r="C1568" s="80" t="s">
        <v>1824</v>
      </c>
      <c r="D1568" s="81" t="str">
        <f>HYPERLINK("https://youtube.com/watch?v=Wyxv-oeYCdY", "POCO F3 5G旗艦級高性價比 三千價位 震撼登場 | 三鏡相機 5G雙卡雙待 | mi poco f3 pocof3 5g redmik40 香港5G 紅米 Redmi K40 海外版")</f>
        <v>POCO F3 5G旗艦級高性價比 三千價位 震撼登場 | 三鏡相機 5G雙卡雙待 | mi poco f3 pocof3 5g redmik40 香港5G 紅米 Redmi K40 海外版</v>
      </c>
      <c r="E1568" s="82">
        <v>44278.0</v>
      </c>
      <c r="F1568" s="80">
        <v>184.0</v>
      </c>
      <c r="G1568" s="80" t="s">
        <v>63</v>
      </c>
      <c r="I1568" s="80" t="s">
        <v>63</v>
      </c>
      <c r="J1568" s="80">
        <v>426.0</v>
      </c>
      <c r="K1568" s="80">
        <v>0.669811320754716</v>
      </c>
      <c r="L1568" s="80" t="s">
        <v>64</v>
      </c>
    </row>
    <row r="1569">
      <c r="A1569" s="80" t="s">
        <v>96</v>
      </c>
      <c r="B1569" s="81" t="str">
        <f>HYPERLINK("https://www.youtube.com/channel/UCGtyHJ-L_4RDIHe3XaLofQQ", "Anson Cheung")</f>
        <v>Anson Cheung</v>
      </c>
      <c r="C1569" s="80" t="s">
        <v>1825</v>
      </c>
      <c r="D1569" s="81" t="str">
        <f>HYPERLINK("https://youtube.com/watch?v=X0Q1zYu1rWk", "Sony Xperia 1 II 評測 - 相機真係夠快拍運動攝影？🤔 ｜Sony Xperia 1 II vs iPhone 11 vs Samsung Galaxy S20 Ultra")</f>
        <v>Sony Xperia 1 II 評測 - 相機真係夠快拍運動攝影？🤔 ｜Sony Xperia 1 II vs iPhone 11 vs Samsung Galaxy S20 Ultra</v>
      </c>
      <c r="E1569" s="82">
        <v>44032.0</v>
      </c>
      <c r="F1569" s="80">
        <v>798.0</v>
      </c>
      <c r="G1569" s="80" t="s">
        <v>63</v>
      </c>
      <c r="I1569" s="80" t="s">
        <v>63</v>
      </c>
      <c r="J1569" s="80">
        <v>2127.0</v>
      </c>
      <c r="K1569" s="80">
        <v>0.715920565466173</v>
      </c>
      <c r="L1569" s="80" t="s">
        <v>64</v>
      </c>
    </row>
    <row r="1570">
      <c r="A1570" s="80" t="s">
        <v>61</v>
      </c>
      <c r="B1570" s="81" t="str">
        <f>HYPERLINK("https://www.youtube.com/channel/UCJ4XVrJuqKHbc9yF9oUFseg", "MEeeep More")</f>
        <v>MEeeep More</v>
      </c>
      <c r="C1570" s="80" t="s">
        <v>1826</v>
      </c>
      <c r="D1570" s="81" t="str">
        <f>HYPERLINK("https://youtube.com/watch?v=X4_GtCT0cYk", "免費電子檢測記錄 教你一Click即做！一個QRCode 記錄檢測結果 | 電子檢測記錄系統")</f>
        <v>免費電子檢測記錄 教你一Click即做！一個QRCode 記錄檢測結果 | 電子檢測記錄系統</v>
      </c>
      <c r="E1570" s="82">
        <v>44202.0</v>
      </c>
      <c r="F1570" s="80">
        <v>128.0</v>
      </c>
      <c r="G1570" s="80" t="s">
        <v>63</v>
      </c>
      <c r="I1570" s="80" t="s">
        <v>63</v>
      </c>
      <c r="J1570" s="80">
        <v>414.0</v>
      </c>
      <c r="K1570" s="80">
        <v>0.834677419354838</v>
      </c>
      <c r="L1570" s="80" t="s">
        <v>64</v>
      </c>
    </row>
    <row r="1571">
      <c r="A1571" s="80" t="s">
        <v>1000</v>
      </c>
      <c r="B1571" s="81" t="str">
        <f>HYPERLINK("https://www.youtube.com/channel/UChJQlg1b_cOttPX3SiIh5gA", "Lau Dinha in Hong Kong - Hong Kong in the World")</f>
        <v>Lau Dinha in Hong Kong - Hong Kong in the World</v>
      </c>
      <c r="C1571" s="80" t="s">
        <v>1827</v>
      </c>
      <c r="D1571" s="81" t="str">
        <f>HYPERLINK("https://youtube.com/watch?v=X4k_cMt5KDQ", "【廣東話教學】點解我咁靚仔？｜粵語疑問詞")</f>
        <v>【廣東話教學】點解我咁靚仔？｜粵語疑問詞</v>
      </c>
      <c r="E1571" s="82">
        <v>43887.0</v>
      </c>
      <c r="F1571" s="80">
        <v>317.0</v>
      </c>
      <c r="G1571" s="80" t="s">
        <v>63</v>
      </c>
      <c r="I1571" s="80" t="s">
        <v>63</v>
      </c>
      <c r="J1571" s="80">
        <v>657.0</v>
      </c>
      <c r="K1571" s="80">
        <v>0.957725947521865</v>
      </c>
      <c r="L1571" s="80" t="s">
        <v>1828</v>
      </c>
    </row>
    <row r="1572">
      <c r="A1572" s="80" t="s">
        <v>112</v>
      </c>
      <c r="B1572" s="81" t="str">
        <f>HYPERLINK("https://www.youtube.com/channel/UCW_n_gfIv4HhRqCk8EnRhJA", "Happy Kongner")</f>
        <v>Happy Kongner</v>
      </c>
      <c r="C1572" s="80" t="s">
        <v>1829</v>
      </c>
      <c r="D1572" s="81" t="str">
        <f>HYPERLINK("https://youtube.com/watch?v=X5ZB5evooEI", "《猿人爭霸戰：猩凶巨戰》影評：「戰爭」概念深度探討／變種猿流感究竟有咩影響？[𠝹櫈電影學會]")</f>
        <v>《猿人爭霸戰：猩凶巨戰》影評：「戰爭」概念深度探討／變種猿流感究竟有咩影響？[𠝹櫈電影學會]</v>
      </c>
      <c r="E1572" s="82">
        <v>42942.0</v>
      </c>
      <c r="F1572" s="80">
        <v>920.0</v>
      </c>
      <c r="G1572" s="80" t="s">
        <v>63</v>
      </c>
      <c r="I1572" s="80" t="s">
        <v>63</v>
      </c>
      <c r="J1572" s="80">
        <v>4436.0</v>
      </c>
      <c r="K1572" s="80">
        <v>0.799855751893256</v>
      </c>
      <c r="L1572" s="80" t="s">
        <v>64</v>
      </c>
    </row>
    <row r="1573">
      <c r="A1573" s="80" t="s">
        <v>96</v>
      </c>
      <c r="B1573" s="81" t="str">
        <f>HYPERLINK("https://www.youtube.com/channel/UCGtyHJ-L_4RDIHe3XaLofQQ", "Anson Cheung")</f>
        <v>Anson Cheung</v>
      </c>
      <c r="C1573" s="80" t="s">
        <v>1830</v>
      </c>
      <c r="D1573" s="81" t="str">
        <f>HYPERLINK("https://youtube.com/watch?v=X64IJ_01KsE", "Sony Xperia XZ1 評測 - 生存遊戲 | Sony Xperia XZ1 Review")</f>
        <v>Sony Xperia XZ1 評測 - 生存遊戲 | Sony Xperia XZ1 Review</v>
      </c>
      <c r="E1573" s="82">
        <v>43010.0</v>
      </c>
      <c r="F1573" s="80">
        <v>557.0</v>
      </c>
      <c r="G1573" s="80" t="s">
        <v>63</v>
      </c>
      <c r="H1573" s="80" t="s">
        <v>63</v>
      </c>
      <c r="I1573" s="80" t="s">
        <v>63</v>
      </c>
      <c r="J1573" s="80">
        <v>1837.0</v>
      </c>
      <c r="K1573" s="80">
        <v>0.858010275572162</v>
      </c>
      <c r="L1573" s="80" t="s">
        <v>1206</v>
      </c>
    </row>
    <row r="1574">
      <c r="A1574" s="80" t="s">
        <v>121</v>
      </c>
      <c r="B1574" s="81" t="str">
        <f>HYPERLINK("https://www.youtube.com/channel/UC-2hWXRgCg-o5Waz36Yt7BA", "Arm Channel TV")</f>
        <v>Arm Channel TV</v>
      </c>
      <c r="C1574" s="80" t="s">
        <v>1831</v>
      </c>
      <c r="D1574" s="81" t="str">
        <f>HYPERLINK("https://youtube.com/watch?v=XAb6ViVYNgw", "🇬🇧 BOB叔在英國的背後 | 拍拍囉柚去英國#03")</f>
        <v>🇬🇧 BOB叔在英國的背後 | 拍拍囉柚去英國#03</v>
      </c>
      <c r="E1574" s="82">
        <v>44319.0</v>
      </c>
      <c r="F1574" s="80">
        <v>759.0</v>
      </c>
      <c r="G1574" s="80" t="s">
        <v>63</v>
      </c>
      <c r="I1574" s="80" t="s">
        <v>63</v>
      </c>
      <c r="J1574" s="80">
        <v>1723.0</v>
      </c>
      <c r="K1574" s="80">
        <v>0.903513371788149</v>
      </c>
      <c r="L1574" s="80" t="s">
        <v>64</v>
      </c>
    </row>
    <row r="1575">
      <c r="A1575" s="80" t="s">
        <v>89</v>
      </c>
      <c r="B1575" s="81" t="str">
        <f>HYPERLINK("https://www.youtube.com/channel/UClc7lRdOhLxh3orjosY1R7g", "三木大師")</f>
        <v>三木大師</v>
      </c>
      <c r="C1575" s="80" t="s">
        <v>1832</v>
      </c>
      <c r="D1575" s="81" t="str">
        <f>HYPERLINK("https://youtube.com/watch?v=XEB58JRQe-c", "與神對話 | 廣東話/ 粵語 | 書評 | 讀書 | EP3 書集 | 神: 人生是創造一個你，而不是發現一個你")</f>
        <v>與神對話 | 廣東話/ 粵語 | 書評 | 讀書 | EP3 書集 | 神: 人生是創造一個你，而不是發現一個你</v>
      </c>
      <c r="E1575" s="82">
        <v>43974.0</v>
      </c>
      <c r="F1575" s="80">
        <v>340.0</v>
      </c>
      <c r="G1575" s="80" t="s">
        <v>63</v>
      </c>
      <c r="I1575" s="80" t="s">
        <v>63</v>
      </c>
      <c r="J1575" s="80">
        <v>989.0</v>
      </c>
      <c r="K1575" s="80">
        <v>0.959262851600387</v>
      </c>
      <c r="L1575" s="80" t="s">
        <v>91</v>
      </c>
    </row>
    <row r="1576">
      <c r="A1576" s="80" t="s">
        <v>112</v>
      </c>
      <c r="B1576" s="81" t="str">
        <f>HYPERLINK("https://www.youtube.com/channel/UCW_n_gfIv4HhRqCk8EnRhJA", "Happy Kongner")</f>
        <v>Happy Kongner</v>
      </c>
      <c r="C1576" s="80" t="s">
        <v>1833</v>
      </c>
      <c r="D1576" s="81" t="str">
        <f>HYPERLINK("https://youtube.com/watch?v=XJ6UWIx6deQ", "這個人居然可以掌控UC的命運？ 高達NT觀後感 [公仔書與卡通片EP18]")</f>
        <v>這個人居然可以掌控UC的命運？ 高達NT觀後感 [公仔書與卡通片EP18]</v>
      </c>
      <c r="E1576" s="82">
        <v>43536.0</v>
      </c>
      <c r="F1576" s="80">
        <v>830.0</v>
      </c>
      <c r="G1576" s="80" t="s">
        <v>63</v>
      </c>
      <c r="I1576" s="80" t="s">
        <v>63</v>
      </c>
      <c r="J1576" s="80">
        <v>4260.0</v>
      </c>
      <c r="K1576" s="80">
        <v>0.909479077711357</v>
      </c>
      <c r="L1576" s="80" t="s">
        <v>64</v>
      </c>
    </row>
    <row r="1577">
      <c r="A1577" s="80" t="s">
        <v>1082</v>
      </c>
      <c r="B1577" s="81" t="str">
        <f>HYPERLINK("https://www.youtube.com/channel/UCMosCy_NDf55rDQhzdX_h3w", "熊熊兒童音樂 Bear Music Ltd.")</f>
        <v>熊熊兒童音樂 Bear Music Ltd.</v>
      </c>
      <c r="C1577" s="80" t="s">
        <v>1834</v>
      </c>
      <c r="D1577" s="81" t="str">
        <f>HYPERLINK("https://youtube.com/watch?v=XMrjcexy-GE", "熊熊粵語兒童故事精選｜動物故事｜小小運動會")</f>
        <v>熊熊粵語兒童故事精選｜動物故事｜小小運動會</v>
      </c>
      <c r="E1577" s="82">
        <v>43522.0</v>
      </c>
      <c r="F1577" s="80">
        <v>793.0</v>
      </c>
      <c r="G1577" s="80" t="s">
        <v>63</v>
      </c>
      <c r="I1577" s="80" t="s">
        <v>63</v>
      </c>
      <c r="J1577" s="80">
        <v>1563.0</v>
      </c>
      <c r="K1577" s="80">
        <v>0.996811224489795</v>
      </c>
      <c r="L1577" s="80" t="s">
        <v>64</v>
      </c>
    </row>
    <row r="1578">
      <c r="A1578" s="80" t="s">
        <v>217</v>
      </c>
      <c r="B1578" s="81" t="str">
        <f>HYPERLINK("https://www.youtube.com/channel/UCXKg0qPRz32bs5Z4mTGF3TQ", "Stormtrooper白兵")</f>
        <v>Stormtrooper白兵</v>
      </c>
      <c r="C1578" s="80" t="s">
        <v>1835</v>
      </c>
      <c r="D1578" s="81" t="str">
        <f>HYPERLINK("https://youtube.com/watch?v=XS8gSY2qKOI", "[獨裁者系列]20世紀最殘暴獨裁者－史太林｜見識最強權鬥術！偽裝列寧繼位人，再剷除所有黨內政敵！｜要了解中共必先了解蘇共！｜毛澤東都係學佢！｜蘇聯共產黨執政時間最長領導人｜粵語中字")</f>
        <v>[獨裁者系列]20世紀最殘暴獨裁者－史太林｜見識最強權鬥術！偽裝列寧繼位人，再剷除所有黨內政敵！｜要了解中共必先了解蘇共！｜毛澤東都係學佢！｜蘇聯共產黨執政時間最長領導人｜粵語中字</v>
      </c>
      <c r="E1578" s="82">
        <v>44420.0</v>
      </c>
      <c r="F1578" s="80">
        <v>1542.0</v>
      </c>
      <c r="G1578" s="80" t="s">
        <v>63</v>
      </c>
      <c r="I1578" s="80" t="s">
        <v>63</v>
      </c>
      <c r="J1578" s="80">
        <v>5892.0</v>
      </c>
      <c r="K1578" s="80">
        <v>0.987100016753225</v>
      </c>
      <c r="L1578" s="80" t="s">
        <v>64</v>
      </c>
    </row>
    <row r="1579">
      <c r="A1579" s="80" t="s">
        <v>121</v>
      </c>
      <c r="B1579" s="81" t="str">
        <f>HYPERLINK("https://www.youtube.com/channel/UC-2hWXRgCg-o5Waz36Yt7BA", "Arm Channel TV")</f>
        <v>Arm Channel TV</v>
      </c>
      <c r="C1579" s="80" t="s">
        <v>1836</v>
      </c>
      <c r="D1579" s="81" t="str">
        <f>HYPERLINK("https://youtube.com/watch?v=XUGGjKjA9P0", "🇬🇧 我去英國買層樓！四百萬？ | 拍拍囉柚去英國 #06")</f>
        <v>🇬🇧 我去英國買層樓！四百萬？ | 拍拍囉柚去英國 #06</v>
      </c>
      <c r="E1579" s="82">
        <v>44340.0</v>
      </c>
      <c r="F1579" s="80">
        <v>625.0</v>
      </c>
      <c r="G1579" s="80" t="s">
        <v>63</v>
      </c>
      <c r="I1579" s="80" t="s">
        <v>63</v>
      </c>
      <c r="J1579" s="80">
        <v>1643.0</v>
      </c>
      <c r="K1579" s="80">
        <v>0.928248587570621</v>
      </c>
      <c r="L1579" s="80" t="s">
        <v>64</v>
      </c>
    </row>
    <row r="1580">
      <c r="A1580" s="80" t="s">
        <v>71</v>
      </c>
      <c r="B1580" s="81" t="str">
        <f>HYPERLINK("https://www.youtube.com/channel/UCXTE-gQCetfrx_lC9yFM2aw", "arhoTV")</f>
        <v>arhoTV</v>
      </c>
      <c r="C1580" s="80" t="s">
        <v>1837</v>
      </c>
      <c r="D1580" s="81" t="str">
        <f>HYPERLINK("https://youtube.com/watch?v=XVVG2uc0bLo", "【日常】送手信！求你地要！【特別企劃】")</f>
        <v>【日常】送手信！求你地要！【特別企劃】</v>
      </c>
      <c r="E1580" s="82">
        <v>42765.0</v>
      </c>
      <c r="F1580" s="80">
        <v>128.0</v>
      </c>
      <c r="G1580" s="80" t="s">
        <v>63</v>
      </c>
      <c r="H1580" s="80" t="s">
        <v>63</v>
      </c>
      <c r="I1580" s="80" t="s">
        <v>63</v>
      </c>
      <c r="J1580" s="80">
        <v>731.0</v>
      </c>
      <c r="K1580" s="80">
        <v>0.789264413518886</v>
      </c>
      <c r="L1580" s="80" t="s">
        <v>86</v>
      </c>
    </row>
    <row r="1581">
      <c r="A1581" s="80" t="s">
        <v>74</v>
      </c>
      <c r="B1581" s="81" t="str">
        <f>HYPERLINK("https://www.youtube.com/channel/UCO_5XP-qd-udNxBlzzSzgvw", "Handline Fishing")</f>
        <v>Handline Fishing</v>
      </c>
      <c r="C1581" s="80" t="s">
        <v>1838</v>
      </c>
      <c r="D1581" s="81" t="str">
        <f>HYPERLINK("https://youtube.com/watch?v=XVleAlTr6Ro", "#103 HEA 釣維港，全程用維基釣組，首次釣贏維港艇神『香港釣魚 : 艇釣』維港 {粵語旁白+中英文字幕}")</f>
        <v>#103 HEA 釣維港，全程用維基釣組，首次釣贏維港艇神『香港釣魚 : 艇釣』維港 {粵語旁白+中英文字幕}</v>
      </c>
      <c r="E1581" s="82">
        <v>43938.0</v>
      </c>
      <c r="F1581" s="80">
        <v>621.0</v>
      </c>
      <c r="G1581" s="80" t="s">
        <v>63</v>
      </c>
      <c r="I1581" s="80" t="s">
        <v>63</v>
      </c>
      <c r="J1581" s="80">
        <v>1445.0</v>
      </c>
      <c r="K1581" s="80">
        <v>0.979661016949152</v>
      </c>
      <c r="L1581" s="80" t="s">
        <v>76</v>
      </c>
    </row>
    <row r="1582">
      <c r="A1582" s="80" t="s">
        <v>1183</v>
      </c>
      <c r="B1582" s="81" t="str">
        <f>HYPERLINK("https://www.youtube.com/channel/UCPBBbFYG51QpjuptQtYfCDA", "siuwaiboy")</f>
        <v>siuwaiboy</v>
      </c>
      <c r="C1582" s="80" t="s">
        <v>1839</v>
      </c>
      <c r="D1582" s="81" t="str">
        <f>HYPERLINK("https://youtube.com/watch?v=XZqogaxxDtg", "廢老是港鐵煉成的?")</f>
        <v>廢老是港鐵煉成的?</v>
      </c>
      <c r="E1582" s="82">
        <v>43242.0</v>
      </c>
      <c r="F1582" s="80">
        <v>162.0</v>
      </c>
      <c r="G1582" s="80" t="s">
        <v>63</v>
      </c>
      <c r="I1582" s="80" t="s">
        <v>63</v>
      </c>
      <c r="J1582" s="80">
        <v>641.0</v>
      </c>
      <c r="K1582" s="80">
        <v>0.984639016897081</v>
      </c>
      <c r="L1582" s="80" t="s">
        <v>64</v>
      </c>
    </row>
    <row r="1583">
      <c r="A1583" s="80" t="s">
        <v>74</v>
      </c>
      <c r="B1583" s="81" t="str">
        <f>HYPERLINK("https://www.youtube.com/channel/UCO_5XP-qd-udNxBlzzSzgvw", "Handline Fishing")</f>
        <v>Handline Fishing</v>
      </c>
      <c r="C1583" s="80" t="s">
        <v>1840</v>
      </c>
      <c r="D1583" s="81" t="str">
        <f>HYPERLINK("https://youtube.com/watch?v=XaW2Z6tnHzU", "#218 今次釣淺水灣有發現，我有備而來玩路亞 |『香港釣魚 : 岸釣』淺水灣 {粵語旁白+中英文字幕}")</f>
        <v>#218 今次釣淺水灣有發現，我有備而來玩路亞 |『香港釣魚 : 岸釣』淺水灣 {粵語旁白+中英文字幕}</v>
      </c>
      <c r="E1583" s="82">
        <v>44358.0</v>
      </c>
      <c r="F1583" s="80">
        <v>271.0</v>
      </c>
      <c r="G1583" s="80" t="s">
        <v>63</v>
      </c>
      <c r="H1583" s="80" t="s">
        <v>63</v>
      </c>
      <c r="I1583" s="80" t="s">
        <v>63</v>
      </c>
      <c r="J1583" s="80">
        <v>379.0</v>
      </c>
      <c r="K1583" s="80">
        <v>0.974293059125964</v>
      </c>
      <c r="L1583" s="80" t="s">
        <v>1581</v>
      </c>
    </row>
    <row r="1584">
      <c r="A1584" s="80" t="s">
        <v>61</v>
      </c>
      <c r="B1584" s="81" t="str">
        <f t="shared" ref="B1584:B1587" si="63">HYPERLINK("https://www.youtube.com/channel/UCJ4XVrJuqKHbc9yF9oUFseg", "MEeeep More")</f>
        <v>MEeeep More</v>
      </c>
      <c r="C1584" s="80" t="s">
        <v>1841</v>
      </c>
      <c r="D1584" s="81" t="str">
        <f>HYPERLINK("https://youtube.com/watch?v=XfME9LCQPls", "Redmi 9 紅米9 香港行貨登場！$999 心動價配四攝 NFC USB-C 插頭你Buy唔Buy？ Redmi9 review Xiaomi Redmi 9 redmi9 Xiaomi")</f>
        <v>Redmi 9 紅米9 香港行貨登場！$999 心動價配四攝 NFC USB-C 插頭你Buy唔Buy？ Redmi9 review Xiaomi Redmi 9 redmi9 Xiaomi</v>
      </c>
      <c r="E1584" s="82">
        <v>44019.0</v>
      </c>
      <c r="F1584" s="80">
        <v>219.0</v>
      </c>
      <c r="G1584" s="80" t="s">
        <v>63</v>
      </c>
      <c r="I1584" s="80" t="s">
        <v>63</v>
      </c>
      <c r="J1584" s="80">
        <v>577.0</v>
      </c>
      <c r="K1584" s="80">
        <v>0.789329685362517</v>
      </c>
      <c r="L1584" s="80" t="s">
        <v>64</v>
      </c>
    </row>
    <row r="1585">
      <c r="A1585" s="80" t="s">
        <v>61</v>
      </c>
      <c r="B1585" s="81" t="str">
        <f t="shared" si="63"/>
        <v>MEeeep More</v>
      </c>
      <c r="C1585" s="80" t="s">
        <v>1842</v>
      </c>
      <c r="D1585" s="81" t="str">
        <f>HYPERLINK("https://youtube.com/watch?v=XfbXOcL635w", "iPhone 1分鐘加入 Suica 卡教學 2019！免轉 Apple ID 所屬地！- 食玩飛常遊")</f>
        <v>iPhone 1分鐘加入 Suica 卡教學 2019！免轉 Apple ID 所屬地！- 食玩飛常遊</v>
      </c>
      <c r="E1585" s="82">
        <v>43675.0</v>
      </c>
      <c r="F1585" s="80">
        <v>192.0</v>
      </c>
      <c r="G1585" s="80" t="s">
        <v>63</v>
      </c>
      <c r="I1585" s="80" t="s">
        <v>63</v>
      </c>
      <c r="J1585" s="80">
        <v>468.0</v>
      </c>
      <c r="K1585" s="80">
        <v>0.646408839779005</v>
      </c>
      <c r="L1585" s="80" t="s">
        <v>64</v>
      </c>
    </row>
    <row r="1586">
      <c r="A1586" s="80" t="s">
        <v>61</v>
      </c>
      <c r="B1586" s="81" t="str">
        <f t="shared" si="63"/>
        <v>MEeeep More</v>
      </c>
      <c r="C1586" s="80" t="s">
        <v>1843</v>
      </c>
      <c r="D1586" s="81" t="str">
        <f>HYPERLINK("https://youtube.com/watch?v=XkCeWcwftf8", "【抗疫湯水】粉葛赤小豆豬骨湯 - 清熱祛濕 健脾解毒 睇片做 ，無難度！")</f>
        <v>【抗疫湯水】粉葛赤小豆豬骨湯 - 清熱祛濕 健脾解毒 睇片做 ，無難度！</v>
      </c>
      <c r="E1586" s="82">
        <v>43948.0</v>
      </c>
      <c r="F1586" s="80">
        <v>335.0</v>
      </c>
      <c r="G1586" s="80" t="s">
        <v>63</v>
      </c>
      <c r="I1586" s="80" t="s">
        <v>63</v>
      </c>
      <c r="J1586" s="80">
        <v>601.0</v>
      </c>
      <c r="K1586" s="80">
        <v>0.918960244648318</v>
      </c>
      <c r="L1586" s="80" t="s">
        <v>64</v>
      </c>
    </row>
    <row r="1587">
      <c r="A1587" s="80" t="s">
        <v>61</v>
      </c>
      <c r="B1587" s="81" t="str">
        <f t="shared" si="63"/>
        <v>MEeeep More</v>
      </c>
      <c r="C1587" s="80" t="s">
        <v>1844</v>
      </c>
      <c r="D1587" s="81" t="str">
        <f>HYPERLINK("https://youtube.com/watch?v=XqEGdLi1s8M", "[概念機率先試] OPPO X 2021 捲軸式手機評測 | OLED 柔性無痕螢幕 置入全新 Warp Track 捲軸技術 隨意調節手機尺寸 更高效率處理日常文件 | oppox2021 香港")</f>
        <v>[概念機率先試] OPPO X 2021 捲軸式手機評測 | OLED 柔性無痕螢幕 置入全新 Warp Track 捲軸技術 隨意調節手機尺寸 更高效率處理日常文件 | oppox2021 香港</v>
      </c>
      <c r="E1587" s="82">
        <v>44266.0</v>
      </c>
      <c r="F1587" s="80">
        <v>195.0</v>
      </c>
      <c r="G1587" s="80" t="s">
        <v>63</v>
      </c>
      <c r="I1587" s="80" t="s">
        <v>63</v>
      </c>
      <c r="J1587" s="80">
        <v>577.0</v>
      </c>
      <c r="K1587" s="80">
        <v>0.825464949928469</v>
      </c>
      <c r="L1587" s="80" t="s">
        <v>64</v>
      </c>
    </row>
    <row r="1588">
      <c r="A1588" s="80" t="s">
        <v>96</v>
      </c>
      <c r="B1588" s="81" t="str">
        <f>HYPERLINK("https://www.youtube.com/channel/UCGtyHJ-L_4RDIHe3XaLofQQ", "Anson Cheung")</f>
        <v>Anson Cheung</v>
      </c>
      <c r="C1588" s="80" t="s">
        <v>1845</v>
      </c>
      <c r="D1588" s="81" t="str">
        <f>HYPERLINK("https://youtube.com/watch?v=XqM2B4C0dV0", "HTC U11 評測 - 永遠懷念HTC | HTC U11 Review (Solar RED)")</f>
        <v>HTC U11 評測 - 永遠懷念HTC | HTC U11 Review (Solar RED)</v>
      </c>
      <c r="E1588" s="82">
        <v>42976.0</v>
      </c>
      <c r="F1588" s="80">
        <v>543.0</v>
      </c>
      <c r="G1588" s="80" t="s">
        <v>63</v>
      </c>
      <c r="I1588" s="80" t="s">
        <v>63</v>
      </c>
      <c r="J1588" s="80">
        <v>430.0</v>
      </c>
      <c r="K1588" s="80">
        <v>0.716666666666666</v>
      </c>
      <c r="L1588" s="80" t="s">
        <v>64</v>
      </c>
    </row>
    <row r="1589">
      <c r="A1589" s="80" t="s">
        <v>112</v>
      </c>
      <c r="B1589" s="81" t="str">
        <f>HYPERLINK("https://www.youtube.com/channel/UCW_n_gfIv4HhRqCk8EnRhJA", "Happy Kongner")</f>
        <v>Happy Kongner</v>
      </c>
      <c r="C1589" s="80" t="s">
        <v>1846</v>
      </c>
      <c r="D1589" s="81" t="str">
        <f>HYPERLINK("https://youtube.com/watch?v=XuRKfdopM9I", "[劇透] 徘徊好正與普通之間—Godzilla II: King of the Monsters《哥斯拉II：王者巨獸》簡評 [𠝹櫈電影學會]")</f>
        <v>[劇透] 徘徊好正與普通之間—Godzilla II: King of the Monsters《哥斯拉II：王者巨獸》簡評 [𠝹櫈電影學會]</v>
      </c>
      <c r="E1589" s="82">
        <v>43620.0</v>
      </c>
      <c r="F1589" s="80">
        <v>884.0</v>
      </c>
      <c r="G1589" s="80" t="s">
        <v>63</v>
      </c>
      <c r="I1589" s="80" t="s">
        <v>63</v>
      </c>
      <c r="J1589" s="80">
        <v>4127.0</v>
      </c>
      <c r="K1589" s="80">
        <v>0.900305410122164</v>
      </c>
      <c r="L1589" s="80" t="s">
        <v>64</v>
      </c>
    </row>
    <row r="1590">
      <c r="A1590" s="80" t="s">
        <v>69</v>
      </c>
      <c r="B1590" s="81" t="str">
        <f>HYPERLINK("https://www.youtube.com/channel/UCoVycxbCXEsd-mrP83EqVWQ", "馬米高 Michael MMG")</f>
        <v>馬米高 Michael MMG</v>
      </c>
      <c r="C1590" s="80" t="s">
        <v>1847</v>
      </c>
      <c r="D1590" s="81" t="str">
        <f>HYPERLINK("https://youtube.com/watch?v=Xup8Gj3DsYk", "【買到大陸假卡】一波三節嘅旅程 | 跟著姑姐去登台II | Ep01 ft. 馬蹄露")</f>
        <v>【買到大陸假卡】一波三節嘅旅程 | 跟著姑姐去登台II | Ep01 ft. 馬蹄露</v>
      </c>
      <c r="E1590" s="82">
        <v>43533.0</v>
      </c>
      <c r="F1590" s="80">
        <v>618.0</v>
      </c>
      <c r="G1590" s="80" t="s">
        <v>63</v>
      </c>
      <c r="I1590" s="80" t="s">
        <v>63</v>
      </c>
      <c r="J1590" s="80">
        <v>2222.0</v>
      </c>
      <c r="K1590" s="80">
        <v>0.740913637879293</v>
      </c>
      <c r="L1590" s="80" t="s">
        <v>64</v>
      </c>
    </row>
    <row r="1591">
      <c r="A1591" s="80" t="s">
        <v>121</v>
      </c>
      <c r="B1591" s="81" t="str">
        <f>HYPERLINK("https://www.youtube.com/channel/UC-2hWXRgCg-o5Waz36Yt7BA", "Arm Channel TV")</f>
        <v>Arm Channel TV</v>
      </c>
      <c r="C1591" s="80" t="s">
        <v>1848</v>
      </c>
      <c r="D1591" s="81" t="str">
        <f>HYPERLINK("https://youtube.com/watch?v=Xv5v4fLu8XU", "如果智能電話突然收皮  |  Sue 麥欣童【如果突然收皮 EP03】")</f>
        <v>如果智能電話突然收皮  |  Sue 麥欣童【如果突然收皮 EP03】</v>
      </c>
      <c r="E1591" s="82">
        <v>44473.0</v>
      </c>
      <c r="F1591" s="80">
        <v>411.0</v>
      </c>
      <c r="G1591" s="80" t="s">
        <v>63</v>
      </c>
      <c r="I1591" s="80" t="s">
        <v>63</v>
      </c>
      <c r="J1591" s="80">
        <v>1368.0</v>
      </c>
      <c r="K1591" s="80">
        <v>0.888311688311688</v>
      </c>
      <c r="L1591" s="80" t="s">
        <v>64</v>
      </c>
    </row>
    <row r="1592">
      <c r="A1592" s="80" t="s">
        <v>957</v>
      </c>
      <c r="B1592" s="81" t="str">
        <f>HYPERLINK("https://www.youtube.com/channel/UCNdV5VO81YBe5rfhOz1wRmA", "Con爆TV")</f>
        <v>Con爆TV</v>
      </c>
      <c r="C1592" s="80" t="s">
        <v>1849</v>
      </c>
      <c r="D1592" s="81" t="str">
        <f>HYPERLINK("https://youtube.com/watch?v=Xw3KQkRBJ18", "【PAD/Puzzle &amp; Dragons】又派100石點用好?! 七週年活動完整解說限、限角木劍赫拉蛇女三換一教你點揀!")</f>
        <v>【PAD/Puzzle &amp; Dragons】又派100石點用好?! 七週年活動完整解說限、限角木劍赫拉蛇女三換一教你點揀!</v>
      </c>
      <c r="E1592" s="82">
        <v>43515.0</v>
      </c>
      <c r="F1592" s="80">
        <v>2212.0</v>
      </c>
      <c r="G1592" s="80" t="s">
        <v>63</v>
      </c>
      <c r="H1592" s="80" t="s">
        <v>63</v>
      </c>
      <c r="I1592" s="80" t="s">
        <v>63</v>
      </c>
      <c r="J1592" s="80">
        <v>760.0</v>
      </c>
      <c r="K1592" s="80">
        <v>0.87085308056872</v>
      </c>
      <c r="L1592" s="80" t="s">
        <v>1850</v>
      </c>
    </row>
    <row r="1593">
      <c r="A1593" s="80" t="s">
        <v>78</v>
      </c>
      <c r="B1593" s="81" t="str">
        <f>HYPERLINK("https://www.youtube.com/channel/UCXnWjmQ8BDE0sDIeZLK5yJg", "點 Cook Guide")</f>
        <v>點 Cook Guide</v>
      </c>
      <c r="C1593" s="80" t="s">
        <v>1851</v>
      </c>
      <c r="D1593" s="81" t="str">
        <f>HYPERLINK("https://youtube.com/watch?v=Y1B_Cat-H5c", "你的樣子如何 你的咖啡也必如何[東京逃學之旅]")</f>
        <v>你的樣子如何 你的咖啡也必如何[東京逃學之旅]</v>
      </c>
      <c r="E1593" s="82">
        <v>42892.0</v>
      </c>
      <c r="F1593" s="80">
        <v>616.0</v>
      </c>
      <c r="G1593" s="80" t="s">
        <v>63</v>
      </c>
      <c r="H1593" s="80" t="s">
        <v>63</v>
      </c>
      <c r="I1593" s="80" t="s">
        <v>63</v>
      </c>
      <c r="J1593" s="80">
        <v>2042.0</v>
      </c>
      <c r="K1593" s="80">
        <v>0.968724939855653</v>
      </c>
      <c r="L1593" s="80" t="s">
        <v>120</v>
      </c>
    </row>
    <row r="1594">
      <c r="A1594" s="80" t="s">
        <v>743</v>
      </c>
      <c r="B1594" s="81" t="str">
        <f>HYPERLINK("https://www.youtube.com/channel/UCe6qQ8zbYQJgTBnZ9wBzm9w", "Willy Lee")</f>
        <v>Willy Lee</v>
      </c>
      <c r="C1594" s="80" t="s">
        <v>1852</v>
      </c>
      <c r="D1594" s="81" t="str">
        <f>HYPERLINK("https://youtube.com/watch?v=Y4fFFzNFR6E", "🇯🇵【日本】世界三大奇景、鬼押出園熔岩巨石群、好似有層雲既雲場池、增上寺跨年倒數帶住悶悶不樂既心情迎接2020 ！2019跨年遊EP3 - 輕井澤 東京篇 - Willy Lee")</f>
        <v>🇯🇵【日本】世界三大奇景、鬼押出園熔岩巨石群、好似有層雲既雲場池、增上寺跨年倒數帶住悶悶不樂既心情迎接2020 ！2019跨年遊EP3 - 輕井澤 東京篇 - Willy Lee</v>
      </c>
      <c r="E1594" s="82">
        <v>44362.0</v>
      </c>
      <c r="F1594" s="80">
        <v>612.0</v>
      </c>
      <c r="G1594" s="80" t="s">
        <v>63</v>
      </c>
      <c r="I1594" s="80" t="s">
        <v>63</v>
      </c>
      <c r="J1594" s="80">
        <v>2870.0</v>
      </c>
      <c r="K1594" s="80">
        <v>0.920757138273981</v>
      </c>
      <c r="L1594" s="80" t="s">
        <v>745</v>
      </c>
    </row>
    <row r="1595">
      <c r="A1595" s="80" t="s">
        <v>1007</v>
      </c>
      <c r="B1595" s="81" t="str">
        <f>HYPERLINK("https://www.youtube.com/channel/UCCzgNTkFyDel0FDJtVNgEtQ", "香港人. 德國讀書之【真.洗濕左個頭.無得返轉頭】Miss Chan Life in Germany")</f>
        <v>香港人. 德國讀書之【真.洗濕左個頭.無得返轉頭】Miss Chan Life in Germany</v>
      </c>
      <c r="C1595" s="80" t="s">
        <v>1853</v>
      </c>
      <c r="D1595" s="81" t="str">
        <f>HYPERLINK("https://youtube.com/watch?v=Y9Bj8mGR0mQ", "【愛上德國麵包系列】Wir lieben das deutsche Brot｜香港人最易入門既德國麵包｜麵包改變左 Elfa 人生｜第三集｜最終回 (香港人製作. 廣東話. 中文字幕)")</f>
        <v>【愛上德國麵包系列】Wir lieben das deutsche Brot｜香港人最易入門既德國麵包｜麵包改變左 Elfa 人生｜第三集｜最終回 (香港人製作. 廣東話. 中文字幕)</v>
      </c>
      <c r="E1595" s="82">
        <v>44322.0</v>
      </c>
      <c r="F1595" s="80">
        <v>333.0</v>
      </c>
      <c r="G1595" s="80" t="s">
        <v>63</v>
      </c>
      <c r="I1595" s="80" t="s">
        <v>63</v>
      </c>
      <c r="J1595" s="80">
        <v>1140.0</v>
      </c>
      <c r="K1595" s="80">
        <v>0.84008843036109</v>
      </c>
      <c r="L1595" s="80" t="s">
        <v>1071</v>
      </c>
    </row>
    <row r="1596">
      <c r="A1596" s="80" t="s">
        <v>140</v>
      </c>
      <c r="B1596" s="81" t="str">
        <f>HYPERLINK("https://www.youtube.com/channel/UCHK0CZf9HEXs42qIO1GUouA", "TechiCardia")</f>
        <v>TechiCardia</v>
      </c>
      <c r="C1596" s="80" t="s">
        <v>1854</v>
      </c>
      <c r="D1596" s="81" t="str">
        <f>HYPERLINK("https://youtube.com/watch?v=YFTuT5xCstw", "GLORIOUS MODEL O WIRELESS 真實評測！無線更加好？！價位仲要咁吸引？4K [CC廣東話字幕] 【TechiCardia】")</f>
        <v>GLORIOUS MODEL O WIRELESS 真實評測！無線更加好？！價位仲要咁吸引？4K [CC廣東話字幕] 【TechiCardia】</v>
      </c>
      <c r="E1596" s="82">
        <v>44226.0</v>
      </c>
      <c r="F1596" s="80">
        <v>406.0</v>
      </c>
      <c r="G1596" s="80" t="s">
        <v>63</v>
      </c>
      <c r="I1596" s="80" t="s">
        <v>63</v>
      </c>
      <c r="J1596" s="80">
        <v>1468.0</v>
      </c>
      <c r="K1596" s="80">
        <v>0.679315131883387</v>
      </c>
      <c r="L1596" s="80" t="s">
        <v>102</v>
      </c>
    </row>
    <row r="1597">
      <c r="A1597" s="80" t="s">
        <v>1183</v>
      </c>
      <c r="B1597" s="81" t="str">
        <f>HYPERLINK("https://www.youtube.com/channel/UCPBBbFYG51QpjuptQtYfCDA", "siuwaiboy")</f>
        <v>siuwaiboy</v>
      </c>
      <c r="C1597" s="80" t="s">
        <v>1855</v>
      </c>
      <c r="D1597" s="81" t="str">
        <f>HYPERLINK("https://youtube.com/watch?v=YH9QsJ2h7XY", "齊打救海洋公園")</f>
        <v>齊打救海洋公園</v>
      </c>
      <c r="E1597" s="82">
        <v>43162.0</v>
      </c>
      <c r="F1597" s="80">
        <v>101.0</v>
      </c>
      <c r="G1597" s="80" t="s">
        <v>63</v>
      </c>
      <c r="I1597" s="80" t="s">
        <v>63</v>
      </c>
      <c r="J1597" s="80">
        <v>373.0</v>
      </c>
      <c r="K1597" s="80">
        <v>0.968831168831168</v>
      </c>
      <c r="L1597" s="80" t="s">
        <v>64</v>
      </c>
    </row>
    <row r="1598">
      <c r="A1598" s="80" t="s">
        <v>74</v>
      </c>
      <c r="B1598" s="81" t="str">
        <f>HYPERLINK("https://www.youtube.com/channel/UCO_5XP-qd-udNxBlzzSzgvw", "Handline Fishing")</f>
        <v>Handline Fishing</v>
      </c>
      <c r="C1598" s="80" t="s">
        <v>1856</v>
      </c>
      <c r="D1598" s="81" t="str">
        <f>HYPERLINK("https://youtube.com/watch?v=YKs7wVT3QNw", "#99 流記三大神魚之首 -- 金鼓 我哋今日去挑機『香港釣魚 : 艇釣』流浮山蠔排 {粵語旁白+中英文字幕}")</f>
        <v>#99 流記三大神魚之首 -- 金鼓 我哋今日去挑機『香港釣魚 : 艇釣』流浮山蠔排 {粵語旁白+中英文字幕}</v>
      </c>
      <c r="E1598" s="82">
        <v>43925.0</v>
      </c>
      <c r="F1598" s="80">
        <v>249.0</v>
      </c>
      <c r="G1598" s="80" t="s">
        <v>63</v>
      </c>
      <c r="I1598" s="80" t="s">
        <v>63</v>
      </c>
      <c r="J1598" s="80">
        <v>1109.0</v>
      </c>
      <c r="K1598" s="80">
        <v>0.973661106233538</v>
      </c>
      <c r="L1598" s="80" t="s">
        <v>76</v>
      </c>
    </row>
    <row r="1599">
      <c r="A1599" s="80" t="s">
        <v>217</v>
      </c>
      <c r="B1599" s="81" t="str">
        <f>HYPERLINK("https://www.youtube.com/channel/UCXKg0qPRz32bs5Z4mTGF3TQ", "Stormtrooper白兵")</f>
        <v>Stormtrooper白兵</v>
      </c>
      <c r="C1599" s="80" t="s">
        <v>1857</v>
      </c>
      <c r="D1599" s="81" t="str">
        <f>HYPERLINK("https://youtube.com/watch?v=YNLY7ahW5xU", "[人物誌]著名清朝海軍將領家族後人－王力宏｜從王力宏了解海外華人如何成為中共大外宣｜背後顯赫家族成員逐個捉！老布殊都關事？｜粵語中字")</f>
        <v>[人物誌]著名清朝海軍將領家族後人－王力宏｜從王力宏了解海外華人如何成為中共大外宣｜背後顯赫家族成員逐個捉！老布殊都關事？｜粵語中字</v>
      </c>
      <c r="E1599" s="82">
        <v>44553.0</v>
      </c>
      <c r="F1599" s="80">
        <v>1051.0</v>
      </c>
      <c r="G1599" s="80" t="s">
        <v>63</v>
      </c>
      <c r="I1599" s="80" t="s">
        <v>63</v>
      </c>
      <c r="J1599" s="80">
        <v>4172.0</v>
      </c>
      <c r="K1599" s="80">
        <v>0.859143327841845</v>
      </c>
      <c r="L1599" s="80" t="s">
        <v>64</v>
      </c>
    </row>
    <row r="1600">
      <c r="A1600" s="80" t="s">
        <v>74</v>
      </c>
      <c r="B1600" s="81" t="str">
        <f>HYPERLINK("https://www.youtube.com/channel/UCO_5XP-qd-udNxBlzzSzgvw", "Handline Fishing")</f>
        <v>Handline Fishing</v>
      </c>
      <c r="C1600" s="80" t="s">
        <v>1858</v>
      </c>
      <c r="D1600" s="81" t="str">
        <f>HYPERLINK("https://youtube.com/watch?v=YTJ3bEXAtYw", "#102 尋找他墩的泥鯭 I『香港釣魚 : 岸釣』東區走廊北角橋墩 {粵語旁白+中英文字幕}")</f>
        <v>#102 尋找他墩的泥鯭 I『香港釣魚 : 岸釣』東區走廊北角橋墩 {粵語旁白+中英文字幕}</v>
      </c>
      <c r="E1600" s="82">
        <v>43933.0</v>
      </c>
      <c r="F1600" s="80">
        <v>273.0</v>
      </c>
      <c r="G1600" s="80" t="s">
        <v>63</v>
      </c>
      <c r="I1600" s="80" t="s">
        <v>63</v>
      </c>
      <c r="J1600" s="80">
        <v>957.0</v>
      </c>
      <c r="K1600" s="80">
        <v>0.966666666666666</v>
      </c>
      <c r="L1600" s="80" t="s">
        <v>76</v>
      </c>
    </row>
    <row r="1601">
      <c r="A1601" s="80" t="s">
        <v>82</v>
      </c>
      <c r="B1601" s="81" t="str">
        <f>HYPERLINK("https://www.youtube.com/channel/UC6C2hkbggXIgapf5jn_V2Dw", "SpongeMob 852")</f>
        <v>SpongeMob 852</v>
      </c>
      <c r="C1601" s="80" t="s">
        <v>1859</v>
      </c>
      <c r="D1601" s="81" t="str">
        <f>HYPERLINK("https://youtube.com/watch?v=YZXizYP-vTc", "Novel Fla$h X Teddy Beer - I Just Wanna Play [Official Music Video]")</f>
        <v>Novel Fla$h X Teddy Beer - I Just Wanna Play [Official Music Video]</v>
      </c>
      <c r="E1601" s="82">
        <v>43824.0</v>
      </c>
      <c r="F1601" s="80">
        <v>173.0</v>
      </c>
      <c r="G1601" s="80" t="s">
        <v>63</v>
      </c>
      <c r="I1601" s="80" t="s">
        <v>63</v>
      </c>
      <c r="J1601" s="80">
        <v>353.0</v>
      </c>
      <c r="K1601" s="80">
        <v>0.385371179039301</v>
      </c>
      <c r="L1601" s="80" t="s">
        <v>64</v>
      </c>
    </row>
    <row r="1602">
      <c r="A1602" s="80" t="s">
        <v>1039</v>
      </c>
      <c r="B1602" s="81" t="str">
        <f>HYPERLINK("https://www.youtube.com/channel/UCiKEIxbv4RTzyLCKG17N-AA", "Hunting Archer")</f>
        <v>Hunting Archer</v>
      </c>
      <c r="C1602" s="80" t="s">
        <v>1860</v>
      </c>
      <c r="D1602" s="81" t="str">
        <f>HYPERLINK("https://youtube.com/watch?v=YcBJjqZagw0", "【4K60P】广州漫步 烈士陵园赏木棉花 Walk in GuangZhou（影片总结+频道后续发展）")</f>
        <v>【4K60P】广州漫步 烈士陵园赏木棉花 Walk in GuangZhou（影片总结+频道后续发展）</v>
      </c>
      <c r="E1602" s="82">
        <v>44281.0</v>
      </c>
      <c r="F1602" s="80">
        <v>429.0</v>
      </c>
      <c r="G1602" s="80" t="s">
        <v>63</v>
      </c>
      <c r="I1602" s="80" t="s">
        <v>63</v>
      </c>
      <c r="J1602" s="80">
        <v>831.0</v>
      </c>
      <c r="K1602" s="80">
        <v>0.998798076923076</v>
      </c>
      <c r="L1602" s="80" t="s">
        <v>757</v>
      </c>
    </row>
    <row r="1603">
      <c r="A1603" s="80" t="s">
        <v>1000</v>
      </c>
      <c r="B1603" s="81" t="str">
        <f>HYPERLINK("https://www.youtube.com/channel/UChJQlg1b_cOttPX3SiIh5gA", "Lau Dinha in Hong Kong - Hong Kong in the World")</f>
        <v>Lau Dinha in Hong Kong - Hong Kong in the World</v>
      </c>
      <c r="C1603" s="80" t="s">
        <v>1861</v>
      </c>
      <c r="D1603" s="81" t="str">
        <f>HYPERLINK("https://youtube.com/watch?v=YfED7Noqwew", "這5句廣東話，足夠讓你跟香港人交朋友｜必學廣東話")</f>
        <v>這5句廣東話，足夠讓你跟香港人交朋友｜必學廣東話</v>
      </c>
      <c r="E1603" s="82">
        <v>44438.0</v>
      </c>
      <c r="F1603" s="80">
        <v>451.0</v>
      </c>
      <c r="G1603" s="80" t="s">
        <v>63</v>
      </c>
      <c r="I1603" s="80" t="s">
        <v>63</v>
      </c>
      <c r="J1603" s="80">
        <v>1470.0</v>
      </c>
      <c r="K1603" s="80">
        <v>0.934520025429116</v>
      </c>
      <c r="L1603" s="80" t="s">
        <v>820</v>
      </c>
    </row>
    <row r="1604">
      <c r="A1604" s="80" t="s">
        <v>71</v>
      </c>
      <c r="B1604" s="81" t="str">
        <f>HYPERLINK("https://www.youtube.com/channel/UCXTE-gQCetfrx_lC9yFM2aw", "arhoTV")</f>
        <v>arhoTV</v>
      </c>
      <c r="C1604" s="80" t="s">
        <v>1862</v>
      </c>
      <c r="D1604" s="81" t="str">
        <f>HYPERLINK("https://youtube.com/watch?v=YkAJRDHrZ6o", "【日常】去台北 四日做過乜？")</f>
        <v>【日常】去台北 四日做過乜？</v>
      </c>
      <c r="E1604" s="82">
        <v>42759.0</v>
      </c>
      <c r="F1604" s="80">
        <v>217.0</v>
      </c>
      <c r="G1604" s="80" t="s">
        <v>63</v>
      </c>
      <c r="H1604" s="80" t="s">
        <v>63</v>
      </c>
      <c r="I1604" s="80" t="s">
        <v>63</v>
      </c>
      <c r="J1604" s="80">
        <v>745.0</v>
      </c>
      <c r="K1604" s="80">
        <v>0.787072243346007</v>
      </c>
      <c r="L1604" s="80" t="s">
        <v>120</v>
      </c>
    </row>
    <row r="1605">
      <c r="A1605" s="80" t="s">
        <v>96</v>
      </c>
      <c r="B1605" s="81" t="str">
        <f>HYPERLINK("https://www.youtube.com/channel/UCGtyHJ-L_4RDIHe3XaLofQQ", "Anson Cheung")</f>
        <v>Anson Cheung</v>
      </c>
      <c r="C1605" s="80" t="s">
        <v>1863</v>
      </c>
      <c r="D1605" s="81" t="str">
        <f>HYPERLINK("https://youtube.com/watch?v=Yl_LVYhN8Qc", "【iPhone 12選購指南】 iPhone 12 Pro值唔值得買？大機定細機？咁多型號應該點揀先啱？🤔🤔🤔｜On Paper #4｜Anson Cheung")</f>
        <v>【iPhone 12選購指南】 iPhone 12 Pro值唔值得買？大機定細機？咁多型號應該點揀先啱？🤔🤔🤔｜On Paper #4｜Anson Cheung</v>
      </c>
      <c r="E1605" s="82">
        <v>44155.0</v>
      </c>
      <c r="F1605" s="80">
        <v>421.0</v>
      </c>
      <c r="G1605" s="80" t="s">
        <v>63</v>
      </c>
      <c r="I1605" s="80" t="s">
        <v>63</v>
      </c>
      <c r="J1605" s="80">
        <v>1630.0</v>
      </c>
      <c r="K1605" s="80">
        <v>0.722197607443509</v>
      </c>
      <c r="L1605" s="80" t="s">
        <v>64</v>
      </c>
    </row>
    <row r="1606">
      <c r="A1606" s="80" t="s">
        <v>217</v>
      </c>
      <c r="B1606" s="81" t="str">
        <f>HYPERLINK("https://www.youtube.com/channel/UCXKg0qPRz32bs5Z4mTGF3TQ", "Stormtrooper白兵")</f>
        <v>Stormtrooper白兵</v>
      </c>
      <c r="C1606" s="80" t="s">
        <v>1864</v>
      </c>
      <c r="D1606" s="81" t="str">
        <f>HYPERLINK("https://youtube.com/watch?v=YmlDyecM_zc", "[專訪和你宵搞手]介紹大埔和你宵，推動黃金經濟圏，探討文宣手足背後辛酸")</f>
        <v>[專訪和你宵搞手]介紹大埔和你宵，推動黃金經濟圏，探討文宣手足背後辛酸</v>
      </c>
      <c r="E1606" s="82">
        <v>43832.0</v>
      </c>
      <c r="F1606" s="80">
        <v>1075.0</v>
      </c>
      <c r="G1606" s="80" t="s">
        <v>63</v>
      </c>
      <c r="I1606" s="80" t="s">
        <v>63</v>
      </c>
      <c r="J1606" s="80">
        <v>3556.0</v>
      </c>
      <c r="K1606" s="80">
        <v>0.958748988945807</v>
      </c>
      <c r="L1606" s="80" t="s">
        <v>64</v>
      </c>
    </row>
    <row r="1607">
      <c r="A1607" s="80" t="s">
        <v>1016</v>
      </c>
      <c r="B1607" s="81" t="str">
        <f>HYPERLINK("https://www.youtube.com/channel/UCSbiR1l-cfzk44iTJVSAZVQ", "Rhapsody in Lingo")</f>
        <v>Rhapsody in Lingo</v>
      </c>
      <c r="C1607" s="80" t="s">
        <v>1865</v>
      </c>
      <c r="D1607" s="81" t="str">
        <f>HYPERLINK("https://youtube.com/watch?v=YrGhgjv_mHU", "準備好喺新屋過第一晚！英國伯明翰搬屋記 DAY 2【粵字】")</f>
        <v>準備好喺新屋過第一晚！英國伯明翰搬屋記 DAY 2【粵字】</v>
      </c>
      <c r="E1607" s="82">
        <v>44243.0</v>
      </c>
      <c r="F1607" s="80">
        <v>487.0</v>
      </c>
      <c r="G1607" s="80" t="s">
        <v>63</v>
      </c>
      <c r="I1607" s="80" t="s">
        <v>63</v>
      </c>
      <c r="J1607" s="80">
        <v>1121.0</v>
      </c>
      <c r="K1607" s="80">
        <v>0.88756927949327</v>
      </c>
      <c r="L1607" s="80" t="s">
        <v>1866</v>
      </c>
    </row>
    <row r="1608">
      <c r="A1608" s="80" t="s">
        <v>140</v>
      </c>
      <c r="B1608" s="81" t="str">
        <f>HYPERLINK("https://www.youtube.com/channel/UCHK0CZf9HEXs42qIO1GUouA", "TechiCardia")</f>
        <v>TechiCardia</v>
      </c>
      <c r="C1608" s="80" t="s">
        <v>1867</v>
      </c>
      <c r="D1608" s="81" t="str">
        <f>HYPERLINK("https://youtube.com/watch?v=YraHcclyWGs", "一張小升級、一張大升級！LHR卡價錢開始回落！RTX 3070 Ti、3080 Ti 工作遊戲性能評測！/Feat. ZOTAC AMP Holo/ 4K 【TechiCardia】CC廣東話字幕")</f>
        <v>一張小升級、一張大升級！LHR卡價錢開始回落！RTX 3070 Ti、3080 Ti 工作遊戲性能評測！/Feat. ZOTAC AMP Holo/ 4K 【TechiCardia】CC廣東話字幕</v>
      </c>
      <c r="E1608" s="82">
        <v>44356.0</v>
      </c>
      <c r="F1608" s="80">
        <v>755.0</v>
      </c>
      <c r="G1608" s="80" t="s">
        <v>63</v>
      </c>
      <c r="I1608" s="80" t="s">
        <v>63</v>
      </c>
      <c r="J1608" s="80">
        <v>2286.0</v>
      </c>
      <c r="K1608" s="80">
        <v>0.698015267175572</v>
      </c>
      <c r="L1608" s="80" t="s">
        <v>102</v>
      </c>
    </row>
    <row r="1609">
      <c r="A1609" s="80" t="s">
        <v>74</v>
      </c>
      <c r="B1609" s="81" t="str">
        <f t="shared" ref="B1609:B1611" si="64">HYPERLINK("https://www.youtube.com/channel/UCO_5XP-qd-udNxBlzzSzgvw", "Handline Fishing")</f>
        <v>Handline Fishing</v>
      </c>
      <c r="C1609" s="80" t="s">
        <v>1868</v>
      </c>
      <c r="D1609" s="81" t="str">
        <f>HYPERLINK("https://youtube.com/watch?v=Yt2lFpV1UJQ", "#106 一落艇就釣∙釣∙釣瓜衫『香港釣魚 : 艇釣』維港 {粵語旁白+中文字幕}")</f>
        <v>#106 一落艇就釣∙釣∙釣瓜衫『香港釣魚 : 艇釣』維港 {粵語旁白+中文字幕}</v>
      </c>
      <c r="E1609" s="82">
        <v>43948.0</v>
      </c>
      <c r="F1609" s="80">
        <v>403.0</v>
      </c>
      <c r="G1609" s="80" t="s">
        <v>63</v>
      </c>
      <c r="I1609" s="80" t="s">
        <v>63</v>
      </c>
      <c r="J1609" s="80">
        <v>1376.0</v>
      </c>
      <c r="K1609" s="80">
        <v>0.936691626957113</v>
      </c>
      <c r="L1609" s="80" t="s">
        <v>1013</v>
      </c>
    </row>
    <row r="1610">
      <c r="A1610" s="80" t="s">
        <v>74</v>
      </c>
      <c r="B1610" s="81" t="str">
        <f t="shared" si="64"/>
        <v>Handline Fishing</v>
      </c>
      <c r="C1610" s="80" t="s">
        <v>1869</v>
      </c>
      <c r="D1610" s="81" t="str">
        <f>HYPERLINK("https://youtube.com/watch?v=YtYjHmxEK8o", "#167 初次體驗，就被推進火坑 | 『香港釣魚 : 艇釣』北水吉澳FIT 魷 【Surfshark】")</f>
        <v>#167 初次體驗，就被推進火坑 | 『香港釣魚 : 艇釣』北水吉澳FIT 魷 【Surfshark】</v>
      </c>
      <c r="E1610" s="82">
        <v>44159.0</v>
      </c>
      <c r="F1610" s="80">
        <v>600.0</v>
      </c>
      <c r="G1610" s="80" t="s">
        <v>63</v>
      </c>
      <c r="I1610" s="80" t="s">
        <v>63</v>
      </c>
      <c r="J1610" s="80">
        <v>772.0</v>
      </c>
      <c r="K1610" s="80">
        <v>0.906103286384976</v>
      </c>
      <c r="L1610" s="80" t="s">
        <v>271</v>
      </c>
    </row>
    <row r="1611">
      <c r="A1611" s="80" t="s">
        <v>74</v>
      </c>
      <c r="B1611" s="81" t="str">
        <f t="shared" si="64"/>
        <v>Handline Fishing</v>
      </c>
      <c r="C1611" s="80" t="s">
        <v>1870</v>
      </c>
      <c r="D1611" s="81" t="str">
        <f>HYPERLINK("https://youtube.com/watch?v=YuiUhGy9ADk", "#234 為大師慶祝生日 | 香港釣魚 | 艇釣 | 維港東 【MirFak Audio WEPRO-10 1拖2無線咪 評測】")</f>
        <v>#234 為大師慶祝生日 | 香港釣魚 | 艇釣 | 維港東 【MirFak Audio WEPRO-10 1拖2無線咪 評測】</v>
      </c>
      <c r="E1611" s="82">
        <v>44439.0</v>
      </c>
      <c r="F1611" s="80">
        <v>503.0</v>
      </c>
      <c r="G1611" s="80" t="s">
        <v>63</v>
      </c>
      <c r="H1611" s="80" t="s">
        <v>63</v>
      </c>
      <c r="I1611" s="80" t="s">
        <v>63</v>
      </c>
      <c r="J1611" s="80">
        <v>408.0</v>
      </c>
      <c r="K1611" s="80">
        <v>0.963060686015831</v>
      </c>
      <c r="L1611" s="80" t="s">
        <v>88</v>
      </c>
    </row>
    <row r="1612">
      <c r="A1612" s="80" t="s">
        <v>1000</v>
      </c>
      <c r="B1612" s="81" t="str">
        <f>HYPERLINK("https://www.youtube.com/channel/UChJQlg1b_cOttPX3SiIh5gA", "Lau Dinha in Hong Kong - Hong Kong in the World")</f>
        <v>Lau Dinha in Hong Kong - Hong Kong in the World</v>
      </c>
      <c r="C1612" s="80" t="s">
        <v>1871</v>
      </c>
      <c r="D1612" s="81" t="str">
        <f>HYPERLINK("https://youtube.com/watch?v=YwiIZTa3k9A", "外國人怎樣看廣東話這個語言？｜怎樣學習｜最難是什麼【feat 龍飛虎】")</f>
        <v>外國人怎樣看廣東話這個語言？｜怎樣學習｜最難是什麼【feat 龍飛虎】</v>
      </c>
      <c r="E1612" s="82">
        <v>44101.0</v>
      </c>
      <c r="F1612" s="80">
        <v>543.0</v>
      </c>
      <c r="G1612" s="80" t="s">
        <v>63</v>
      </c>
      <c r="H1612" s="80" t="s">
        <v>63</v>
      </c>
      <c r="I1612" s="80" t="s">
        <v>63</v>
      </c>
      <c r="J1612" s="80">
        <v>1640.0</v>
      </c>
      <c r="K1612" s="80">
        <v>0.914158305462653</v>
      </c>
      <c r="L1612" s="80" t="s">
        <v>434</v>
      </c>
    </row>
    <row r="1613">
      <c r="A1613" s="80" t="s">
        <v>74</v>
      </c>
      <c r="B1613" s="81" t="str">
        <f>HYPERLINK("https://www.youtube.com/channel/UCO_5XP-qd-udNxBlzzSzgvw", "Handline Fishing")</f>
        <v>Handline Fishing</v>
      </c>
      <c r="C1613" s="80" t="s">
        <v>1872</v>
      </c>
      <c r="D1613" s="81" t="str">
        <f>HYPERLINK("https://youtube.com/watch?v=Ywq_KuA4YqI", "#162 被牛屎鱲離棄的一個晚上，就當我哋兩個無嚟過 | 『香港釣魚 : 艇釣』青衣 {粵語旁白+中英文字幕}")</f>
        <v>#162 被牛屎鱲離棄的一個晚上，就當我哋兩個無嚟過 | 『香港釣魚 : 艇釣』青衣 {粵語旁白+中英文字幕}</v>
      </c>
      <c r="E1613" s="82">
        <v>44140.0</v>
      </c>
      <c r="F1613" s="80">
        <v>230.0</v>
      </c>
      <c r="G1613" s="80" t="s">
        <v>63</v>
      </c>
      <c r="I1613" s="80" t="s">
        <v>63</v>
      </c>
      <c r="J1613" s="80">
        <v>369.0</v>
      </c>
      <c r="K1613" s="80">
        <v>0.963446475195822</v>
      </c>
      <c r="L1613" s="80" t="s">
        <v>1105</v>
      </c>
    </row>
    <row r="1614">
      <c r="A1614" s="80" t="s">
        <v>1061</v>
      </c>
      <c r="B1614" s="81" t="str">
        <f>HYPERLINK("https://www.youtube.com/channel/UCpgb6oSJR0AXWVKWQ0PmeBw", "Innovation Works Studio")</f>
        <v>Innovation Works Studio</v>
      </c>
      <c r="C1614" s="80" t="s">
        <v>1873</v>
      </c>
      <c r="D1614" s="81" t="str">
        <f>HYPERLINK("https://youtube.com/watch?v=Z2rDEgRaI-E", "[旺角高級網吧?!]旺角電競館CGA esport stadium場地優劣 電腦效能全面睇(附中文字幕)")</f>
        <v>[旺角高級網吧?!]旺角電競館CGA esport stadium場地優劣 電腦效能全面睇(附中文字幕)</v>
      </c>
      <c r="E1614" s="82">
        <v>43505.0</v>
      </c>
      <c r="F1614" s="80">
        <v>655.0</v>
      </c>
      <c r="G1614" s="80" t="s">
        <v>63</v>
      </c>
      <c r="I1614" s="80" t="s">
        <v>63</v>
      </c>
      <c r="J1614" s="80">
        <v>2404.0</v>
      </c>
      <c r="K1614" s="80">
        <v>0.719114567753514</v>
      </c>
      <c r="L1614" s="80" t="s">
        <v>64</v>
      </c>
    </row>
    <row r="1615">
      <c r="A1615" s="80" t="s">
        <v>61</v>
      </c>
      <c r="B1615" s="81" t="str">
        <f t="shared" ref="B1615:B1616" si="65">HYPERLINK("https://www.youtube.com/channel/UCJ4XVrJuqKHbc9yF9oUFseg", "MEeeep More")</f>
        <v>MEeeep More</v>
      </c>
      <c r="C1615" s="80" t="s">
        <v>1874</v>
      </c>
      <c r="D1615" s="81" t="str">
        <f>HYPERLINK("https://youtube.com/watch?v=Z3h-0il2KU8", "三星 Samsung Galaxy S21 Ultra 旗艦皇者登場！Wi-Fi6E 100倍加強版SpaceZoom+雙光學變焦鏡頭 無得輸！S21Ultra Samsung S21 Ultra")</f>
        <v>三星 Samsung Galaxy S21 Ultra 旗艦皇者登場！Wi-Fi6E 100倍加強版SpaceZoom+雙光學變焦鏡頭 無得輸！S21Ultra Samsung S21 Ultra</v>
      </c>
      <c r="E1615" s="82">
        <v>44214.0</v>
      </c>
      <c r="F1615" s="80">
        <v>259.0</v>
      </c>
      <c r="G1615" s="80" t="s">
        <v>63</v>
      </c>
      <c r="I1615" s="80" t="s">
        <v>63</v>
      </c>
      <c r="J1615" s="80">
        <v>610.0</v>
      </c>
      <c r="K1615" s="80">
        <v>0.620549338758901</v>
      </c>
      <c r="L1615" s="80" t="s">
        <v>64</v>
      </c>
    </row>
    <row r="1616">
      <c r="A1616" s="80" t="s">
        <v>61</v>
      </c>
      <c r="B1616" s="81" t="str">
        <f t="shared" si="65"/>
        <v>MEeeep More</v>
      </c>
      <c r="C1616" s="80" t="s">
        <v>1875</v>
      </c>
      <c r="D1616" s="81" t="str">
        <f>HYPERLINK("https://youtube.com/watch?v=ZRJB_9fkol4", "iOS14 登場 WWDC 2020！Widgets 周圍放 App Library 分類睇 App Clips 即食App Car Keys 開車門 重點新功能即刻睇！iphone12 iphone")</f>
        <v>iOS14 登場 WWDC 2020！Widgets 周圍放 App Library 分類睇 App Clips 即食App Car Keys 開車門 重點新功能即刻睇！iphone12 iphone</v>
      </c>
      <c r="E1616" s="82">
        <v>44006.0</v>
      </c>
      <c r="F1616" s="80">
        <v>238.0</v>
      </c>
      <c r="G1616" s="80" t="s">
        <v>63</v>
      </c>
      <c r="I1616" s="80" t="s">
        <v>63</v>
      </c>
      <c r="J1616" s="80">
        <v>673.0</v>
      </c>
      <c r="K1616" s="80">
        <v>0.655945419103313</v>
      </c>
      <c r="L1616" s="80" t="s">
        <v>64</v>
      </c>
    </row>
    <row r="1617">
      <c r="A1617" s="80" t="s">
        <v>71</v>
      </c>
      <c r="B1617" s="81" t="str">
        <f>HYPERLINK("https://www.youtube.com/channel/UCXTE-gQCetfrx_lC9yFM2aw", "arhoTV")</f>
        <v>arhoTV</v>
      </c>
      <c r="C1617" s="80" t="s">
        <v>1876</v>
      </c>
      <c r="D1617" s="81" t="str">
        <f>HYPERLINK("https://youtube.com/watch?v=ZSlaUeu8F4c", "【心痛】尾巴要斷了？狗狗要再做手術？！【寵物】")</f>
        <v>【心痛】尾巴要斷了？狗狗要再做手術？！【寵物】</v>
      </c>
      <c r="E1617" s="82">
        <v>43182.0</v>
      </c>
      <c r="F1617" s="80">
        <v>718.0</v>
      </c>
      <c r="G1617" s="80" t="s">
        <v>63</v>
      </c>
      <c r="I1617" s="80" t="s">
        <v>63</v>
      </c>
      <c r="J1617" s="80">
        <v>4060.0</v>
      </c>
      <c r="K1617" s="80">
        <v>0.949707602339181</v>
      </c>
      <c r="L1617" s="80" t="s">
        <v>64</v>
      </c>
    </row>
    <row r="1618">
      <c r="A1618" s="80" t="s">
        <v>1039</v>
      </c>
      <c r="B1618" s="81" t="str">
        <f>HYPERLINK("https://www.youtube.com/channel/UCiKEIxbv4RTzyLCKG17N-AA", "Hunting Archer")</f>
        <v>Hunting Archer</v>
      </c>
      <c r="C1618" s="80" t="s">
        <v>1877</v>
      </c>
      <c r="D1618" s="81" t="str">
        <f>HYPERLINK("https://youtube.com/watch?v=ZUOsEc3PyQA", "【广州漫步之驾游广州】驾游观看天河区中山大道由繁荣的天河城到接近黄埔区的车陂东圃 【Walk in GuangZhou】（粤语中字）")</f>
        <v>【广州漫步之驾游广州】驾游观看天河区中山大道由繁荣的天河城到接近黄埔区的车陂东圃 【Walk in GuangZhou】（粤语中字）</v>
      </c>
      <c r="E1618" s="82">
        <v>44323.0</v>
      </c>
      <c r="F1618" s="80">
        <v>2087.0</v>
      </c>
      <c r="G1618" s="80" t="s">
        <v>63</v>
      </c>
      <c r="I1618" s="80" t="s">
        <v>63</v>
      </c>
      <c r="J1618" s="80">
        <v>6069.0</v>
      </c>
      <c r="K1618" s="80">
        <v>0.983311730395333</v>
      </c>
      <c r="L1618" s="80" t="s">
        <v>776</v>
      </c>
    </row>
    <row r="1619">
      <c r="A1619" s="80" t="s">
        <v>112</v>
      </c>
      <c r="B1619" s="81" t="str">
        <f t="shared" ref="B1619:B1620" si="66">HYPERLINK("https://www.youtube.com/channel/UCW_n_gfIv4HhRqCk8EnRhJA", "Happy Kongner")</f>
        <v>Happy Kongner</v>
      </c>
      <c r="C1619" s="80" t="s">
        <v>1878</v>
      </c>
      <c r="D1619" s="81" t="str">
        <f>HYPERLINK("https://youtube.com/watch?v=ZV9F8u0wLkU", "評價兩極！神作定普通之作？簡評 Joker《小丑》 [𠝹櫈電影學會]")</f>
        <v>評價兩極！神作定普通之作？簡評 Joker《小丑》 [𠝹櫈電影學會]</v>
      </c>
      <c r="E1619" s="82">
        <v>43805.0</v>
      </c>
      <c r="F1619" s="80">
        <v>2430.0</v>
      </c>
      <c r="G1619" s="80" t="s">
        <v>63</v>
      </c>
      <c r="H1619" s="80" t="s">
        <v>63</v>
      </c>
      <c r="I1619" s="80" t="s">
        <v>63</v>
      </c>
      <c r="J1619" s="80">
        <v>12474.0</v>
      </c>
      <c r="K1619" s="80">
        <v>0.8631928586257</v>
      </c>
      <c r="L1619" s="80" t="s">
        <v>86</v>
      </c>
    </row>
    <row r="1620">
      <c r="A1620" s="80" t="s">
        <v>112</v>
      </c>
      <c r="B1620" s="81" t="str">
        <f t="shared" si="66"/>
        <v>Happy Kongner</v>
      </c>
      <c r="C1620" s="80" t="s">
        <v>1879</v>
      </c>
      <c r="D1620" s="81" t="str">
        <f>HYPERLINK("https://youtube.com/watch?v=ZVmh5mmze4U", "高達編年史 Vol.4： 便當放題—Z高達 [公仔書與卡通片 EP14]")</f>
        <v>高達編年史 Vol.4： 便當放題—Z高達 [公仔書與卡通片 EP14]</v>
      </c>
      <c r="E1620" s="82">
        <v>43387.0</v>
      </c>
      <c r="F1620" s="80">
        <v>721.0</v>
      </c>
      <c r="G1620" s="80" t="s">
        <v>63</v>
      </c>
      <c r="I1620" s="80" t="s">
        <v>63</v>
      </c>
      <c r="J1620" s="80">
        <v>2731.0</v>
      </c>
      <c r="K1620" s="80">
        <v>0.938487972508591</v>
      </c>
      <c r="L1620" s="80" t="s">
        <v>64</v>
      </c>
    </row>
    <row r="1621">
      <c r="A1621" s="80" t="s">
        <v>61</v>
      </c>
      <c r="B1621" s="81" t="str">
        <f t="shared" ref="B1621:B1622" si="67">HYPERLINK("https://www.youtube.com/channel/UCJ4XVrJuqKHbc9yF9oUFseg", "MEeeep More")</f>
        <v>MEeeep More</v>
      </c>
      <c r="C1621" s="80" t="s">
        <v>1880</v>
      </c>
      <c r="D1621" s="81" t="str">
        <f>HYPERLINK("https://youtube.com/watch?v=ZVu-LMpscMw", "Sydney Fish Market 悉尼必到打卡美食位！ SFM")</f>
        <v>Sydney Fish Market 悉尼必到打卡美食位！ SFM</v>
      </c>
      <c r="E1621" s="82">
        <v>43716.0</v>
      </c>
      <c r="F1621" s="80">
        <v>178.0</v>
      </c>
      <c r="G1621" s="80" t="s">
        <v>63</v>
      </c>
      <c r="I1621" s="80" t="s">
        <v>63</v>
      </c>
      <c r="J1621" s="80">
        <v>401.0</v>
      </c>
      <c r="K1621" s="80">
        <v>0.823408624229979</v>
      </c>
      <c r="L1621" s="80" t="s">
        <v>64</v>
      </c>
    </row>
    <row r="1622">
      <c r="A1622" s="80" t="s">
        <v>61</v>
      </c>
      <c r="B1622" s="81" t="str">
        <f t="shared" si="67"/>
        <v>MEeeep More</v>
      </c>
      <c r="C1622" s="80" t="s">
        <v>1881</v>
      </c>
      <c r="D1622" s="81" t="str">
        <f>HYPERLINK("https://youtube.com/watch?v=ZYHGAM0pgq4", "3分鐘速遊 全世界最大 Muji 無印良品 - Aeon Mall 北花田店")</f>
        <v>3分鐘速遊 全世界最大 Muji 無印良品 - Aeon Mall 北花田店</v>
      </c>
      <c r="E1622" s="82">
        <v>43815.0</v>
      </c>
      <c r="F1622" s="80">
        <v>186.0</v>
      </c>
      <c r="G1622" s="80" t="s">
        <v>63</v>
      </c>
      <c r="I1622" s="80" t="s">
        <v>63</v>
      </c>
      <c r="J1622" s="80">
        <v>504.0</v>
      </c>
      <c r="K1622" s="80">
        <v>0.828947368421052</v>
      </c>
      <c r="L1622" s="80" t="s">
        <v>64</v>
      </c>
    </row>
    <row r="1623">
      <c r="A1623" s="80" t="s">
        <v>67</v>
      </c>
      <c r="B1623" s="81" t="str">
        <f>HYPERLINK("https://www.youtube.com/channel/UC7U6-j2DrKRIKXmPo4kE7YA", "雞WING")</f>
        <v>雞WING</v>
      </c>
      <c r="C1623" s="80" t="s">
        <v>1882</v>
      </c>
      <c r="D1623" s="81" t="str">
        <f>HYPERLINK("https://youtube.com/watch?v=ZaIVbTTYNcc", "【Fun身日記】22 開鋪頭既最終原因？！｜ 軒sir")</f>
        <v>【Fun身日記】22 開鋪頭既最終原因？！｜ 軒sir</v>
      </c>
      <c r="E1623" s="82">
        <v>44185.0</v>
      </c>
      <c r="F1623" s="80">
        <v>1212.0</v>
      </c>
      <c r="G1623" s="80" t="s">
        <v>63</v>
      </c>
      <c r="I1623" s="80" t="s">
        <v>63</v>
      </c>
      <c r="J1623" s="80">
        <v>3958.0</v>
      </c>
      <c r="K1623" s="80">
        <v>0.895070104025327</v>
      </c>
      <c r="L1623" s="80" t="s">
        <v>64</v>
      </c>
    </row>
    <row r="1624">
      <c r="A1624" s="80" t="s">
        <v>274</v>
      </c>
      <c r="B1624" s="81" t="str">
        <f>HYPERLINK("https://www.youtube.com/channel/UC2oB9QCXs-RKtaKChrz4dKg", "MtzCherry")</f>
        <v>MtzCherry</v>
      </c>
      <c r="C1624" s="80" t="s">
        <v>1883</v>
      </c>
      <c r="D1624" s="81" t="str">
        <f>HYPERLINK("https://youtube.com/watch?v=Zkwse7Vb7Po", "[DAY 257] How NOT to be a tourist in a tourist place (감천문화마을 Gamcheon Cultural Village)")</f>
        <v>[DAY 257] How NOT to be a tourist in a tourist place (감천문화마을 Gamcheon Cultural Village)</v>
      </c>
      <c r="E1624" s="82">
        <v>42870.0</v>
      </c>
      <c r="F1624" s="80">
        <v>228.0</v>
      </c>
      <c r="G1624" s="80" t="s">
        <v>63</v>
      </c>
      <c r="I1624" s="80" t="s">
        <v>63</v>
      </c>
      <c r="J1624" s="80">
        <v>515.0</v>
      </c>
      <c r="K1624" s="80">
        <v>0.968045112781954</v>
      </c>
      <c r="L1624" s="80" t="s">
        <v>287</v>
      </c>
    </row>
    <row r="1625">
      <c r="A1625" s="80" t="s">
        <v>74</v>
      </c>
      <c r="B1625" s="81" t="str">
        <f>HYPERLINK("https://www.youtube.com/channel/UCO_5XP-qd-udNxBlzzSzgvw", "Handline Fishing")</f>
        <v>Handline Fishing</v>
      </c>
      <c r="C1625" s="80" t="s">
        <v>1884</v>
      </c>
      <c r="D1625" s="81" t="str">
        <f>HYPERLINK("https://youtube.com/watch?v=ZmDP1iuYIec", "#227 超過28類魚種，集郵好去處 | 香港釣魚 | 艇釣 | 布袋澳 {粵語旁白+中英文字幕}")</f>
        <v>#227 超過28類魚種，集郵好去處 | 香港釣魚 | 艇釣 | 布袋澳 {粵語旁白+中英文字幕}</v>
      </c>
      <c r="E1625" s="82">
        <v>44407.0</v>
      </c>
      <c r="F1625" s="80">
        <v>494.0</v>
      </c>
      <c r="G1625" s="80" t="s">
        <v>63</v>
      </c>
      <c r="H1625" s="80" t="s">
        <v>63</v>
      </c>
      <c r="I1625" s="80" t="s">
        <v>63</v>
      </c>
      <c r="J1625" s="80">
        <v>586.0</v>
      </c>
      <c r="K1625" s="80">
        <v>0.957516339869281</v>
      </c>
      <c r="L1625" s="80" t="s">
        <v>88</v>
      </c>
    </row>
    <row r="1626">
      <c r="A1626" s="80" t="s">
        <v>103</v>
      </c>
      <c r="B1626" s="81" t="str">
        <f>HYPERLINK("https://www.youtube.com/channel/UCTVpvSswSER2sq1USBTGfnw", "Brittany Chan")</f>
        <v>Brittany Chan</v>
      </c>
      <c r="C1626" s="80" t="s">
        <v>1885</v>
      </c>
      <c r="D1626" s="81" t="str">
        <f>HYPERLINK("https://youtube.com/watch?v=ZpfLKYAF-CU", "Eating my way through Toronto 🇨🇦 Cantonese Food Vlog")</f>
        <v>Eating my way through Toronto 🇨🇦 Cantonese Food Vlog</v>
      </c>
      <c r="E1626" s="82">
        <v>44472.0</v>
      </c>
      <c r="F1626" s="80">
        <v>964.0</v>
      </c>
      <c r="G1626" s="80" t="s">
        <v>63</v>
      </c>
      <c r="I1626" s="80" t="s">
        <v>63</v>
      </c>
      <c r="J1626" s="80">
        <v>1989.0</v>
      </c>
      <c r="K1626" s="80">
        <v>0.632030505243088</v>
      </c>
      <c r="L1626" s="80" t="s">
        <v>105</v>
      </c>
    </row>
    <row r="1627">
      <c r="A1627" s="80" t="s">
        <v>112</v>
      </c>
      <c r="B1627" s="81" t="str">
        <f>HYPERLINK("https://www.youtube.com/channel/UCW_n_gfIv4HhRqCk8EnRhJA", "Happy Kongner")</f>
        <v>Happy Kongner</v>
      </c>
      <c r="C1627" s="80" t="s">
        <v>1886</v>
      </c>
      <c r="D1627" s="81" t="str">
        <f>HYPERLINK("https://youtube.com/watch?v=Zv0BaX3H1yY", "入門必睇！女性主義發展歷史簡述 [婦女新知]")</f>
        <v>入門必睇！女性主義發展歷史簡述 [婦女新知]</v>
      </c>
      <c r="E1627" s="82">
        <v>43933.0</v>
      </c>
      <c r="F1627" s="80">
        <v>980.0</v>
      </c>
      <c r="G1627" s="80" t="s">
        <v>63</v>
      </c>
      <c r="I1627" s="80" t="s">
        <v>63</v>
      </c>
      <c r="J1627" s="80">
        <v>5629.0</v>
      </c>
      <c r="K1627" s="80">
        <v>0.890664556962025</v>
      </c>
      <c r="L1627" s="80" t="s">
        <v>64</v>
      </c>
    </row>
    <row r="1628">
      <c r="A1628" s="80" t="s">
        <v>1050</v>
      </c>
      <c r="B1628" s="81" t="str">
        <f>HYPERLINK("https://www.youtube.com/channel/UCNCwcNnkhHviS0xyJHbhX2Q", "Man The Fvck Up")</f>
        <v>Man The Fvck Up</v>
      </c>
      <c r="C1628" s="80" t="s">
        <v>1887</v>
      </c>
      <c r="D1628" s="81" t="str">
        <f>HYPERLINK("https://youtube.com/watch?v=ZzijsC3doNI", "[溝女] Clubbing舞池溝女三部曲! - 3 Easy Steps To Get Girls On Dancefloors")</f>
        <v>[溝女] Clubbing舞池溝女三部曲! - 3 Easy Steps To Get Girls On Dancefloors</v>
      </c>
      <c r="E1628" s="82">
        <v>42753.0</v>
      </c>
      <c r="F1628" s="80">
        <v>203.0</v>
      </c>
      <c r="G1628" s="80" t="s">
        <v>63</v>
      </c>
      <c r="I1628" s="80" t="s">
        <v>63</v>
      </c>
      <c r="J1628" s="80">
        <v>650.0</v>
      </c>
      <c r="K1628" s="80">
        <v>0.839793281653746</v>
      </c>
      <c r="L1628" s="80" t="s">
        <v>64</v>
      </c>
    </row>
    <row r="1629">
      <c r="A1629" s="80" t="s">
        <v>252</v>
      </c>
      <c r="B1629" s="81" t="str">
        <f>HYPERLINK("https://www.youtube.com/channel/UCrISkBm7rgsRUAw8018eWvw", "MoYung 慕容公子")</f>
        <v>MoYung 慕容公子</v>
      </c>
      <c r="C1629" s="80" t="s">
        <v>1888</v>
      </c>
      <c r="D1629" s="81" t="str">
        <f>HYPERLINK("https://youtube.com/watch?v=_3kEMqI-o0A", "【底線Call iN】其實你幾靚仔，不過你有個缺點 (中文字幕)")</f>
        <v>【底線Call iN】其實你幾靚仔，不過你有個缺點 (中文字幕)</v>
      </c>
      <c r="E1629" s="82">
        <v>42766.0</v>
      </c>
      <c r="F1629" s="80">
        <v>51.0</v>
      </c>
      <c r="G1629" s="80" t="s">
        <v>63</v>
      </c>
      <c r="I1629" s="80" t="s">
        <v>63</v>
      </c>
      <c r="J1629" s="80">
        <v>153.0</v>
      </c>
      <c r="K1629" s="80">
        <v>0.905325443786982</v>
      </c>
      <c r="L1629" s="80" t="s">
        <v>1889</v>
      </c>
    </row>
    <row r="1630">
      <c r="A1630" s="80" t="s">
        <v>118</v>
      </c>
      <c r="B1630" s="81" t="str">
        <f>HYPERLINK("https://www.youtube.com/channel/UCHrgHYFc5KShMJDZNsDZh4g", "BETHNI Y")</f>
        <v>BETHNI Y</v>
      </c>
      <c r="C1630" s="80" t="s">
        <v>1890</v>
      </c>
      <c r="D1630" s="81" t="str">
        <f>HYPERLINK("https://youtube.com/watch?v=_53B5renjAU", "MATTE MAKEUP 啡TONE啞緻妝容  ❤️  AD  | Bethni Y")</f>
        <v>MATTE MAKEUP 啡TONE啞緻妝容  ❤️  AD  | Bethni Y</v>
      </c>
      <c r="E1630" s="82">
        <v>42740.0</v>
      </c>
      <c r="F1630" s="80">
        <v>499.0</v>
      </c>
      <c r="G1630" s="80" t="s">
        <v>63</v>
      </c>
      <c r="H1630" s="80" t="s">
        <v>63</v>
      </c>
      <c r="I1630" s="80" t="s">
        <v>63</v>
      </c>
      <c r="J1630" s="80">
        <v>1136.0</v>
      </c>
      <c r="K1630" s="80">
        <v>0.966808510638297</v>
      </c>
      <c r="L1630" s="80" t="s">
        <v>236</v>
      </c>
    </row>
    <row r="1631">
      <c r="A1631" s="80" t="s">
        <v>89</v>
      </c>
      <c r="B1631" s="81" t="str">
        <f>HYPERLINK("https://www.youtube.com/channel/UClc7lRdOhLxh3orjosY1R7g", "三木大師")</f>
        <v>三木大師</v>
      </c>
      <c r="C1631" s="80" t="s">
        <v>1891</v>
      </c>
      <c r="D1631" s="81" t="str">
        <f>HYPERLINK("https://youtube.com/watch?v=_5hcdEK9csA", "與神對話 | 廣東話/ 粵語 | 書評 | 讀書 | EP3 書集 | 神: 要作感恩的祈禱，而不是請求的祈禱")</f>
        <v>與神對話 | 廣東話/ 粵語 | 書評 | 讀書 | EP3 書集 | 神: 要作感恩的祈禱，而不是請求的祈禱</v>
      </c>
      <c r="E1631" s="82">
        <v>43990.0</v>
      </c>
      <c r="F1631" s="80">
        <v>626.0</v>
      </c>
      <c r="G1631" s="80" t="s">
        <v>63</v>
      </c>
      <c r="I1631" s="80" t="s">
        <v>63</v>
      </c>
      <c r="J1631" s="80">
        <v>1738.0</v>
      </c>
      <c r="K1631" s="80">
        <v>0.989749430523918</v>
      </c>
      <c r="L1631" s="80" t="s">
        <v>91</v>
      </c>
    </row>
    <row r="1632">
      <c r="A1632" s="80" t="s">
        <v>82</v>
      </c>
      <c r="B1632" s="81" t="str">
        <f>HYPERLINK("https://www.youtube.com/channel/UC6C2hkbggXIgapf5jn_V2Dw", "SpongeMob 852")</f>
        <v>SpongeMob 852</v>
      </c>
      <c r="C1632" s="80" t="s">
        <v>1892</v>
      </c>
      <c r="D1632" s="81" t="str">
        <f>HYPERLINK("https://youtube.com/watch?v=_7eYdxg-DsQ", "Lay-zG  X Novel Flash - Go Die [Official Lyric Video]")</f>
        <v>Lay-zG  X Novel Flash - Go Die [Official Lyric Video]</v>
      </c>
      <c r="E1632" s="82">
        <v>44142.0</v>
      </c>
      <c r="F1632" s="80">
        <v>160.0</v>
      </c>
      <c r="G1632" s="80" t="s">
        <v>63</v>
      </c>
      <c r="I1632" s="80" t="s">
        <v>63</v>
      </c>
      <c r="J1632" s="80">
        <v>355.0</v>
      </c>
      <c r="K1632" s="80">
        <v>0.350444225074037</v>
      </c>
      <c r="L1632" s="80" t="s">
        <v>64</v>
      </c>
    </row>
    <row r="1633">
      <c r="A1633" s="80" t="s">
        <v>112</v>
      </c>
      <c r="B1633" s="81" t="str">
        <f>HYPERLINK("https://www.youtube.com/channel/UCW_n_gfIv4HhRqCk8EnRhJA", "Happy Kongner")</f>
        <v>Happy Kongner</v>
      </c>
      <c r="C1633" s="80" t="s">
        <v>1893</v>
      </c>
      <c r="D1633" s="81" t="str">
        <f>HYPERLINK("https://youtube.com/watch?v=_DgcgnCgT_I", "乜嘢係社會科學？What is Social Science? —做乜野懶人包 第二集 LazyPack EP2")</f>
        <v>乜嘢係社會科學？What is Social Science? —做乜野懶人包 第二集 LazyPack EP2</v>
      </c>
      <c r="E1633" s="82">
        <v>43188.0</v>
      </c>
      <c r="F1633" s="80">
        <v>259.0</v>
      </c>
      <c r="G1633" s="80" t="s">
        <v>63</v>
      </c>
      <c r="H1633" s="80" t="s">
        <v>63</v>
      </c>
      <c r="I1633" s="80" t="s">
        <v>63</v>
      </c>
      <c r="J1633" s="80">
        <v>1331.0</v>
      </c>
      <c r="K1633" s="80">
        <v>0.891493636972538</v>
      </c>
      <c r="L1633" s="80" t="s">
        <v>86</v>
      </c>
    </row>
    <row r="1634">
      <c r="A1634" s="80" t="s">
        <v>1039</v>
      </c>
      <c r="B1634" s="81" t="str">
        <f>HYPERLINK("https://www.youtube.com/channel/UCiKEIxbv4RTzyLCKG17N-AA", "Hunting Archer")</f>
        <v>Hunting Archer</v>
      </c>
      <c r="C1634" s="80" t="s">
        <v>1894</v>
      </c>
      <c r="D1634" s="81" t="str">
        <f>HYPERLINK("https://youtube.com/watch?v=_DhgwD-NGlc", "【广州漫步之驾游广州】驾游观看海珠区新港路 由老牌批发市场到未来高科技写字楼 【Walk in GuangZhou】（粤语中字）")</f>
        <v>【广州漫步之驾游广州】驾游观看海珠区新港路 由老牌批发市场到未来高科技写字楼 【Walk in GuangZhou】（粤语中字）</v>
      </c>
      <c r="E1634" s="82">
        <v>44321.0</v>
      </c>
      <c r="F1634" s="80">
        <v>2260.0</v>
      </c>
      <c r="G1634" s="80" t="s">
        <v>63</v>
      </c>
      <c r="I1634" s="80" t="s">
        <v>63</v>
      </c>
      <c r="J1634" s="80">
        <v>7405.0</v>
      </c>
      <c r="K1634" s="80">
        <v>0.992361297239346</v>
      </c>
      <c r="L1634" s="80" t="s">
        <v>776</v>
      </c>
    </row>
    <row r="1635">
      <c r="A1635" s="80" t="s">
        <v>1183</v>
      </c>
      <c r="B1635" s="81" t="str">
        <f>HYPERLINK("https://www.youtube.com/channel/UCPBBbFYG51QpjuptQtYfCDA", "siuwaiboy")</f>
        <v>siuwaiboy</v>
      </c>
      <c r="C1635" s="80" t="s">
        <v>1895</v>
      </c>
      <c r="D1635" s="81" t="str">
        <f>HYPERLINK("https://youtube.com/watch?v=_GXVsS_SJzI", "不要做狀元")</f>
        <v>不要做狀元</v>
      </c>
      <c r="E1635" s="82">
        <v>43293.0</v>
      </c>
      <c r="F1635" s="80">
        <v>90.0</v>
      </c>
      <c r="G1635" s="80" t="s">
        <v>63</v>
      </c>
      <c r="I1635" s="80" t="s">
        <v>63</v>
      </c>
      <c r="J1635" s="80">
        <v>344.0</v>
      </c>
      <c r="K1635" s="80">
        <v>0.952908587257617</v>
      </c>
      <c r="L1635" s="80" t="s">
        <v>64</v>
      </c>
    </row>
    <row r="1636">
      <c r="A1636" s="80" t="s">
        <v>61</v>
      </c>
      <c r="B1636" s="81" t="str">
        <f>HYPERLINK("https://www.youtube.com/channel/UCJ4XVrJuqKHbc9yF9oUFseg", "MEeeep More")</f>
        <v>MEeeep More</v>
      </c>
      <c r="C1636" s="80" t="s">
        <v>1896</v>
      </c>
      <c r="D1636" s="81" t="str">
        <f>HYPERLINK("https://youtube.com/watch?v=_Gk6xychGXI", "澳洲悉尼自由行 點少得睇煙花呢？　- 《食玩飛常遊》")</f>
        <v>澳洲悉尼自由行 點少得睇煙花呢？　- 《食玩飛常遊》</v>
      </c>
      <c r="E1636" s="82">
        <v>43527.0</v>
      </c>
      <c r="F1636" s="80">
        <v>115.0</v>
      </c>
      <c r="G1636" s="80" t="s">
        <v>63</v>
      </c>
      <c r="I1636" s="80" t="s">
        <v>63</v>
      </c>
      <c r="J1636" s="80">
        <v>316.0</v>
      </c>
      <c r="K1636" s="80">
        <v>0.8</v>
      </c>
      <c r="L1636" s="80" t="s">
        <v>66</v>
      </c>
    </row>
    <row r="1637">
      <c r="A1637" s="80" t="s">
        <v>219</v>
      </c>
      <c r="B1637" s="81" t="str">
        <f>HYPERLINK("https://www.youtube.com/channel/UC9_PnptBIpNF0JXbJjd8TsQ", "Brown's Channel")</f>
        <v>Brown's Channel</v>
      </c>
      <c r="C1637" s="80" t="s">
        <v>1897</v>
      </c>
      <c r="D1637" s="81" t="str">
        <f>HYPERLINK("https://youtube.com/watch?v=_RwJUsspMkM", "【一隻熊仔去搵食＠香港】#4 Peko Peko Eatery -- 荃灣清新日式 cafe 但係嘢食就。。。")</f>
        <v>【一隻熊仔去搵食＠香港】#4 Peko Peko Eatery -- 荃灣清新日式 cafe 但係嘢食就。。。</v>
      </c>
      <c r="E1637" s="82">
        <v>44449.0</v>
      </c>
      <c r="F1637" s="80">
        <v>483.0</v>
      </c>
      <c r="G1637" s="80" t="s">
        <v>63</v>
      </c>
      <c r="I1637" s="80" t="s">
        <v>63</v>
      </c>
      <c r="J1637" s="80">
        <v>1824.0</v>
      </c>
      <c r="K1637" s="80">
        <v>0.860377358490566</v>
      </c>
      <c r="L1637" s="80" t="s">
        <v>64</v>
      </c>
    </row>
    <row r="1638">
      <c r="A1638" s="80" t="s">
        <v>112</v>
      </c>
      <c r="B1638" s="81" t="str">
        <f>HYPERLINK("https://www.youtube.com/channel/UCW_n_gfIv4HhRqCk8EnRhJA", "Happy Kongner")</f>
        <v>Happy Kongner</v>
      </c>
      <c r="C1638" s="80" t="s">
        <v>1898</v>
      </c>
      <c r="D1638" s="81" t="str">
        <f>HYPERLINK("https://youtube.com/watch?v=_T2sktndkTk", "乜嘢係評論？What is CRITICISM? [做乜嘢懶人包]")</f>
        <v>乜嘢係評論？What is CRITICISM? [做乜嘢懶人包]</v>
      </c>
      <c r="E1638" s="82">
        <v>43384.0</v>
      </c>
      <c r="F1638" s="80">
        <v>670.0</v>
      </c>
      <c r="G1638" s="80" t="s">
        <v>63</v>
      </c>
      <c r="I1638" s="80" t="s">
        <v>63</v>
      </c>
      <c r="J1638" s="80">
        <v>3504.0</v>
      </c>
      <c r="K1638" s="80">
        <v>0.908478091781177</v>
      </c>
      <c r="L1638" s="80" t="s">
        <v>64</v>
      </c>
    </row>
    <row r="1639">
      <c r="A1639" s="80" t="s">
        <v>67</v>
      </c>
      <c r="B1639" s="81" t="str">
        <f>HYPERLINK("https://www.youtube.com/channel/UC7U6-j2DrKRIKXmPo4kE7YA", "雞WING")</f>
        <v>雞WING</v>
      </c>
      <c r="C1639" s="80" t="s">
        <v>1899</v>
      </c>
      <c r="D1639" s="81" t="str">
        <f>HYPERLINK("https://youtube.com/watch?v=_Tg4Li0DS84", "6豪子派大利是！|微辣聖誕party 2020")</f>
        <v>6豪子派大利是！|微辣聖誕party 2020</v>
      </c>
      <c r="E1639" s="82">
        <v>44187.0</v>
      </c>
      <c r="F1639" s="80">
        <v>1594.0</v>
      </c>
      <c r="G1639" s="80" t="s">
        <v>63</v>
      </c>
      <c r="I1639" s="80" t="s">
        <v>63</v>
      </c>
      <c r="J1639" s="80">
        <v>1958.0</v>
      </c>
      <c r="K1639" s="80">
        <v>0.835324232081911</v>
      </c>
      <c r="L1639" s="80" t="s">
        <v>64</v>
      </c>
    </row>
    <row r="1640">
      <c r="A1640" s="80" t="s">
        <v>1082</v>
      </c>
      <c r="B1640" s="81" t="str">
        <f>HYPERLINK("https://www.youtube.com/channel/UCMosCy_NDf55rDQhzdX_h3w", "熊熊兒童音樂 Bear Music Ltd.")</f>
        <v>熊熊兒童音樂 Bear Music Ltd.</v>
      </c>
      <c r="C1640" s="80" t="s">
        <v>1900</v>
      </c>
      <c r="D1640" s="81" t="str">
        <f>HYPERLINK("https://youtube.com/watch?v=_X7aGkFIsSU", "熊熊粵語兒童故事精選｜動物故事｜膽小的白兔")</f>
        <v>熊熊粵語兒童故事精選｜動物故事｜膽小的白兔</v>
      </c>
      <c r="E1640" s="82">
        <v>43515.0</v>
      </c>
      <c r="F1640" s="80">
        <v>593.0</v>
      </c>
      <c r="G1640" s="80" t="s">
        <v>63</v>
      </c>
      <c r="I1640" s="80" t="s">
        <v>63</v>
      </c>
      <c r="J1640" s="80">
        <v>1156.0</v>
      </c>
      <c r="K1640" s="80">
        <v>0.997411561691113</v>
      </c>
      <c r="L1640" s="80" t="s">
        <v>64</v>
      </c>
    </row>
    <row r="1641">
      <c r="A1641" s="80" t="s">
        <v>278</v>
      </c>
      <c r="B1641" s="81" t="str">
        <f>HYPERLINK("https://www.youtube.com/channel/UCDoEdJo-PI-EKGNKomwLroQ", "mingjai14")</f>
        <v>mingjai14</v>
      </c>
      <c r="C1641" s="80" t="s">
        <v>1901</v>
      </c>
      <c r="D1641" s="81" t="str">
        <f>HYPERLINK("https://youtube.com/watch?v=_aW3brYRqIQ", "【究極upgrade⚠️】國泰First class初體驗✈️")</f>
        <v>【究極upgrade⚠️】國泰First class初體驗✈️</v>
      </c>
      <c r="E1641" s="82">
        <v>43273.0</v>
      </c>
      <c r="F1641" s="80">
        <v>635.0</v>
      </c>
      <c r="G1641" s="80" t="s">
        <v>63</v>
      </c>
      <c r="H1641" s="80" t="s">
        <v>63</v>
      </c>
      <c r="I1641" s="80" t="s">
        <v>63</v>
      </c>
      <c r="J1641" s="80">
        <v>1933.0</v>
      </c>
      <c r="K1641" s="80">
        <v>0.94662095984329</v>
      </c>
      <c r="L1641" s="80" t="s">
        <v>1206</v>
      </c>
    </row>
    <row r="1642">
      <c r="A1642" s="80" t="s">
        <v>74</v>
      </c>
      <c r="B1642" s="81" t="str">
        <f>HYPERLINK("https://www.youtube.com/channel/UCO_5XP-qd-udNxBlzzSzgvw", "Handline Fishing")</f>
        <v>Handline Fishing</v>
      </c>
      <c r="C1642" s="80" t="s">
        <v>1902</v>
      </c>
      <c r="D1642" s="81" t="str">
        <f>HYPERLINK("https://youtube.com/watch?v=_hJeqzy0JrE", "#95 今日帶基哥去威威，一於去釣雞雞『香港釣魚 : 艇釣』維港 {粵語旁白+中英文字幕}")</f>
        <v>#95 今日帶基哥去威威，一於去釣雞雞『香港釣魚 : 艇釣』維港 {粵語旁白+中英文字幕}</v>
      </c>
      <c r="E1642" s="82">
        <v>43912.0</v>
      </c>
      <c r="F1642" s="80">
        <v>332.0</v>
      </c>
      <c r="G1642" s="80" t="s">
        <v>63</v>
      </c>
      <c r="I1642" s="80" t="s">
        <v>63</v>
      </c>
      <c r="J1642" s="80">
        <v>1582.0</v>
      </c>
      <c r="K1642" s="80">
        <v>0.973538461538461</v>
      </c>
      <c r="L1642" s="80" t="s">
        <v>76</v>
      </c>
    </row>
    <row r="1643">
      <c r="A1643" s="80" t="s">
        <v>1050</v>
      </c>
      <c r="B1643" s="81" t="str">
        <f>HYPERLINK("https://www.youtube.com/channel/UCNCwcNnkhHviS0xyJHbhX2Q", "Man The Fvck Up")</f>
        <v>Man The Fvck Up</v>
      </c>
      <c r="C1643" s="80" t="s">
        <v>1903</v>
      </c>
      <c r="D1643" s="81" t="str">
        <f>HYPERLINK("https://youtube.com/watch?v=_nqN5nUadME", "[溝女] 對著女人講大話? - Should You Lie To Women?")</f>
        <v>[溝女] 對著女人講大話? - Should You Lie To Women?</v>
      </c>
      <c r="E1643" s="82">
        <v>42746.0</v>
      </c>
      <c r="F1643" s="80">
        <v>255.0</v>
      </c>
      <c r="G1643" s="80" t="s">
        <v>63</v>
      </c>
      <c r="I1643" s="80" t="s">
        <v>63</v>
      </c>
      <c r="J1643" s="80">
        <v>710.0</v>
      </c>
      <c r="K1643" s="80">
        <v>0.790645879732739</v>
      </c>
      <c r="L1643" s="80" t="s">
        <v>64</v>
      </c>
    </row>
    <row r="1644">
      <c r="A1644" s="80" t="s">
        <v>1010</v>
      </c>
      <c r="B1644" s="81" t="str">
        <f>HYPERLINK("https://www.youtube.com/channel/UC-nV0odAiVdjH3gB_uSeTcQ", "wepro180")</f>
        <v>wepro180</v>
      </c>
      <c r="C1644" s="80" t="s">
        <v>1904</v>
      </c>
      <c r="D1644" s="81" t="str">
        <f>HYPERLINK("https://youtube.com/watch?v=_sNtUfuASSA", "edvance 特約【wepro 教室 11】嘉倩 180 ─  Advanced Encryption Standard (AES) Algorithm")</f>
        <v>edvance 特約【wepro 教室 11】嘉倩 180 ─  Advanced Encryption Standard (AES) Algorithm</v>
      </c>
      <c r="E1644" s="82">
        <v>43226.0</v>
      </c>
      <c r="F1644" s="80">
        <v>74.0</v>
      </c>
      <c r="G1644" s="80" t="s">
        <v>63</v>
      </c>
      <c r="I1644" s="80" t="s">
        <v>63</v>
      </c>
      <c r="J1644" s="80">
        <v>270.0</v>
      </c>
      <c r="K1644" s="80">
        <v>0.83076923076923</v>
      </c>
      <c r="L1644" s="80" t="s">
        <v>64</v>
      </c>
    </row>
    <row r="1645">
      <c r="A1645" s="80" t="s">
        <v>1007</v>
      </c>
      <c r="B1645" s="81" t="str">
        <f>HYPERLINK("https://www.youtube.com/channel/UCCzgNTkFyDel0FDJtVNgEtQ", "香港人. 德國讀書之【真.洗濕左個頭.無得返轉頭】Miss Chan Life in Germany")</f>
        <v>香港人. 德國讀書之【真.洗濕左個頭.無得返轉頭】Miss Chan Life in Germany</v>
      </c>
      <c r="C1645" s="80" t="s">
        <v>1905</v>
      </c>
      <c r="D1645" s="81" t="str">
        <f>HYPERLINK("https://youtube.com/watch?v=_ylESgra3mc", "【德國無菌旅行團 】之土耳其系列｜甜品篇｜酸奶 Ayran｜土耳其果仁蜜餅 Baklava｜樂天朱古力棉花糖餅｜土耳其 QQ 雪糕｜健康低糖鬆脆麥餅 (香港人製作. 廣東話. 中文字幕)")</f>
        <v>【德國無菌旅行團 】之土耳其系列｜甜品篇｜酸奶 Ayran｜土耳其果仁蜜餅 Baklava｜樂天朱古力棉花糖餅｜土耳其 QQ 雪糕｜健康低糖鬆脆麥餅 (香港人製作. 廣東話. 中文字幕)</v>
      </c>
      <c r="E1645" s="82">
        <v>44418.0</v>
      </c>
      <c r="F1645" s="80">
        <v>878.0</v>
      </c>
      <c r="G1645" s="80" t="s">
        <v>63</v>
      </c>
      <c r="I1645" s="80" t="s">
        <v>63</v>
      </c>
      <c r="J1645" s="80">
        <v>3053.0</v>
      </c>
      <c r="K1645" s="80">
        <v>0.874284077892325</v>
      </c>
      <c r="L1645" s="80" t="s">
        <v>64</v>
      </c>
    </row>
    <row r="1646">
      <c r="A1646" s="80" t="s">
        <v>217</v>
      </c>
      <c r="B1646" s="81" t="str">
        <f>HYPERLINK("https://www.youtube.com/channel/UCXKg0qPRz32bs5Z4mTGF3TQ", "Stormtrooper白兵")</f>
        <v>Stormtrooper白兵</v>
      </c>
      <c r="C1646" s="80" t="s">
        <v>1906</v>
      </c>
      <c r="D1646" s="81" t="str">
        <f>HYPERLINK("https://youtube.com/watch?v=a-XdqEeYJRw", "【甘迺迪之死】特朗普差點步其後塵！用3年時間擊潰深層國家換黎公開處刑爆頭暗殺！為何甘迺迪必須死？一個得罪整個深層政府的美國總統｜分析背後錯綜複雜的陰謀｜誰是真正的幕後黑手？｜廣東話中字")</f>
        <v>【甘迺迪之死】特朗普差點步其後塵！用3年時間擊潰深層國家換黎公開處刑爆頭暗殺！為何甘迺迪必須死？一個得罪整個深層政府的美國總統｜分析背後錯綜複雜的陰謀｜誰是真正的幕後黑手？｜廣東話中字</v>
      </c>
      <c r="E1646" s="82">
        <v>44231.0</v>
      </c>
      <c r="F1646" s="80">
        <v>1075.0</v>
      </c>
      <c r="G1646" s="80" t="s">
        <v>63</v>
      </c>
      <c r="H1646" s="80" t="s">
        <v>63</v>
      </c>
      <c r="I1646" s="80" t="s">
        <v>63</v>
      </c>
      <c r="J1646" s="80">
        <v>4316.0</v>
      </c>
      <c r="K1646" s="80">
        <v>0.87687931735067</v>
      </c>
      <c r="L1646" s="80" t="s">
        <v>86</v>
      </c>
    </row>
    <row r="1647">
      <c r="A1647" s="80" t="s">
        <v>82</v>
      </c>
      <c r="B1647" s="81" t="str">
        <f>HYPERLINK("https://www.youtube.com/channel/UC6C2hkbggXIgapf5jn_V2Dw", "SpongeMob 852")</f>
        <v>SpongeMob 852</v>
      </c>
      <c r="C1647" s="80" t="s">
        <v>1907</v>
      </c>
      <c r="D1647" s="81" t="str">
        <f>HYPERLINK("https://youtube.com/watch?v=a4Dz7yvlf3k", "SpongeMob - AT IT [Official Music Video]  Teddy Beer X Novel Fla$h X ParaT (字幕)")</f>
        <v>SpongeMob - AT IT [Official Music Video]  Teddy Beer X Novel Fla$h X ParaT (字幕)</v>
      </c>
      <c r="E1647" s="82">
        <v>43602.0</v>
      </c>
      <c r="F1647" s="80">
        <v>134.0</v>
      </c>
      <c r="G1647" s="80" t="s">
        <v>63</v>
      </c>
      <c r="I1647" s="80" t="s">
        <v>63</v>
      </c>
      <c r="J1647" s="80">
        <v>344.0</v>
      </c>
      <c r="K1647" s="80">
        <v>0.50887573964497</v>
      </c>
      <c r="L1647" s="80" t="s">
        <v>64</v>
      </c>
    </row>
    <row r="1648">
      <c r="A1648" s="80" t="s">
        <v>74</v>
      </c>
      <c r="B1648" s="81" t="str">
        <f>HYPERLINK("https://www.youtube.com/channel/UCO_5XP-qd-udNxBlzzSzgvw", "Handline Fishing")</f>
        <v>Handline Fishing</v>
      </c>
      <c r="C1648" s="80" t="s">
        <v>1908</v>
      </c>
      <c r="D1648" s="81" t="str">
        <f>HYPERLINK("https://youtube.com/watch?v=a5_8kXlN3cY", "#97 繼續尋雞之旅『香港釣魚 : 艇釣』維港東 {粵語旁白+中英文字幕}")</f>
        <v>#97 繼續尋雞之旅『香港釣魚 : 艇釣』維港東 {粵語旁白+中英文字幕}</v>
      </c>
      <c r="E1648" s="82">
        <v>43920.0</v>
      </c>
      <c r="F1648" s="80">
        <v>342.0</v>
      </c>
      <c r="G1648" s="80" t="s">
        <v>63</v>
      </c>
      <c r="I1648" s="80" t="s">
        <v>63</v>
      </c>
      <c r="J1648" s="80">
        <v>1370.0</v>
      </c>
      <c r="K1648" s="80">
        <v>0.968197879858657</v>
      </c>
      <c r="L1648" s="80" t="s">
        <v>1909</v>
      </c>
    </row>
    <row r="1649">
      <c r="A1649" s="80" t="s">
        <v>1016</v>
      </c>
      <c r="B1649" s="81" t="str">
        <f>HYPERLINK("https://www.youtube.com/channel/UCSbiR1l-cfzk44iTJVSAZVQ", "Rhapsody in Lingo")</f>
        <v>Rhapsody in Lingo</v>
      </c>
      <c r="C1649" s="80" t="s">
        <v>1910</v>
      </c>
      <c r="D1649" s="81" t="str">
        <f>HYPERLINK("https://youtube.com/watch?v=a6Ps9dsBRvI", "Improving Speaking ON YOUR OWN [en subs/粵字] Polyglot Speaks Polish")</f>
        <v>Improving Speaking ON YOUR OWN [en subs/粵字] Polyglot Speaks Polish</v>
      </c>
      <c r="E1649" s="82">
        <v>44499.0</v>
      </c>
      <c r="F1649" s="80">
        <v>665.0</v>
      </c>
      <c r="G1649" s="80" t="s">
        <v>63</v>
      </c>
      <c r="I1649" s="80" t="s">
        <v>63</v>
      </c>
      <c r="J1649" s="80">
        <v>1237.0</v>
      </c>
      <c r="K1649" s="80">
        <v>0.894432393347794</v>
      </c>
      <c r="L1649" s="80" t="s">
        <v>757</v>
      </c>
    </row>
    <row r="1650">
      <c r="A1650" s="80" t="s">
        <v>1312</v>
      </c>
      <c r="B1650" s="81" t="str">
        <f>HYPERLINK("https://www.youtube.com/channel/UC1NxU2rbVZW0Rq6VHmaqoEQ", "Jarvis &amp; Isabella")</f>
        <v>Jarvis &amp; Isabella</v>
      </c>
      <c r="C1650" s="80" t="s">
        <v>1911</v>
      </c>
      <c r="D1650" s="81" t="str">
        <f>HYPERLINK("https://youtube.com/watch?v=a9-bRv0FNRo", "#5 英國Vlog 我們在英國買餸之日常 ｜CC 中文字幕｜Jarvis &amp; Isabella")</f>
        <v>#5 英國Vlog 我們在英國買餸之日常 ｜CC 中文字幕｜Jarvis &amp; Isabella</v>
      </c>
      <c r="E1650" s="82">
        <v>44493.0</v>
      </c>
      <c r="F1650" s="80">
        <v>799.0</v>
      </c>
      <c r="G1650" s="80" t="s">
        <v>63</v>
      </c>
      <c r="I1650" s="80" t="s">
        <v>63</v>
      </c>
      <c r="J1650" s="80">
        <v>2042.0</v>
      </c>
      <c r="K1650" s="80">
        <v>0.83585755218993</v>
      </c>
      <c r="L1650" s="80" t="s">
        <v>64</v>
      </c>
    </row>
    <row r="1651">
      <c r="A1651" s="80" t="s">
        <v>278</v>
      </c>
      <c r="B1651" s="81" t="str">
        <f t="shared" ref="B1651:B1652" si="68">HYPERLINK("https://www.youtube.com/channel/UCDoEdJo-PI-EKGNKomwLroQ", "mingjai14")</f>
        <v>mingjai14</v>
      </c>
      <c r="C1651" s="80" t="s">
        <v>1912</v>
      </c>
      <c r="D1651" s="81" t="str">
        <f>HYPERLINK("https://youtube.com/watch?v=aF0v1MZhR0I", "手機一樣可以拍出專業旅行片👍🇩🇰| 歐遊列國6 | 外傳")</f>
        <v>手機一樣可以拍出專業旅行片👍🇩🇰| 歐遊列國6 | 外傳</v>
      </c>
      <c r="E1651" s="82">
        <v>43592.0</v>
      </c>
      <c r="F1651" s="80">
        <v>501.0</v>
      </c>
      <c r="G1651" s="80" t="s">
        <v>63</v>
      </c>
      <c r="I1651" s="80" t="s">
        <v>63</v>
      </c>
      <c r="J1651" s="80">
        <v>1132.0</v>
      </c>
      <c r="K1651" s="80">
        <v>0.805120910384068</v>
      </c>
      <c r="L1651" s="80" t="s">
        <v>64</v>
      </c>
    </row>
    <row r="1652">
      <c r="A1652" s="80" t="s">
        <v>278</v>
      </c>
      <c r="B1652" s="81" t="str">
        <f t="shared" si="68"/>
        <v>mingjai14</v>
      </c>
      <c r="C1652" s="80" t="s">
        <v>1913</v>
      </c>
      <c r="D1652" s="81" t="str">
        <f>HYPERLINK("https://youtube.com/watch?v=aPeTJGTtSM8", "決戰馬丘比丘｜非南非旅｜Ep 3")</f>
        <v>決戰馬丘比丘｜非南非旅｜Ep 3</v>
      </c>
      <c r="E1652" s="82">
        <v>42536.0</v>
      </c>
      <c r="F1652" s="80">
        <v>670.0</v>
      </c>
      <c r="G1652" s="80" t="s">
        <v>63</v>
      </c>
      <c r="H1652" s="80" t="s">
        <v>63</v>
      </c>
      <c r="I1652" s="80" t="s">
        <v>63</v>
      </c>
      <c r="J1652" s="80">
        <v>1402.0</v>
      </c>
      <c r="K1652" s="80">
        <v>0.964900206469373</v>
      </c>
      <c r="L1652" s="80" t="s">
        <v>86</v>
      </c>
    </row>
    <row r="1653">
      <c r="A1653" s="80" t="s">
        <v>61</v>
      </c>
      <c r="B1653" s="81" t="str">
        <f>HYPERLINK("https://www.youtube.com/channel/UCJ4XVrJuqKHbc9yF9oUFseg", "MEeeep More")</f>
        <v>MEeeep More</v>
      </c>
      <c r="C1653" s="80" t="s">
        <v>1914</v>
      </c>
      <c r="D1653" s="81" t="str">
        <f>HYPERLINK("https://youtube.com/watch?v=aQ6oYQ89wfQ", "Samsung Galaxy S20 Ultra vs S20+ 開箱比較！貴 2000 蚊值得嗎？原來 S20+ 有好過 S20 Ultra 嘅地方？")</f>
        <v>Samsung Galaxy S20 Ultra vs S20+ 開箱比較！貴 2000 蚊值得嗎？原來 S20+ 有好過 S20 Ultra 嘅地方？</v>
      </c>
      <c r="E1653" s="82">
        <v>43972.0</v>
      </c>
      <c r="F1653" s="80">
        <v>300.0</v>
      </c>
      <c r="G1653" s="80" t="s">
        <v>63</v>
      </c>
      <c r="I1653" s="80" t="s">
        <v>63</v>
      </c>
      <c r="J1653" s="80">
        <v>765.0</v>
      </c>
      <c r="K1653" s="80">
        <v>0.724431818181818</v>
      </c>
      <c r="L1653" s="80" t="s">
        <v>64</v>
      </c>
    </row>
    <row r="1654">
      <c r="A1654" s="80" t="s">
        <v>74</v>
      </c>
      <c r="B1654" s="81" t="str">
        <f>HYPERLINK("https://www.youtube.com/channel/UCO_5XP-qd-udNxBlzzSzgvw", "Handline Fishing")</f>
        <v>Handline Fishing</v>
      </c>
      <c r="C1654" s="80" t="s">
        <v>1915</v>
      </c>
      <c r="D1654" s="81" t="str">
        <f>HYPERLINK("https://youtube.com/watch?v=aQ_Lp_MhE34", "#245 同大師玩下牙骹戰，誰能勝出? | 香港釣魚 | 艇釣 | 櫃底 {粵語旁白+中英文字幕}")</f>
        <v>#245 同大師玩下牙骹戰，誰能勝出? | 香港釣魚 | 艇釣 | 櫃底 {粵語旁白+中英文字幕}</v>
      </c>
      <c r="E1654" s="82">
        <v>44481.0</v>
      </c>
      <c r="F1654" s="80">
        <v>526.0</v>
      </c>
      <c r="G1654" s="80" t="s">
        <v>63</v>
      </c>
      <c r="H1654" s="80" t="s">
        <v>63</v>
      </c>
      <c r="I1654" s="80" t="s">
        <v>63</v>
      </c>
      <c r="J1654" s="80">
        <v>430.0</v>
      </c>
      <c r="K1654" s="80">
        <v>0.94298245614035</v>
      </c>
      <c r="L1654" s="80" t="s">
        <v>88</v>
      </c>
    </row>
    <row r="1655">
      <c r="A1655" s="80" t="s">
        <v>61</v>
      </c>
      <c r="B1655" s="81" t="str">
        <f t="shared" ref="B1655:B1656" si="69">HYPERLINK("https://www.youtube.com/channel/UCJ4XVrJuqKHbc9yF9oUFseg", "MEeeep More")</f>
        <v>MEeeep More</v>
      </c>
      <c r="C1655" s="80" t="s">
        <v>1916</v>
      </c>
      <c r="D1655" s="81" t="str">
        <f>HYPERLINK("https://youtube.com/watch?v=aT8GpTf9Tz8", "青紅蘿蔔豬骨湯 抗疫潤肺止咳 簡單老火湯DIY！ 青紅蘿蔔湯 抗疫湯")</f>
        <v>青紅蘿蔔豬骨湯 抗疫潤肺止咳 簡單老火湯DIY！ 青紅蘿蔔湯 抗疫湯</v>
      </c>
      <c r="E1655" s="82">
        <v>43912.0</v>
      </c>
      <c r="F1655" s="80">
        <v>168.0</v>
      </c>
      <c r="G1655" s="80" t="s">
        <v>63</v>
      </c>
      <c r="I1655" s="80" t="s">
        <v>63</v>
      </c>
      <c r="J1655" s="80">
        <v>290.0</v>
      </c>
      <c r="K1655" s="80">
        <v>0.843023255813953</v>
      </c>
      <c r="L1655" s="80" t="s">
        <v>64</v>
      </c>
    </row>
    <row r="1656">
      <c r="A1656" s="80" t="s">
        <v>61</v>
      </c>
      <c r="B1656" s="81" t="str">
        <f t="shared" si="69"/>
        <v>MEeeep More</v>
      </c>
      <c r="C1656" s="80" t="s">
        <v>1917</v>
      </c>
      <c r="D1656" s="81" t="str">
        <f>HYPERLINK("https://youtube.com/watch?v=aaEHESBz6qo", "Mi 10T Pro發佈會直擊 魔法分身有幾易玩？ 長曝光一樣掂！5G測速又得唔得？")</f>
        <v>Mi 10T Pro發佈會直擊 魔法分身有幾易玩？ 長曝光一樣掂！5G測速又得唔得？</v>
      </c>
      <c r="E1656" s="82">
        <v>44138.0</v>
      </c>
      <c r="F1656" s="80">
        <v>177.0</v>
      </c>
      <c r="G1656" s="80" t="s">
        <v>63</v>
      </c>
      <c r="I1656" s="80" t="s">
        <v>63</v>
      </c>
      <c r="J1656" s="80">
        <v>447.0</v>
      </c>
      <c r="K1656" s="80">
        <v>0.792553191489361</v>
      </c>
      <c r="L1656" s="80" t="s">
        <v>64</v>
      </c>
    </row>
    <row r="1657">
      <c r="A1657" s="80" t="s">
        <v>957</v>
      </c>
      <c r="B1657" s="81" t="str">
        <f>HYPERLINK("https://www.youtube.com/channel/UCNdV5VO81YBe5rfhOz1wRmA", "Con爆TV")</f>
        <v>Con爆TV</v>
      </c>
      <c r="C1657" s="80" t="s">
        <v>1918</v>
      </c>
      <c r="D1657" s="81" t="str">
        <f>HYPERLINK("https://youtube.com/watch?v=afHQ8ZCjlzk", "【PAD/Puzzle &amp; Dragons パズドラ】送你史上最豪情人節活動!! 送10石一抽龍喚士抽蛋、殺手潛覺蛋龍放題!! 16.3改版內容速報")</f>
        <v>【PAD/Puzzle &amp; Dragons パズドラ】送你史上最豪情人節活動!! 送10石一抽龍喚士抽蛋、殺手潛覺蛋龍放題!! 16.3改版內容速報</v>
      </c>
      <c r="E1657" s="82">
        <v>43509.0</v>
      </c>
      <c r="F1657" s="80">
        <v>147.0</v>
      </c>
      <c r="G1657" s="80" t="s">
        <v>63</v>
      </c>
      <c r="I1657" s="80" t="s">
        <v>63</v>
      </c>
      <c r="J1657" s="80">
        <v>577.0</v>
      </c>
      <c r="K1657" s="80">
        <v>0.936688311688311</v>
      </c>
      <c r="L1657" s="80" t="s">
        <v>64</v>
      </c>
    </row>
    <row r="1658">
      <c r="A1658" s="80" t="s">
        <v>1373</v>
      </c>
      <c r="B1658" s="81" t="str">
        <f>HYPERLINK("https://www.youtube.com/channel/UCNsL7xLGZvocrljHcCJ71VA", "漏墨佬")</f>
        <v>漏墨佬</v>
      </c>
      <c r="C1658" s="80" t="s">
        <v>1919</v>
      </c>
      <c r="D1658" s="81" t="str">
        <f>HYPERLINK("https://youtube.com/watch?v=afUVN8Egd1Q", "【開箱片】山區廢中得到電競半full gear贊助")</f>
        <v>【開箱片】山區廢中得到電競半full gear贊助</v>
      </c>
      <c r="E1658" s="82">
        <v>42821.0</v>
      </c>
      <c r="F1658" s="80">
        <v>235.0</v>
      </c>
      <c r="G1658" s="80" t="s">
        <v>63</v>
      </c>
      <c r="H1658" s="80" t="s">
        <v>63</v>
      </c>
      <c r="I1658" s="80" t="s">
        <v>63</v>
      </c>
      <c r="J1658" s="80">
        <v>753.0</v>
      </c>
      <c r="K1658" s="80">
        <v>0.998442367601246</v>
      </c>
      <c r="L1658" s="80" t="s">
        <v>86</v>
      </c>
    </row>
    <row r="1659">
      <c r="A1659" s="80" t="s">
        <v>278</v>
      </c>
      <c r="B1659" s="81" t="str">
        <f>HYPERLINK("https://www.youtube.com/channel/UCDoEdJo-PI-EKGNKomwLroQ", "mingjai14")</f>
        <v>mingjai14</v>
      </c>
      <c r="C1659" s="80" t="s">
        <v>1920</v>
      </c>
      <c r="D1659" s="81" t="str">
        <f>HYPERLINK("https://youtube.com/watch?v=afx2j9-D5z0", "出發瑞士🇨🇭、飛機酒店意外被upgrade✈️🏨｜歐遊列國3｜Day1 (全高清)")</f>
        <v>出發瑞士🇨🇭、飛機酒店意外被upgrade✈️🏨｜歐遊列國3｜Day1 (全高清)</v>
      </c>
      <c r="E1659" s="82">
        <v>43059.0</v>
      </c>
      <c r="F1659" s="80">
        <v>555.0</v>
      </c>
      <c r="G1659" s="80" t="s">
        <v>63</v>
      </c>
      <c r="H1659" s="80" t="s">
        <v>63</v>
      </c>
      <c r="I1659" s="80" t="s">
        <v>63</v>
      </c>
      <c r="J1659" s="80">
        <v>1558.0</v>
      </c>
      <c r="K1659" s="80">
        <v>0.954656862745098</v>
      </c>
      <c r="L1659" s="80" t="s">
        <v>86</v>
      </c>
    </row>
    <row r="1660">
      <c r="A1660" s="80" t="s">
        <v>1000</v>
      </c>
      <c r="B1660" s="81" t="str">
        <f>HYPERLINK("https://www.youtube.com/channel/UChJQlg1b_cOttPX3SiIh5gA", "Lau Dinha in Hong Kong - Hong Kong in the World")</f>
        <v>Lau Dinha in Hong Kong - Hong Kong in the World</v>
      </c>
      <c r="C1660" s="80" t="s">
        <v>1921</v>
      </c>
      <c r="D1660" s="81" t="str">
        <f>HYPERLINK("https://youtube.com/watch?v=ag63tVO25SQ", "【批鬥】香港啲後生仔滿口懶音，真的一代不如一代了！")</f>
        <v>【批鬥】香港啲後生仔滿口懶音，真的一代不如一代了！</v>
      </c>
      <c r="E1660" s="82">
        <v>44063.0</v>
      </c>
      <c r="F1660" s="80">
        <v>415.0</v>
      </c>
      <c r="G1660" s="80" t="s">
        <v>63</v>
      </c>
      <c r="H1660" s="80" t="s">
        <v>63</v>
      </c>
      <c r="I1660" s="80" t="s">
        <v>63</v>
      </c>
      <c r="J1660" s="80">
        <v>1501.0</v>
      </c>
      <c r="K1660" s="80">
        <v>0.954834605597964</v>
      </c>
      <c r="L1660" s="80" t="s">
        <v>434</v>
      </c>
    </row>
    <row r="1661">
      <c r="A1661" s="80" t="s">
        <v>1016</v>
      </c>
      <c r="B1661" s="81" t="str">
        <f>HYPERLINK("https://www.youtube.com/channel/UCSbiR1l-cfzk44iTJVSAZVQ", "Rhapsody in Lingo")</f>
        <v>Rhapsody in Lingo</v>
      </c>
      <c r="C1661" s="80" t="s">
        <v>1922</v>
      </c>
      <c r="D1661" s="81" t="str">
        <f>HYPERLINK("https://youtube.com/watch?v=aiXaBZlzq5Y", "I'm learning to write with my non-dominant hand 👈🏻 [EN subs/粵字] Learning Hebrew half-year update")</f>
        <v>I'm learning to write with my non-dominant hand 👈🏻 [EN subs/粵字] Learning Hebrew half-year update</v>
      </c>
      <c r="E1661" s="82">
        <v>44305.0</v>
      </c>
      <c r="F1661" s="80">
        <v>387.0</v>
      </c>
      <c r="G1661" s="80" t="s">
        <v>63</v>
      </c>
      <c r="I1661" s="80" t="s">
        <v>63</v>
      </c>
      <c r="J1661" s="80">
        <v>653.0</v>
      </c>
      <c r="K1661" s="80">
        <v>0.945007235890014</v>
      </c>
      <c r="L1661" s="80" t="s">
        <v>757</v>
      </c>
    </row>
    <row r="1662">
      <c r="A1662" s="80" t="s">
        <v>71</v>
      </c>
      <c r="B1662" s="81" t="str">
        <f>HYPERLINK("https://www.youtube.com/channel/UCXTE-gQCetfrx_lC9yFM2aw", "arhoTV")</f>
        <v>arhoTV</v>
      </c>
      <c r="C1662" s="80" t="s">
        <v>1923</v>
      </c>
      <c r="D1662" s="81" t="str">
        <f>HYPERLINK("https://youtube.com/watch?v=ajE-VOuwHfc", "【飲食】18禁！中國危險食品會否爆炸？！")</f>
        <v>【飲食】18禁！中國危險食品會否爆炸？！</v>
      </c>
      <c r="E1662" s="82">
        <v>43027.0</v>
      </c>
      <c r="F1662" s="80">
        <v>169.0</v>
      </c>
      <c r="G1662" s="80" t="s">
        <v>63</v>
      </c>
      <c r="I1662" s="80" t="s">
        <v>63</v>
      </c>
      <c r="J1662" s="80">
        <v>796.0</v>
      </c>
      <c r="K1662" s="80">
        <v>0.875687568756875</v>
      </c>
      <c r="L1662" s="80" t="s">
        <v>64</v>
      </c>
    </row>
    <row r="1663">
      <c r="A1663" s="80" t="s">
        <v>74</v>
      </c>
      <c r="B1663" s="81" t="str">
        <f>HYPERLINK("https://www.youtube.com/channel/UCO_5XP-qd-udNxBlzzSzgvw", "Handline Fishing")</f>
        <v>Handline Fishing</v>
      </c>
      <c r="C1663" s="80" t="s">
        <v>1924</v>
      </c>
      <c r="D1663" s="81" t="str">
        <f>HYPERLINK("https://youtube.com/watch?v=ar9gHzMJDKU", "#213 東水宋崗之旅，我沒有打龜 | 『香港釣魚 : 艇釣』宋崗 {粵語旁白+中英文字幕}")</f>
        <v>#213 東水宋崗之旅，我沒有打龜 | 『香港釣魚 : 艇釣』宋崗 {粵語旁白+中英文字幕}</v>
      </c>
      <c r="E1663" s="82">
        <v>44337.0</v>
      </c>
      <c r="F1663" s="80">
        <v>486.0</v>
      </c>
      <c r="G1663" s="80" t="s">
        <v>63</v>
      </c>
      <c r="H1663" s="80" t="s">
        <v>63</v>
      </c>
      <c r="I1663" s="80" t="s">
        <v>63</v>
      </c>
      <c r="J1663" s="80">
        <v>577.0</v>
      </c>
      <c r="K1663" s="80">
        <v>0.971380471380471</v>
      </c>
      <c r="L1663" s="80" t="s">
        <v>88</v>
      </c>
    </row>
    <row r="1664">
      <c r="A1664" s="80" t="s">
        <v>61</v>
      </c>
      <c r="B1664" s="81" t="str">
        <f>HYPERLINK("https://www.youtube.com/channel/UCJ4XVrJuqKHbc9yF9oUFseg", "MEeeep More")</f>
        <v>MEeeep More</v>
      </c>
      <c r="C1664" s="80" t="s">
        <v>1925</v>
      </c>
      <c r="D1664" s="81" t="str">
        <f>HYPERLINK("https://youtube.com/watch?v=auhuePQk6AE", "月餅食譜 月餅做法 材料 | 中秋傳統月餅 Step by Step 簡單易做零失敗！2020親子廚房親子活動 在家造月餅 mooncake recipe homemade 廣式月餅 广式月饼")</f>
        <v>月餅食譜 月餅做法 材料 | 中秋傳統月餅 Step by Step 簡單易做零失敗！2020親子廚房親子活動 在家造月餅 mooncake recipe homemade 廣式月餅 广式月饼</v>
      </c>
      <c r="E1664" s="82">
        <v>44095.0</v>
      </c>
      <c r="F1664" s="80">
        <v>390.0</v>
      </c>
      <c r="G1664" s="80" t="s">
        <v>63</v>
      </c>
      <c r="I1664" s="80" t="s">
        <v>63</v>
      </c>
      <c r="J1664" s="80">
        <v>983.0</v>
      </c>
      <c r="K1664" s="80">
        <v>0.932637571157495</v>
      </c>
      <c r="L1664" s="80" t="s">
        <v>64</v>
      </c>
    </row>
    <row r="1665">
      <c r="A1665" s="80" t="s">
        <v>74</v>
      </c>
      <c r="B1665" s="81" t="str">
        <f>HYPERLINK("https://www.youtube.com/channel/UCO_5XP-qd-udNxBlzzSzgvw", "Handline Fishing")</f>
        <v>Handline Fishing</v>
      </c>
      <c r="C1665" s="80" t="s">
        <v>1926</v>
      </c>
      <c r="D1665" s="81" t="str">
        <f>HYPERLINK("https://youtube.com/watch?v=aw_P8c9V0aM", "#150 臨尾竟然甩口...激死我 | 『香港釣魚 : 艇釣』南丫島 {粵語旁白+中英文字幕}")</f>
        <v>#150 臨尾竟然甩口...激死我 | 『香港釣魚 : 艇釣』南丫島 {粵語旁白+中英文字幕}</v>
      </c>
      <c r="E1665" s="82">
        <v>44096.0</v>
      </c>
      <c r="F1665" s="80">
        <v>620.0</v>
      </c>
      <c r="G1665" s="80" t="s">
        <v>63</v>
      </c>
      <c r="I1665" s="80" t="s">
        <v>63</v>
      </c>
      <c r="J1665" s="80">
        <v>580.0</v>
      </c>
      <c r="K1665" s="80">
        <v>0.968280467445742</v>
      </c>
      <c r="L1665" s="80" t="s">
        <v>1105</v>
      </c>
    </row>
    <row r="1666">
      <c r="A1666" s="80" t="s">
        <v>69</v>
      </c>
      <c r="B1666" s="81" t="str">
        <f>HYPERLINK("https://www.youtube.com/channel/UCoVycxbCXEsd-mrP83EqVWQ", "馬米高 Michael MMG")</f>
        <v>馬米高 Michael MMG</v>
      </c>
      <c r="C1666" s="80" t="s">
        <v>1927</v>
      </c>
      <c r="D1666" s="81" t="str">
        <f>HYPERLINK("https://youtube.com/watch?v=axGzUsxA6vs", "【英文寫真】疫下簽書會Vlog | 場面冷清？閃咭流出？")</f>
        <v>【英文寫真】疫下簽書會Vlog | 場面冷清？閃咭流出？</v>
      </c>
      <c r="E1666" s="82">
        <v>44045.0</v>
      </c>
      <c r="F1666" s="80">
        <v>297.0</v>
      </c>
      <c r="G1666" s="80" t="s">
        <v>63</v>
      </c>
      <c r="I1666" s="80" t="s">
        <v>63</v>
      </c>
      <c r="J1666" s="80">
        <v>67.0</v>
      </c>
      <c r="K1666" s="80">
        <v>0.82716049382716</v>
      </c>
      <c r="L1666" s="80" t="s">
        <v>64</v>
      </c>
    </row>
    <row r="1667">
      <c r="A1667" s="80" t="s">
        <v>112</v>
      </c>
      <c r="B1667" s="81" t="str">
        <f>HYPERLINK("https://www.youtube.com/channel/UCW_n_gfIv4HhRqCk8EnRhJA", "Happy Kongner")</f>
        <v>Happy Kongner</v>
      </c>
      <c r="C1667" s="80" t="s">
        <v>1928</v>
      </c>
      <c r="D1667" s="81" t="str">
        <f>HYPERLINK("https://youtube.com/watch?v=b-7GgdTak9E", "又帶大家睇大大碌魔劍—《機動戰士高達 鐵血的孤兒》簡評（復刻版）[公仔書與卡通片ep1 RETRO]")</f>
        <v>又帶大家睇大大碌魔劍—《機動戰士高達 鐵血的孤兒》簡評（復刻版）[公仔書與卡通片ep1 RETRO]</v>
      </c>
      <c r="E1667" s="82">
        <v>43767.0</v>
      </c>
      <c r="F1667" s="80">
        <v>750.0</v>
      </c>
      <c r="G1667" s="80" t="s">
        <v>63</v>
      </c>
      <c r="I1667" s="80" t="s">
        <v>63</v>
      </c>
      <c r="J1667" s="80">
        <v>3681.0</v>
      </c>
      <c r="K1667" s="80">
        <v>0.92394578313253</v>
      </c>
      <c r="L1667" s="80" t="s">
        <v>64</v>
      </c>
    </row>
    <row r="1668">
      <c r="A1668" s="80" t="s">
        <v>217</v>
      </c>
      <c r="B1668" s="81" t="str">
        <f>HYPERLINK("https://www.youtube.com/channel/UCXKg0qPRz32bs5Z4mTGF3TQ", "Stormtrooper白兵")</f>
        <v>Stormtrooper白兵</v>
      </c>
      <c r="C1668" s="80" t="s">
        <v>1929</v>
      </c>
      <c r="D1668" s="81" t="str">
        <f>HYPERLINK("https://youtube.com/watch?v=b-jAuW7pdHY", "[懶人包]新疆棉背後隱藏什麼不可告人的秘密？｜品牌大亂鬥背後又關特朗普事？｜人權 VS 貿易，只是笑話！｜粵語中字")</f>
        <v>[懶人包]新疆棉背後隱藏什麼不可告人的秘密？｜品牌大亂鬥背後又關特朗普事？｜人權 VS 貿易，只是笑話！｜粵語中字</v>
      </c>
      <c r="E1668" s="82">
        <v>44287.0</v>
      </c>
      <c r="F1668" s="80">
        <v>1011.0</v>
      </c>
      <c r="G1668" s="80" t="s">
        <v>63</v>
      </c>
      <c r="H1668" s="80" t="s">
        <v>63</v>
      </c>
      <c r="I1668" s="80" t="s">
        <v>63</v>
      </c>
      <c r="J1668" s="80">
        <v>3612.0</v>
      </c>
      <c r="K1668" s="80">
        <v>0.894723804805548</v>
      </c>
      <c r="L1668" s="80" t="s">
        <v>86</v>
      </c>
    </row>
    <row r="1669">
      <c r="A1669" s="80" t="s">
        <v>1039</v>
      </c>
      <c r="B1669" s="81" t="str">
        <f>HYPERLINK("https://www.youtube.com/channel/UCiKEIxbv4RTzyLCKG17N-AA", "Hunting Archer")</f>
        <v>Hunting Archer</v>
      </c>
      <c r="C1669" s="80" t="s">
        <v>1930</v>
      </c>
      <c r="D1669" s="81" t="str">
        <f>HYPERLINK("https://youtube.com/watch?v=b5-5tyRda0Q", "【广州漫步】 春日的早上乘坐双层观光巴士游览中山路观看远途风光 【Walk in GuangZhou】（粤语中字）")</f>
        <v>【广州漫步】 春日的早上乘坐双层观光巴士游览中山路观看远途风光 【Walk in GuangZhou】（粤语中字）</v>
      </c>
      <c r="E1669" s="82">
        <v>44296.0</v>
      </c>
      <c r="F1669" s="80">
        <v>2533.0</v>
      </c>
      <c r="G1669" s="80" t="s">
        <v>63</v>
      </c>
      <c r="I1669" s="80" t="s">
        <v>63</v>
      </c>
      <c r="J1669" s="80">
        <v>7432.0</v>
      </c>
      <c r="K1669" s="80">
        <v>0.996113121565473</v>
      </c>
      <c r="L1669" s="80" t="s">
        <v>1308</v>
      </c>
    </row>
    <row r="1670">
      <c r="A1670" s="80" t="s">
        <v>1128</v>
      </c>
      <c r="B1670" s="81" t="str">
        <f>HYPERLINK("https://www.youtube.com/channel/UCe8jZzHeq8gGiqk5bESfpIw", "前線科技人員")</f>
        <v>前線科技人員</v>
      </c>
      <c r="C1670" s="80" t="s">
        <v>1931</v>
      </c>
      <c r="D1670" s="81" t="str">
        <f>HYPERLINK("https://youtube.com/watch?v=b7NOXSiXBUk", "選委會宣傳2 點解要投足三十票")</f>
        <v>選委會宣傳2 點解要投足三十票</v>
      </c>
      <c r="E1670" s="82">
        <v>42704.0</v>
      </c>
      <c r="F1670" s="80">
        <v>112.0</v>
      </c>
      <c r="G1670" s="80" t="s">
        <v>63</v>
      </c>
      <c r="I1670" s="80" t="s">
        <v>63</v>
      </c>
      <c r="J1670" s="80">
        <v>390.0</v>
      </c>
      <c r="K1670" s="80">
        <v>0.997442455242966</v>
      </c>
      <c r="L1670" s="80" t="s">
        <v>64</v>
      </c>
    </row>
    <row r="1671">
      <c r="A1671" s="80" t="s">
        <v>957</v>
      </c>
      <c r="B1671" s="81" t="str">
        <f>HYPERLINK("https://www.youtube.com/channel/UCNdV5VO81YBe5rfhOz1wRmA", "Con爆TV")</f>
        <v>Con爆TV</v>
      </c>
      <c r="C1671" s="80" t="s">
        <v>1932</v>
      </c>
      <c r="D1671" s="81" t="str">
        <f>HYPERLINK("https://youtube.com/watch?v=bA-nUw23Jeo", "【PAD】街霸合作角色總評：實戰組隊建議、印花選擇、角色武裝取捨")</f>
        <v>【PAD】街霸合作角色總評：實戰組隊建議、印花選擇、角色武裝取捨</v>
      </c>
      <c r="E1671" s="82">
        <v>43523.0</v>
      </c>
      <c r="F1671" s="80">
        <v>727.0</v>
      </c>
      <c r="G1671" s="80" t="s">
        <v>63</v>
      </c>
      <c r="H1671" s="80" t="s">
        <v>63</v>
      </c>
      <c r="I1671" s="80" t="s">
        <v>63</v>
      </c>
      <c r="J1671" s="80">
        <v>2229.0</v>
      </c>
      <c r="K1671" s="80">
        <v>0.959363957597173</v>
      </c>
      <c r="L1671" s="80" t="s">
        <v>66</v>
      </c>
    </row>
    <row r="1672">
      <c r="A1672" s="80" t="s">
        <v>61</v>
      </c>
      <c r="B1672" s="81" t="str">
        <f t="shared" ref="B1672:B1673" si="70">HYPERLINK("https://www.youtube.com/channel/UCJ4XVrJuqKHbc9yF9oUFseg", "MEeeep More")</f>
        <v>MEeeep More</v>
      </c>
      <c r="C1672" s="80" t="s">
        <v>1933</v>
      </c>
      <c r="D1672" s="81" t="str">
        <f>HYPERLINK("https://youtube.com/watch?v=bGiwXBCODZY", "HUAWEI P40 Pro 香港開箱實測！率先試高德地圖導航 + HUAWEI AppGallery 用唔用得慣？")</f>
        <v>HUAWEI P40 Pro 香港開箱實測！率先試高德地圖導航 + HUAWEI AppGallery 用唔用得慣？</v>
      </c>
      <c r="E1672" s="82">
        <v>43958.0</v>
      </c>
      <c r="F1672" s="80">
        <v>254.0</v>
      </c>
      <c r="G1672" s="80" t="s">
        <v>63</v>
      </c>
      <c r="I1672" s="80" t="s">
        <v>63</v>
      </c>
      <c r="J1672" s="80">
        <v>720.0</v>
      </c>
      <c r="K1672" s="80">
        <v>0.74074074074074</v>
      </c>
      <c r="L1672" s="80" t="s">
        <v>64</v>
      </c>
    </row>
    <row r="1673">
      <c r="A1673" s="80" t="s">
        <v>61</v>
      </c>
      <c r="B1673" s="81" t="str">
        <f t="shared" si="70"/>
        <v>MEeeep More</v>
      </c>
      <c r="C1673" s="80" t="s">
        <v>1934</v>
      </c>
      <c r="D1673" s="81" t="str">
        <f>HYPERLINK("https://youtube.com/watch?v=bKz59DhRRsY", "4G 21mbps 真無限月費大戰 一觸即發！$138全包有乜要留意？ClubSIM MO+ Smartone 點揀好？2021 ｜ csl 1010 3HK 3香港 FUP MNP 香港5G")</f>
        <v>4G 21mbps 真無限月費大戰 一觸即發！$138全包有乜要留意？ClubSIM MO+ Smartone 點揀好？2021 ｜ csl 1010 3HK 3香港 FUP MNP 香港5G</v>
      </c>
      <c r="E1673" s="82">
        <v>44283.0</v>
      </c>
      <c r="F1673" s="80">
        <v>136.0</v>
      </c>
      <c r="G1673" s="80" t="s">
        <v>63</v>
      </c>
      <c r="I1673" s="80" t="s">
        <v>63</v>
      </c>
      <c r="J1673" s="80">
        <v>374.0</v>
      </c>
      <c r="K1673" s="80">
        <v>0.686238532110091</v>
      </c>
      <c r="L1673" s="80" t="s">
        <v>64</v>
      </c>
    </row>
    <row r="1674">
      <c r="A1674" s="80" t="s">
        <v>219</v>
      </c>
      <c r="B1674" s="81" t="str">
        <f>HYPERLINK("https://www.youtube.com/channel/UC9_PnptBIpNF0JXbJjd8TsQ", "Brown's Channel")</f>
        <v>Brown's Channel</v>
      </c>
      <c r="C1674" s="80" t="s">
        <v>1935</v>
      </c>
      <c r="D1674" s="81" t="str">
        <f>HYPERLINK("https://youtube.com/watch?v=bNMEERb1CpY", "【一隻熊仔去旅行@首爾】#3 清溪川博物館－－由暗渠變景點嘅經過")</f>
        <v>【一隻熊仔去旅行@首爾】#3 清溪川博物館－－由暗渠變景點嘅經過</v>
      </c>
      <c r="E1674" s="82">
        <v>43869.0</v>
      </c>
      <c r="F1674" s="80">
        <v>252.0</v>
      </c>
      <c r="G1674" s="80" t="s">
        <v>63</v>
      </c>
      <c r="I1674" s="80" t="s">
        <v>63</v>
      </c>
      <c r="J1674" s="80">
        <v>939.0</v>
      </c>
      <c r="K1674" s="80">
        <v>0.961105424769703</v>
      </c>
      <c r="L1674" s="80" t="s">
        <v>64</v>
      </c>
    </row>
    <row r="1675">
      <c r="A1675" s="80" t="s">
        <v>61</v>
      </c>
      <c r="B1675" s="81" t="str">
        <f>HYPERLINK("https://www.youtube.com/channel/UCJ4XVrJuqKHbc9yF9oUFseg", "MEeeep More")</f>
        <v>MEeeep More</v>
      </c>
      <c r="C1675" s="80" t="s">
        <v>1936</v>
      </c>
      <c r="D1675" s="81" t="str">
        <f>HYPERLINK("https://youtube.com/watch?v=bOde62WegyU", "【2021新機】Redmi 9T | 6000mAh電池 + 4鏡頭 | 4G 雙卡雙待 | 小米Redmi 9T Xiaomi redmi9t 小米9T 紅米9T")</f>
        <v>【2021新機】Redmi 9T | 6000mAh電池 + 4鏡頭 | 4G 雙卡雙待 | 小米Redmi 9T Xiaomi redmi9t 小米9T 紅米9T</v>
      </c>
      <c r="E1675" s="82">
        <v>44214.0</v>
      </c>
      <c r="F1675" s="80">
        <v>177.0</v>
      </c>
      <c r="G1675" s="80" t="s">
        <v>63</v>
      </c>
      <c r="I1675" s="80" t="s">
        <v>63</v>
      </c>
      <c r="J1675" s="80">
        <v>461.0</v>
      </c>
      <c r="K1675" s="80">
        <v>0.735247208931419</v>
      </c>
      <c r="L1675" s="80" t="s">
        <v>64</v>
      </c>
    </row>
    <row r="1676">
      <c r="A1676" s="80" t="s">
        <v>1183</v>
      </c>
      <c r="B1676" s="81" t="str">
        <f>HYPERLINK("https://www.youtube.com/channel/UCPBBbFYG51QpjuptQtYfCDA", "siuwaiboy")</f>
        <v>siuwaiboy</v>
      </c>
      <c r="C1676" s="80" t="s">
        <v>1937</v>
      </c>
      <c r="D1676" s="81" t="str">
        <f>HYPERLINK("https://youtube.com/watch?v=bP_0_NuwWtE", "超長空氣卷 Very long air roll")</f>
        <v>超長空氣卷 Very long air roll</v>
      </c>
      <c r="E1676" s="82">
        <v>43175.0</v>
      </c>
      <c r="F1676" s="80">
        <v>137.0</v>
      </c>
      <c r="G1676" s="80" t="s">
        <v>63</v>
      </c>
      <c r="I1676" s="80" t="s">
        <v>63</v>
      </c>
      <c r="J1676" s="80">
        <v>236.0</v>
      </c>
      <c r="K1676" s="80">
        <v>0.991596638655462</v>
      </c>
      <c r="L1676" s="80" t="s">
        <v>64</v>
      </c>
    </row>
    <row r="1677">
      <c r="A1677" s="80" t="s">
        <v>96</v>
      </c>
      <c r="B1677" s="81" t="str">
        <f>HYPERLINK("https://www.youtube.com/channel/UCGtyHJ-L_4RDIHe3XaLofQQ", "Anson Cheung")</f>
        <v>Anson Cheung</v>
      </c>
      <c r="C1677" s="80" t="s">
        <v>1938</v>
      </c>
      <c r="D1677" s="81" t="str">
        <f>HYPERLINK("https://youtube.com/watch?v=bUVhO3m7OeE", "我問你！你對唔對得住你新買嘅電話？｜WiFi 6 技術講解｜HKT Smart Living 特約贊助")</f>
        <v>我問你！你對唔對得住你新買嘅電話？｜WiFi 6 技術講解｜HKT Smart Living 特約贊助</v>
      </c>
      <c r="E1677" s="82">
        <v>44306.0</v>
      </c>
      <c r="F1677" s="80">
        <v>583.0</v>
      </c>
      <c r="G1677" s="80" t="s">
        <v>63</v>
      </c>
      <c r="I1677" s="80" t="s">
        <v>63</v>
      </c>
      <c r="J1677" s="80">
        <v>1954.0</v>
      </c>
      <c r="K1677" s="80">
        <v>0.690703428773418</v>
      </c>
      <c r="L1677" s="80" t="s">
        <v>64</v>
      </c>
    </row>
    <row r="1678">
      <c r="A1678" s="80" t="s">
        <v>957</v>
      </c>
      <c r="B1678" s="81" t="str">
        <f>HYPERLINK("https://www.youtube.com/channel/UCNdV5VO81YBe5rfhOz1wRmA", "Con爆TV")</f>
        <v>Con爆TV</v>
      </c>
      <c r="C1678" s="80" t="s">
        <v>1939</v>
      </c>
      <c r="D1678" s="81" t="str">
        <f>HYPERLINK("https://youtube.com/watch?v=bZ1DCNji9x8", "【PAD速報】今期流行獄蛇龍+組隊升技指南、風間雷太欲言又止搞邊料、山本考慮下機戰合作？東京第一炸豬扒--而家唔食以後無機會再食~")</f>
        <v>【PAD速報】今期流行獄蛇龍+組隊升技指南、風間雷太欲言又止搞邊料、山本考慮下機戰合作？東京第一炸豬扒--而家唔食以後無機會再食~</v>
      </c>
      <c r="E1678" s="82">
        <v>43513.0</v>
      </c>
      <c r="F1678" s="80">
        <v>270.0</v>
      </c>
      <c r="G1678" s="80" t="s">
        <v>63</v>
      </c>
      <c r="H1678" s="80" t="s">
        <v>63</v>
      </c>
      <c r="I1678" s="80" t="s">
        <v>63</v>
      </c>
      <c r="J1678" s="80">
        <v>1255.0</v>
      </c>
      <c r="K1678" s="80">
        <v>0.944530046224961</v>
      </c>
      <c r="L1678" s="80" t="s">
        <v>66</v>
      </c>
    </row>
    <row r="1679">
      <c r="A1679" s="80" t="s">
        <v>61</v>
      </c>
      <c r="B1679" s="81" t="str">
        <f>HYPERLINK("https://www.youtube.com/channel/UCJ4XVrJuqKHbc9yF9oUFseg", "MEeeep More")</f>
        <v>MEeeep More</v>
      </c>
      <c r="C1679" s="80" t="s">
        <v>1940</v>
      </c>
      <c r="D1679" s="81" t="str">
        <f>HYPERLINK("https://youtube.com/watch?v=bdR437agWxw", "小熊維尼 Winnie the Pooh 限定咖啡店 東京直擊 - 食玩飛常遊")</f>
        <v>小熊維尼 Winnie the Pooh 限定咖啡店 東京直擊 - 食玩飛常遊</v>
      </c>
      <c r="E1679" s="82">
        <v>43431.0</v>
      </c>
      <c r="F1679" s="80">
        <v>120.0</v>
      </c>
      <c r="G1679" s="80" t="s">
        <v>63</v>
      </c>
      <c r="I1679" s="80" t="s">
        <v>63</v>
      </c>
      <c r="J1679" s="80">
        <v>325.0</v>
      </c>
      <c r="K1679" s="80">
        <v>0.964391691394658</v>
      </c>
      <c r="L1679" s="80" t="s">
        <v>64</v>
      </c>
    </row>
    <row r="1680">
      <c r="A1680" s="80" t="s">
        <v>74</v>
      </c>
      <c r="B1680" s="81" t="str">
        <f>HYPERLINK("https://www.youtube.com/channel/UCO_5XP-qd-udNxBlzzSzgvw", "Handline Fishing")</f>
        <v>Handline Fishing</v>
      </c>
      <c r="C1680" s="80" t="s">
        <v>1941</v>
      </c>
      <c r="D1680" s="81" t="str">
        <f>HYPERLINK("https://youtube.com/watch?v=bh6ZU2khg88", "#140 繼續追黃花/花鰔 |『香港釣魚 : 艇釣』青洲航道 {粵語旁白+中英文字幕}")</f>
        <v>#140 繼續追黃花/花鰔 |『香港釣魚 : 艇釣』青洲航道 {粵語旁白+中英文字幕}</v>
      </c>
      <c r="E1680" s="82">
        <v>44061.0</v>
      </c>
      <c r="F1680" s="80">
        <v>782.0</v>
      </c>
      <c r="G1680" s="80" t="s">
        <v>63</v>
      </c>
      <c r="I1680" s="80" t="s">
        <v>63</v>
      </c>
      <c r="J1680" s="80">
        <v>1177.0</v>
      </c>
      <c r="K1680" s="80">
        <v>0.980016652789342</v>
      </c>
      <c r="L1680" s="80" t="s">
        <v>1105</v>
      </c>
    </row>
    <row r="1681">
      <c r="A1681" s="80" t="s">
        <v>1128</v>
      </c>
      <c r="B1681" s="81" t="str">
        <f>HYPERLINK("https://www.youtube.com/channel/UCe8jZzHeq8gGiqk5bESfpIw", "前線科技人員")</f>
        <v>前線科技人員</v>
      </c>
      <c r="C1681" s="80" t="s">
        <v>1942</v>
      </c>
      <c r="D1681" s="81" t="str">
        <f>HYPERLINK("https://youtube.com/watch?v=bhhCcRKQt5o", "2016立法會選舉掃盲系列 番外篇")</f>
        <v>2016立法會選舉掃盲系列 番外篇</v>
      </c>
      <c r="E1681" s="82">
        <v>42612.0</v>
      </c>
      <c r="F1681" s="80">
        <v>39.0</v>
      </c>
      <c r="G1681" s="80" t="s">
        <v>63</v>
      </c>
      <c r="I1681" s="80" t="s">
        <v>63</v>
      </c>
      <c r="J1681" s="80">
        <v>128.0</v>
      </c>
      <c r="K1681" s="80">
        <v>0.992248062015503</v>
      </c>
      <c r="L1681" s="80" t="s">
        <v>64</v>
      </c>
    </row>
    <row r="1682">
      <c r="A1682" s="80" t="s">
        <v>1069</v>
      </c>
      <c r="B1682" s="81" t="str">
        <f>HYPERLINK("https://www.youtube.com/channel/UCAnpoZYvOIZUPp66LrWl9OA", "Leave Your Mark")</f>
        <v>Leave Your Mark</v>
      </c>
      <c r="C1682" s="80" t="s">
        <v>1943</v>
      </c>
      <c r="D1682" s="81" t="str">
        <f>HYPERLINK("https://youtube.com/watch?v=bhxAIOxpYYc", "#6 王雙駿 //最刺激係無刺激//")</f>
        <v>#6 王雙駿 //最刺激係無刺激//</v>
      </c>
      <c r="E1682" s="82">
        <v>42796.0</v>
      </c>
      <c r="F1682" s="80">
        <v>140.0</v>
      </c>
      <c r="G1682" s="80" t="s">
        <v>63</v>
      </c>
      <c r="I1682" s="80" t="s">
        <v>63</v>
      </c>
      <c r="J1682" s="80">
        <v>389.0</v>
      </c>
      <c r="K1682" s="80">
        <v>0.851203501094091</v>
      </c>
      <c r="L1682" s="80" t="s">
        <v>1071</v>
      </c>
    </row>
    <row r="1683">
      <c r="A1683" s="80" t="s">
        <v>61</v>
      </c>
      <c r="B1683" s="81" t="str">
        <f>HYPERLINK("https://www.youtube.com/channel/UCJ4XVrJuqKHbc9yF9oUFseg", "MEeeep More")</f>
        <v>MEeeep More</v>
      </c>
      <c r="C1683" s="80" t="s">
        <v>1944</v>
      </c>
      <c r="D1683" s="81" t="str">
        <f>HYPERLINK("https://youtube.com/watch?v=bkSqjFYYljU", "[雙11優惠2021] 天貓雙 11 全球狂歡季 | 實體「心願扭蛋」贏購物券 | 1蚊購買限量優惠券 | 更多 雙11優惠 密切留意 ! 淘寶優惠碼 天貓香港雙11 淘寶集運 淘寶 支付寶 螞蟻銀行")</f>
        <v>[雙11優惠2021] 天貓雙 11 全球狂歡季 | 實體「心願扭蛋」贏購物券 | 1蚊購買限量優惠券 | 更多 雙11優惠 密切留意 ! 淘寶優惠碼 天貓香港雙11 淘寶集運 淘寶 支付寶 螞蟻銀行</v>
      </c>
      <c r="E1683" s="82">
        <v>44502.0</v>
      </c>
      <c r="F1683" s="80">
        <v>239.0</v>
      </c>
      <c r="G1683" s="80" t="s">
        <v>63</v>
      </c>
      <c r="I1683" s="80" t="s">
        <v>63</v>
      </c>
      <c r="J1683" s="80">
        <v>678.0</v>
      </c>
      <c r="K1683" s="80">
        <v>0.926229508196721</v>
      </c>
      <c r="L1683" s="80" t="s">
        <v>64</v>
      </c>
    </row>
    <row r="1684">
      <c r="A1684" s="80" t="s">
        <v>112</v>
      </c>
      <c r="B1684" s="81" t="str">
        <f>HYPERLINK("https://www.youtube.com/channel/UCW_n_gfIv4HhRqCk8EnRhJA", "Happy Kongner")</f>
        <v>Happy Kongner</v>
      </c>
      <c r="C1684" s="80" t="s">
        <v>1945</v>
      </c>
      <c r="D1684" s="81" t="str">
        <f>HYPERLINK("https://youtube.com/watch?v=blYrZlNMfL8", "就讓我們娛樂至死！我們熱愛的娛樂媒體是如何使我們不再思考 [做乜嘢懶人包]")</f>
        <v>就讓我們娛樂至死！我們熱愛的娛樂媒體是如何使我們不再思考 [做乜嘢懶人包]</v>
      </c>
      <c r="E1684" s="82">
        <v>43742.0</v>
      </c>
      <c r="F1684" s="80">
        <v>2585.0</v>
      </c>
      <c r="G1684" s="80" t="s">
        <v>63</v>
      </c>
      <c r="I1684" s="80" t="s">
        <v>63</v>
      </c>
      <c r="J1684" s="80">
        <v>13718.0</v>
      </c>
      <c r="K1684" s="80">
        <v>0.940297484406059</v>
      </c>
      <c r="L1684" s="80" t="s">
        <v>64</v>
      </c>
    </row>
    <row r="1685">
      <c r="A1685" s="80" t="s">
        <v>219</v>
      </c>
      <c r="B1685" s="81" t="str">
        <f>HYPERLINK("https://www.youtube.com/channel/UC9_PnptBIpNF0JXbJjd8TsQ", "Brown's Channel")</f>
        <v>Brown's Channel</v>
      </c>
      <c r="C1685" s="80" t="s">
        <v>1946</v>
      </c>
      <c r="D1685" s="81" t="str">
        <f>HYPERLINK("https://youtube.com/watch?v=bmFPcQEElGA", "【一隻熊仔去搵食@香港】#3 Coffee Art    文青形 Cafe 超高汁意粉 綠茶多士你食過未")</f>
        <v>【一隻熊仔去搵食@香港】#3 Coffee Art    文青形 Cafe 超高汁意粉 綠茶多士你食過未</v>
      </c>
      <c r="E1685" s="82">
        <v>44042.0</v>
      </c>
      <c r="F1685" s="80">
        <v>233.0</v>
      </c>
      <c r="G1685" s="80" t="s">
        <v>63</v>
      </c>
      <c r="I1685" s="80" t="s">
        <v>63</v>
      </c>
      <c r="J1685" s="80">
        <v>862.0</v>
      </c>
      <c r="K1685" s="80">
        <v>0.856007944389275</v>
      </c>
      <c r="L1685" s="80" t="s">
        <v>64</v>
      </c>
    </row>
    <row r="1686">
      <c r="A1686" s="80" t="s">
        <v>61</v>
      </c>
      <c r="B1686" s="81" t="str">
        <f>HYPERLINK("https://www.youtube.com/channel/UCJ4XVrJuqKHbc9yF9oUFseg", "MEeeep More")</f>
        <v>MEeeep More</v>
      </c>
      <c r="C1686" s="80" t="s">
        <v>1947</v>
      </c>
      <c r="D1686" s="81" t="str">
        <f>HYPERLINK("https://youtube.com/watch?v=bnpSyrHLX0k", "Samsung Galaxy A32 5G手機 | 二千價位配置 5G 四鏡頭 5,000mAh 電量 | galaxy a32 5g")</f>
        <v>Samsung Galaxy A32 5G手機 | 二千價位配置 5G 四鏡頭 5,000mAh 電量 | galaxy a32 5g</v>
      </c>
      <c r="E1686" s="82">
        <v>44224.0</v>
      </c>
      <c r="F1686" s="80">
        <v>159.0</v>
      </c>
      <c r="G1686" s="80" t="s">
        <v>63</v>
      </c>
      <c r="I1686" s="80" t="s">
        <v>63</v>
      </c>
      <c r="J1686" s="80">
        <v>401.0</v>
      </c>
      <c r="K1686" s="80">
        <v>0.717352415026833</v>
      </c>
      <c r="L1686" s="80" t="s">
        <v>64</v>
      </c>
    </row>
    <row r="1687">
      <c r="A1687" s="80" t="s">
        <v>1016</v>
      </c>
      <c r="B1687" s="81" t="str">
        <f>HYPERLINK("https://www.youtube.com/channel/UCSbiR1l-cfzk44iTJVSAZVQ", "Rhapsody in Lingo")</f>
        <v>Rhapsody in Lingo</v>
      </c>
      <c r="C1687" s="80" t="s">
        <v>1948</v>
      </c>
      <c r="D1687" s="81" t="str">
        <f>HYPERLINK("https://youtube.com/watch?v=bq5gC92fnp8", "Ist Kantonesisch ein Dialekt des Chinesischen? Is Cantonese a dialect of Chinese? [eng subs/粵字]")</f>
        <v>Ist Kantonesisch ein Dialekt des Chinesischen? Is Cantonese a dialect of Chinese? [eng subs/粵字]</v>
      </c>
      <c r="E1687" s="82">
        <v>44106.0</v>
      </c>
      <c r="F1687" s="80">
        <v>871.0</v>
      </c>
      <c r="G1687" s="80" t="s">
        <v>63</v>
      </c>
      <c r="I1687" s="80" t="s">
        <v>63</v>
      </c>
      <c r="J1687" s="80">
        <v>2378.0</v>
      </c>
      <c r="K1687" s="80">
        <v>0.958098307816277</v>
      </c>
      <c r="L1687" s="80" t="s">
        <v>102</v>
      </c>
    </row>
    <row r="1688">
      <c r="A1688" s="80" t="s">
        <v>61</v>
      </c>
      <c r="B1688" s="81" t="str">
        <f>HYPERLINK("https://www.youtube.com/channel/UCJ4XVrJuqKHbc9yF9oUFseg", "MEeeep More")</f>
        <v>MEeeep More</v>
      </c>
      <c r="C1688" s="80" t="s">
        <v>1949</v>
      </c>
      <c r="D1688" s="81" t="str">
        <f>HYPERLINK("https://youtube.com/watch?v=bvW7VMyiCH0", "Jabra Elite 7 Pro、Elite 7 Acitve、Elite 3 全新旗艦級真無線耳機 全新 MultiSensor Voice 技術 + 骨傳導感應器 享受最清晰語音通話體驗")</f>
        <v>Jabra Elite 7 Pro、Elite 7 Acitve、Elite 3 全新旗艦級真無線耳機 全新 MultiSensor Voice 技術 + 骨傳導感應器 享受最清晰語音通話體驗</v>
      </c>
      <c r="E1688" s="82">
        <v>44480.0</v>
      </c>
      <c r="F1688" s="80">
        <v>229.0</v>
      </c>
      <c r="G1688" s="80" t="s">
        <v>63</v>
      </c>
      <c r="I1688" s="80" t="s">
        <v>63</v>
      </c>
      <c r="J1688" s="80">
        <v>684.0</v>
      </c>
      <c r="K1688" s="80">
        <v>0.713987473903966</v>
      </c>
      <c r="L1688" s="80" t="s">
        <v>64</v>
      </c>
    </row>
    <row r="1689">
      <c r="A1689" s="80" t="s">
        <v>217</v>
      </c>
      <c r="B1689" s="81" t="str">
        <f>HYPERLINK("https://www.youtube.com/channel/UCXKg0qPRz32bs5Z4mTGF3TQ", "Stormtrooper白兵")</f>
        <v>Stormtrooper白兵</v>
      </c>
      <c r="C1689" s="80" t="s">
        <v>1950</v>
      </c>
      <c r="D1689" s="81" t="str">
        <f>HYPERLINK("https://youtube.com/watch?v=bwOqOpwmhhk", "[啊梅BB班]政府如何用數字欺騙人民？｜ 政客如何用數字愚弄大眾？｜最簡單一個邏輯，教你識破謊言！")</f>
        <v>[啊梅BB班]政府如何用數字欺騙人民？｜ 政客如何用數字愚弄大眾？｜最簡單一個邏輯，教你識破謊言！</v>
      </c>
      <c r="E1689" s="82">
        <v>44453.0</v>
      </c>
      <c r="F1689" s="80">
        <v>1169.0</v>
      </c>
      <c r="G1689" s="80" t="s">
        <v>63</v>
      </c>
      <c r="I1689" s="80" t="s">
        <v>63</v>
      </c>
      <c r="J1689" s="80">
        <v>5010.0</v>
      </c>
      <c r="K1689" s="80">
        <v>0.971118433805001</v>
      </c>
      <c r="L1689" s="80" t="s">
        <v>64</v>
      </c>
    </row>
    <row r="1690">
      <c r="A1690" s="80" t="s">
        <v>61</v>
      </c>
      <c r="B1690" s="81" t="str">
        <f>HYPERLINK("https://www.youtube.com/channel/UCJ4XVrJuqKHbc9yF9oUFseg", "MEeeep More")</f>
        <v>MEeeep More</v>
      </c>
      <c r="C1690" s="80" t="s">
        <v>1951</v>
      </c>
      <c r="D1690" s="81" t="str">
        <f>HYPERLINK("https://youtube.com/watch?v=byLyt55hgc0", "realme7 5G 抵港！雙卡雙5G達成！年青新選擇賣呢個價！realme 7 realme75g 香港5G 2021新機")</f>
        <v>realme7 5G 抵港！雙卡雙5G達成！年青新選擇賣呢個價！realme 7 realme75g 香港5G 2021新機</v>
      </c>
      <c r="E1690" s="82">
        <v>44218.0</v>
      </c>
      <c r="F1690" s="80">
        <v>179.0</v>
      </c>
      <c r="G1690" s="80" t="s">
        <v>63</v>
      </c>
      <c r="I1690" s="80" t="s">
        <v>63</v>
      </c>
      <c r="J1690" s="80">
        <v>467.0</v>
      </c>
      <c r="K1690" s="80">
        <v>0.743630573248407</v>
      </c>
      <c r="L1690" s="80" t="s">
        <v>64</v>
      </c>
    </row>
    <row r="1691">
      <c r="A1691" s="80" t="s">
        <v>260</v>
      </c>
      <c r="B1691" s="81" t="str">
        <f>HYPERLINK("https://www.youtube.com/channel/UC-HXOikkLx7BGEfILGIpYOg", "港短 . 英移")</f>
        <v>港短 . 英移</v>
      </c>
      <c r="C1691" s="80" t="s">
        <v>1952</v>
      </c>
      <c r="D1691" s="81" t="str">
        <f>HYPERLINK("https://youtube.com/watch?v=c6svfgFzzZo", "上落山真係唔攰? 倫敦最好住既小鎮 Muswell Hill | 港短.英移​ #HongKonger #英國租樓 #英國移民 #MuswellHill #英國生活 #英國香港人")</f>
        <v>上落山真係唔攰? 倫敦最好住既小鎮 Muswell Hill | 港短.英移​ #HongKonger #英國租樓 #英國移民 #MuswellHill #英國生活 #英國香港人</v>
      </c>
      <c r="E1691" s="82">
        <v>44475.0</v>
      </c>
      <c r="F1691" s="80">
        <v>377.0</v>
      </c>
      <c r="G1691" s="80" t="s">
        <v>63</v>
      </c>
      <c r="I1691" s="80" t="s">
        <v>63</v>
      </c>
      <c r="J1691" s="80">
        <v>1202.0</v>
      </c>
      <c r="K1691" s="80">
        <v>0.690804597701149</v>
      </c>
      <c r="L1691" s="80" t="s">
        <v>102</v>
      </c>
    </row>
    <row r="1692">
      <c r="A1692" s="80" t="s">
        <v>217</v>
      </c>
      <c r="B1692" s="81" t="str">
        <f>HYPERLINK("https://www.youtube.com/channel/UCXKg0qPRz32bs5Z4mTGF3TQ", "Stormtrooper白兵")</f>
        <v>Stormtrooper白兵</v>
      </c>
      <c r="C1692" s="80" t="s">
        <v>1953</v>
      </c>
      <c r="D1692" s="81" t="str">
        <f>HYPERLINK("https://youtube.com/watch?v=cCTJo5cfJGM", "簡介末代沙皇，一家七口慘遭滅門！｜30cm jj妖僧干涉俄國內政，導致300年沙皇根基倒下？｜分析政權倒下的天時地利人和｜粵語中字")</f>
        <v>簡介末代沙皇，一家七口慘遭滅門！｜30cm jj妖僧干涉俄國內政，導致300年沙皇根基倒下？｜分析政權倒下的天時地利人和｜粵語中字</v>
      </c>
      <c r="E1692" s="82">
        <v>44315.0</v>
      </c>
      <c r="F1692" s="80">
        <v>799.0</v>
      </c>
      <c r="G1692" s="80" t="s">
        <v>63</v>
      </c>
      <c r="H1692" s="80" t="s">
        <v>63</v>
      </c>
      <c r="I1692" s="80" t="s">
        <v>63</v>
      </c>
      <c r="J1692" s="80">
        <v>3468.0</v>
      </c>
      <c r="K1692" s="80">
        <v>0.951608468518009</v>
      </c>
      <c r="L1692" s="80" t="s">
        <v>86</v>
      </c>
    </row>
    <row r="1693">
      <c r="A1693" s="80" t="s">
        <v>1390</v>
      </c>
      <c r="B1693" s="81" t="str">
        <f>HYPERLINK("https://www.youtube.com/channel/UCgwEJflQi4WnZ8PU0xdibZQ", "Kinson Ho")</f>
        <v>Kinson Ho</v>
      </c>
      <c r="C1693" s="80" t="s">
        <v>1954</v>
      </c>
      <c r="D1693" s="81" t="str">
        <f>HYPERLINK("https://youtube.com/watch?v=6Wb6TuMplWE", "K神任我行 - [CC字幕4K] 吉澳跳島遊｜鬼手｜長排頭天池｜鴨螺春｜鴨洲｜吉澳仙佛海岸｜娥眉灣｜小丑魚｜航拍")</f>
        <v>K神任我行 - [CC字幕4K] 吉澳跳島遊｜鬼手｜長排頭天池｜鴨螺春｜鴨洲｜吉澳仙佛海岸｜娥眉灣｜小丑魚｜航拍</v>
      </c>
      <c r="E1693" s="82">
        <v>44356.0</v>
      </c>
      <c r="F1693" s="80">
        <v>983.0</v>
      </c>
      <c r="G1693" s="80" t="s">
        <v>63</v>
      </c>
      <c r="I1693" s="80" t="s">
        <v>63</v>
      </c>
      <c r="J1693" s="80">
        <v>496.0</v>
      </c>
      <c r="K1693" s="80">
        <v>0.976377952755905</v>
      </c>
      <c r="L1693" s="80" t="s">
        <v>64</v>
      </c>
    </row>
    <row r="1694">
      <c r="A1694" s="80" t="s">
        <v>74</v>
      </c>
      <c r="B1694" s="81" t="str">
        <f>HYPERLINK("https://www.youtube.com/channel/UCO_5XP-qd-udNxBlzzSzgvw", "Handline Fishing")</f>
        <v>Handline Fishing</v>
      </c>
      <c r="C1694" s="80" t="s">
        <v>1955</v>
      </c>
      <c r="D1694" s="81" t="str">
        <f>HYPERLINK("https://youtube.com/watch?v=cCsKIAcagKA", "#211 緣份來始終都要來，連續出2次都釣到 | 『香港釣魚 : 艇釣』維港 {粵語旁白+中英文字幕}")</f>
        <v>#211 緣份來始終都要來，連續出2次都釣到 | 『香港釣魚 : 艇釣』維港 {粵語旁白+中英文字幕}</v>
      </c>
      <c r="E1694" s="82">
        <v>44329.0</v>
      </c>
      <c r="F1694" s="80">
        <v>330.0</v>
      </c>
      <c r="G1694" s="80" t="s">
        <v>63</v>
      </c>
      <c r="H1694" s="80" t="s">
        <v>63</v>
      </c>
      <c r="I1694" s="80" t="s">
        <v>63</v>
      </c>
      <c r="J1694" s="80">
        <v>350.0</v>
      </c>
      <c r="K1694" s="80">
        <v>0.953678474114441</v>
      </c>
      <c r="L1694" s="80" t="s">
        <v>88</v>
      </c>
    </row>
    <row r="1695">
      <c r="A1695" s="80" t="s">
        <v>82</v>
      </c>
      <c r="B1695" s="81" t="str">
        <f>HYPERLINK("https://www.youtube.com/channel/UC6C2hkbggXIgapf5jn_V2Dw", "SpongeMob 852")</f>
        <v>SpongeMob 852</v>
      </c>
      <c r="C1695" s="80" t="s">
        <v>1956</v>
      </c>
      <c r="D1695" s="81" t="str">
        <f>HYPERLINK("https://youtube.com/watch?v=cEIpZcR3BZg", "Novel Flash - Every Night (Prod. Vino Ramaldo)")</f>
        <v>Novel Flash - Every Night (Prod. Vino Ramaldo)</v>
      </c>
      <c r="E1695" s="82">
        <v>44233.0</v>
      </c>
      <c r="F1695" s="80">
        <v>172.0</v>
      </c>
      <c r="G1695" s="80" t="s">
        <v>63</v>
      </c>
      <c r="I1695" s="80" t="s">
        <v>63</v>
      </c>
      <c r="J1695" s="80">
        <v>533.0</v>
      </c>
      <c r="K1695" s="80">
        <v>0.750704225352112</v>
      </c>
      <c r="L1695" s="80" t="s">
        <v>64</v>
      </c>
    </row>
    <row r="1696">
      <c r="A1696" s="80" t="s">
        <v>71</v>
      </c>
      <c r="B1696" s="81" t="str">
        <f>HYPERLINK("https://www.youtube.com/channel/UCXTE-gQCetfrx_lC9yFM2aw", "arhoTV")</f>
        <v>arhoTV</v>
      </c>
      <c r="C1696" s="80" t="s">
        <v>1957</v>
      </c>
      <c r="D1696" s="81" t="str">
        <f>HYPERLINK("https://youtube.com/watch?v=cGALUoOWc8o", "【日常】帶亞悠去日本滑雪！？【亞悠去旅行】")</f>
        <v>【日常】帶亞悠去日本滑雪！？【亞悠去旅行】</v>
      </c>
      <c r="E1696" s="82">
        <v>42805.0</v>
      </c>
      <c r="F1696" s="80">
        <v>183.0</v>
      </c>
      <c r="G1696" s="80" t="s">
        <v>63</v>
      </c>
      <c r="H1696" s="80" t="s">
        <v>63</v>
      </c>
      <c r="I1696" s="80" t="s">
        <v>63</v>
      </c>
      <c r="J1696" s="80">
        <v>633.0</v>
      </c>
      <c r="K1696" s="80">
        <v>0.71043771043771</v>
      </c>
      <c r="L1696" s="80" t="s">
        <v>1958</v>
      </c>
    </row>
    <row r="1697">
      <c r="A1697" s="80" t="s">
        <v>61</v>
      </c>
      <c r="B1697" s="81" t="str">
        <f>HYPERLINK("https://www.youtube.com/channel/UCJ4XVrJuqKHbc9yF9oUFseg", "MEeeep More")</f>
        <v>MEeeep More</v>
      </c>
      <c r="C1697" s="80" t="s">
        <v>1959</v>
      </c>
      <c r="D1697" s="81" t="str">
        <f>HYPERLINK("https://youtube.com/watch?v=cJ2uQuYoLPQ", "Samsung AirDresser 三星魔衣櫥智能衣物護理機 - Review 消毒除臭樣樣得！教你 自家洗公仔！Steamer LG Styler")</f>
        <v>Samsung AirDresser 三星魔衣櫥智能衣物護理機 - Review 消毒除臭樣樣得！教你 自家洗公仔！Steamer LG Styler</v>
      </c>
      <c r="E1697" s="82">
        <v>43949.0</v>
      </c>
      <c r="F1697" s="80">
        <v>295.0</v>
      </c>
      <c r="G1697" s="80" t="s">
        <v>63</v>
      </c>
      <c r="I1697" s="80" t="s">
        <v>63</v>
      </c>
      <c r="J1697" s="80">
        <v>941.0</v>
      </c>
      <c r="K1697" s="80">
        <v>0.860933211344922</v>
      </c>
      <c r="L1697" s="80" t="s">
        <v>64</v>
      </c>
    </row>
    <row r="1698">
      <c r="A1698" s="80" t="s">
        <v>1000</v>
      </c>
      <c r="B1698" s="81" t="str">
        <f>HYPERLINK("https://www.youtube.com/channel/UChJQlg1b_cOttPX3SiIh5gA", "Lau Dinha in Hong Kong - Hong Kong in the World")</f>
        <v>Lau Dinha in Hong Kong - Hong Kong in the World</v>
      </c>
      <c r="C1698" s="80" t="s">
        <v>1960</v>
      </c>
      <c r="D1698" s="81" t="str">
        <f>HYPERLINK("https://youtube.com/watch?v=cN7679ii4eo", "【廣東話教學】100句廣東話最常用的句子｜第四集")</f>
        <v>【廣東話教學】100句廣東話最常用的句子｜第四集</v>
      </c>
      <c r="E1698" s="82">
        <v>44188.0</v>
      </c>
      <c r="F1698" s="80">
        <v>600.0</v>
      </c>
      <c r="G1698" s="80" t="s">
        <v>63</v>
      </c>
      <c r="H1698" s="80" t="s">
        <v>63</v>
      </c>
      <c r="I1698" s="80" t="s">
        <v>63</v>
      </c>
      <c r="J1698" s="80">
        <v>1592.0</v>
      </c>
      <c r="K1698" s="80">
        <v>0.983930778739184</v>
      </c>
      <c r="L1698" s="80" t="s">
        <v>1961</v>
      </c>
    </row>
    <row r="1699">
      <c r="A1699" s="80" t="s">
        <v>71</v>
      </c>
      <c r="B1699" s="81" t="str">
        <f>HYPERLINK("https://www.youtube.com/channel/UCXTE-gQCetfrx_lC9yFM2aw", "arhoTV")</f>
        <v>arhoTV</v>
      </c>
      <c r="C1699" s="80" t="s">
        <v>1962</v>
      </c>
      <c r="D1699" s="81" t="str">
        <f>HYPERLINK("https://youtube.com/watch?v=cOMsb-dtY1s", "【挑戰】突破底線？ 7萬訂閱你叫我做找數！！")</f>
        <v>【挑戰】突破底線？ 7萬訂閱你叫我做找數！！</v>
      </c>
      <c r="E1699" s="82">
        <v>42882.0</v>
      </c>
      <c r="F1699" s="80">
        <v>212.0</v>
      </c>
      <c r="G1699" s="80" t="s">
        <v>63</v>
      </c>
      <c r="H1699" s="80" t="s">
        <v>63</v>
      </c>
      <c r="I1699" s="80" t="s">
        <v>63</v>
      </c>
      <c r="J1699" s="80">
        <v>854.0</v>
      </c>
      <c r="K1699" s="80">
        <v>0.615273775216138</v>
      </c>
      <c r="L1699" s="80" t="s">
        <v>86</v>
      </c>
    </row>
    <row r="1700">
      <c r="A1700" s="80" t="s">
        <v>61</v>
      </c>
      <c r="B1700" s="81" t="str">
        <f t="shared" ref="B1700:B1701" si="71">HYPERLINK("https://www.youtube.com/channel/UCJ4XVrJuqKHbc9yF9oUFseg", "MEeeep More")</f>
        <v>MEeeep More</v>
      </c>
      <c r="C1700" s="80" t="s">
        <v>1963</v>
      </c>
      <c r="D1700" s="81" t="str">
        <f>HYPERLINK("https://youtube.com/watch?v=cS3n19ZRhEM", "WhatsApp語音訊息加快播放功能 正式上線！即試快速播放 究竟聽得清唔清楚？")</f>
        <v>WhatsApp語音訊息加快播放功能 正式上線！即試快速播放 究竟聽得清唔清楚？</v>
      </c>
      <c r="E1700" s="82">
        <v>44340.0</v>
      </c>
      <c r="F1700" s="80">
        <v>122.0</v>
      </c>
      <c r="G1700" s="80" t="s">
        <v>63</v>
      </c>
      <c r="I1700" s="80" t="s">
        <v>63</v>
      </c>
      <c r="J1700" s="80">
        <v>298.0</v>
      </c>
      <c r="K1700" s="80">
        <v>0.780104712041884</v>
      </c>
      <c r="L1700" s="80" t="s">
        <v>64</v>
      </c>
    </row>
    <row r="1701">
      <c r="A1701" s="80" t="s">
        <v>61</v>
      </c>
      <c r="B1701" s="81" t="str">
        <f t="shared" si="71"/>
        <v>MEeeep More</v>
      </c>
      <c r="C1701" s="80" t="s">
        <v>1964</v>
      </c>
      <c r="D1701" s="81" t="str">
        <f>HYPERLINK("https://youtube.com/watch?v=cTCSFD8l3YY", "吉隆坡國際機場KLIA 馬航頭等貴賓室實測！ MH First Class Lounge")</f>
        <v>吉隆坡國際機場KLIA 馬航頭等貴賓室實測！ MH First Class Lounge</v>
      </c>
      <c r="E1701" s="82">
        <v>43849.0</v>
      </c>
      <c r="F1701" s="80">
        <v>162.0</v>
      </c>
      <c r="G1701" s="80" t="s">
        <v>63</v>
      </c>
      <c r="I1701" s="80" t="s">
        <v>63</v>
      </c>
      <c r="J1701" s="80">
        <v>439.0</v>
      </c>
      <c r="K1701" s="80">
        <v>0.857421875</v>
      </c>
      <c r="L1701" s="80" t="s">
        <v>64</v>
      </c>
    </row>
    <row r="1702">
      <c r="A1702" s="80" t="s">
        <v>74</v>
      </c>
      <c r="B1702" s="81" t="str">
        <f>HYPERLINK("https://www.youtube.com/channel/UCO_5XP-qd-udNxBlzzSzgvw", "Handline Fishing")</f>
        <v>Handline Fishing</v>
      </c>
      <c r="C1702" s="80" t="s">
        <v>1965</v>
      </c>
      <c r="D1702" s="81" t="str">
        <f>HYPERLINK("https://youtube.com/watch?v=cVqnE55GRtY", "#252 我的新鮮連咪 | 香港釣魚 | 岸釣 | 堅尼地城海旁 {粵語旁白+中英文字幕}")</f>
        <v>#252 我的新鮮連咪 | 香港釣魚 | 岸釣 | 堅尼地城海旁 {粵語旁白+中英文字幕}</v>
      </c>
      <c r="E1702" s="82">
        <v>44512.0</v>
      </c>
      <c r="F1702" s="80">
        <v>196.0</v>
      </c>
      <c r="G1702" s="80" t="s">
        <v>63</v>
      </c>
      <c r="H1702" s="80" t="s">
        <v>63</v>
      </c>
      <c r="I1702" s="80" t="s">
        <v>63</v>
      </c>
      <c r="J1702" s="80">
        <v>349.0</v>
      </c>
      <c r="K1702" s="80">
        <v>0.972144846796657</v>
      </c>
      <c r="L1702" s="80" t="s">
        <v>88</v>
      </c>
    </row>
    <row r="1703">
      <c r="A1703" s="80" t="s">
        <v>121</v>
      </c>
      <c r="B1703" s="81" t="str">
        <f>HYPERLINK("https://www.youtube.com/channel/UC-2hWXRgCg-o5Waz36Yt7BA", "Arm Channel TV")</f>
        <v>Arm Channel TV</v>
      </c>
      <c r="C1703" s="80" t="s">
        <v>1966</v>
      </c>
      <c r="D1703" s="81" t="str">
        <f>HYPERLINK("https://youtube.com/watch?v=cY5alPGEpJQ", "😮去到利物浦發現😮弊傢伙吹大咗？| 不怕隔離睇好波 EP03")</f>
        <v>😮去到利物浦發現😮弊傢伙吹大咗？| 不怕隔離睇好波 EP03</v>
      </c>
      <c r="E1703" s="82">
        <v>44352.0</v>
      </c>
      <c r="F1703" s="80">
        <v>391.0</v>
      </c>
      <c r="G1703" s="80" t="s">
        <v>63</v>
      </c>
      <c r="I1703" s="80" t="s">
        <v>63</v>
      </c>
      <c r="J1703" s="80">
        <v>1412.0</v>
      </c>
      <c r="K1703" s="80">
        <v>0.942590120160213</v>
      </c>
      <c r="L1703" s="80" t="s">
        <v>64</v>
      </c>
    </row>
    <row r="1704">
      <c r="A1704" s="80" t="s">
        <v>96</v>
      </c>
      <c r="B1704" s="81" t="str">
        <f>HYPERLINK("https://www.youtube.com/channel/UCGtyHJ-L_4RDIHe3XaLofQQ", "Anson Cheung")</f>
        <v>Anson Cheung</v>
      </c>
      <c r="C1704" s="80" t="s">
        <v>1967</v>
      </c>
      <c r="D1704" s="81" t="str">
        <f>HYPERLINK("https://youtube.com/watch?v=c_k0bNi1pRc", "我試過最靚嘅 OLED 電視，沒有之一 🤯🤯｜Sony BRAVIA XR A80J 開箱試玩")</f>
        <v>我試過最靚嘅 OLED 電視，沒有之一 🤯🤯｜Sony BRAVIA XR A80J 開箱試玩</v>
      </c>
      <c r="E1704" s="82">
        <v>44426.0</v>
      </c>
      <c r="F1704" s="80">
        <v>780.0</v>
      </c>
      <c r="G1704" s="80" t="s">
        <v>63</v>
      </c>
      <c r="I1704" s="80" t="s">
        <v>63</v>
      </c>
      <c r="J1704" s="80">
        <v>2580.0</v>
      </c>
      <c r="K1704" s="80">
        <v>0.685623173000265</v>
      </c>
      <c r="L1704" s="80" t="s">
        <v>64</v>
      </c>
    </row>
    <row r="1705">
      <c r="A1705" s="80" t="s">
        <v>217</v>
      </c>
      <c r="B1705" s="81" t="str">
        <f>HYPERLINK("https://www.youtube.com/channel/UCXKg0qPRz32bs5Z4mTGF3TQ", "Stormtrooper白兵")</f>
        <v>Stormtrooper白兵</v>
      </c>
      <c r="C1705" s="80" t="s">
        <v>1968</v>
      </c>
      <c r="D1705" s="81" t="str">
        <f>HYPERLINK("https://youtube.com/watch?v=cfXXyFl0YRo", "[專訪勇武上集]為何成為勇武？有人借勇武之名從中取利？前線經歷有哪些後遺症？為何會心灰意冷？")</f>
        <v>[專訪勇武上集]為何成為勇武？有人借勇武之名從中取利？前線經歷有哪些後遺症？為何會心灰意冷？</v>
      </c>
      <c r="E1705" s="82">
        <v>43831.0</v>
      </c>
      <c r="F1705" s="80">
        <v>1286.0</v>
      </c>
      <c r="G1705" s="80" t="s">
        <v>63</v>
      </c>
      <c r="I1705" s="80" t="s">
        <v>63</v>
      </c>
      <c r="J1705" s="80">
        <v>4171.0</v>
      </c>
      <c r="K1705" s="80">
        <v>0.960617227084293</v>
      </c>
      <c r="L1705" s="80" t="s">
        <v>64</v>
      </c>
    </row>
    <row r="1706">
      <c r="A1706" s="80" t="s">
        <v>1373</v>
      </c>
      <c r="B1706" s="81" t="str">
        <f>HYPERLINK("https://www.youtube.com/channel/UCNsL7xLGZvocrljHcCJ71VA", "漏墨佬")</f>
        <v>漏墨佬</v>
      </c>
      <c r="C1706" s="80" t="s">
        <v>1969</v>
      </c>
      <c r="D1706" s="81" t="str">
        <f>HYPERLINK("https://youtube.com/watch?v=clX821fIHU4", "不滅墨水仲應唔應繼續？")</f>
        <v>不滅墨水仲應唔應繼續？</v>
      </c>
      <c r="E1706" s="82">
        <v>43488.0</v>
      </c>
      <c r="F1706" s="80">
        <v>352.0</v>
      </c>
      <c r="G1706" s="80" t="s">
        <v>63</v>
      </c>
      <c r="I1706" s="80" t="s">
        <v>63</v>
      </c>
      <c r="J1706" s="80">
        <v>1339.0</v>
      </c>
      <c r="K1706" s="80">
        <v>0.937675070028011</v>
      </c>
      <c r="L1706" s="80" t="s">
        <v>64</v>
      </c>
    </row>
    <row r="1707">
      <c r="A1707" s="80" t="s">
        <v>61</v>
      </c>
      <c r="B1707" s="81" t="str">
        <f>HYPERLINK("https://www.youtube.com/channel/UCJ4XVrJuqKHbc9yF9oUFseg", "MEeeep More")</f>
        <v>MEeeep More</v>
      </c>
      <c r="C1707" s="80" t="s">
        <v>1970</v>
      </c>
      <c r="D1707" s="81" t="str">
        <f>HYPERLINK("https://youtube.com/watch?v=cnOFoMPVGMI", "氣炸鍋食譜 氣炸鍋燒肉 氣炸鍋燒腩仔 - 終極簡單版 免疏針 免久等！ 燒肉做法 港式燒肉 港式燒腩仔 AirFryer Recipe Crispy Roasted Pork 脆皮燒肉 在家做燒肉")</f>
        <v>氣炸鍋食譜 氣炸鍋燒肉 氣炸鍋燒腩仔 - 終極簡單版 免疏針 免久等！ 燒肉做法 港式燒肉 港式燒腩仔 AirFryer Recipe Crispy Roasted Pork 脆皮燒肉 在家做燒肉</v>
      </c>
      <c r="E1707" s="82">
        <v>44032.0</v>
      </c>
      <c r="F1707" s="80">
        <v>289.0</v>
      </c>
      <c r="G1707" s="80" t="s">
        <v>63</v>
      </c>
      <c r="I1707" s="80" t="s">
        <v>63</v>
      </c>
      <c r="J1707" s="80">
        <v>733.0</v>
      </c>
      <c r="K1707" s="80">
        <v>0.91969887076537</v>
      </c>
      <c r="L1707" s="80" t="s">
        <v>64</v>
      </c>
    </row>
    <row r="1708">
      <c r="A1708" s="80" t="s">
        <v>1623</v>
      </c>
      <c r="B1708" s="81" t="str">
        <f t="shared" ref="B1708:B1709" si="72">HYPERLINK("https://www.youtube.com/channel/UCDykDDjpIjJ54JTBpJGuH2A", "頴珊頻道 | The Wingshantsui Channel")</f>
        <v>頴珊頻道 | The Wingshantsui Channel</v>
      </c>
      <c r="C1708" s="80" t="s">
        <v>1971</v>
      </c>
      <c r="D1708" s="81" t="str">
        <f>HYPERLINK("https://youtube.com/watch?v=csTC-9d3qWE", "Weirdest Cantonese Words 老師沒有教過我的廣東話")</f>
        <v>Weirdest Cantonese Words 老師沒有教過我的廣東話</v>
      </c>
      <c r="E1708" s="82">
        <v>41909.0</v>
      </c>
      <c r="F1708" s="80">
        <v>139.0</v>
      </c>
      <c r="G1708" s="80" t="s">
        <v>63</v>
      </c>
      <c r="I1708" s="80" t="s">
        <v>63</v>
      </c>
      <c r="J1708" s="80">
        <v>477.0</v>
      </c>
      <c r="K1708" s="80">
        <v>0.775609756097561</v>
      </c>
      <c r="L1708" s="80" t="s">
        <v>521</v>
      </c>
    </row>
    <row r="1709">
      <c r="A1709" s="80" t="s">
        <v>1623</v>
      </c>
      <c r="B1709" s="81" t="str">
        <f t="shared" si="72"/>
        <v>頴珊頻道 | The Wingshantsui Channel</v>
      </c>
      <c r="C1709" s="80" t="s">
        <v>1972</v>
      </c>
      <c r="D1709" s="81" t="str">
        <f>HYPERLINK("https://youtube.com/watch?v=e5Mv-B4DgcA", "5 Famous Cantonese New Year Pigs 同是廣東話，演繹不同豬")</f>
        <v>5 Famous Cantonese New Year Pigs 同是廣東話，演繹不同豬</v>
      </c>
      <c r="E1709" s="82">
        <v>43509.0</v>
      </c>
      <c r="F1709" s="80">
        <v>131.0</v>
      </c>
      <c r="G1709" s="80" t="s">
        <v>63</v>
      </c>
      <c r="I1709" s="80" t="s">
        <v>63</v>
      </c>
      <c r="J1709" s="80">
        <v>490.0</v>
      </c>
      <c r="K1709" s="80">
        <v>0.264150943396226</v>
      </c>
      <c r="L1709" s="80" t="s">
        <v>521</v>
      </c>
    </row>
    <row r="1710">
      <c r="A1710" s="80" t="s">
        <v>1310</v>
      </c>
      <c r="B1710" s="81" t="str">
        <f>HYPERLINK("https://www.youtube.com/channel/UC0-DuAJ8XNn3RH1aevvJWgA", "TomorrowLAN CSGO")</f>
        <v>TomorrowLAN CSGO</v>
      </c>
      <c r="C1710" s="80" t="s">
        <v>1973</v>
      </c>
      <c r="D1710" s="81" t="str">
        <f>HYPERLINK("https://youtube.com/watch?v=e6Ho4p8kZAk", "TML CS:GO週報 EP.5 (再見VP老將 ! Stewie回歸NA + Blast pro series Lisbon回顧)")</f>
        <v>TML CS:GO週報 EP.5 (再見VP老將 ! Stewie回歸NA + Blast pro series Lisbon回顧)</v>
      </c>
      <c r="E1710" s="82">
        <v>43454.0</v>
      </c>
      <c r="F1710" s="80">
        <v>450.0</v>
      </c>
      <c r="G1710" s="80" t="s">
        <v>63</v>
      </c>
      <c r="I1710" s="80" t="s">
        <v>63</v>
      </c>
      <c r="J1710" s="80">
        <v>1487.0</v>
      </c>
      <c r="K1710" s="80">
        <v>0.592430278884462</v>
      </c>
      <c r="L1710" s="80" t="s">
        <v>91</v>
      </c>
    </row>
    <row r="1711">
      <c r="A1711" s="80" t="s">
        <v>74</v>
      </c>
      <c r="B1711" s="81" t="str">
        <f>HYPERLINK("https://www.youtube.com/channel/UCO_5XP-qd-udNxBlzzSzgvw", "Handline Fishing")</f>
        <v>Handline Fishing</v>
      </c>
      <c r="C1711" s="80" t="s">
        <v>1974</v>
      </c>
      <c r="D1711" s="81" t="str">
        <f>HYPERLINK("https://youtube.com/watch?v=e6zDNBVW13M", "#114 大頭成日記 終於唔使淨釣雞魚啦!『香港釣魚 : 艇釣』維港東 {粵語旁白+中英文字幕}")</f>
        <v>#114 大頭成日記 終於唔使淨釣雞魚啦!『香港釣魚 : 艇釣』維港東 {粵語旁白+中英文字幕}</v>
      </c>
      <c r="E1711" s="82">
        <v>43967.0</v>
      </c>
      <c r="F1711" s="80">
        <v>614.0</v>
      </c>
      <c r="G1711" s="80" t="s">
        <v>63</v>
      </c>
      <c r="I1711" s="80" t="s">
        <v>63</v>
      </c>
      <c r="J1711" s="80">
        <v>1335.0</v>
      </c>
      <c r="K1711" s="80">
        <v>0.95767575322812</v>
      </c>
      <c r="L1711" s="80" t="s">
        <v>76</v>
      </c>
    </row>
    <row r="1712">
      <c r="A1712" s="80" t="s">
        <v>1623</v>
      </c>
      <c r="B1712" s="81" t="str">
        <f>HYPERLINK("https://www.youtube.com/channel/UCDykDDjpIjJ54JTBpJGuH2A", "頴珊頻道 | The Wingshantsui Channel")</f>
        <v>頴珊頻道 | The Wingshantsui Channel</v>
      </c>
      <c r="C1712" s="80" t="s">
        <v>1975</v>
      </c>
      <c r="D1712" s="81" t="str">
        <f>HYPERLINK("https://youtube.com/watch?v=e8NvGQOCMBs", "5 Chinese Idioms to Learn for Work 五個職場上用得著的成語")</f>
        <v>5 Chinese Idioms to Learn for Work 五個職場上用得著的成語</v>
      </c>
      <c r="E1712" s="82">
        <v>43543.0</v>
      </c>
      <c r="F1712" s="80">
        <v>166.0</v>
      </c>
      <c r="G1712" s="80" t="s">
        <v>63</v>
      </c>
      <c r="I1712" s="80" t="s">
        <v>63</v>
      </c>
      <c r="J1712" s="80">
        <v>487.0</v>
      </c>
      <c r="K1712" s="80">
        <v>0.23779296875</v>
      </c>
      <c r="L1712" s="80" t="s">
        <v>521</v>
      </c>
    </row>
    <row r="1713">
      <c r="A1713" s="80" t="s">
        <v>140</v>
      </c>
      <c r="B1713" s="81" t="str">
        <f>HYPERLINK("https://www.youtube.com/channel/UCHK0CZf9HEXs42qIO1GUouA", "TechiCardia")</f>
        <v>TechiCardia</v>
      </c>
      <c r="C1713" s="80" t="s">
        <v>1976</v>
      </c>
      <c r="D1713" s="81" t="str">
        <f>HYPERLINK("https://youtube.com/watch?v=e8V-iOoDkoM", "台廠 MISTEL MD770 RGB BT 真實評測！裂開了的機械鍵盤？！//4K [CC廣東話字幕] 【TechiCardia】")</f>
        <v>台廠 MISTEL MD770 RGB BT 真實評測！裂開了的機械鍵盤？！//4K [CC廣東話字幕] 【TechiCardia】</v>
      </c>
      <c r="E1713" s="82">
        <v>44215.0</v>
      </c>
      <c r="F1713" s="80">
        <v>635.0</v>
      </c>
      <c r="G1713" s="80" t="s">
        <v>63</v>
      </c>
      <c r="I1713" s="80" t="s">
        <v>63</v>
      </c>
      <c r="J1713" s="80">
        <v>2408.0</v>
      </c>
      <c r="K1713" s="80">
        <v>0.768347160178685</v>
      </c>
      <c r="L1713" s="80" t="s">
        <v>102</v>
      </c>
    </row>
    <row r="1714">
      <c r="A1714" s="80" t="s">
        <v>96</v>
      </c>
      <c r="B1714" s="81" t="str">
        <f>HYPERLINK("https://www.youtube.com/channel/UCGtyHJ-L_4RDIHe3XaLofQQ", "Anson Cheung")</f>
        <v>Anson Cheung</v>
      </c>
      <c r="C1714" s="80" t="s">
        <v>1977</v>
      </c>
      <c r="D1714" s="81" t="str">
        <f>HYPERLINK("https://youtube.com/watch?v=e9zBr8IRN7A", "我對未來的MacBook充滿期待｜Apple ""One More Thing"" M1晶片解說 + 看法")</f>
        <v>我對未來的MacBook充滿期待｜Apple "One More Thing" M1晶片解說 + 看法</v>
      </c>
      <c r="E1714" s="82">
        <v>44148.0</v>
      </c>
      <c r="F1714" s="80">
        <v>563.0</v>
      </c>
      <c r="G1714" s="80" t="s">
        <v>63</v>
      </c>
      <c r="I1714" s="80" t="s">
        <v>63</v>
      </c>
      <c r="J1714" s="80">
        <v>1999.0</v>
      </c>
      <c r="K1714" s="80">
        <v>0.640499839794937</v>
      </c>
      <c r="L1714" s="80" t="s">
        <v>64</v>
      </c>
    </row>
    <row r="1715">
      <c r="A1715" s="80" t="s">
        <v>1000</v>
      </c>
      <c r="B1715" s="81" t="str">
        <f>HYPERLINK("https://www.youtube.com/channel/UChJQlg1b_cOttPX3SiIh5gA", "Lau Dinha in Hong Kong - Hong Kong in the World")</f>
        <v>Lau Dinha in Hong Kong - Hong Kong in the World</v>
      </c>
      <c r="C1715" s="80" t="s">
        <v>1978</v>
      </c>
      <c r="D1715" s="81" t="str">
        <f>HYPERLINK("https://youtube.com/watch?v=eAd6NP65s4s", "會粵語是學韓文的優勢！？｜韓文和廣東話的相似性，可互通的發音規律")</f>
        <v>會粵語是學韓文的優勢！？｜韓文和廣東話的相似性，可互通的發音規律</v>
      </c>
      <c r="E1715" s="82">
        <v>43162.0</v>
      </c>
      <c r="F1715" s="80">
        <v>304.0</v>
      </c>
      <c r="G1715" s="80" t="s">
        <v>63</v>
      </c>
      <c r="I1715" s="80" t="s">
        <v>63</v>
      </c>
      <c r="J1715" s="80">
        <v>980.0</v>
      </c>
      <c r="K1715" s="80">
        <v>0.947775628626692</v>
      </c>
      <c r="L1715" s="80" t="s">
        <v>64</v>
      </c>
    </row>
    <row r="1716">
      <c r="A1716" s="80" t="s">
        <v>96</v>
      </c>
      <c r="B1716" s="81" t="str">
        <f t="shared" ref="B1716:B1718" si="73">HYPERLINK("https://www.youtube.com/channel/UCGtyHJ-L_4RDIHe3XaLofQQ", "Anson Cheung")</f>
        <v>Anson Cheung</v>
      </c>
      <c r="C1716" s="80" t="s">
        <v>1979</v>
      </c>
      <c r="D1716" s="81" t="str">
        <f>HYPERLINK("https://youtube.com/watch?v=eB7P0iVOr1Q", "Samsung Galaxy Note 9 是現今市場上最好的手機 | Anson Cheung 手機評測")</f>
        <v>Samsung Galaxy Note 9 是現今市場上最好的手機 | Anson Cheung 手機評測</v>
      </c>
      <c r="E1716" s="82">
        <v>43392.0</v>
      </c>
      <c r="F1716" s="80">
        <v>559.0</v>
      </c>
      <c r="G1716" s="80" t="s">
        <v>63</v>
      </c>
      <c r="I1716" s="80" t="s">
        <v>63</v>
      </c>
      <c r="J1716" s="80">
        <v>2142.0</v>
      </c>
      <c r="K1716" s="80">
        <v>0.672950047125353</v>
      </c>
      <c r="L1716" s="80" t="s">
        <v>745</v>
      </c>
    </row>
    <row r="1717">
      <c r="A1717" s="80" t="s">
        <v>96</v>
      </c>
      <c r="B1717" s="81" t="str">
        <f t="shared" si="73"/>
        <v>Anson Cheung</v>
      </c>
      <c r="C1717" s="80" t="s">
        <v>1980</v>
      </c>
      <c r="D1717" s="81" t="str">
        <f>HYPERLINK("https://youtube.com/watch?v=eDpRIYMtaqc", "Dear Google，求下你快啲將 Pixel 引入香港！｜Google Pixel 6 Pro 上手試玩評測")</f>
        <v>Dear Google，求下你快啲將 Pixel 引入香港！｜Google Pixel 6 Pro 上手試玩評測</v>
      </c>
      <c r="E1717" s="82">
        <v>44553.0</v>
      </c>
      <c r="F1717" s="80">
        <v>708.0</v>
      </c>
      <c r="G1717" s="80" t="s">
        <v>63</v>
      </c>
      <c r="I1717" s="80" t="s">
        <v>63</v>
      </c>
      <c r="J1717" s="80">
        <v>2711.0</v>
      </c>
      <c r="K1717" s="80">
        <v>0.62050812542916</v>
      </c>
      <c r="L1717" s="80" t="s">
        <v>64</v>
      </c>
    </row>
    <row r="1718">
      <c r="A1718" s="80" t="s">
        <v>96</v>
      </c>
      <c r="B1718" s="81" t="str">
        <f t="shared" si="73"/>
        <v>Anson Cheung</v>
      </c>
      <c r="C1718" s="80" t="s">
        <v>1981</v>
      </c>
      <c r="D1718" s="81" t="str">
        <f>HYPERLINK("https://youtube.com/watch?v=eIN0ovGd_D4", "iPad mini 2021 (6th gen) 一個月後評測：一部好有自知之明嘅iPad｜iPad mini 2021 review")</f>
        <v>iPad mini 2021 (6th gen) 一個月後評測：一部好有自知之明嘅iPad｜iPad mini 2021 review</v>
      </c>
      <c r="E1718" s="82">
        <v>44519.0</v>
      </c>
      <c r="F1718" s="80">
        <v>646.0</v>
      </c>
      <c r="G1718" s="80" t="s">
        <v>63</v>
      </c>
      <c r="I1718" s="80" t="s">
        <v>63</v>
      </c>
      <c r="J1718" s="80">
        <v>2382.0</v>
      </c>
      <c r="K1718" s="80">
        <v>0.64535356272013</v>
      </c>
      <c r="L1718" s="80" t="s">
        <v>64</v>
      </c>
    </row>
    <row r="1719">
      <c r="A1719" s="80" t="s">
        <v>74</v>
      </c>
      <c r="B1719" s="81" t="str">
        <f>HYPERLINK("https://www.youtube.com/channel/UCO_5XP-qd-udNxBlzzSzgvw", "Handline Fishing")</f>
        <v>Handline Fishing</v>
      </c>
      <c r="C1719" s="80" t="s">
        <v>1982</v>
      </c>
      <c r="D1719" s="81" t="str">
        <f>HYPERLINK("https://youtube.com/watch?v=eLmfP_HXv30", "#256 圓了今天的釣魚夢 | 香港釣魚 | 艇釣 | 汲水門 【Insta360黑色星期五及聖誕節優惠】")</f>
        <v>#256 圓了今天的釣魚夢 | 香港釣魚 | 艇釣 | 汲水門 【Insta360黑色星期五及聖誕節優惠】</v>
      </c>
      <c r="E1719" s="82">
        <v>44524.0</v>
      </c>
      <c r="F1719" s="80">
        <v>824.0</v>
      </c>
      <c r="G1719" s="80" t="s">
        <v>63</v>
      </c>
      <c r="H1719" s="80" t="s">
        <v>63</v>
      </c>
      <c r="I1719" s="80" t="s">
        <v>63</v>
      </c>
      <c r="J1719" s="80">
        <v>697.0</v>
      </c>
      <c r="K1719" s="80">
        <v>0.947010869565217</v>
      </c>
      <c r="L1719" s="80" t="s">
        <v>88</v>
      </c>
    </row>
    <row r="1720">
      <c r="A1720" s="80" t="s">
        <v>1016</v>
      </c>
      <c r="B1720" s="81" t="str">
        <f>HYPERLINK("https://www.youtube.com/channel/UCSbiR1l-cfzk44iTJVSAZVQ", "Rhapsody in Lingo")</f>
        <v>Rhapsody in Lingo</v>
      </c>
      <c r="C1720" s="80" t="s">
        <v>1983</v>
      </c>
      <c r="D1720" s="81" t="str">
        <f>HYPERLINK("https://youtube.com/watch?v=eOC45sbzBvA", "Am I fluent already??? Polyglot Speaks Polish [en subs/粵字]")</f>
        <v>Am I fluent already??? Polyglot Speaks Polish [en subs/粵字]</v>
      </c>
      <c r="E1720" s="82">
        <v>44512.0</v>
      </c>
      <c r="F1720" s="80">
        <v>805.0</v>
      </c>
      <c r="G1720" s="80" t="s">
        <v>63</v>
      </c>
      <c r="I1720" s="80" t="s">
        <v>63</v>
      </c>
      <c r="J1720" s="80">
        <v>1481.0</v>
      </c>
      <c r="K1720" s="80">
        <v>0.892706449668475</v>
      </c>
      <c r="L1720" s="80" t="s">
        <v>757</v>
      </c>
    </row>
    <row r="1721">
      <c r="A1721" s="80" t="s">
        <v>71</v>
      </c>
      <c r="B1721" s="81" t="str">
        <f>HYPERLINK("https://www.youtube.com/channel/UCXTE-gQCetfrx_lC9yFM2aw", "arhoTV")</f>
        <v>arhoTV</v>
      </c>
      <c r="C1721" s="80" t="s">
        <v>1984</v>
      </c>
      <c r="D1721" s="81" t="str">
        <f>HYPERLINK("https://youtube.com/watch?v=eOk0PJWuvhI", "【日常】點解我一定要笑！？")</f>
        <v>【日常】點解我一定要笑！？</v>
      </c>
      <c r="E1721" s="82">
        <v>42770.0</v>
      </c>
      <c r="F1721" s="80">
        <v>156.0</v>
      </c>
      <c r="G1721" s="80" t="s">
        <v>63</v>
      </c>
      <c r="H1721" s="80" t="s">
        <v>63</v>
      </c>
      <c r="I1721" s="80" t="s">
        <v>63</v>
      </c>
      <c r="J1721" s="80">
        <v>690.0</v>
      </c>
      <c r="K1721" s="80">
        <v>0.855018587360594</v>
      </c>
      <c r="L1721" s="80" t="s">
        <v>86</v>
      </c>
    </row>
    <row r="1722">
      <c r="A1722" s="80" t="s">
        <v>233</v>
      </c>
      <c r="B1722" s="81" t="str">
        <f>HYPERLINK("https://www.youtube.com/channel/UCjL61vw5qtDQudezRnnv-ig", "rickolam1")</f>
        <v>rickolam1</v>
      </c>
      <c r="C1722" s="80" t="s">
        <v>1985</v>
      </c>
      <c r="D1722" s="81" t="str">
        <f>HYPERLINK("https://youtube.com/watch?v=eXZkPedzCEM", "【找數】再見2016 ・ 英國手信GIVEAWAY | RICKO")</f>
        <v>【找數】再見2016 ・ 英國手信GIVEAWAY | RICKO</v>
      </c>
      <c r="E1722" s="82">
        <v>42731.0</v>
      </c>
      <c r="F1722" s="80">
        <v>303.0</v>
      </c>
      <c r="G1722" s="80" t="s">
        <v>63</v>
      </c>
      <c r="H1722" s="80" t="s">
        <v>63</v>
      </c>
      <c r="I1722" s="80" t="s">
        <v>63</v>
      </c>
      <c r="J1722" s="80">
        <v>1274.0</v>
      </c>
      <c r="K1722" s="80">
        <v>0.972519083969465</v>
      </c>
      <c r="L1722" s="80" t="s">
        <v>1986</v>
      </c>
    </row>
    <row r="1723">
      <c r="A1723" s="80" t="s">
        <v>1987</v>
      </c>
      <c r="B1723" s="81" t="str">
        <f>HYPERLINK("https://www.youtube.com/channel/UCgGUmm04nVyj-ftaCxVcyBg", "MangoHK大馬獅家")</f>
        <v>MangoHK大馬獅家</v>
      </c>
      <c r="C1723" s="80" t="s">
        <v>1988</v>
      </c>
      <c r="D1723" s="81" t="str">
        <f>HYPERLINK("https://youtube.com/watch?v=6Y9BrbNuq_8", "【55】🇫🇷法國駐大馬💰平價知名品牌？{中英字幕}  Subtitled | Malaysia Decathlon | Malaysia Vlog | mm2h")</f>
        <v>【55】🇫🇷法國駐大馬💰平價知名品牌？{中英字幕}  Subtitled | Malaysia Decathlon | Malaysia Vlog | mm2h</v>
      </c>
      <c r="E1723" s="82">
        <v>44483.0</v>
      </c>
      <c r="F1723" s="80">
        <v>770.0</v>
      </c>
      <c r="G1723" s="80" t="s">
        <v>63</v>
      </c>
      <c r="I1723" s="80" t="s">
        <v>63</v>
      </c>
      <c r="J1723" s="80">
        <v>1054.0</v>
      </c>
      <c r="K1723" s="80">
        <v>0.932743362831858</v>
      </c>
      <c r="L1723" s="80" t="s">
        <v>896</v>
      </c>
    </row>
    <row r="1724">
      <c r="A1724" s="80" t="s">
        <v>112</v>
      </c>
      <c r="B1724" s="81" t="str">
        <f>HYPERLINK("https://www.youtube.com/channel/UCW_n_gfIv4HhRqCk8EnRhJA", "Happy Kongner")</f>
        <v>Happy Kongner</v>
      </c>
      <c r="C1724" s="80" t="s">
        <v>1989</v>
      </c>
      <c r="D1724" s="81" t="str">
        <f>HYPERLINK("https://youtube.com/watch?v=eXhLJfxX7FQ", "中國封殺NBA!? Daryl Morey 莫雷風波事件簿 [美帝的籃球/第四季]")</f>
        <v>中國封殺NBA!? Daryl Morey 莫雷風波事件簿 [美帝的籃球/第四季]</v>
      </c>
      <c r="E1724" s="82">
        <v>43746.0</v>
      </c>
      <c r="F1724" s="80">
        <v>2010.0</v>
      </c>
      <c r="G1724" s="80" t="s">
        <v>63</v>
      </c>
      <c r="I1724" s="80" t="s">
        <v>63</v>
      </c>
      <c r="J1724" s="80">
        <v>9654.0</v>
      </c>
      <c r="K1724" s="80">
        <v>0.827391155296537</v>
      </c>
      <c r="L1724" s="80" t="s">
        <v>64</v>
      </c>
    </row>
    <row r="1725">
      <c r="A1725" s="80" t="s">
        <v>1300</v>
      </c>
      <c r="B1725" s="81" t="str">
        <f>HYPERLINK("https://www.youtube.com/channel/UC_p2Zg9tZXrKaLHMxQiZkFQ", "Jackz 3.0")</f>
        <v>Jackz 3.0</v>
      </c>
      <c r="C1725" s="80" t="s">
        <v>1990</v>
      </c>
      <c r="D1725" s="81" t="str">
        <f>HYPERLINK("https://youtube.com/watch?v=eYCqCteGs9E", "王國興：「你雙重標準…收皮啦！」")</f>
        <v>王國興：「你雙重標準…收皮啦！」</v>
      </c>
      <c r="E1725" s="82">
        <v>42119.0</v>
      </c>
      <c r="F1725" s="80">
        <v>41.0</v>
      </c>
      <c r="G1725" s="80" t="s">
        <v>63</v>
      </c>
      <c r="I1725" s="80" t="s">
        <v>63</v>
      </c>
      <c r="J1725" s="80">
        <v>33.0</v>
      </c>
      <c r="K1725" s="80">
        <v>1.0</v>
      </c>
      <c r="L1725" s="80" t="s">
        <v>64</v>
      </c>
    </row>
    <row r="1726">
      <c r="A1726" s="80" t="s">
        <v>69</v>
      </c>
      <c r="B1726" s="81" t="str">
        <f>HYPERLINK("https://www.youtube.com/channel/UCoVycxbCXEsd-mrP83EqVWQ", "馬米高 Michael MMG")</f>
        <v>馬米高 Michael MMG</v>
      </c>
      <c r="C1726" s="80" t="s">
        <v>1991</v>
      </c>
      <c r="D1726" s="81" t="str">
        <f>HYPERLINK("https://youtube.com/watch?v=eZu3Ue8G_08", "【葉劉，好淑儀】姐姐英文幫你起機")</f>
        <v>【葉劉，好淑儀】姐姐英文幫你起機</v>
      </c>
      <c r="E1726" s="82">
        <v>44002.0</v>
      </c>
      <c r="F1726" s="80">
        <v>328.0</v>
      </c>
      <c r="G1726" s="80" t="s">
        <v>63</v>
      </c>
      <c r="I1726" s="80" t="s">
        <v>63</v>
      </c>
      <c r="J1726" s="80">
        <v>44.0</v>
      </c>
      <c r="K1726" s="80">
        <v>0.49438202247191</v>
      </c>
      <c r="L1726" s="80" t="s">
        <v>64</v>
      </c>
    </row>
    <row r="1727">
      <c r="A1727" s="80" t="s">
        <v>61</v>
      </c>
      <c r="B1727" s="81" t="str">
        <f>HYPERLINK("https://www.youtube.com/channel/UCJ4XVrJuqKHbc9yF9oUFseg", "MEeeep More")</f>
        <v>MEeeep More</v>
      </c>
      <c r="C1727" s="80" t="s">
        <v>1992</v>
      </c>
      <c r="D1727" s="81" t="str">
        <f>HYPERLINK("https://youtube.com/watch?v=ecLS6Cti0pY", "三星 Samsung galaxy tab S7 S7+ 懶人包！多工處理、頂級配置、5G上網 睇盡強悍實力！率先爆料竟然得一隻色！samsung tab s7 plus unpacked 2020")</f>
        <v>三星 Samsung galaxy tab S7 S7+ 懶人包！多工處理、頂級配置、5G上網 睇盡強悍實力！率先爆料竟然得一隻色！samsung tab s7 plus unpacked 2020</v>
      </c>
      <c r="E1727" s="82">
        <v>44050.0</v>
      </c>
      <c r="F1727" s="80">
        <v>231.0</v>
      </c>
      <c r="G1727" s="80" t="s">
        <v>63</v>
      </c>
      <c r="I1727" s="80" t="s">
        <v>63</v>
      </c>
      <c r="J1727" s="80">
        <v>577.0</v>
      </c>
      <c r="K1727" s="80">
        <v>0.60041623309053</v>
      </c>
      <c r="L1727" s="80" t="s">
        <v>64</v>
      </c>
    </row>
    <row r="1728">
      <c r="A1728" s="80" t="s">
        <v>260</v>
      </c>
      <c r="B1728" s="81" t="str">
        <f>HYPERLINK("https://www.youtube.com/channel/UC-HXOikkLx7BGEfILGIpYOg", "港短 . 英移")</f>
        <v>港短 . 英移</v>
      </c>
      <c r="C1728" s="80" t="s">
        <v>1993</v>
      </c>
      <c r="D1728" s="81" t="str">
        <f>HYPERLINK("https://youtube.com/watch?v=ed7CnQCmgPg", "經紀當然唔同主動同我地講🙄 | 租樓做少樣野唔見左幾千蚊? | 港短.英移​ #HongKonger #英國租樓 #英國移民")</f>
        <v>經紀當然唔同主動同我地講🙄 | 租樓做少樣野唔見左幾千蚊? | 港短.英移​ #HongKonger #英國租樓 #英國移民</v>
      </c>
      <c r="E1728" s="82">
        <v>44453.0</v>
      </c>
      <c r="F1728" s="80">
        <v>590.0</v>
      </c>
      <c r="G1728" s="80" t="s">
        <v>63</v>
      </c>
      <c r="I1728" s="80" t="s">
        <v>63</v>
      </c>
      <c r="J1728" s="80">
        <v>2231.0</v>
      </c>
      <c r="K1728" s="80">
        <v>0.864393645873692</v>
      </c>
      <c r="L1728" s="80" t="s">
        <v>102</v>
      </c>
    </row>
    <row r="1729">
      <c r="A1729" s="80" t="s">
        <v>112</v>
      </c>
      <c r="B1729" s="81" t="str">
        <f>HYPERLINK("https://www.youtube.com/channel/UCW_n_gfIv4HhRqCk8EnRhJA", "Happy Kongner")</f>
        <v>Happy Kongner</v>
      </c>
      <c r="C1729" s="80" t="s">
        <v>1994</v>
      </c>
      <c r="D1729" s="81" t="str">
        <f>HYPERLINK("https://youtube.com/watch?v=eigoLCKv0Zw", "[廣東話講動漫] 為何盒子被公開 聯邦仍屹立不倒？高達UC個人探討 公仔書與卡通片 第十集 Comic &amp; Cartoon Episode 10 Feedback to Gundam UC")</f>
        <v>[廣東話講動漫] 為何盒子被公開 聯邦仍屹立不倒？高達UC個人探討 公仔書與卡通片 第十集 Comic &amp; Cartoon Episode 10 Feedback to Gundam UC</v>
      </c>
      <c r="E1729" s="82">
        <v>43314.0</v>
      </c>
      <c r="F1729" s="80">
        <v>745.0</v>
      </c>
      <c r="G1729" s="80" t="s">
        <v>63</v>
      </c>
      <c r="I1729" s="80" t="s">
        <v>63</v>
      </c>
      <c r="J1729" s="80">
        <v>3568.0</v>
      </c>
      <c r="K1729" s="80">
        <v>0.973533424283765</v>
      </c>
      <c r="L1729" s="80" t="s">
        <v>64</v>
      </c>
    </row>
    <row r="1730">
      <c r="A1730" s="80" t="s">
        <v>1118</v>
      </c>
      <c r="B1730" s="81" t="str">
        <f>HYPERLINK("https://www.youtube.com/channel/UCeyXZA7ofepOhL9Z9BATC1w", "80後夫婦移英日記 80s Couple UK Diary")</f>
        <v>80後夫婦移英日記 80s Couple UK Diary</v>
      </c>
      <c r="C1730" s="80" t="s">
        <v>1995</v>
      </c>
      <c r="D1730" s="81" t="str">
        <f>HYPERLINK("https://youtube.com/watch?v=ejjcdMaIxTc", "移英心底話，由老公話你知移民之後淒唔淒涼！Dear my friends and family 走先啦，係咁先啦，下次再玩啦！80後移民的自白 給六年後的我")</f>
        <v>移英心底話，由老公話你知移民之後淒唔淒涼！Dear my friends and family 走先啦，係咁先啦，下次再玩啦！80後移民的自白 給六年後的我</v>
      </c>
      <c r="E1730" s="82">
        <v>44484.0</v>
      </c>
      <c r="F1730" s="80">
        <v>819.0</v>
      </c>
      <c r="G1730" s="80" t="s">
        <v>63</v>
      </c>
      <c r="I1730" s="80" t="s">
        <v>63</v>
      </c>
      <c r="J1730" s="80">
        <v>2846.0</v>
      </c>
      <c r="K1730" s="80">
        <v>0.937417654808959</v>
      </c>
      <c r="L1730" s="80" t="s">
        <v>102</v>
      </c>
    </row>
    <row r="1731">
      <c r="A1731" s="80" t="s">
        <v>274</v>
      </c>
      <c r="B1731" s="81" t="str">
        <f>HYPERLINK("https://www.youtube.com/channel/UC2oB9QCXs-RKtaKChrz4dKg", "MtzCherry")</f>
        <v>MtzCherry</v>
      </c>
      <c r="C1731" s="80" t="s">
        <v>1996</v>
      </c>
      <c r="D1731" s="81" t="str">
        <f>HYPERLINK("https://youtube.com/watch?v=eoCCF4foFjE", "🇭🇰 CANTONESE tutorial #23 Useful Expressions in a Cafe")</f>
        <v>🇭🇰 CANTONESE tutorial #23 Useful Expressions in a Cafe</v>
      </c>
      <c r="E1731" s="82">
        <v>43001.0</v>
      </c>
      <c r="F1731" s="80">
        <v>221.0</v>
      </c>
      <c r="G1731" s="80" t="s">
        <v>63</v>
      </c>
      <c r="I1731" s="80" t="s">
        <v>63</v>
      </c>
      <c r="J1731" s="80">
        <v>635.0</v>
      </c>
      <c r="K1731" s="80">
        <v>0.399120050282841</v>
      </c>
      <c r="L1731" s="80" t="s">
        <v>1997</v>
      </c>
    </row>
    <row r="1732">
      <c r="A1732" s="80" t="s">
        <v>112</v>
      </c>
      <c r="B1732" s="81" t="str">
        <f t="shared" ref="B1732:B1733" si="74">HYPERLINK("https://www.youtube.com/channel/UCW_n_gfIv4HhRqCk8EnRhJA", "Happy Kongner")</f>
        <v>Happy Kongner</v>
      </c>
      <c r="C1732" s="80" t="s">
        <v>1998</v>
      </c>
      <c r="D1732" s="81" t="str">
        <f>HYPERLINK("https://youtube.com/watch?v=erO45CadS5Q", "[廣東話講動漫] 10分鐘睇完元祖高達 高達編年史 Vol.1 Gundam Chronicles Vol.1 公仔書與卡通片 第五集 Comic &amp; Cartoon Episode 5")</f>
        <v>[廣東話講動漫] 10分鐘睇完元祖高達 高達編年史 Vol.1 Gundam Chronicles Vol.1 公仔書與卡通片 第五集 Comic &amp; Cartoon Episode 5</v>
      </c>
      <c r="E1732" s="82">
        <v>43181.0</v>
      </c>
      <c r="F1732" s="80">
        <v>601.0</v>
      </c>
      <c r="G1732" s="80" t="s">
        <v>63</v>
      </c>
      <c r="I1732" s="80" t="s">
        <v>63</v>
      </c>
      <c r="J1732" s="80">
        <v>2703.0</v>
      </c>
      <c r="K1732" s="80">
        <v>0.968470082407739</v>
      </c>
      <c r="L1732" s="80" t="s">
        <v>64</v>
      </c>
    </row>
    <row r="1733">
      <c r="A1733" s="80" t="s">
        <v>112</v>
      </c>
      <c r="B1733" s="81" t="str">
        <f t="shared" si="74"/>
        <v>Happy Kongner</v>
      </c>
      <c r="C1733" s="80" t="s">
        <v>1999</v>
      </c>
      <c r="D1733" s="81" t="str">
        <f>HYPERLINK("https://youtube.com/watch?v=f-7JoUjKkeg", "教你上完床氹女嘅情詩：John Donne ""The Good-Morrow"" [西人文學]")</f>
        <v>教你上完床氹女嘅情詩：John Donne "The Good-Morrow" [西人文學]</v>
      </c>
      <c r="E1733" s="82">
        <v>43362.0</v>
      </c>
      <c r="F1733" s="80">
        <v>1069.0</v>
      </c>
      <c r="G1733" s="80" t="s">
        <v>63</v>
      </c>
      <c r="I1733" s="80" t="s">
        <v>63</v>
      </c>
      <c r="J1733" s="80">
        <v>4089.0</v>
      </c>
      <c r="K1733" s="80">
        <v>0.739688856729377</v>
      </c>
      <c r="L1733" s="80" t="s">
        <v>64</v>
      </c>
    </row>
    <row r="1734">
      <c r="A1734" s="80" t="s">
        <v>94</v>
      </c>
      <c r="B1734" s="81" t="str">
        <f>HYPERLINK("https://www.youtube.com/channel/UCT_dMyI3pNselsmfR6FC8tQ", "PrideLab")</f>
        <v>PrideLab</v>
      </c>
      <c r="C1734" s="80" t="s">
        <v>2000</v>
      </c>
      <c r="D1734" s="81" t="str">
        <f>HYPERLINK("https://youtube.com/watch?v=f5F50zqwUBc", "Daily日日操  - OL膊頭拉筋鬆")</f>
        <v>Daily日日操  - OL膊頭拉筋鬆</v>
      </c>
      <c r="E1734" s="82">
        <v>43033.0</v>
      </c>
      <c r="F1734" s="80">
        <v>278.0</v>
      </c>
      <c r="G1734" s="80" t="s">
        <v>63</v>
      </c>
      <c r="I1734" s="80" t="s">
        <v>63</v>
      </c>
      <c r="J1734" s="80">
        <v>948.0</v>
      </c>
      <c r="K1734" s="80">
        <v>0.90978886756238</v>
      </c>
      <c r="L1734" s="80" t="s">
        <v>64</v>
      </c>
    </row>
    <row r="1735">
      <c r="A1735" s="80" t="s">
        <v>2001</v>
      </c>
      <c r="B1735" s="81" t="str">
        <f>HYPERLINK("https://www.youtube.com/channel/UCOioTRIWn0mvBWxySe-zN_w", "Polyglot School / Edmund Tran / Languages")</f>
        <v>Polyglot School / Edmund Tran / Languages</v>
      </c>
      <c r="C1735" s="80" t="s">
        <v>2002</v>
      </c>
      <c r="D1735" s="81" t="str">
        <f>HYPERLINK("https://youtube.com/watch?v=fC8WodRYY94", "香港人學東南亞嘅語言邊隻最易，邊隻最難？")</f>
        <v>香港人學東南亞嘅語言邊隻最易，邊隻最難？</v>
      </c>
      <c r="E1735" s="82">
        <v>44318.0</v>
      </c>
      <c r="F1735" s="80">
        <v>718.0</v>
      </c>
      <c r="G1735" s="80" t="s">
        <v>63</v>
      </c>
      <c r="I1735" s="80" t="s">
        <v>63</v>
      </c>
      <c r="J1735" s="80">
        <v>3587.0</v>
      </c>
      <c r="K1735" s="80">
        <v>0.917860798362333</v>
      </c>
      <c r="L1735" s="80" t="s">
        <v>287</v>
      </c>
    </row>
    <row r="1736">
      <c r="A1736" s="80" t="s">
        <v>217</v>
      </c>
      <c r="B1736" s="81" t="str">
        <f>HYPERLINK("https://www.youtube.com/channel/UCXKg0qPRz32bs5Z4mTGF3TQ", "Stormtrooper白兵")</f>
        <v>Stormtrooper白兵</v>
      </c>
      <c r="C1736" s="80" t="s">
        <v>2003</v>
      </c>
      <c r="D1736" s="81" t="str">
        <f>HYPERLINK("https://youtube.com/watch?v=fFPLepFcF9A", "[政治BB班]獨裁政體的極限是什麼？｜怎麼在獨裁下生存？｜簡單解構獨裁者心理｜為何爪牙們會死心蹋地盲目服從！？｜ 粵語中字")</f>
        <v>[政治BB班]獨裁政體的極限是什麼？｜怎麼在獨裁下生存？｜簡單解構獨裁者心理｜為何爪牙們會死心蹋地盲目服從！？｜ 粵語中字</v>
      </c>
      <c r="E1736" s="82">
        <v>44481.0</v>
      </c>
      <c r="F1736" s="80">
        <v>1007.0</v>
      </c>
      <c r="G1736" s="80" t="s">
        <v>63</v>
      </c>
      <c r="I1736" s="80" t="s">
        <v>63</v>
      </c>
      <c r="J1736" s="80">
        <v>4304.0</v>
      </c>
      <c r="K1736" s="80">
        <v>0.90725126475548</v>
      </c>
      <c r="L1736" s="80" t="s">
        <v>64</v>
      </c>
    </row>
    <row r="1737">
      <c r="A1737" s="80" t="s">
        <v>71</v>
      </c>
      <c r="B1737" s="81" t="str">
        <f>HYPERLINK("https://www.youtube.com/channel/UCXTE-gQCetfrx_lC9yFM2aw", "arhoTV")</f>
        <v>arhoTV</v>
      </c>
      <c r="C1737" s="80" t="s">
        <v>2004</v>
      </c>
      <c r="D1737" s="81" t="str">
        <f>HYPERLINK("https://youtube.com/watch?v=fFa6U2qFBUA", "【日常】大眾面？我到底似邊個？")</f>
        <v>【日常】大眾面？我到底似邊個？</v>
      </c>
      <c r="E1737" s="82">
        <v>42756.0</v>
      </c>
      <c r="F1737" s="80">
        <v>135.0</v>
      </c>
      <c r="G1737" s="80" t="s">
        <v>63</v>
      </c>
      <c r="H1737" s="80" t="s">
        <v>63</v>
      </c>
      <c r="I1737" s="80" t="s">
        <v>63</v>
      </c>
      <c r="J1737" s="80">
        <v>656.0</v>
      </c>
      <c r="K1737" s="80">
        <v>0.862023653088042</v>
      </c>
      <c r="L1737" s="80" t="s">
        <v>86</v>
      </c>
    </row>
    <row r="1738">
      <c r="A1738" s="80" t="s">
        <v>118</v>
      </c>
      <c r="B1738" s="81" t="str">
        <f>HYPERLINK("https://www.youtube.com/channel/UCHrgHYFc5KShMJDZNsDZh4g", "BETHNI Y")</f>
        <v>BETHNI Y</v>
      </c>
      <c r="C1738" s="80" t="s">
        <v>2005</v>
      </c>
      <c r="D1738" s="81" t="str">
        <f>HYPERLINK("https://youtube.com/watch?v=fGIcgWdRnB4", "唔好學我! [23-24 NOV, 2016] | BethniVlogs")</f>
        <v>唔好學我! [23-24 NOV, 2016] | BethniVlogs</v>
      </c>
      <c r="E1738" s="82">
        <v>42706.0</v>
      </c>
      <c r="F1738" s="80">
        <v>658.0</v>
      </c>
      <c r="G1738" s="80" t="s">
        <v>63</v>
      </c>
      <c r="H1738" s="80" t="s">
        <v>63</v>
      </c>
      <c r="I1738" s="80" t="s">
        <v>63</v>
      </c>
      <c r="J1738" s="80">
        <v>1337.0</v>
      </c>
      <c r="K1738" s="80">
        <v>0.809812235009085</v>
      </c>
      <c r="L1738" s="80" t="s">
        <v>86</v>
      </c>
    </row>
    <row r="1739">
      <c r="A1739" s="80" t="s">
        <v>217</v>
      </c>
      <c r="B1739" s="81" t="str">
        <f>HYPERLINK("https://www.youtube.com/channel/UCXKg0qPRz32bs5Z4mTGF3TQ", "Stormtrooper白兵")</f>
        <v>Stormtrooper白兵</v>
      </c>
      <c r="C1739" s="80" t="s">
        <v>2006</v>
      </c>
      <c r="D1739" s="81" t="str">
        <f>HYPERLINK("https://youtube.com/watch?v=fH42HMz1xPo", "[白兵人物誌] 美國國務卿蓬佩奧 - 高材生，鐵幕軍人，暗殺伊朗軍官，前CIA局長，比特朗普強硬，鷹派代表人物，最強反共幕僚，中共口中的「人類公敵」！")</f>
        <v>[白兵人物誌] 美國國務卿蓬佩奧 - 高材生，鐵幕軍人，暗殺伊朗軍官，前CIA局長，比特朗普強硬，鷹派代表人物，最強反共幕僚，中共口中的「人類公敵」！</v>
      </c>
      <c r="E1739" s="82">
        <v>44070.0</v>
      </c>
      <c r="F1739" s="80">
        <v>1155.0</v>
      </c>
      <c r="G1739" s="80" t="s">
        <v>63</v>
      </c>
      <c r="I1739" s="80" t="s">
        <v>63</v>
      </c>
      <c r="J1739" s="80">
        <v>4510.0</v>
      </c>
      <c r="K1739" s="80">
        <v>0.908175594039468</v>
      </c>
      <c r="L1739" s="80" t="s">
        <v>64</v>
      </c>
    </row>
    <row r="1740">
      <c r="A1740" s="80" t="s">
        <v>1118</v>
      </c>
      <c r="B1740" s="81" t="str">
        <f>HYPERLINK("https://www.youtube.com/channel/UCeyXZA7ofepOhL9Z9BATC1w", "80後夫婦移英日記 80s Couple UK Diary")</f>
        <v>80後夫婦移英日記 80s Couple UK Diary</v>
      </c>
      <c r="C1740" s="80" t="s">
        <v>2007</v>
      </c>
      <c r="D1740" s="81" t="str">
        <f>HYPERLINK("https://youtube.com/watch?v=fHp9DszAUKg", "喺 Bristol 兩星期內完成買車同租屋的分享!!!! 買車一個月已有戰績!!!")</f>
        <v>喺 Bristol 兩星期內完成買車同租屋的分享!!!! 買車一個月已有戰績!!!</v>
      </c>
      <c r="E1740" s="82">
        <v>44449.0</v>
      </c>
      <c r="F1740" s="80">
        <v>1168.0</v>
      </c>
      <c r="G1740" s="80" t="s">
        <v>63</v>
      </c>
      <c r="I1740" s="80" t="s">
        <v>63</v>
      </c>
      <c r="J1740" s="80">
        <v>3486.0</v>
      </c>
      <c r="K1740" s="80">
        <v>0.847556528081692</v>
      </c>
      <c r="L1740" s="80" t="s">
        <v>102</v>
      </c>
    </row>
    <row r="1741">
      <c r="A1741" s="80" t="s">
        <v>1312</v>
      </c>
      <c r="B1741" s="81" t="str">
        <f>HYPERLINK("https://www.youtube.com/channel/UC1NxU2rbVZW0Rq6VHmaqoEQ", "Jarvis &amp; Isabella")</f>
        <v>Jarvis &amp; Isabella</v>
      </c>
      <c r="C1741" s="80" t="s">
        <v>2008</v>
      </c>
      <c r="D1741" s="81" t="str">
        <f>HYPERLINK("https://youtube.com/watch?v=fKJU0KrnVJM", "【 Apartment Tour 】  我地係英國嘅第一個家｜CC 中文字幕｜Jarvis &amp; Isabella")</f>
        <v>【 Apartment Tour 】  我地係英國嘅第一個家｜CC 中文字幕｜Jarvis &amp; Isabella</v>
      </c>
      <c r="E1741" s="82">
        <v>44480.0</v>
      </c>
      <c r="F1741" s="80">
        <v>1619.0</v>
      </c>
      <c r="G1741" s="80" t="s">
        <v>63</v>
      </c>
      <c r="I1741" s="80" t="s">
        <v>63</v>
      </c>
      <c r="J1741" s="80">
        <v>4112.0</v>
      </c>
      <c r="K1741" s="80">
        <v>0.858275934042997</v>
      </c>
      <c r="L1741" s="80" t="s">
        <v>64</v>
      </c>
    </row>
    <row r="1742">
      <c r="A1742" s="80" t="s">
        <v>78</v>
      </c>
      <c r="B1742" s="81" t="str">
        <f>HYPERLINK("https://www.youtube.com/channel/UCXnWjmQ8BDE0sDIeZLK5yJg", "點 Cook Guide")</f>
        <v>點 Cook Guide</v>
      </c>
      <c r="C1742" s="80" t="s">
        <v>2009</v>
      </c>
      <c r="D1742" s="81" t="str">
        <f>HYPERLINK("https://youtube.com/watch?v=fLkQEWrZ_ac", "番薯糖水/大學芋 Sweet Potato Soup/Candied Sweet Potatoes [by 點Cook Guide]")</f>
        <v>番薯糖水/大學芋 Sweet Potato Soup/Candied Sweet Potatoes [by 點Cook Guide]</v>
      </c>
      <c r="E1742" s="82">
        <v>43217.0</v>
      </c>
      <c r="F1742" s="80">
        <v>725.0</v>
      </c>
      <c r="G1742" s="80" t="s">
        <v>63</v>
      </c>
      <c r="I1742" s="80" t="s">
        <v>63</v>
      </c>
      <c r="J1742" s="80">
        <v>2203.0</v>
      </c>
      <c r="K1742" s="80">
        <v>0.976940133037694</v>
      </c>
      <c r="L1742" s="80" t="s">
        <v>64</v>
      </c>
    </row>
    <row r="1743">
      <c r="A1743" s="80" t="s">
        <v>1151</v>
      </c>
      <c r="B1743" s="81" t="str">
        <f>HYPERLINK("https://www.youtube.com/channel/UCYfkcllte2OCuDxDycQxsEA", "The Champ")</f>
        <v>The Champ</v>
      </c>
      <c r="C1743" s="80" t="s">
        <v>2010</v>
      </c>
      <c r="D1743" s="81" t="str">
        <f>HYPERLINK("https://youtube.com/watch?v=fPAjKeLLh4w", "《祖哥早晨》第一期 第五集： 大馬嘅鐵打醫術連香港人都慕名嚟醫治！ （二）")</f>
        <v>《祖哥早晨》第一期 第五集： 大馬嘅鐵打醫術連香港人都慕名嚟醫治！ （二）</v>
      </c>
      <c r="E1743" s="82">
        <v>43381.0</v>
      </c>
      <c r="F1743" s="80">
        <v>551.0</v>
      </c>
      <c r="G1743" s="80" t="s">
        <v>63</v>
      </c>
      <c r="H1743" s="80" t="s">
        <v>63</v>
      </c>
      <c r="I1743" s="80" t="s">
        <v>63</v>
      </c>
      <c r="J1743" s="80">
        <v>2300.0</v>
      </c>
      <c r="K1743" s="80">
        <v>0.952480200083368</v>
      </c>
      <c r="L1743" s="80" t="s">
        <v>1153</v>
      </c>
    </row>
    <row r="1744">
      <c r="A1744" s="80" t="s">
        <v>61</v>
      </c>
      <c r="B1744" s="81" t="str">
        <f t="shared" ref="B1744:B1745" si="75">HYPERLINK("https://www.youtube.com/channel/UCJ4XVrJuqKHbc9yF9oUFseg", "MEeeep More")</f>
        <v>MEeeep More</v>
      </c>
      <c r="C1744" s="80" t="s">
        <v>2011</v>
      </c>
      <c r="D1744" s="81" t="str">
        <f>HYPERLINK("https://youtube.com/watch?v=fRlaRvlYeVY", "突發！ WhatsApp 動態貼圖登場！識郁貼紙！實機測試 - QRCode 一掃即Add登場！話你知點先用到！Whatsapp Animated Sticker Whatsapp QRCode")</f>
        <v>突發！ WhatsApp 動態貼圖登場！識郁貼紙！實機測試 - QRCode 一掃即Add登場！話你知點先用到！Whatsapp Animated Sticker Whatsapp QRCode</v>
      </c>
      <c r="E1744" s="82">
        <v>44014.0</v>
      </c>
      <c r="F1744" s="80">
        <v>139.0</v>
      </c>
      <c r="G1744" s="80" t="s">
        <v>63</v>
      </c>
      <c r="I1744" s="80" t="s">
        <v>63</v>
      </c>
      <c r="J1744" s="80">
        <v>393.0</v>
      </c>
      <c r="K1744" s="80">
        <v>0.648514851485148</v>
      </c>
      <c r="L1744" s="80" t="s">
        <v>64</v>
      </c>
    </row>
    <row r="1745">
      <c r="A1745" s="80" t="s">
        <v>61</v>
      </c>
      <c r="B1745" s="81" t="str">
        <f t="shared" si="75"/>
        <v>MEeeep More</v>
      </c>
      <c r="C1745" s="80" t="s">
        <v>2012</v>
      </c>
      <c r="D1745" s="81" t="str">
        <f>HYPERLINK("https://youtube.com/watch?v=fVoaDNv2A-o", "Casio G-Shock 智能手錶殺到！實試 G-SQUAD GBD-H1000 開箱！g shock GBDH1000 AppleWatch Garmin Amazfit T-Rex")</f>
        <v>Casio G-Shock 智能手錶殺到！實試 G-SQUAD GBD-H1000 開箱！g shock GBDH1000 AppleWatch Garmin Amazfit T-Rex</v>
      </c>
      <c r="E1745" s="82">
        <v>43999.0</v>
      </c>
      <c r="F1745" s="80">
        <v>279.0</v>
      </c>
      <c r="G1745" s="80" t="s">
        <v>63</v>
      </c>
      <c r="I1745" s="80" t="s">
        <v>63</v>
      </c>
      <c r="J1745" s="80">
        <v>774.0</v>
      </c>
      <c r="K1745" s="80">
        <v>0.737142857142857</v>
      </c>
      <c r="L1745" s="80" t="s">
        <v>64</v>
      </c>
    </row>
    <row r="1746">
      <c r="A1746" s="80" t="s">
        <v>278</v>
      </c>
      <c r="B1746" s="81" t="str">
        <f>HYPERLINK("https://www.youtube.com/channel/UCDoEdJo-PI-EKGNKomwLroQ", "mingjai14")</f>
        <v>mingjai14</v>
      </c>
      <c r="C1746" s="80" t="s">
        <v>2013</v>
      </c>
      <c r="D1746" s="81" t="str">
        <f>HYPERLINK("https://youtube.com/watch?v=fZMMqmkGcFY", "拗左3年，點解脫極都脫唔到歐❓| 脫歐懶人包🇬🇧(2)")</f>
        <v>拗左3年，點解脫極都脫唔到歐❓| 脫歐懶人包🇬🇧(2)</v>
      </c>
      <c r="E1746" s="82">
        <v>43557.0</v>
      </c>
      <c r="F1746" s="80">
        <v>576.0</v>
      </c>
      <c r="G1746" s="80" t="s">
        <v>63</v>
      </c>
      <c r="H1746" s="80" t="s">
        <v>63</v>
      </c>
      <c r="I1746" s="80" t="s">
        <v>63</v>
      </c>
      <c r="J1746" s="80">
        <v>2295.0</v>
      </c>
      <c r="K1746" s="80">
        <v>0.970846830171217</v>
      </c>
      <c r="L1746" s="80" t="s">
        <v>66</v>
      </c>
    </row>
    <row r="1747">
      <c r="A1747" s="80" t="s">
        <v>74</v>
      </c>
      <c r="B1747" s="81" t="str">
        <f>HYPERLINK("https://www.youtube.com/channel/UCO_5XP-qd-udNxBlzzSzgvw", "Handline Fishing")</f>
        <v>Handline Fishing</v>
      </c>
      <c r="C1747" s="80" t="s">
        <v>2014</v>
      </c>
      <c r="D1747" s="81" t="str">
        <f>HYPERLINK("https://youtube.com/watch?v=f_dlDjChxJ0", "#118 師徒惡戰青馬『香港釣魚 : 艇釣』青馬 {粵語旁白+中文字幕}")</f>
        <v>#118 師徒惡戰青馬『香港釣魚 : 艇釣』青馬 {粵語旁白+中文字幕}</v>
      </c>
      <c r="E1747" s="82">
        <v>43978.0</v>
      </c>
      <c r="F1747" s="80">
        <v>605.0</v>
      </c>
      <c r="G1747" s="80" t="s">
        <v>63</v>
      </c>
      <c r="I1747" s="80" t="s">
        <v>63</v>
      </c>
      <c r="J1747" s="80">
        <v>1620.0</v>
      </c>
      <c r="K1747" s="80">
        <v>0.964285714285714</v>
      </c>
      <c r="L1747" s="80" t="s">
        <v>1013</v>
      </c>
    </row>
    <row r="1748">
      <c r="A1748" s="80" t="s">
        <v>61</v>
      </c>
      <c r="B1748" s="81" t="str">
        <f>HYPERLINK("https://www.youtube.com/channel/UCJ4XVrJuqKHbc9yF9oUFseg", "MEeeep More")</f>
        <v>MEeeep More</v>
      </c>
      <c r="C1748" s="80" t="s">
        <v>2015</v>
      </c>
      <c r="D1748" s="81" t="str">
        <f>HYPERLINK("https://youtube.com/watch?v=fbnUaGxtIhA", "【氣炸鍋食譜】氣炸鍋燒春雞 兩個秘訣話你知！嫩滑多汁無難度！ 聖誕食譜 燒春雞食譜 燒雞 燒鷄 燒春鷄 roasted chicken")</f>
        <v>【氣炸鍋食譜】氣炸鍋燒春雞 兩個秘訣話你知！嫩滑多汁無難度！ 聖誕食譜 燒春雞食譜 燒雞 燒鷄 燒春鷄 roasted chicken</v>
      </c>
      <c r="E1748" s="82">
        <v>44189.0</v>
      </c>
      <c r="F1748" s="80">
        <v>170.0</v>
      </c>
      <c r="G1748" s="80" t="s">
        <v>63</v>
      </c>
      <c r="I1748" s="80" t="s">
        <v>63</v>
      </c>
      <c r="J1748" s="80">
        <v>380.0</v>
      </c>
      <c r="K1748" s="80">
        <v>0.881670533642691</v>
      </c>
      <c r="L1748" s="80" t="s">
        <v>64</v>
      </c>
    </row>
    <row r="1749">
      <c r="A1749" s="80" t="s">
        <v>129</v>
      </c>
      <c r="B1749" s="81" t="str">
        <f>HYPERLINK("https://www.youtube.com/channel/UCBbTnorwzva0ZIMGW0ttwVA", "阿豬 Ah Ju")</f>
        <v>阿豬 Ah Ju</v>
      </c>
      <c r="C1749" s="80" t="s">
        <v>2016</v>
      </c>
      <c r="D1749" s="81" t="str">
        <f>HYPERLINK("https://youtube.com/watch?v=feng0Mnv9xE", "克服市場畏高症，唔再錯過靚買入價")</f>
        <v>克服市場畏高症，唔再錯過靚買入價</v>
      </c>
      <c r="E1749" s="82">
        <v>44287.0</v>
      </c>
      <c r="F1749" s="80">
        <v>905.0</v>
      </c>
      <c r="G1749" s="80" t="s">
        <v>63</v>
      </c>
      <c r="I1749" s="80" t="s">
        <v>63</v>
      </c>
      <c r="J1749" s="80">
        <v>3208.0</v>
      </c>
      <c r="K1749" s="80">
        <v>0.801198801198801</v>
      </c>
      <c r="L1749" s="80" t="s">
        <v>2017</v>
      </c>
    </row>
    <row r="1750">
      <c r="A1750" s="80" t="s">
        <v>112</v>
      </c>
      <c r="B1750" s="81" t="str">
        <f>HYPERLINK("https://www.youtube.com/channel/UCW_n_gfIv4HhRqCk8EnRhJA", "Happy Kongner")</f>
        <v>Happy Kongner</v>
      </c>
      <c r="C1750" s="80" t="s">
        <v>2018</v>
      </c>
      <c r="D1750" s="81" t="str">
        <f>HYPERLINK("https://youtube.com/watch?v=fiXmJbudYKY", "Venom 《毒魔》：近十年最垃圾嘅Marvel相關電影？[𠝹櫈電影學會]")</f>
        <v>Venom 《毒魔》：近十年最垃圾嘅Marvel相關電影？[𠝹櫈電影學會]</v>
      </c>
      <c r="E1750" s="82">
        <v>43378.0</v>
      </c>
      <c r="F1750" s="80">
        <v>900.0</v>
      </c>
      <c r="G1750" s="80" t="s">
        <v>63</v>
      </c>
      <c r="I1750" s="80" t="s">
        <v>63</v>
      </c>
      <c r="J1750" s="80">
        <v>4460.0</v>
      </c>
      <c r="K1750" s="80">
        <v>0.831624090993846</v>
      </c>
      <c r="L1750" s="80" t="s">
        <v>64</v>
      </c>
    </row>
    <row r="1751">
      <c r="A1751" s="80" t="s">
        <v>61</v>
      </c>
      <c r="B1751" s="81" t="str">
        <f t="shared" ref="B1751:B1753" si="76">HYPERLINK("https://www.youtube.com/channel/UCJ4XVrJuqKHbc9yF9oUFseg", "MEeeep More")</f>
        <v>MEeeep More</v>
      </c>
      <c r="C1751" s="80" t="s">
        <v>2019</v>
      </c>
      <c r="D1751" s="81" t="str">
        <f>HYPERLINK("https://youtube.com/watch?v=fiZMi1QdSpA", "蕃茄薯仔湯 - 【抗疫湯水 - 全字幕簡易篇】抗氧化 增強抵抗力！滾湯 煲湯 簡單 湯水食譜 湯水教學")</f>
        <v>蕃茄薯仔湯 - 【抗疫湯水 - 全字幕簡易篇】抗氧化 增強抵抗力！滾湯 煲湯 簡單 湯水食譜 湯水教學</v>
      </c>
      <c r="E1751" s="82">
        <v>43955.0</v>
      </c>
      <c r="F1751" s="80">
        <v>220.0</v>
      </c>
      <c r="G1751" s="80" t="s">
        <v>63</v>
      </c>
      <c r="I1751" s="80" t="s">
        <v>63</v>
      </c>
      <c r="J1751" s="80">
        <v>423.0</v>
      </c>
      <c r="K1751" s="80">
        <v>0.883089770354906</v>
      </c>
      <c r="L1751" s="80" t="s">
        <v>64</v>
      </c>
    </row>
    <row r="1752">
      <c r="A1752" s="80" t="s">
        <v>61</v>
      </c>
      <c r="B1752" s="81" t="str">
        <f t="shared" si="76"/>
        <v>MEeeep More</v>
      </c>
      <c r="C1752" s="80" t="s">
        <v>2020</v>
      </c>
      <c r="D1752" s="81" t="str">
        <f>HYPERLINK("https://youtube.com/watch?v=fnC4uzX7zJU", "Honor Band 6 開箱評測 | Watch ES 同門師兄弟 屏幕比上代再大一半 極長續航力都只係幾百蚊? | honor band 6評測 榮耀手環6 honor watch es")</f>
        <v>Honor Band 6 開箱評測 | Watch ES 同門師兄弟 屏幕比上代再大一半 極長續航力都只係幾百蚊? | honor band 6評測 榮耀手環6 honor watch es</v>
      </c>
      <c r="E1752" s="82">
        <v>44392.0</v>
      </c>
      <c r="F1752" s="80">
        <v>178.0</v>
      </c>
      <c r="G1752" s="80" t="s">
        <v>63</v>
      </c>
      <c r="I1752" s="80" t="s">
        <v>63</v>
      </c>
      <c r="J1752" s="80">
        <v>527.0</v>
      </c>
      <c r="K1752" s="80">
        <v>0.778434268833087</v>
      </c>
      <c r="L1752" s="80" t="s">
        <v>64</v>
      </c>
    </row>
    <row r="1753">
      <c r="A1753" s="80" t="s">
        <v>61</v>
      </c>
      <c r="B1753" s="81" t="str">
        <f t="shared" si="76"/>
        <v>MEeeep More</v>
      </c>
      <c r="C1753" s="80" t="s">
        <v>2021</v>
      </c>
      <c r="D1753" s="81" t="str">
        <f>HYPERLINK("https://youtube.com/watch?v=fpECe5Rl9p8", "智能耳挖開箱！撩耳屎都可以智能 即睇耳道有幾污糟 BEBIRD T5 Pro 蜂鳥採耳")</f>
        <v>智能耳挖開箱！撩耳屎都可以智能 即睇耳道有幾污糟 BEBIRD T5 Pro 蜂鳥採耳</v>
      </c>
      <c r="E1753" s="82">
        <v>44097.0</v>
      </c>
      <c r="F1753" s="80">
        <v>132.0</v>
      </c>
      <c r="G1753" s="80" t="s">
        <v>63</v>
      </c>
      <c r="I1753" s="80" t="s">
        <v>63</v>
      </c>
      <c r="J1753" s="80">
        <v>358.0</v>
      </c>
      <c r="K1753" s="80">
        <v>0.795555555555555</v>
      </c>
      <c r="L1753" s="80" t="s">
        <v>64</v>
      </c>
    </row>
    <row r="1754">
      <c r="A1754" s="80" t="s">
        <v>1295</v>
      </c>
      <c r="B1754" s="81" t="str">
        <f>HYPERLINK("https://www.youtube.com/channel/UC6ZZDRNS6lxPqk3KvHv22Xg", "Gurpreet Singh")</f>
        <v>Gurpreet Singh</v>
      </c>
      <c r="C1754" s="80" t="s">
        <v>2022</v>
      </c>
      <c r="D1754" s="81" t="str">
        <f>HYPERLINK("https://youtube.com/watch?v=fxJ1M_BmtEU", "【宗教與文化】「拜火教」香港人")</f>
        <v>【宗教與文化】「拜火教」香港人</v>
      </c>
      <c r="E1754" s="82">
        <v>44034.0</v>
      </c>
      <c r="F1754" s="80">
        <v>370.0</v>
      </c>
      <c r="G1754" s="80" t="s">
        <v>63</v>
      </c>
      <c r="I1754" s="80" t="s">
        <v>63</v>
      </c>
      <c r="J1754" s="80">
        <v>1090.0</v>
      </c>
      <c r="K1754" s="80">
        <v>0.906821963394342</v>
      </c>
      <c r="L1754" s="80" t="s">
        <v>1071</v>
      </c>
    </row>
    <row r="1755">
      <c r="A1755" s="80" t="s">
        <v>61</v>
      </c>
      <c r="B1755" s="81" t="str">
        <f>HYPERLINK("https://www.youtube.com/channel/UCJ4XVrJuqKHbc9yF9oUFseg", "MEeeep More")</f>
        <v>MEeeep More</v>
      </c>
      <c r="C1755" s="80" t="s">
        <v>2023</v>
      </c>
      <c r="D1755" s="81" t="str">
        <f>HYPERLINK("https://youtube.com/watch?v=g41pTxabbXw", "咫尺共享 Nearby Share - Android 版 Airdrop來了！即試傳送 5秒send 140MB檔案！ 邊款手機即時用得？ NearbyShare Android Airdrop")</f>
        <v>咫尺共享 Nearby Share - Android 版 Airdrop來了！即試傳送 5秒send 140MB檔案！ 邊款手機即時用得？ NearbyShare Android Airdrop</v>
      </c>
      <c r="E1755" s="82">
        <v>44055.0</v>
      </c>
      <c r="F1755" s="80">
        <v>160.0</v>
      </c>
      <c r="G1755" s="80" t="s">
        <v>63</v>
      </c>
      <c r="I1755" s="80" t="s">
        <v>63</v>
      </c>
      <c r="J1755" s="80">
        <v>444.0</v>
      </c>
      <c r="K1755" s="80">
        <v>0.672727272727272</v>
      </c>
      <c r="L1755" s="80" t="s">
        <v>64</v>
      </c>
    </row>
    <row r="1756">
      <c r="A1756" s="80" t="s">
        <v>1310</v>
      </c>
      <c r="B1756" s="81" t="str">
        <f>HYPERLINK("https://www.youtube.com/channel/UC0-DuAJ8XNn3RH1aevvJWgA", "TomorrowLAN CSGO")</f>
        <v>TomorrowLAN CSGO</v>
      </c>
      <c r="C1756" s="80" t="s">
        <v>2024</v>
      </c>
      <c r="D1756" s="81" t="str">
        <f>HYPERLINK("https://youtube.com/watch?v=g52TpP861_c", "TML CS:GO週報 EP.3 (SCARZ全隊走人?  Dreamhack atlanta 2018回顧)")</f>
        <v>TML CS:GO週報 EP.3 (SCARZ全隊走人?  Dreamhack atlanta 2018回顧)</v>
      </c>
      <c r="E1756" s="82">
        <v>43427.0</v>
      </c>
      <c r="F1756" s="80">
        <v>527.0</v>
      </c>
      <c r="G1756" s="80" t="s">
        <v>63</v>
      </c>
      <c r="I1756" s="80" t="s">
        <v>63</v>
      </c>
      <c r="J1756" s="80">
        <v>1468.0</v>
      </c>
      <c r="K1756" s="80">
        <v>0.628155755241762</v>
      </c>
      <c r="L1756" s="80" t="s">
        <v>64</v>
      </c>
    </row>
    <row r="1757">
      <c r="A1757" s="80" t="s">
        <v>61</v>
      </c>
      <c r="B1757" s="81" t="str">
        <f>HYPERLINK("https://www.youtube.com/channel/UCJ4XVrJuqKHbc9yF9oUFseg", "MEeeep More")</f>
        <v>MEeeep More</v>
      </c>
      <c r="C1757" s="80" t="s">
        <v>2025</v>
      </c>
      <c r="D1757" s="81" t="str">
        <f>HYPERLINK("https://youtube.com/watch?v=g85UxqwTTjo", "AlipayHK 支付寶香港 Easygo 易乘碼 港鐵入閘即將開通！ 即睇注意事項！ 二維碼乘車 QRCode 地鐵 WeChat Pay 銀聯雲閃付")</f>
        <v>AlipayHK 支付寶香港 Easygo 易乘碼 港鐵入閘即將開通！ 即睇注意事項！ 二維碼乘車 QRCode 地鐵 WeChat Pay 銀聯雲閃付</v>
      </c>
      <c r="E1757" s="82">
        <v>44193.0</v>
      </c>
      <c r="F1757" s="80">
        <v>137.0</v>
      </c>
      <c r="G1757" s="80" t="s">
        <v>63</v>
      </c>
      <c r="I1757" s="80" t="s">
        <v>63</v>
      </c>
      <c r="J1757" s="80">
        <v>356.0</v>
      </c>
      <c r="K1757" s="80">
        <v>0.713426853707414</v>
      </c>
      <c r="L1757" s="80" t="s">
        <v>64</v>
      </c>
    </row>
    <row r="1758">
      <c r="A1758" s="80" t="s">
        <v>71</v>
      </c>
      <c r="B1758" s="81" t="str">
        <f t="shared" ref="B1758:B1759" si="77">HYPERLINK("https://www.youtube.com/channel/UCXTE-gQCetfrx_lC9yFM2aw", "arhoTV")</f>
        <v>arhoTV</v>
      </c>
      <c r="C1758" s="80" t="s">
        <v>2026</v>
      </c>
      <c r="D1758" s="81" t="str">
        <f>HYPERLINK("https://youtube.com/watch?v=gIGXi3c2iWo", "【日常】變身Melody去行街搵食！")</f>
        <v>【日常】變身Melody去行街搵食！</v>
      </c>
      <c r="E1758" s="82">
        <v>42784.0</v>
      </c>
      <c r="F1758" s="80">
        <v>139.0</v>
      </c>
      <c r="G1758" s="80" t="s">
        <v>63</v>
      </c>
      <c r="H1758" s="80" t="s">
        <v>63</v>
      </c>
      <c r="I1758" s="80" t="s">
        <v>63</v>
      </c>
      <c r="J1758" s="80">
        <v>484.0</v>
      </c>
      <c r="K1758" s="80">
        <v>0.778135048231511</v>
      </c>
      <c r="L1758" s="80" t="s">
        <v>86</v>
      </c>
    </row>
    <row r="1759">
      <c r="A1759" s="80" t="s">
        <v>71</v>
      </c>
      <c r="B1759" s="81" t="str">
        <f t="shared" si="77"/>
        <v>arhoTV</v>
      </c>
      <c r="C1759" s="80" t="s">
        <v>2027</v>
      </c>
      <c r="D1759" s="81" t="str">
        <f>HYPERLINK("https://youtube.com/watch?v=gL-AmZsPQOE", "【日常】偽毒？我帶你行秋葉原！")</f>
        <v>【日常】偽毒？我帶你行秋葉原！</v>
      </c>
      <c r="E1759" s="82">
        <v>42791.0</v>
      </c>
      <c r="F1759" s="80">
        <v>204.0</v>
      </c>
      <c r="G1759" s="80" t="s">
        <v>63</v>
      </c>
      <c r="H1759" s="80" t="s">
        <v>63</v>
      </c>
      <c r="I1759" s="80" t="s">
        <v>63</v>
      </c>
      <c r="J1759" s="80">
        <v>645.0</v>
      </c>
      <c r="K1759" s="80">
        <v>0.801369863013698</v>
      </c>
      <c r="L1759" s="80" t="s">
        <v>86</v>
      </c>
    </row>
    <row r="1760">
      <c r="A1760" s="80" t="s">
        <v>274</v>
      </c>
      <c r="B1760" s="81" t="str">
        <f>HYPERLINK("https://www.youtube.com/channel/UC2oB9QCXs-RKtaKChrz4dKg", "MtzCherry")</f>
        <v>MtzCherry</v>
      </c>
      <c r="C1760" s="80" t="s">
        <v>2028</v>
      </c>
      <c r="D1760" s="81" t="str">
        <f>HYPERLINK("https://youtube.com/watch?v=gS1QmZUdhik", "🇭🇰 廣東話ASMR聖誕歌 Canto Christmas Song Cover || LIVING in HK")</f>
        <v>🇭🇰 廣東話ASMR聖誕歌 Canto Christmas Song Cover || LIVING in HK</v>
      </c>
      <c r="E1760" s="82">
        <v>43091.0</v>
      </c>
      <c r="F1760" s="80">
        <v>260.0</v>
      </c>
      <c r="G1760" s="80" t="s">
        <v>63</v>
      </c>
      <c r="H1760" s="80" t="s">
        <v>63</v>
      </c>
      <c r="I1760" s="80" t="s">
        <v>63</v>
      </c>
      <c r="J1760" s="80">
        <v>480.0</v>
      </c>
      <c r="K1760" s="80">
        <v>0.715350223546944</v>
      </c>
      <c r="L1760" s="80" t="s">
        <v>2029</v>
      </c>
    </row>
    <row r="1761">
      <c r="A1761" s="80" t="s">
        <v>74</v>
      </c>
      <c r="B1761" s="81" t="str">
        <f>HYPERLINK("https://www.youtube.com/channel/UCO_5XP-qd-udNxBlzzSzgvw", "Handline Fishing")</f>
        <v>Handline Fishing</v>
      </c>
      <c r="C1761" s="80" t="s">
        <v>2030</v>
      </c>
      <c r="D1761" s="81" t="str">
        <f>HYPERLINK("https://youtube.com/watch?v=gSGFRn3rNDo", "#67 釣沙巴∙∙∙等『香港釣魚 : 艇釣』青龍頭 {粵語旁白+中英文字幕}")</f>
        <v>#67 釣沙巴∙∙∙等『香港釣魚 : 艇釣』青龍頭 {粵語旁白+中英文字幕}</v>
      </c>
      <c r="E1761" s="82">
        <v>43803.0</v>
      </c>
      <c r="F1761" s="80">
        <v>622.0</v>
      </c>
      <c r="G1761" s="80" t="s">
        <v>63</v>
      </c>
      <c r="I1761" s="80" t="s">
        <v>63</v>
      </c>
      <c r="J1761" s="80">
        <v>1533.0</v>
      </c>
      <c r="K1761" s="80">
        <v>0.972693032015066</v>
      </c>
      <c r="L1761" s="80" t="s">
        <v>76</v>
      </c>
    </row>
    <row r="1762">
      <c r="A1762" s="80" t="s">
        <v>1310</v>
      </c>
      <c r="B1762" s="81" t="str">
        <f>HYPERLINK("https://www.youtube.com/channel/UC0-DuAJ8XNn3RH1aevvJWgA", "TomorrowLAN CSGO")</f>
        <v>TomorrowLAN CSGO</v>
      </c>
      <c r="C1762" s="80" t="s">
        <v>2031</v>
      </c>
      <c r="D1762" s="81" t="str">
        <f>HYPERLINK("https://youtube.com/watch?v=gTO4dXvxPV0", "香港CS:GO職業選手Freeman訪問   透露電競選手是如何煉成   即將出戰IEM Katowice亞洲預選賽")</f>
        <v>香港CS:GO職業選手Freeman訪問   透露電競選手是如何煉成   即將出戰IEM Katowice亞洲預選賽</v>
      </c>
      <c r="E1762" s="82">
        <v>43486.0</v>
      </c>
      <c r="F1762" s="80">
        <v>289.0</v>
      </c>
      <c r="G1762" s="80" t="s">
        <v>63</v>
      </c>
      <c r="H1762" s="80" t="s">
        <v>63</v>
      </c>
      <c r="I1762" s="80" t="s">
        <v>63</v>
      </c>
      <c r="J1762" s="80">
        <v>826.0</v>
      </c>
      <c r="K1762" s="80">
        <v>0.831822759315206</v>
      </c>
      <c r="L1762" s="80" t="s">
        <v>86</v>
      </c>
    </row>
    <row r="1763">
      <c r="A1763" s="80" t="s">
        <v>74</v>
      </c>
      <c r="B1763" s="81" t="str">
        <f>HYPERLINK("https://www.youtube.com/channel/UCO_5XP-qd-udNxBlzzSzgvw", "Handline Fishing")</f>
        <v>Handline Fishing</v>
      </c>
      <c r="C1763" s="80" t="s">
        <v>2032</v>
      </c>
      <c r="D1763" s="81" t="str">
        <f>HYPERLINK("https://youtube.com/watch?v=gWwdYHZnY8A", "#240 太公再開夾萬 | 香港釣魚 | 艇釣 | 西貢大頭艇 {粵語旁白+中英文字幕}")</f>
        <v>#240 太公再開夾萬 | 香港釣魚 | 艇釣 | 西貢大頭艇 {粵語旁白+中英文字幕}</v>
      </c>
      <c r="E1763" s="82">
        <v>44463.0</v>
      </c>
      <c r="F1763" s="80">
        <v>381.0</v>
      </c>
      <c r="G1763" s="80" t="s">
        <v>63</v>
      </c>
      <c r="H1763" s="80" t="s">
        <v>63</v>
      </c>
      <c r="I1763" s="80" t="s">
        <v>63</v>
      </c>
      <c r="J1763" s="80">
        <v>386.0</v>
      </c>
      <c r="K1763" s="80">
        <v>0.943089430894309</v>
      </c>
      <c r="L1763" s="80" t="s">
        <v>88</v>
      </c>
    </row>
    <row r="1764">
      <c r="A1764" s="80" t="s">
        <v>118</v>
      </c>
      <c r="B1764" s="81" t="str">
        <f>HYPERLINK("https://www.youtube.com/channel/UCHrgHYFc5KShMJDZNsDZh4g", "BETHNI Y")</f>
        <v>BETHNI Y</v>
      </c>
      <c r="C1764" s="80" t="s">
        <v>2033</v>
      </c>
      <c r="D1764" s="81" t="str">
        <f>HYPERLINK("https://youtube.com/watch?v=gemB2_cfRUc", "大閘蟹炒飯 &amp; 訂婚Q&amp;A [26 NOV - 1 DEC 2016] | Bethni Y")</f>
        <v>大閘蟹炒飯 &amp; 訂婚Q&amp;A [26 NOV - 1 DEC 2016] | Bethni Y</v>
      </c>
      <c r="E1764" s="82">
        <v>42711.0</v>
      </c>
      <c r="F1764" s="80">
        <v>1161.0</v>
      </c>
      <c r="G1764" s="80" t="s">
        <v>63</v>
      </c>
      <c r="I1764" s="80" t="s">
        <v>63</v>
      </c>
      <c r="J1764" s="80">
        <v>2837.0</v>
      </c>
      <c r="K1764" s="80">
        <v>0.818286703201615</v>
      </c>
      <c r="L1764" s="80" t="s">
        <v>64</v>
      </c>
    </row>
    <row r="1765">
      <c r="A1765" s="80" t="s">
        <v>233</v>
      </c>
      <c r="B1765" s="81" t="str">
        <f>HYPERLINK("https://www.youtube.com/channel/UCjL61vw5qtDQudezRnnv-ig", "rickolam1")</f>
        <v>rickolam1</v>
      </c>
      <c r="C1765" s="80" t="s">
        <v>2034</v>
      </c>
      <c r="D1765" s="81" t="str">
        <f>HYPERLINK("https://youtube.com/watch?v=ggtiLW45B4s", "【真人show】男友的禁忌 ・ 奧巴馬變白人?!")</f>
        <v>【真人show】男友的禁忌 ・ 奧巴馬變白人?!</v>
      </c>
      <c r="E1765" s="82">
        <v>42685.0</v>
      </c>
      <c r="F1765" s="80">
        <v>428.0</v>
      </c>
      <c r="G1765" s="80" t="s">
        <v>63</v>
      </c>
      <c r="H1765" s="80" t="s">
        <v>63</v>
      </c>
      <c r="I1765" s="80" t="s">
        <v>63</v>
      </c>
      <c r="J1765" s="80">
        <v>1975.0</v>
      </c>
      <c r="K1765" s="80">
        <v>0.945881226053639</v>
      </c>
      <c r="L1765" s="80" t="s">
        <v>1013</v>
      </c>
    </row>
    <row r="1766">
      <c r="A1766" s="80" t="s">
        <v>61</v>
      </c>
      <c r="B1766" s="81" t="str">
        <f>HYPERLINK("https://www.youtube.com/channel/UCJ4XVrJuqKHbc9yF9oUFseg", "MEeeep More")</f>
        <v>MEeeep More</v>
      </c>
      <c r="C1766" s="80" t="s">
        <v>2035</v>
      </c>
      <c r="D1766" s="81" t="str">
        <f>HYPERLINK("https://youtube.com/watch?v=gi3w9MkSp2k", "澳洲昆士蘭自駕遊 沙灘撞正袋鼠打交!?　- 《食玩飛常遊》")</f>
        <v>澳洲昆士蘭自駕遊 沙灘撞正袋鼠打交!?　- 《食玩飛常遊》</v>
      </c>
      <c r="E1766" s="82">
        <v>43513.0</v>
      </c>
      <c r="F1766" s="80">
        <v>143.0</v>
      </c>
      <c r="G1766" s="80" t="s">
        <v>63</v>
      </c>
      <c r="I1766" s="80" t="s">
        <v>63</v>
      </c>
      <c r="J1766" s="80">
        <v>477.0</v>
      </c>
      <c r="K1766" s="80">
        <v>0.85637342908438</v>
      </c>
      <c r="L1766" s="80" t="s">
        <v>66</v>
      </c>
    </row>
    <row r="1767">
      <c r="A1767" s="80" t="s">
        <v>96</v>
      </c>
      <c r="B1767" s="81" t="str">
        <f>HYPERLINK("https://www.youtube.com/channel/UCGtyHJ-L_4RDIHe3XaLofQQ", "Anson Cheung")</f>
        <v>Anson Cheung</v>
      </c>
      <c r="C1767" s="80" t="s">
        <v>2036</v>
      </c>
      <c r="D1767" s="81" t="str">
        <f>HYPERLINK("https://youtube.com/watch?v=giX_hZvdg-o", "重奪 ANC 真無線耳機一哥地位 - Sony WF-1000XM4 評測｜超班降噪表現 + LDAC Wireless Hi-RES 音樂｜SONY WF-1000XM4 Review")</f>
        <v>重奪 ANC 真無線耳機一哥地位 - Sony WF-1000XM4 評測｜超班降噪表現 + LDAC Wireless Hi-RES 音樂｜SONY WF-1000XM4 Review</v>
      </c>
      <c r="E1767" s="82">
        <v>44379.0</v>
      </c>
      <c r="F1767" s="80">
        <v>836.0</v>
      </c>
      <c r="G1767" s="80" t="s">
        <v>63</v>
      </c>
      <c r="I1767" s="80" t="s">
        <v>63</v>
      </c>
      <c r="J1767" s="80">
        <v>2991.0</v>
      </c>
      <c r="K1767" s="80">
        <v>0.667932112550245</v>
      </c>
      <c r="L1767" s="80" t="s">
        <v>64</v>
      </c>
    </row>
    <row r="1768">
      <c r="A1768" s="80" t="s">
        <v>61</v>
      </c>
      <c r="B1768" s="81" t="str">
        <f t="shared" ref="B1768:B1769" si="78">HYPERLINK("https://www.youtube.com/channel/UCJ4XVrJuqKHbc9yF9oUFseg", "MEeeep More")</f>
        <v>MEeeep More</v>
      </c>
      <c r="C1768" s="80" t="s">
        <v>2037</v>
      </c>
      <c r="D1768" s="81" t="str">
        <f>HYPERLINK("https://youtube.com/watch?v=gjgJ6ZVwnCk", "Linksys Velop mx4050 開箱評測！全港最平 Wi-Fi 6 三頻路由器 接收、速度、穩定性超晒班！Velop MX5300 Netgear Orbi TP-Link Deco")</f>
        <v>Linksys Velop mx4050 開箱評測！全港最平 Wi-Fi 6 三頻路由器 接收、速度、穩定性超晒班！Velop MX5300 Netgear Orbi TP-Link Deco</v>
      </c>
      <c r="E1768" s="82">
        <v>44070.0</v>
      </c>
      <c r="F1768" s="80">
        <v>299.0</v>
      </c>
      <c r="G1768" s="80" t="s">
        <v>63</v>
      </c>
      <c r="I1768" s="80" t="s">
        <v>63</v>
      </c>
      <c r="J1768" s="80">
        <v>791.0</v>
      </c>
      <c r="K1768" s="80">
        <v>0.70373665480427</v>
      </c>
      <c r="L1768" s="80" t="s">
        <v>64</v>
      </c>
    </row>
    <row r="1769">
      <c r="A1769" s="80" t="s">
        <v>61</v>
      </c>
      <c r="B1769" s="81" t="str">
        <f t="shared" si="78"/>
        <v>MEeeep More</v>
      </c>
      <c r="C1769" s="80" t="s">
        <v>2038</v>
      </c>
      <c r="D1769" s="81" t="str">
        <f>HYPERLINK("https://youtube.com/watch?v=gpf3M0g6HCw", "國泰航空資料外洩有你份？教你即查個人資料有無被盜用！- Z世代達人")</f>
        <v>國泰航空資料外洩有你份？教你即查個人資料有無被盜用！- Z世代達人</v>
      </c>
      <c r="E1769" s="82">
        <v>43399.0</v>
      </c>
      <c r="F1769" s="80">
        <v>206.0</v>
      </c>
      <c r="G1769" s="80" t="s">
        <v>63</v>
      </c>
      <c r="I1769" s="80" t="s">
        <v>63</v>
      </c>
      <c r="J1769" s="80">
        <v>671.0</v>
      </c>
      <c r="K1769" s="80">
        <v>0.975290697674418</v>
      </c>
      <c r="L1769" s="80" t="s">
        <v>64</v>
      </c>
    </row>
    <row r="1770">
      <c r="A1770" s="80" t="s">
        <v>74</v>
      </c>
      <c r="B1770" s="81" t="str">
        <f>HYPERLINK("https://www.youtube.com/channel/UCO_5XP-qd-udNxBlzzSzgvw", "Handline Fishing")</f>
        <v>Handline Fishing</v>
      </c>
      <c r="C1770" s="80" t="s">
        <v>2039</v>
      </c>
      <c r="D1770" s="81" t="str">
        <f>HYPERLINK("https://youtube.com/watch?v=grppXnR1FMM", "#161 尋找極高級煲湯食材..石崇魚 | 『香港釣魚 : 艇釣』將軍澳3匹自駕遊 {粵語旁白+中英文字幕}")</f>
        <v>#161 尋找極高級煲湯食材..石崇魚 | 『香港釣魚 : 艇釣』將軍澳3匹自駕遊 {粵語旁白+中英文字幕}</v>
      </c>
      <c r="E1770" s="82">
        <v>44138.0</v>
      </c>
      <c r="F1770" s="80">
        <v>380.0</v>
      </c>
      <c r="G1770" s="80" t="s">
        <v>63</v>
      </c>
      <c r="I1770" s="80" t="s">
        <v>63</v>
      </c>
      <c r="J1770" s="80">
        <v>964.0</v>
      </c>
      <c r="K1770" s="80">
        <v>0.984678243105209</v>
      </c>
      <c r="L1770" s="80" t="s">
        <v>271</v>
      </c>
    </row>
    <row r="1771">
      <c r="A1771" s="80" t="s">
        <v>112</v>
      </c>
      <c r="B1771" s="81" t="str">
        <f>HYPERLINK("https://www.youtube.com/channel/UCW_n_gfIv4HhRqCk8EnRhJA", "Happy Kongner")</f>
        <v>Happy Kongner</v>
      </c>
      <c r="C1771" s="80" t="s">
        <v>2040</v>
      </c>
      <c r="D1771" s="81" t="str">
        <f>HYPERLINK("https://youtube.com/watch?v=gtEeMo33pN0", "成王之路：人嘅夢想，係唔會完㗎！  [公仔書與卡通片:海賊王特輯 第五集]")</f>
        <v>成王之路：人嘅夢想，係唔會完㗎！  [公仔書與卡通片:海賊王特輯 第五集]</v>
      </c>
      <c r="E1771" s="82">
        <v>43491.0</v>
      </c>
      <c r="F1771" s="80">
        <v>874.0</v>
      </c>
      <c r="G1771" s="80" t="s">
        <v>63</v>
      </c>
      <c r="I1771" s="80" t="s">
        <v>63</v>
      </c>
      <c r="J1771" s="80">
        <v>4089.0</v>
      </c>
      <c r="K1771" s="80">
        <v>0.91476510067114</v>
      </c>
      <c r="L1771" s="80" t="s">
        <v>64</v>
      </c>
    </row>
    <row r="1772">
      <c r="A1772" s="80" t="s">
        <v>2041</v>
      </c>
      <c r="B1772" s="81" t="str">
        <f>HYPERLINK("https://www.youtube.com/channel/UCO6pB-ZN4XJ6MVkibvuEe0A", "SingSingTracker 星昇財經指標")</f>
        <v>SingSingTracker 星昇財經指標</v>
      </c>
      <c r="C1772" s="80" t="s">
        <v>2042</v>
      </c>
      <c r="D1772" s="81" t="str">
        <f>HYPERLINK("https://youtube.com/watch?v=6ZwlNjYQfYQ", "【比特幣災難應對手冊,是入市時機?】 Bitcoin 崩盤原因，入手前必知！｜新手必學另類Bitcoin 交易平台！（CC中文字幕) #cryptocurrency #加密貨幣錢包 #區塊鏈")</f>
        <v>【比特幣災難應對手冊,是入市時機?】 Bitcoin 崩盤原因，入手前必知！｜新手必學另類Bitcoin 交易平台！（CC中文字幕) #cryptocurrency #加密貨幣錢包 #區塊鏈</v>
      </c>
      <c r="E1772" s="82">
        <v>44348.0</v>
      </c>
      <c r="F1772" s="80">
        <v>400.0</v>
      </c>
      <c r="G1772" s="80" t="s">
        <v>63</v>
      </c>
      <c r="I1772" s="80" t="s">
        <v>63</v>
      </c>
      <c r="J1772" s="80">
        <v>1453.0</v>
      </c>
      <c r="K1772" s="80">
        <v>0.801876379690949</v>
      </c>
      <c r="L1772" s="80" t="s">
        <v>64</v>
      </c>
    </row>
    <row r="1773">
      <c r="A1773" s="80" t="s">
        <v>71</v>
      </c>
      <c r="B1773" s="81" t="str">
        <f>HYPERLINK("https://www.youtube.com/channel/UCXTE-gQCetfrx_lC9yFM2aw", "arhoTV")</f>
        <v>arhoTV</v>
      </c>
      <c r="C1773" s="80" t="s">
        <v>2043</v>
      </c>
      <c r="D1773" s="81" t="str">
        <f>HYPERLINK("https://youtube.com/watch?v=gy6RaO8ERn0", "【日常】全家一齊食生日飯！")</f>
        <v>【日常】全家一齊食生日飯！</v>
      </c>
      <c r="E1773" s="82">
        <v>42749.0</v>
      </c>
      <c r="F1773" s="80">
        <v>147.0</v>
      </c>
      <c r="G1773" s="80" t="s">
        <v>63</v>
      </c>
      <c r="H1773" s="80" t="s">
        <v>63</v>
      </c>
      <c r="I1773" s="80" t="s">
        <v>63</v>
      </c>
      <c r="J1773" s="80">
        <v>578.0</v>
      </c>
      <c r="K1773" s="80">
        <v>0.861167002012072</v>
      </c>
      <c r="L1773" s="80" t="s">
        <v>413</v>
      </c>
    </row>
    <row r="1774">
      <c r="A1774" s="80" t="s">
        <v>957</v>
      </c>
      <c r="B1774" s="81" t="str">
        <f>HYPERLINK("https://www.youtube.com/channel/UCNdV5VO81YBe5rfhOz1wRmA", "Con爆TV")</f>
        <v>Con爆TV</v>
      </c>
      <c r="C1774" s="80" t="s">
        <v>2044</v>
      </c>
      <c r="D1774" s="81" t="str">
        <f>HYPERLINK("https://youtube.com/watch?v=h47MbttQkfs", "【PAD】交換木魔女有問必答!! 點換、點用、有幾勁？一次過解答你的木魔女疑問")</f>
        <v>【PAD】交換木魔女有問必答!! 點換、點用、有幾勁？一次過解答你的木魔女疑問</v>
      </c>
      <c r="E1774" s="82">
        <v>43520.0</v>
      </c>
      <c r="F1774" s="80">
        <v>2013.0</v>
      </c>
      <c r="G1774" s="80" t="s">
        <v>63</v>
      </c>
      <c r="H1774" s="80" t="s">
        <v>63</v>
      </c>
      <c r="I1774" s="80" t="s">
        <v>63</v>
      </c>
      <c r="J1774" s="80">
        <v>960.0</v>
      </c>
      <c r="K1774" s="80">
        <v>0.933787731256085</v>
      </c>
      <c r="L1774" s="80" t="s">
        <v>66</v>
      </c>
    </row>
    <row r="1775">
      <c r="A1775" s="80" t="s">
        <v>1128</v>
      </c>
      <c r="B1775" s="81" t="str">
        <f>HYPERLINK("https://www.youtube.com/channel/UCe8jZzHeq8gGiqk5bESfpIw", "前線科技人員")</f>
        <v>前線科技人員</v>
      </c>
      <c r="C1775" s="80" t="s">
        <v>2045</v>
      </c>
      <c r="D1775" s="81" t="str">
        <f>HYPERLINK("https://youtube.com/watch?v=h7tBioLDHKw", "2016立法會選舉掃盲系列 第一集")</f>
        <v>2016立法會選舉掃盲系列 第一集</v>
      </c>
      <c r="E1775" s="82">
        <v>42584.0</v>
      </c>
      <c r="F1775" s="80">
        <v>147.0</v>
      </c>
      <c r="G1775" s="80" t="s">
        <v>63</v>
      </c>
      <c r="I1775" s="80" t="s">
        <v>63</v>
      </c>
      <c r="J1775" s="80">
        <v>581.0</v>
      </c>
      <c r="K1775" s="80">
        <v>0.979763912310286</v>
      </c>
      <c r="L1775" s="80" t="s">
        <v>64</v>
      </c>
    </row>
    <row r="1776">
      <c r="A1776" s="80" t="s">
        <v>71</v>
      </c>
      <c r="B1776" s="81" t="str">
        <f>HYPERLINK("https://www.youtube.com/channel/UCXTE-gQCetfrx_lC9yFM2aw", "arhoTV")</f>
        <v>arhoTV</v>
      </c>
      <c r="C1776" s="80" t="s">
        <v>2046</v>
      </c>
      <c r="D1776" s="81" t="str">
        <f>HYPERLINK("https://youtube.com/watch?v=h8ZrE7mDDoY", "【開箱】又有超驚喜的日本手信！")</f>
        <v>【開箱】又有超驚喜的日本手信！</v>
      </c>
      <c r="E1776" s="82">
        <v>42868.0</v>
      </c>
      <c r="F1776" s="80">
        <v>143.0</v>
      </c>
      <c r="G1776" s="80" t="s">
        <v>63</v>
      </c>
      <c r="H1776" s="80" t="s">
        <v>63</v>
      </c>
      <c r="I1776" s="80" t="s">
        <v>63</v>
      </c>
      <c r="J1776" s="80">
        <v>997.0</v>
      </c>
      <c r="K1776" s="80">
        <v>0.883116883116883</v>
      </c>
      <c r="L1776" s="80" t="s">
        <v>86</v>
      </c>
    </row>
    <row r="1777">
      <c r="A1777" s="80" t="s">
        <v>112</v>
      </c>
      <c r="B1777" s="81" t="str">
        <f>HYPERLINK("https://www.youtube.com/channel/UCW_n_gfIv4HhRqCk8EnRhJA", "Happy Kongner")</f>
        <v>Happy Kongner</v>
      </c>
      <c r="C1777" s="80" t="s">
        <v>2047</v>
      </c>
      <c r="D1777" s="81" t="str">
        <f>HYPERLINK("https://youtube.com/watch?v=hD9pLGE-iFQ", "[路西法效應下集] 如何應對路西法效應？ [做乜嘢懶人包]")</f>
        <v>[路西法效應下集] 如何應對路西法效應？ [做乜嘢懶人包]</v>
      </c>
      <c r="E1777" s="82">
        <v>43700.0</v>
      </c>
      <c r="F1777" s="80">
        <v>1890.0</v>
      </c>
      <c r="G1777" s="80" t="s">
        <v>63</v>
      </c>
      <c r="I1777" s="80" t="s">
        <v>63</v>
      </c>
      <c r="J1777" s="80">
        <v>8586.0</v>
      </c>
      <c r="K1777" s="80">
        <v>0.917601795447258</v>
      </c>
      <c r="L1777" s="80" t="s">
        <v>64</v>
      </c>
    </row>
    <row r="1778">
      <c r="A1778" s="80" t="s">
        <v>217</v>
      </c>
      <c r="B1778" s="81" t="str">
        <f>HYPERLINK("https://www.youtube.com/channel/UCXKg0qPRz32bs5Z4mTGF3TQ", "Stormtrooper白兵")</f>
        <v>Stormtrooper白兵</v>
      </c>
      <c r="C1778" s="80" t="s">
        <v>2048</v>
      </c>
      <c r="D1778" s="81" t="str">
        <f>HYPERLINK("https://youtube.com/watch?v=hFlrxIAW3Zs", "[人類文明進步？]5分鐘解釋「元宇宙」｜為何Facebook突然轉型？｜關加密貨幣咩事？｜Elon Musk隨時彈出！？｜人類文明會發展到咩地步？｜粵語中字")</f>
        <v>[人類文明進步？]5分鐘解釋「元宇宙」｜為何Facebook突然轉型？｜關加密貨幣咩事？｜Elon Musk隨時彈出！？｜人類文明會發展到咩地步？｜粵語中字</v>
      </c>
      <c r="E1778" s="82">
        <v>44504.0</v>
      </c>
      <c r="F1778" s="80">
        <v>919.0</v>
      </c>
      <c r="G1778" s="80" t="s">
        <v>63</v>
      </c>
      <c r="I1778" s="80" t="s">
        <v>63</v>
      </c>
      <c r="J1778" s="80">
        <v>3559.0</v>
      </c>
      <c r="K1778" s="80">
        <v>0.809415510575392</v>
      </c>
      <c r="L1778" s="80" t="s">
        <v>64</v>
      </c>
    </row>
    <row r="1779">
      <c r="A1779" s="80" t="s">
        <v>1310</v>
      </c>
      <c r="B1779" s="81" t="str">
        <f>HYPERLINK("https://www.youtube.com/channel/UC0-DuAJ8XNn3RH1aevvJWgA", "TomorrowLAN CSGO")</f>
        <v>TomorrowLAN CSGO</v>
      </c>
      <c r="C1779" s="80" t="s">
        <v>2049</v>
      </c>
      <c r="D1779" s="81" t="str">
        <f>HYPERLINK("https://youtube.com/watch?v=hH6WbgT3E2M", "[Team Outlaws] KIRI: 希望隊員可以吸收今次經驗, 下次冇咁緊張 [WESG 2018香港區亞軍]")</f>
        <v>[Team Outlaws] KIRI: 希望隊員可以吸收今次經驗, 下次冇咁緊張 [WESG 2018香港區亞軍]</v>
      </c>
      <c r="E1779" s="82">
        <v>43417.0</v>
      </c>
      <c r="F1779" s="80">
        <v>203.0</v>
      </c>
      <c r="G1779" s="80" t="s">
        <v>63</v>
      </c>
      <c r="I1779" s="80" t="s">
        <v>63</v>
      </c>
      <c r="J1779" s="80">
        <v>622.0</v>
      </c>
      <c r="K1779" s="80">
        <v>0.801546391752577</v>
      </c>
      <c r="L1779" s="80" t="s">
        <v>64</v>
      </c>
    </row>
    <row r="1780">
      <c r="A1780" s="80" t="s">
        <v>74</v>
      </c>
      <c r="B1780" s="81" t="str">
        <f>HYPERLINK("https://www.youtube.com/channel/UCO_5XP-qd-udNxBlzzSzgvw", "Handline Fishing")</f>
        <v>Handline Fishing</v>
      </c>
      <c r="C1780" s="80" t="s">
        <v>2050</v>
      </c>
      <c r="D1780" s="81" t="str">
        <f>HYPERLINK("https://youtube.com/watch?v=hKa1R7FRnxw", "#69 繼續尋找沙灘邊釣魚仔《第四集》『香港釣魚 : 岸釣』淺水灣  {粵語旁白+中英文字幕}")</f>
        <v>#69 繼續尋找沙灘邊釣魚仔《第四集》『香港釣魚 : 岸釣』淺水灣  {粵語旁白+中英文字幕}</v>
      </c>
      <c r="E1780" s="82">
        <v>43811.0</v>
      </c>
      <c r="F1780" s="80">
        <v>259.0</v>
      </c>
      <c r="G1780" s="80" t="s">
        <v>63</v>
      </c>
      <c r="I1780" s="80" t="s">
        <v>63</v>
      </c>
      <c r="J1780" s="80">
        <v>1015.0</v>
      </c>
      <c r="K1780" s="80">
        <v>0.953947368421052</v>
      </c>
      <c r="L1780" s="80" t="s">
        <v>1134</v>
      </c>
    </row>
    <row r="1781">
      <c r="A1781" s="80" t="s">
        <v>219</v>
      </c>
      <c r="B1781" s="81" t="str">
        <f>HYPERLINK("https://www.youtube.com/channel/UC9_PnptBIpNF0JXbJjd8TsQ", "Brown's Channel")</f>
        <v>Brown's Channel</v>
      </c>
      <c r="C1781" s="80" t="s">
        <v>2051</v>
      </c>
      <c r="D1781" s="81" t="str">
        <f>HYPERLINK("https://youtube.com/watch?v=hTr6V6tH9J0", "【一隻熊仔去旅行@深圳】#6 Family Mart － 超抵食嘅關東煮")</f>
        <v>【一隻熊仔去旅行@深圳】#6 Family Mart － 超抵食嘅關東煮</v>
      </c>
      <c r="E1781" s="82">
        <v>43608.0</v>
      </c>
      <c r="F1781" s="80">
        <v>232.0</v>
      </c>
      <c r="G1781" s="80" t="s">
        <v>63</v>
      </c>
      <c r="I1781" s="80" t="s">
        <v>63</v>
      </c>
      <c r="J1781" s="80">
        <v>618.0</v>
      </c>
      <c r="K1781" s="80">
        <v>0.891774891774891</v>
      </c>
      <c r="L1781" s="80" t="s">
        <v>64</v>
      </c>
    </row>
    <row r="1782">
      <c r="A1782" s="80" t="s">
        <v>112</v>
      </c>
      <c r="B1782" s="81" t="str">
        <f>HYPERLINK("https://www.youtube.com/channel/UCW_n_gfIv4HhRqCk8EnRhJA", "Happy Kongner")</f>
        <v>Happy Kongner</v>
      </c>
      <c r="C1782" s="80" t="s">
        <v>2052</v>
      </c>
      <c r="D1782" s="81" t="str">
        <f>HYPERLINK("https://youtube.com/watch?v=hUNb3AFUF9s", "[廣東話Game評] 暗榮除左囡囡仲有咩？真·三國無雙8 垃圾驚批鬥座 EP2 Humiliation Seat for Shitty Games  EP2")</f>
        <v>[廣東話Game評] 暗榮除左囡囡仲有咩？真·三國無雙8 垃圾驚批鬥座 EP2 Humiliation Seat for Shitty Games  EP2</v>
      </c>
      <c r="E1782" s="82">
        <v>43160.0</v>
      </c>
      <c r="F1782" s="80">
        <v>340.0</v>
      </c>
      <c r="G1782" s="80" t="s">
        <v>63</v>
      </c>
      <c r="I1782" s="80" t="s">
        <v>63</v>
      </c>
      <c r="J1782" s="80">
        <v>1596.0</v>
      </c>
      <c r="K1782" s="80">
        <v>0.888146911519198</v>
      </c>
      <c r="L1782" s="80" t="s">
        <v>64</v>
      </c>
    </row>
    <row r="1783">
      <c r="A1783" s="80" t="s">
        <v>2053</v>
      </c>
      <c r="B1783" s="81" t="str">
        <f>HYPERLINK("https://www.youtube.com/channel/UCWSXwnh1qdF4GOX6QrUB7Dw", "專業旅遊管家 Sam")</f>
        <v>專業旅遊管家 Sam</v>
      </c>
      <c r="C1783" s="80" t="s">
        <v>2054</v>
      </c>
      <c r="D1783" s="81" t="str">
        <f>HYPERLINK("https://youtube.com/watch?v=hVhOJraliuM", "果欄直擊：香港都買到日本蜜柑？")</f>
        <v>果欄直擊：香港都買到日本蜜柑？</v>
      </c>
      <c r="E1783" s="82">
        <v>44154.0</v>
      </c>
      <c r="F1783" s="80">
        <v>270.0</v>
      </c>
      <c r="G1783" s="80" t="s">
        <v>63</v>
      </c>
      <c r="I1783" s="80" t="s">
        <v>63</v>
      </c>
      <c r="J1783" s="80">
        <v>645.0</v>
      </c>
      <c r="K1783" s="80">
        <v>0.9984520123839</v>
      </c>
      <c r="L1783" s="80" t="s">
        <v>102</v>
      </c>
    </row>
    <row r="1784">
      <c r="A1784" s="80" t="s">
        <v>61</v>
      </c>
      <c r="B1784" s="81" t="str">
        <f>HYPERLINK("https://www.youtube.com/channel/UCJ4XVrJuqKHbc9yF9oUFseg", "MEeeep More")</f>
        <v>MEeeep More</v>
      </c>
      <c r="C1784" s="80" t="s">
        <v>2055</v>
      </c>
      <c r="D1784" s="81" t="str">
        <f>HYPERLINK("https://youtube.com/watch?v=hVsmozbw23c", "Nokia XR20 三防5G手機 | 軍規防護認證 IP68 防塵防水  耐用度極高 | xr20 nokia 三防手機2021")</f>
        <v>Nokia XR20 三防5G手機 | 軍規防護認證 IP68 防塵防水  耐用度極高 | xr20 nokia 三防手機2021</v>
      </c>
      <c r="E1784" s="82">
        <v>44404.0</v>
      </c>
      <c r="F1784" s="80">
        <v>139.0</v>
      </c>
      <c r="G1784" s="80" t="s">
        <v>63</v>
      </c>
      <c r="I1784" s="80" t="s">
        <v>63</v>
      </c>
      <c r="J1784" s="80">
        <v>357.0</v>
      </c>
      <c r="K1784" s="80">
        <v>0.728571428571428</v>
      </c>
      <c r="L1784" s="80" t="s">
        <v>64</v>
      </c>
    </row>
    <row r="1785">
      <c r="A1785" s="80" t="s">
        <v>2053</v>
      </c>
      <c r="B1785" s="81" t="str">
        <f>HYPERLINK("https://www.youtube.com/channel/UCWSXwnh1qdF4GOX6QrUB7Dw", "專業旅遊管家 Sam")</f>
        <v>專業旅遊管家 Sam</v>
      </c>
      <c r="C1785" s="80" t="s">
        <v>2056</v>
      </c>
      <c r="D1785" s="81" t="str">
        <f>HYPERLINK("https://youtube.com/watch?v=hYEf8Cp5sUA", "[中環分店] Donki 驚安之殿堂實地視察：究竟同日本有咩分別")</f>
        <v>[中環分店] Donki 驚安之殿堂實地視察：究竟同日本有咩分別</v>
      </c>
      <c r="E1785" s="82">
        <v>44140.0</v>
      </c>
      <c r="F1785" s="80">
        <v>620.0</v>
      </c>
      <c r="G1785" s="80" t="s">
        <v>63</v>
      </c>
      <c r="I1785" s="80" t="s">
        <v>63</v>
      </c>
      <c r="J1785" s="80">
        <v>1361.0</v>
      </c>
      <c r="K1785" s="80">
        <v>0.901324503311258</v>
      </c>
      <c r="L1785" s="80" t="s">
        <v>102</v>
      </c>
    </row>
    <row r="1786">
      <c r="A1786" s="80" t="s">
        <v>71</v>
      </c>
      <c r="B1786" s="81" t="str">
        <f>HYPERLINK("https://www.youtube.com/channel/UCXTE-gQCetfrx_lC9yFM2aw", "arhoTV")</f>
        <v>arhoTV</v>
      </c>
      <c r="C1786" s="80" t="s">
        <v>2057</v>
      </c>
      <c r="D1786" s="81" t="str">
        <f>HYPERLINK("https://youtube.com/watch?v=hZtY6zCQac4", "【日常】讀出我與阿聲的BL文？")</f>
        <v>【日常】讀出我與阿聲的BL文？</v>
      </c>
      <c r="E1786" s="82">
        <v>42796.0</v>
      </c>
      <c r="F1786" s="80">
        <v>151.0</v>
      </c>
      <c r="G1786" s="80" t="s">
        <v>63</v>
      </c>
      <c r="H1786" s="80" t="s">
        <v>63</v>
      </c>
      <c r="I1786" s="80" t="s">
        <v>63</v>
      </c>
      <c r="J1786" s="80">
        <v>648.0</v>
      </c>
      <c r="K1786" s="80">
        <v>0.785454545454545</v>
      </c>
      <c r="L1786" s="80" t="s">
        <v>413</v>
      </c>
    </row>
    <row r="1787">
      <c r="A1787" s="80" t="s">
        <v>74</v>
      </c>
      <c r="B1787" s="81" t="str">
        <f>HYPERLINK("https://www.youtube.com/channel/UCO_5XP-qd-udNxBlzzSzgvw", "Handline Fishing")</f>
        <v>Handline Fishing</v>
      </c>
      <c r="C1787" s="80" t="s">
        <v>2058</v>
      </c>
      <c r="D1787" s="81" t="str">
        <f>HYPERLINK("https://youtube.com/watch?v=hds8BUI01W4", "#209 維港黑沙鱲埋步，快啲去釣啦 |『香港釣魚 : 艇釣』維港 {粵語旁白+中英文字幕}")</f>
        <v>#209 維港黑沙鱲埋步，快啲去釣啦 |『香港釣魚 : 艇釣』維港 {粵語旁白+中英文字幕}</v>
      </c>
      <c r="E1787" s="82">
        <v>44322.0</v>
      </c>
      <c r="F1787" s="80">
        <v>481.0</v>
      </c>
      <c r="G1787" s="80" t="s">
        <v>63</v>
      </c>
      <c r="H1787" s="80" t="s">
        <v>63</v>
      </c>
      <c r="I1787" s="80" t="s">
        <v>63</v>
      </c>
      <c r="J1787" s="80">
        <v>579.0</v>
      </c>
      <c r="K1787" s="80">
        <v>0.973070017953321</v>
      </c>
      <c r="L1787" s="80" t="s">
        <v>88</v>
      </c>
    </row>
    <row r="1788">
      <c r="A1788" s="80" t="s">
        <v>61</v>
      </c>
      <c r="B1788" s="81" t="str">
        <f>HYPERLINK("https://www.youtube.com/channel/UCJ4XVrJuqKHbc9yF9oUFseg", "MEeeep More")</f>
        <v>MEeeep More</v>
      </c>
      <c r="C1788" s="80" t="s">
        <v>2059</v>
      </c>
      <c r="D1788" s="81" t="str">
        <f>HYPERLINK("https://youtube.com/watch?v=hgTSe25hZFQ", "iPhone ApplePay 八達通 Smart Octopus終登場！ 1分鐘快速設定教學！要唔手續費？加埋Suica得唔得一片睇晒！- Z世代達人")</f>
        <v>iPhone ApplePay 八達通 Smart Octopus終登場！ 1分鐘快速設定教學！要唔手續費？加埋Suica得唔得一片睇晒！- Z世代達人</v>
      </c>
      <c r="E1788" s="82">
        <v>43983.0</v>
      </c>
      <c r="F1788" s="80">
        <v>236.0</v>
      </c>
      <c r="G1788" s="80" t="s">
        <v>63</v>
      </c>
      <c r="I1788" s="80" t="s">
        <v>63</v>
      </c>
      <c r="J1788" s="80">
        <v>623.0</v>
      </c>
      <c r="K1788" s="80">
        <v>0.797695262483994</v>
      </c>
      <c r="L1788" s="80" t="s">
        <v>64</v>
      </c>
    </row>
    <row r="1789">
      <c r="A1789" s="80" t="s">
        <v>96</v>
      </c>
      <c r="B1789" s="81" t="str">
        <f>HYPERLINK("https://www.youtube.com/channel/UCGtyHJ-L_4RDIHe3XaLofQQ", "Anson Cheung")</f>
        <v>Anson Cheung</v>
      </c>
      <c r="C1789" s="80" t="s">
        <v>2060</v>
      </c>
      <c r="D1789" s="81" t="str">
        <f>HYPERLINK("https://youtube.com/watch?v=hkPhMBkRcD8", "唔係話佢唔好，但買之前要諗清楚！iPhone 13 Pro Max 長時間使用評測｜iPhone 13 Pro Max Long-Term Review｜Anson Cheung 手機評測")</f>
        <v>唔係話佢唔好，但買之前要諗清楚！iPhone 13 Pro Max 長時間使用評測｜iPhone 13 Pro Max Long-Term Review｜Anson Cheung 手機評測</v>
      </c>
      <c r="E1789" s="82">
        <v>44535.0</v>
      </c>
      <c r="F1789" s="80">
        <v>1052.0</v>
      </c>
      <c r="G1789" s="80" t="s">
        <v>63</v>
      </c>
      <c r="I1789" s="80" t="s">
        <v>63</v>
      </c>
      <c r="J1789" s="80">
        <v>4077.0</v>
      </c>
      <c r="K1789" s="80">
        <v>0.671774592189817</v>
      </c>
      <c r="L1789" s="80" t="s">
        <v>64</v>
      </c>
    </row>
    <row r="1790">
      <c r="A1790" s="80" t="s">
        <v>217</v>
      </c>
      <c r="B1790" s="81" t="str">
        <f>HYPERLINK("https://www.youtube.com/channel/UCXKg0qPRz32bs5Z4mTGF3TQ", "Stormtrooper白兵")</f>
        <v>Stormtrooper白兵</v>
      </c>
      <c r="C1790" s="80" t="s">
        <v>2061</v>
      </c>
      <c r="D1790" s="81" t="str">
        <f>HYPERLINK("https://youtube.com/watch?v=hky-cxsPK_4", "[粵語中字]F.B.I.之父－胡佛｜8任美國總統都驚左佢｜尼克遜有香港女朋友佢都知！？｜掌握美國最高實權的男人｜")</f>
        <v>[粵語中字]F.B.I.之父－胡佛｜8任美國總統都驚左佢｜尼克遜有香港女朋友佢都知！？｜掌握美國最高實權的男人｜</v>
      </c>
      <c r="E1790" s="82">
        <v>44266.0</v>
      </c>
      <c r="F1790" s="80">
        <v>1259.0</v>
      </c>
      <c r="G1790" s="80" t="s">
        <v>63</v>
      </c>
      <c r="H1790" s="80" t="s">
        <v>63</v>
      </c>
      <c r="I1790" s="80" t="s">
        <v>63</v>
      </c>
      <c r="J1790" s="80">
        <v>5343.0</v>
      </c>
      <c r="K1790" s="80">
        <v>0.895124811526218</v>
      </c>
      <c r="L1790" s="80" t="s">
        <v>86</v>
      </c>
    </row>
    <row r="1791">
      <c r="A1791" s="80" t="s">
        <v>1183</v>
      </c>
      <c r="B1791" s="81" t="str">
        <f>HYPERLINK("https://www.youtube.com/channel/UCPBBbFYG51QpjuptQtYfCDA", "siuwaiboy")</f>
        <v>siuwaiboy</v>
      </c>
      <c r="C1791" s="80" t="s">
        <v>2062</v>
      </c>
      <c r="D1791" s="81" t="str">
        <f>HYPERLINK("https://youtube.com/watch?v=hl6OqnPHv00", "消失的生肖")</f>
        <v>消失的生肖</v>
      </c>
      <c r="E1791" s="82">
        <v>43151.0</v>
      </c>
      <c r="F1791" s="80">
        <v>140.0</v>
      </c>
      <c r="G1791" s="80" t="s">
        <v>63</v>
      </c>
      <c r="I1791" s="80" t="s">
        <v>63</v>
      </c>
      <c r="J1791" s="80">
        <v>520.0</v>
      </c>
      <c r="K1791" s="80">
        <v>0.966542750929368</v>
      </c>
      <c r="L1791" s="80" t="s">
        <v>64</v>
      </c>
    </row>
    <row r="1792">
      <c r="A1792" s="80" t="s">
        <v>96</v>
      </c>
      <c r="B1792" s="81" t="str">
        <f>HYPERLINK("https://www.youtube.com/channel/UCGtyHJ-L_4RDIHe3XaLofQQ", "Anson Cheung")</f>
        <v>Anson Cheung</v>
      </c>
      <c r="C1792" s="80" t="s">
        <v>2063</v>
      </c>
      <c r="D1792" s="81" t="str">
        <f>HYPERLINK("https://youtube.com/watch?v=hnpu-bbgO3g", "點樣設計一張夢想工作電腦檯？🤔 Dream Desk Setup Tips &amp; Tricks｜三套最佳拍檔滑鼠+鍵盤組合推介｜Logitech 特約贊助")</f>
        <v>點樣設計一張夢想工作電腦檯？🤔 Dream Desk Setup Tips &amp; Tricks｜三套最佳拍檔滑鼠+鍵盤組合推介｜Logitech 特約贊助</v>
      </c>
      <c r="E1792" s="82">
        <v>44232.0</v>
      </c>
      <c r="F1792" s="80">
        <v>609.0</v>
      </c>
      <c r="G1792" s="80" t="s">
        <v>63</v>
      </c>
      <c r="I1792" s="80" t="s">
        <v>63</v>
      </c>
      <c r="J1792" s="80">
        <v>2042.0</v>
      </c>
      <c r="K1792" s="80">
        <v>0.636732148425319</v>
      </c>
      <c r="L1792" s="80" t="s">
        <v>64</v>
      </c>
    </row>
    <row r="1793">
      <c r="A1793" s="80" t="s">
        <v>61</v>
      </c>
      <c r="B1793" s="81" t="str">
        <f>HYPERLINK("https://www.youtube.com/channel/UCJ4XVrJuqKHbc9yF9oUFseg", "MEeeep More")</f>
        <v>MEeeep More</v>
      </c>
      <c r="C1793" s="80" t="s">
        <v>2064</v>
      </c>
      <c r="D1793" s="81" t="str">
        <f>HYPERLINK("https://youtube.com/watch?v=hq9DiCkKxw4", "POCO X3 Pro 2021 升級現身 旗艦Snapdragon 860處理器  四鏡頭 前後鏡同步拍攝 打機睇片一樣啱 | mi poco x3 pro pocophone pocox3pro")</f>
        <v>POCO X3 Pro 2021 升級現身 旗艦Snapdragon 860處理器  四鏡頭 前後鏡同步拍攝 打機睇片一樣啱 | mi poco x3 pro pocophone pocox3pro</v>
      </c>
      <c r="E1793" s="82">
        <v>44279.0</v>
      </c>
      <c r="F1793" s="80">
        <v>190.0</v>
      </c>
      <c r="G1793" s="80" t="s">
        <v>63</v>
      </c>
      <c r="I1793" s="80" t="s">
        <v>63</v>
      </c>
      <c r="J1793" s="80">
        <v>457.0</v>
      </c>
      <c r="K1793" s="80">
        <v>0.698776758409785</v>
      </c>
      <c r="L1793" s="80" t="s">
        <v>64</v>
      </c>
    </row>
    <row r="1794">
      <c r="A1794" s="80" t="s">
        <v>74</v>
      </c>
      <c r="B1794" s="81" t="str">
        <f>HYPERLINK("https://www.youtube.com/channel/UCO_5XP-qd-udNxBlzzSzgvw", "Handline Fishing")</f>
        <v>Handline Fishing</v>
      </c>
      <c r="C1794" s="80" t="s">
        <v>2065</v>
      </c>
      <c r="D1794" s="81" t="str">
        <f>HYPERLINK("https://youtube.com/watch?v=hsa5Hsu0q4c", "#195 你會釣東水? 還是釣西水? 【東水篇】| 『香港釣魚 : 艇釣』果洲群島 【Saramonic 無線咪 BLINK500-Pro 評測】")</f>
        <v>#195 你會釣東水? 還是釣西水? 【東水篇】| 『香港釣魚 : 艇釣』果洲群島 【Saramonic 無線咪 BLINK500-Pro 評測】</v>
      </c>
      <c r="E1794" s="82">
        <v>44270.0</v>
      </c>
      <c r="F1794" s="80">
        <v>523.0</v>
      </c>
      <c r="G1794" s="80" t="s">
        <v>63</v>
      </c>
      <c r="H1794" s="80" t="s">
        <v>63</v>
      </c>
      <c r="I1794" s="80" t="s">
        <v>63</v>
      </c>
      <c r="J1794" s="80">
        <v>1002.0</v>
      </c>
      <c r="K1794" s="80">
        <v>0.95793499043977</v>
      </c>
      <c r="L1794" s="80" t="s">
        <v>88</v>
      </c>
    </row>
    <row r="1795">
      <c r="A1795" s="80" t="s">
        <v>61</v>
      </c>
      <c r="B1795" s="81" t="str">
        <f>HYPERLINK("https://www.youtube.com/channel/UCJ4XVrJuqKHbc9yF9oUFseg", "MEeeep More")</f>
        <v>MEeeep More</v>
      </c>
      <c r="C1795" s="80" t="s">
        <v>2066</v>
      </c>
      <c r="D1795" s="81" t="str">
        <f>HYPERLINK("https://youtube.com/watch?v=hvEFG6NExCo", "小米手環6 矚目登場 | 改用更大全面屏幕 全天候自動偵測血氧心率 | miband6 xiaomi band 血氧檢測 磁吸充電 apple watch")</f>
        <v>小米手環6 矚目登場 | 改用更大全面屏幕 全天候自動偵測血氧心率 | miband6 xiaomi band 血氧檢測 磁吸充電 apple watch</v>
      </c>
      <c r="E1795" s="82">
        <v>44290.0</v>
      </c>
      <c r="F1795" s="80">
        <v>167.0</v>
      </c>
      <c r="G1795" s="80" t="s">
        <v>63</v>
      </c>
      <c r="I1795" s="80" t="s">
        <v>63</v>
      </c>
      <c r="J1795" s="80">
        <v>528.0</v>
      </c>
      <c r="K1795" s="80">
        <v>0.861337683523654</v>
      </c>
      <c r="L1795" s="80" t="s">
        <v>64</v>
      </c>
    </row>
    <row r="1796">
      <c r="A1796" s="80" t="s">
        <v>74</v>
      </c>
      <c r="B1796" s="81" t="str">
        <f>HYPERLINK("https://www.youtube.com/channel/UCO_5XP-qd-udNxBlzzSzgvw", "Handline Fishing")</f>
        <v>Handline Fishing</v>
      </c>
      <c r="C1796" s="80" t="s">
        <v>2067</v>
      </c>
      <c r="D1796" s="81" t="str">
        <f>HYPERLINK("https://youtube.com/watch?v=hytL5P5GpCA", "#189 究竟水底係咩魚食餌，今次睇過夠 | 『香港釣魚 : 艇釣』青龍頭【OKUMA 寶熊釣具 CITRIX】")</f>
        <v>#189 究竟水底係咩魚食餌，今次睇過夠 | 『香港釣魚 : 艇釣』青龍頭【OKUMA 寶熊釣具 CITRIX】</v>
      </c>
      <c r="E1796" s="82">
        <v>44243.0</v>
      </c>
      <c r="F1796" s="80">
        <v>481.0</v>
      </c>
      <c r="G1796" s="80" t="s">
        <v>63</v>
      </c>
      <c r="H1796" s="80" t="s">
        <v>63</v>
      </c>
      <c r="I1796" s="80" t="s">
        <v>63</v>
      </c>
      <c r="J1796" s="80">
        <v>1207.0</v>
      </c>
      <c r="K1796" s="80">
        <v>0.979529170931422</v>
      </c>
      <c r="L1796" s="80" t="s">
        <v>271</v>
      </c>
    </row>
    <row r="1797">
      <c r="A1797" s="80" t="s">
        <v>61</v>
      </c>
      <c r="B1797" s="81" t="str">
        <f t="shared" ref="B1797:B1798" si="79">HYPERLINK("https://www.youtube.com/channel/UCJ4XVrJuqKHbc9yF9oUFseg", "MEeeep More")</f>
        <v>MEeeep More</v>
      </c>
      <c r="C1797" s="80" t="s">
        <v>2068</v>
      </c>
      <c r="D1797" s="81" t="str">
        <f>HYPERLINK("https://youtube.com/watch?v=i2EmoPxVobk", "2020 台北捷運環狀線開通！ 轉乘要注意呢件事......")</f>
        <v>2020 台北捷運環狀線開通！ 轉乘要注意呢件事......</v>
      </c>
      <c r="E1797" s="82">
        <v>43864.0</v>
      </c>
      <c r="F1797" s="80">
        <v>172.0</v>
      </c>
      <c r="G1797" s="80" t="s">
        <v>63</v>
      </c>
      <c r="I1797" s="80" t="s">
        <v>63</v>
      </c>
      <c r="J1797" s="80">
        <v>509.0</v>
      </c>
      <c r="K1797" s="80">
        <v>0.907308377896613</v>
      </c>
      <c r="L1797" s="80" t="s">
        <v>64</v>
      </c>
    </row>
    <row r="1798">
      <c r="A1798" s="80" t="s">
        <v>61</v>
      </c>
      <c r="B1798" s="81" t="str">
        <f t="shared" si="79"/>
        <v>MEeeep More</v>
      </c>
      <c r="C1798" s="80" t="s">
        <v>2069</v>
      </c>
      <c r="D1798" s="81" t="str">
        <f>HYPERLINK("https://youtube.com/watch?v=i2uj-8glKP0", "增強免疫力 - 紅蘿蔔雪耳螺片湯 湯水DIY！湯水食譜 港式煲湯 生活百科 chinese soup recipe")</f>
        <v>增強免疫力 - 紅蘿蔔雪耳螺片湯 湯水DIY！湯水食譜 港式煲湯 生活百科 chinese soup recipe</v>
      </c>
      <c r="E1798" s="82">
        <v>44040.0</v>
      </c>
      <c r="F1798" s="80">
        <v>186.0</v>
      </c>
      <c r="G1798" s="80" t="s">
        <v>63</v>
      </c>
      <c r="I1798" s="80" t="s">
        <v>63</v>
      </c>
      <c r="J1798" s="80">
        <v>385.0</v>
      </c>
      <c r="K1798" s="80">
        <v>0.881006864988558</v>
      </c>
      <c r="L1798" s="80" t="s">
        <v>64</v>
      </c>
    </row>
    <row r="1799">
      <c r="A1799" s="80" t="s">
        <v>140</v>
      </c>
      <c r="B1799" s="81" t="str">
        <f>HYPERLINK("https://www.youtube.com/channel/UCHK0CZf9HEXs42qIO1GUouA", "TechiCardia")</f>
        <v>TechiCardia</v>
      </c>
      <c r="C1799" s="80" t="s">
        <v>2070</v>
      </c>
      <c r="D1799" s="81" t="str">
        <f>HYPERLINK("https://youtube.com/watch?v=i33WH1EFZ20", "【2077 窮砌大賽】 1060 夠組都未驚過 之 賽前宣言")</f>
        <v>【2077 窮砌大賽】 1060 夠組都未驚過 之 賽前宣言</v>
      </c>
      <c r="E1799" s="82">
        <v>44203.0</v>
      </c>
      <c r="F1799" s="80">
        <v>160.0</v>
      </c>
      <c r="G1799" s="80" t="s">
        <v>63</v>
      </c>
      <c r="I1799" s="80" t="s">
        <v>63</v>
      </c>
      <c r="J1799" s="80">
        <v>499.0</v>
      </c>
      <c r="K1799" s="80">
        <v>0.753776435045317</v>
      </c>
      <c r="L1799" s="80" t="s">
        <v>102</v>
      </c>
    </row>
    <row r="1800">
      <c r="A1800" s="80" t="s">
        <v>267</v>
      </c>
      <c r="B1800" s="81" t="str">
        <f>HYPERLINK("https://www.youtube.com/channel/UCcrhFT95jH5XqVVPyBhRbrA", "JFFT")</f>
        <v>JFFT</v>
      </c>
      <c r="C1800" s="80" t="s">
        <v>2071</v>
      </c>
      <c r="D1800" s="81" t="str">
        <f>HYPERLINK("https://youtube.com/watch?v=i5iH22iGTe0", "《佛誕，我要和聖誕的妳，約會》")</f>
        <v>《佛誕，我要和聖誕的妳，約會》</v>
      </c>
      <c r="E1800" s="82">
        <v>43242.0</v>
      </c>
      <c r="F1800" s="80">
        <v>185.0</v>
      </c>
      <c r="G1800" s="80" t="s">
        <v>63</v>
      </c>
      <c r="I1800" s="80" t="s">
        <v>63</v>
      </c>
      <c r="J1800" s="80">
        <v>376.0</v>
      </c>
      <c r="K1800" s="80">
        <v>0.951898734177215</v>
      </c>
      <c r="L1800" s="80" t="s">
        <v>64</v>
      </c>
    </row>
    <row r="1801">
      <c r="A1801" s="80" t="s">
        <v>1312</v>
      </c>
      <c r="B1801" s="81" t="str">
        <f>HYPERLINK("https://www.youtube.com/channel/UC1NxU2rbVZW0Rq6VHmaqoEQ", "Jarvis &amp; Isabella")</f>
        <v>Jarvis &amp; Isabella</v>
      </c>
      <c r="C1801" s="80" t="s">
        <v>2072</v>
      </c>
      <c r="D1801" s="81" t="str">
        <f>HYPERLINK("https://youtube.com/watch?v=i6hGbLoePBI", "【 英國生活 Vlog 】宅在家的一天 ｜CC 中文字幕｜Jarvis &amp; Isabella")</f>
        <v>【 英國生活 Vlog 】宅在家的一天 ｜CC 中文字幕｜Jarvis &amp; Isabella</v>
      </c>
      <c r="E1801" s="82">
        <v>44526.0</v>
      </c>
      <c r="F1801" s="80">
        <v>626.0</v>
      </c>
      <c r="G1801" s="80" t="s">
        <v>63</v>
      </c>
      <c r="I1801" s="80" t="s">
        <v>63</v>
      </c>
      <c r="J1801" s="80">
        <v>1450.0</v>
      </c>
      <c r="K1801" s="80">
        <v>0.820599886813808</v>
      </c>
      <c r="L1801" s="80" t="s">
        <v>64</v>
      </c>
    </row>
    <row r="1802">
      <c r="A1802" s="80" t="s">
        <v>74</v>
      </c>
      <c r="B1802" s="81" t="str">
        <f>HYPERLINK("https://www.youtube.com/channel/UCO_5XP-qd-udNxBlzzSzgvw", "Handline Fishing")</f>
        <v>Handline Fishing</v>
      </c>
      <c r="C1802" s="80" t="s">
        <v>2073</v>
      </c>
      <c r="D1802" s="81" t="str">
        <f>HYPERLINK("https://youtube.com/watch?v=i82Jo9j5FSY", "#111 岸邊周圍挖泥鯭解爛癮『香港釣魚 : 岸釣』中西區海濱長廊 {粵語旁白+中英文字幕}")</f>
        <v>#111 岸邊周圍挖泥鯭解爛癮『香港釣魚 : 岸釣』中西區海濱長廊 {粵語旁白+中英文字幕}</v>
      </c>
      <c r="E1802" s="82">
        <v>43957.0</v>
      </c>
      <c r="F1802" s="80">
        <v>262.0</v>
      </c>
      <c r="G1802" s="80" t="s">
        <v>63</v>
      </c>
      <c r="I1802" s="80" t="s">
        <v>63</v>
      </c>
      <c r="J1802" s="80">
        <v>1095.0</v>
      </c>
      <c r="K1802" s="80">
        <v>0.962214411247803</v>
      </c>
      <c r="L1802" s="80" t="s">
        <v>1013</v>
      </c>
    </row>
    <row r="1803">
      <c r="A1803" s="80" t="s">
        <v>103</v>
      </c>
      <c r="B1803" s="81" t="str">
        <f>HYPERLINK("https://www.youtube.com/channel/UCTVpvSswSER2sq1USBTGfnw", "Brittany Chan")</f>
        <v>Brittany Chan</v>
      </c>
      <c r="C1803" s="80" t="s">
        <v>2074</v>
      </c>
      <c r="D1803" s="81" t="str">
        <f>HYPERLINK("https://youtube.com/watch?v=i8qPdaHIEx8", "get ready with me for date night (eng + canto subs)")</f>
        <v>get ready with me for date night (eng + canto subs)</v>
      </c>
      <c r="E1803" s="82">
        <v>44535.0</v>
      </c>
      <c r="F1803" s="80">
        <v>827.0</v>
      </c>
      <c r="G1803" s="80" t="s">
        <v>63</v>
      </c>
      <c r="I1803" s="80" t="s">
        <v>63</v>
      </c>
      <c r="J1803" s="80">
        <v>2216.0</v>
      </c>
      <c r="K1803" s="80">
        <v>0.694018164735358</v>
      </c>
      <c r="L1803" s="80" t="s">
        <v>105</v>
      </c>
    </row>
    <row r="1804">
      <c r="A1804" s="80" t="s">
        <v>260</v>
      </c>
      <c r="B1804" s="81" t="str">
        <f>HYPERLINK("https://www.youtube.com/channel/UC-HXOikkLx7BGEfILGIpYOg", "港短 . 英移")</f>
        <v>港短 . 英移</v>
      </c>
      <c r="C1804" s="80" t="s">
        <v>2075</v>
      </c>
      <c r="D1804" s="81" t="str">
        <f>HYPERLINK("https://youtube.com/watch?v=iDXlDj9LLg0", "點解要走🔥?有冇試過俾人歧視?😲揾工難唔難💰?應唔應該早D走🤔?最唔仲意英國D咩🤢?點解叫港短.英移?我地同主子點識❤️?英國天氣好差? | 港短.英移 #HongKonger#移民英國 #英國香港人")</f>
        <v>點解要走🔥?有冇試過俾人歧視?😲揾工難唔難💰?應唔應該早D走🤔?最唔仲意英國D咩🤢?點解叫港短.英移?我地同主子點識❤️?英國天氣好差? | 港短.英移 #HongKonger#移民英國 #英國香港人</v>
      </c>
      <c r="E1804" s="82">
        <v>44560.0</v>
      </c>
      <c r="F1804" s="80">
        <v>597.0</v>
      </c>
      <c r="G1804" s="80" t="s">
        <v>63</v>
      </c>
      <c r="I1804" s="80" t="s">
        <v>63</v>
      </c>
      <c r="J1804" s="80">
        <v>2257.0</v>
      </c>
      <c r="K1804" s="80">
        <v>0.916362159967519</v>
      </c>
      <c r="L1804" s="80" t="s">
        <v>102</v>
      </c>
    </row>
    <row r="1805">
      <c r="A1805" s="80" t="s">
        <v>252</v>
      </c>
      <c r="B1805" s="81" t="str">
        <f>HYPERLINK("https://www.youtube.com/channel/UCrISkBm7rgsRUAw8018eWvw", "MoYung 慕容公子")</f>
        <v>MoYung 慕容公子</v>
      </c>
      <c r="C1805" s="80" t="s">
        <v>2076</v>
      </c>
      <c r="D1805" s="81" t="str">
        <f>HYPERLINK("https://youtube.com/watch?v=iF_JJBGXjiI", "【慕容Live直播】2016-12-21 : Filthy lucre 二人潛行任務！Mission#2 (ft.Bill)")</f>
        <v>【慕容Live直播】2016-12-21 : Filthy lucre 二人潛行任務！Mission#2 (ft.Bill)</v>
      </c>
      <c r="E1805" s="82">
        <v>42725.0</v>
      </c>
      <c r="F1805" s="80">
        <v>624.0</v>
      </c>
      <c r="G1805" s="80" t="s">
        <v>63</v>
      </c>
      <c r="H1805" s="80" t="s">
        <v>63</v>
      </c>
      <c r="I1805" s="80" t="s">
        <v>63</v>
      </c>
      <c r="J1805" s="80">
        <v>1705.0</v>
      </c>
      <c r="K1805" s="80">
        <v>0.949367088607594</v>
      </c>
      <c r="L1805" s="80" t="s">
        <v>86</v>
      </c>
    </row>
    <row r="1806">
      <c r="A1806" s="80" t="s">
        <v>112</v>
      </c>
      <c r="B1806" s="81" t="str">
        <f>HYPERLINK("https://www.youtube.com/channel/UCW_n_gfIv4HhRqCk8EnRhJA", "Happy Kongner")</f>
        <v>Happy Kongner</v>
      </c>
      <c r="C1806" s="80" t="s">
        <v>2077</v>
      </c>
      <c r="D1806" s="81" t="str">
        <f>HYPERLINK("https://youtube.com/watch?v=iInKT38cqP8", "[REVISED] 米迦精選集：我只是一個的士司機—逆權司機 A Taxi Driver  [𠝹櫈電影學會]")</f>
        <v>[REVISED] 米迦精選集：我只是一個的士司機—逆權司機 A Taxi Driver  [𠝹櫈電影學會]</v>
      </c>
      <c r="E1806" s="82">
        <v>43735.0</v>
      </c>
      <c r="F1806" s="80">
        <v>2515.0</v>
      </c>
      <c r="G1806" s="80" t="s">
        <v>63</v>
      </c>
      <c r="I1806" s="80" t="s">
        <v>63</v>
      </c>
      <c r="J1806" s="80">
        <v>12921.0</v>
      </c>
      <c r="K1806" s="80">
        <v>0.949724366041896</v>
      </c>
      <c r="L1806" s="80" t="s">
        <v>64</v>
      </c>
    </row>
    <row r="1807">
      <c r="A1807" s="80" t="s">
        <v>71</v>
      </c>
      <c r="B1807" s="81" t="str">
        <f>HYPERLINK("https://www.youtube.com/channel/UCXTE-gQCetfrx_lC9yFM2aw", "arhoTV")</f>
        <v>arhoTV</v>
      </c>
      <c r="C1807" s="80" t="s">
        <v>2078</v>
      </c>
      <c r="D1807" s="81" t="str">
        <f>HYPERLINK("https://youtube.com/watch?v=iMz27gLYD9c", "【日常】去迪士尼 同亞悠 睇 IRON MAN？【鐵甲奇俠飛行之旅】")</f>
        <v>【日常】去迪士尼 同亞悠 睇 IRON MAN？【鐵甲奇俠飛行之旅】</v>
      </c>
      <c r="E1807" s="82">
        <v>42747.0</v>
      </c>
      <c r="F1807" s="80">
        <v>188.0</v>
      </c>
      <c r="G1807" s="80" t="s">
        <v>63</v>
      </c>
      <c r="H1807" s="80" t="s">
        <v>63</v>
      </c>
      <c r="I1807" s="80" t="s">
        <v>63</v>
      </c>
      <c r="J1807" s="80">
        <v>645.0</v>
      </c>
      <c r="K1807" s="80">
        <v>0.735191637630662</v>
      </c>
      <c r="L1807" s="80" t="s">
        <v>413</v>
      </c>
    </row>
    <row r="1808">
      <c r="A1808" s="80" t="s">
        <v>74</v>
      </c>
      <c r="B1808" s="81" t="str">
        <f>HYPERLINK("https://www.youtube.com/channel/UCO_5XP-qd-udNxBlzzSzgvw", "Handline Fishing")</f>
        <v>Handline Fishing</v>
      </c>
      <c r="C1808" s="80" t="s">
        <v>2079</v>
      </c>
      <c r="D1808" s="81" t="str">
        <f>HYPERLINK("https://youtube.com/watch?v=iOYY7cRQ5WE", "#192 基哥竟然在臨尾一小時發難?! | 『香港釣魚 : 艇釣』石澳/維港 {粵語旁白+中英文字幕}")</f>
        <v>#192 基哥竟然在臨尾一小時發難?! | 『香港釣魚 : 艇釣』石澳/維港 {粵語旁白+中英文字幕}</v>
      </c>
      <c r="E1808" s="82">
        <v>44253.0</v>
      </c>
      <c r="F1808" s="80">
        <v>543.0</v>
      </c>
      <c r="G1808" s="80" t="s">
        <v>63</v>
      </c>
      <c r="I1808" s="80" t="s">
        <v>63</v>
      </c>
      <c r="J1808" s="80">
        <v>733.0</v>
      </c>
      <c r="K1808" s="80">
        <v>0.961942257217847</v>
      </c>
      <c r="L1808" s="80" t="s">
        <v>271</v>
      </c>
    </row>
    <row r="1809">
      <c r="A1809" s="80" t="s">
        <v>82</v>
      </c>
      <c r="B1809" s="81" t="str">
        <f>HYPERLINK("https://www.youtube.com/channel/UC6C2hkbggXIgapf5jn_V2Dw", "SpongeMob 852")</f>
        <v>SpongeMob 852</v>
      </c>
      <c r="C1809" s="80" t="s">
        <v>2080</v>
      </c>
      <c r="D1809" s="81" t="str">
        <f>HYPERLINK("https://youtube.com/watch?v=iQz4OwINqdY", "Para-T - AE86  [Official Lyric Video]")</f>
        <v>Para-T - AE86  [Official Lyric Video]</v>
      </c>
      <c r="E1809" s="82">
        <v>44538.0</v>
      </c>
      <c r="F1809" s="80">
        <v>134.0</v>
      </c>
      <c r="G1809" s="80" t="s">
        <v>63</v>
      </c>
      <c r="I1809" s="80" t="s">
        <v>63</v>
      </c>
      <c r="J1809" s="80">
        <v>180.0</v>
      </c>
      <c r="K1809" s="80">
        <v>0.18348623853211</v>
      </c>
      <c r="L1809" s="80" t="s">
        <v>64</v>
      </c>
    </row>
    <row r="1810">
      <c r="A1810" s="80" t="s">
        <v>1492</v>
      </c>
      <c r="B1810" s="81" t="str">
        <f>HYPERLINK("https://www.youtube.com/channel/UCTo1EIcKtkDYqiUqs4v_NlA", "【常公子】頻道TV - 中文中史歷史哲學")</f>
        <v>【常公子】頻道TV - 中文中史歷史哲學</v>
      </c>
      <c r="C1810" s="80" t="s">
        <v>2081</v>
      </c>
      <c r="D1810" s="81" t="str">
        <f>HYPERLINK("https://youtube.com/watch?v=iVib0m6X5TA", "粵語中史棟篤笑《大清亡國關慈禧蛋牛治》 第1回 太平天國 信耶穌得水牛")</f>
        <v>粵語中史棟篤笑《大清亡國關慈禧蛋牛治》 第1回 太平天國 信耶穌得水牛</v>
      </c>
      <c r="E1810" s="82">
        <v>43302.0</v>
      </c>
      <c r="F1810" s="80">
        <v>196.0</v>
      </c>
      <c r="G1810" s="80" t="s">
        <v>63</v>
      </c>
      <c r="I1810" s="80" t="s">
        <v>63</v>
      </c>
      <c r="J1810" s="80">
        <v>670.0</v>
      </c>
      <c r="K1810" s="80">
        <v>0.983847283406754</v>
      </c>
      <c r="L1810" s="80" t="s">
        <v>64</v>
      </c>
    </row>
    <row r="1811">
      <c r="A1811" s="80" t="s">
        <v>61</v>
      </c>
      <c r="B1811" s="81" t="str">
        <f>HYPERLINK("https://www.youtube.com/channel/UCJ4XVrJuqKHbc9yF9oUFseg", "MEeeep More")</f>
        <v>MEeeep More</v>
      </c>
      <c r="C1811" s="80" t="s">
        <v>2082</v>
      </c>
      <c r="D1811" s="81" t="str">
        <f>HYPERLINK("https://youtube.com/watch?v=iacetqGzMBk", "【簡易抗疫保健湯水】猴頭菇螺片煲豬骨 - 煲湯DIY  煲湯食譜  真空煲食譜")</f>
        <v>【簡易抗疫保健湯水】猴頭菇螺片煲豬骨 - 煲湯DIY  煲湯食譜  真空煲食譜</v>
      </c>
      <c r="E1811" s="82">
        <v>43905.0</v>
      </c>
      <c r="F1811" s="80">
        <v>203.0</v>
      </c>
      <c r="G1811" s="80" t="s">
        <v>63</v>
      </c>
      <c r="I1811" s="80" t="s">
        <v>63</v>
      </c>
      <c r="J1811" s="80">
        <v>548.0</v>
      </c>
      <c r="K1811" s="80">
        <v>0.911813643926788</v>
      </c>
      <c r="L1811" s="80" t="s">
        <v>64</v>
      </c>
    </row>
    <row r="1812">
      <c r="A1812" s="80" t="s">
        <v>1007</v>
      </c>
      <c r="B1812" s="81" t="str">
        <f>HYPERLINK("https://www.youtube.com/channel/UCCzgNTkFyDel0FDJtVNgEtQ", "香港人. 德國讀書之【真.洗濕左個頭.無得返轉頭】Miss Chan Life in Germany")</f>
        <v>香港人. 德國讀書之【真.洗濕左個頭.無得返轉頭】Miss Chan Life in Germany</v>
      </c>
      <c r="C1812" s="80" t="s">
        <v>2083</v>
      </c>
      <c r="D1812" s="81" t="str">
        <f>HYPERLINK("https://youtube.com/watch?v=ibqFi4WIoRw", "【德國無菌旅行團 】科隆地道啤酒館 | 百佳都有得買Kölsch | Halve Hahn 半隻雞真身 | 大叔的愛般既待應 (香港人製作. 廣東話. 中文字幕) 預告片 Trailer")</f>
        <v>【德國無菌旅行團 】科隆地道啤酒館 | 百佳都有得買Kölsch | Halve Hahn 半隻雞真身 | 大叔的愛般既待應 (香港人製作. 廣東話. 中文字幕) 預告片 Trailer</v>
      </c>
      <c r="E1812" s="82">
        <v>44429.0</v>
      </c>
      <c r="F1812" s="80">
        <v>60.0</v>
      </c>
      <c r="G1812" s="80" t="s">
        <v>63</v>
      </c>
      <c r="I1812" s="80" t="s">
        <v>63</v>
      </c>
      <c r="J1812" s="80">
        <v>334.0</v>
      </c>
      <c r="K1812" s="80">
        <v>0.888297872340425</v>
      </c>
      <c r="L1812" s="80" t="s">
        <v>64</v>
      </c>
    </row>
    <row r="1813">
      <c r="A1813" s="80" t="s">
        <v>61</v>
      </c>
      <c r="B1813" s="81" t="str">
        <f>HYPERLINK("https://www.youtube.com/channel/UCJ4XVrJuqKHbc9yF9oUFseg", "MEeeep More")</f>
        <v>MEeeep More</v>
      </c>
      <c r="C1813" s="80" t="s">
        <v>2084</v>
      </c>
      <c r="D1813" s="81" t="str">
        <f>HYPERLINK("https://youtube.com/watch?v=ibzIfiSzeK0", "新加坡麥當勞限定美食 椰漿飯漢堡 + 珍多冰麥旋風！睇到都想食！ - 《食玩飛常遊》")</f>
        <v>新加坡麥當勞限定美食 椰漿飯漢堡 + 珍多冰麥旋風！睇到都想食！ - 《食玩飛常遊》</v>
      </c>
      <c r="E1813" s="82">
        <v>43583.0</v>
      </c>
      <c r="F1813" s="80">
        <v>120.0</v>
      </c>
      <c r="G1813" s="80" t="s">
        <v>63</v>
      </c>
      <c r="I1813" s="80" t="s">
        <v>63</v>
      </c>
      <c r="J1813" s="80">
        <v>404.0</v>
      </c>
      <c r="K1813" s="80">
        <v>0.870689655172413</v>
      </c>
      <c r="L1813" s="80" t="s">
        <v>64</v>
      </c>
    </row>
    <row r="1814">
      <c r="A1814" s="80" t="s">
        <v>140</v>
      </c>
      <c r="B1814" s="81" t="str">
        <f>HYPERLINK("https://www.youtube.com/channel/UCHK0CZf9HEXs42qIO1GUouA", "TechiCardia")</f>
        <v>TechiCardia</v>
      </c>
      <c r="C1814" s="80" t="s">
        <v>2085</v>
      </c>
      <c r="D1814" s="81" t="str">
        <f>HYPERLINK("https://youtube.com/watch?v=idRitXOBf24", "Techtuber/醫科生 的「終極」電腦房？詳細評測全新工作枱 SETUP！有冇嘢後悔？可以改善？// 4K 【TechiCardia】[CC 廣東話字幕] [HK ROOM SETUP 2021]")</f>
        <v>Techtuber/醫科生 的「終極」電腦房？詳細評測全新工作枱 SETUP！有冇嘢後悔？可以改善？// 4K 【TechiCardia】[CC 廣東話字幕] [HK ROOM SETUP 2021]</v>
      </c>
      <c r="E1814" s="82">
        <v>44520.0</v>
      </c>
      <c r="F1814" s="80">
        <v>1679.0</v>
      </c>
      <c r="G1814" s="80" t="s">
        <v>63</v>
      </c>
      <c r="I1814" s="80" t="s">
        <v>63</v>
      </c>
      <c r="J1814" s="80">
        <v>5624.0</v>
      </c>
      <c r="K1814" s="80">
        <v>0.744900662251655</v>
      </c>
      <c r="L1814" s="80" t="s">
        <v>102</v>
      </c>
    </row>
    <row r="1815">
      <c r="A1815" s="80" t="s">
        <v>1010</v>
      </c>
      <c r="B1815" s="81" t="str">
        <f>HYPERLINK("https://www.youtube.com/channel/UC-nV0odAiVdjH3gB_uSeTcQ", "wepro180")</f>
        <v>wepro180</v>
      </c>
      <c r="C1815" s="80" t="s">
        <v>2086</v>
      </c>
      <c r="D1815" s="81" t="str">
        <f>HYPERLINK("https://youtube.com/watch?v=ihX9MBzos-c", "edvance 特約【wepro 教室 01】嘉倩 180 ─ DDoS 攻擊")</f>
        <v>edvance 特約【wepro 教室 01】嘉倩 180 ─ DDoS 攻擊</v>
      </c>
      <c r="E1815" s="82">
        <v>43212.0</v>
      </c>
      <c r="F1815" s="80">
        <v>67.0</v>
      </c>
      <c r="G1815" s="80" t="s">
        <v>63</v>
      </c>
      <c r="I1815" s="80" t="s">
        <v>63</v>
      </c>
      <c r="J1815" s="80">
        <v>229.0</v>
      </c>
      <c r="K1815" s="80">
        <v>0.8006993006993</v>
      </c>
      <c r="L1815" s="80" t="s">
        <v>64</v>
      </c>
    </row>
    <row r="1816">
      <c r="A1816" s="80" t="s">
        <v>71</v>
      </c>
      <c r="B1816" s="81" t="str">
        <f>HYPERLINK("https://www.youtube.com/channel/UCXTE-gQCetfrx_lC9yFM2aw", "arhoTV")</f>
        <v>arhoTV</v>
      </c>
      <c r="C1816" s="80" t="s">
        <v>2087</v>
      </c>
      <c r="D1816" s="81" t="str">
        <f>HYPERLINK("https://youtube.com/watch?v=ii2GqP8tyKk", "【飲食】鱈魚絲 可以 食唔完？")</f>
        <v>【飲食】鱈魚絲 可以 食唔完？</v>
      </c>
      <c r="E1816" s="82">
        <v>42740.0</v>
      </c>
      <c r="F1816" s="80">
        <v>163.0</v>
      </c>
      <c r="G1816" s="80" t="s">
        <v>63</v>
      </c>
      <c r="H1816" s="80" t="s">
        <v>63</v>
      </c>
      <c r="I1816" s="80" t="s">
        <v>63</v>
      </c>
      <c r="J1816" s="80">
        <v>660.0</v>
      </c>
      <c r="K1816" s="80">
        <v>0.893098782138024</v>
      </c>
      <c r="L1816" s="80" t="s">
        <v>86</v>
      </c>
    </row>
    <row r="1817">
      <c r="A1817" s="80" t="s">
        <v>1039</v>
      </c>
      <c r="B1817" s="81" t="str">
        <f>HYPERLINK("https://www.youtube.com/channel/UCiKEIxbv4RTzyLCKG17N-AA", "Hunting Archer")</f>
        <v>Hunting Archer</v>
      </c>
      <c r="C1817" s="80" t="s">
        <v>2088</v>
      </c>
      <c r="D1817" s="81" t="str">
        <f>HYPERLINK("https://youtube.com/watch?v=ipbTBIPEnmM", "【广州漫步之找数系列】根据观众要求拍摄四段不同地方但是都属于他们还没有遗忘的记忆 【Walk in GuangZhou】（粤语中字）")</f>
        <v>【广州漫步之找数系列】根据观众要求拍摄四段不同地方但是都属于他们还没有遗忘的记忆 【Walk in GuangZhou】（粤语中字）</v>
      </c>
      <c r="E1817" s="82">
        <v>44317.0</v>
      </c>
      <c r="F1817" s="80">
        <v>3150.0</v>
      </c>
      <c r="G1817" s="80" t="s">
        <v>63</v>
      </c>
      <c r="I1817" s="80" t="s">
        <v>63</v>
      </c>
      <c r="J1817" s="80">
        <v>8521.0</v>
      </c>
      <c r="K1817" s="80">
        <v>0.991851938074729</v>
      </c>
      <c r="L1817" s="80" t="s">
        <v>1308</v>
      </c>
    </row>
    <row r="1818">
      <c r="A1818" s="80" t="s">
        <v>252</v>
      </c>
      <c r="B1818" s="81" t="str">
        <f>HYPERLINK("https://www.youtube.com/channel/UCrISkBm7rgsRUAw8018eWvw", "MoYung 慕容公子")</f>
        <v>MoYung 慕容公子</v>
      </c>
      <c r="C1818" s="80" t="s">
        <v>2089</v>
      </c>
      <c r="D1818" s="81" t="str">
        <f>HYPERLINK("https://youtube.com/watch?v=irnfKBxsDhY", "《人中之龍》禁止談戀愛！")</f>
        <v>《人中之龍》禁止談戀愛！</v>
      </c>
      <c r="E1818" s="82">
        <v>42724.0</v>
      </c>
      <c r="F1818" s="80">
        <v>530.0</v>
      </c>
      <c r="G1818" s="80" t="s">
        <v>63</v>
      </c>
      <c r="I1818" s="80" t="s">
        <v>63</v>
      </c>
      <c r="J1818" s="80">
        <v>868.0</v>
      </c>
      <c r="K1818" s="80">
        <v>0.966592427616926</v>
      </c>
      <c r="L1818" s="80" t="s">
        <v>64</v>
      </c>
    </row>
    <row r="1819">
      <c r="A1819" s="80" t="s">
        <v>74</v>
      </c>
      <c r="B1819" s="81" t="str">
        <f>HYPERLINK("https://www.youtube.com/channel/UCO_5XP-qd-udNxBlzzSzgvw", "Handline Fishing")</f>
        <v>Handline Fishing</v>
      </c>
      <c r="C1819" s="80" t="s">
        <v>2090</v>
      </c>
      <c r="D1819" s="81" t="str">
        <f>HYPERLINK("https://youtube.com/watch?v=itUaiNhJtJY", "#173 繼續尋找石崇魚 | 『香港釣魚 : 艇釣』將軍澳3匹自駕遊 | 現場收音 |【Comica 無線咪 BoomX-U2 評測】")</f>
        <v>#173 繼續尋找石崇魚 | 『香港釣魚 : 艇釣』將軍澳3匹自駕遊 | 現場收音 |【Comica 無線咪 BoomX-U2 評測】</v>
      </c>
      <c r="E1819" s="82">
        <v>44180.0</v>
      </c>
      <c r="F1819" s="80">
        <v>485.0</v>
      </c>
      <c r="G1819" s="80" t="s">
        <v>63</v>
      </c>
      <c r="I1819" s="80" t="s">
        <v>63</v>
      </c>
      <c r="J1819" s="80">
        <v>930.0</v>
      </c>
      <c r="K1819" s="80">
        <v>0.962732919254658</v>
      </c>
      <c r="L1819" s="80" t="s">
        <v>271</v>
      </c>
    </row>
    <row r="1820">
      <c r="A1820" s="80" t="s">
        <v>743</v>
      </c>
      <c r="B1820" s="81" t="str">
        <f>HYPERLINK("https://www.youtube.com/channel/UCe6qQ8zbYQJgTBnZ9wBzm9w", "Willy Lee")</f>
        <v>Willy Lee</v>
      </c>
      <c r="C1820" s="80" t="s">
        <v>2091</v>
      </c>
      <c r="D1820" s="81" t="str">
        <f>HYPERLINK("https://youtube.com/watch?v=itakBdOYTzo", "🇯🇵【日本】鐮倉高校前男兒當入樽、思出橫丁居酒屋、原宿貼紙相、箱根海賊船睇富士山、仙石原超大芒草海！2019跨年遊EP4 - 箱根 鐮倉 江之島篇 - Willy Lee")</f>
        <v>🇯🇵【日本】鐮倉高校前男兒當入樽、思出橫丁居酒屋、原宿貼紙相、箱根海賊船睇富士山、仙石原超大芒草海！2019跨年遊EP4 - 箱根 鐮倉 江之島篇 - Willy Lee</v>
      </c>
      <c r="E1820" s="82">
        <v>44386.0</v>
      </c>
      <c r="F1820" s="80">
        <v>635.0</v>
      </c>
      <c r="G1820" s="80" t="s">
        <v>63</v>
      </c>
      <c r="I1820" s="80" t="s">
        <v>63</v>
      </c>
      <c r="J1820" s="80">
        <v>3262.0</v>
      </c>
      <c r="K1820" s="80">
        <v>0.924865324638503</v>
      </c>
      <c r="L1820" s="80" t="s">
        <v>745</v>
      </c>
    </row>
    <row r="1821">
      <c r="A1821" s="80" t="s">
        <v>1000</v>
      </c>
      <c r="B1821" s="81" t="str">
        <f>HYPERLINK("https://www.youtube.com/channel/UChJQlg1b_cOttPX3SiIh5gA", "Lau Dinha in Hong Kong - Hong Kong in the World")</f>
        <v>Lau Dinha in Hong Kong - Hong Kong in the World</v>
      </c>
      <c r="C1821" s="80" t="s">
        <v>2092</v>
      </c>
      <c r="D1821" s="81" t="str">
        <f>HYPERLINK("https://youtube.com/watch?v=ixRXshp7bls", "幫助學習廣東話的書籍？粵文電子書開箱！")</f>
        <v>幫助學習廣東話的書籍？粵文電子書開箱！</v>
      </c>
      <c r="E1821" s="82">
        <v>43714.0</v>
      </c>
      <c r="F1821" s="80">
        <v>202.0</v>
      </c>
      <c r="G1821" s="80" t="s">
        <v>63</v>
      </c>
      <c r="I1821" s="80" t="s">
        <v>63</v>
      </c>
      <c r="J1821" s="80">
        <v>789.0</v>
      </c>
      <c r="K1821" s="80">
        <v>0.989962358845671</v>
      </c>
      <c r="L1821" s="80" t="s">
        <v>64</v>
      </c>
    </row>
    <row r="1822">
      <c r="A1822" s="80" t="s">
        <v>217</v>
      </c>
      <c r="B1822" s="81" t="str">
        <f t="shared" ref="B1822:B1823" si="80">HYPERLINK("https://www.youtube.com/channel/UCXKg0qPRz32bs5Z4mTGF3TQ", "Stormtrooper白兵")</f>
        <v>Stormtrooper白兵</v>
      </c>
      <c r="C1822" s="80" t="s">
        <v>2093</v>
      </c>
      <c r="D1822" s="81" t="str">
        <f>HYPERLINK("https://youtube.com/watch?v=j0Ywntum7vg", "[地獄gag之王]菲臘親王原來同納粹、蘇聯好大淵源？｜分享爆笑地獄gag！｜粵語中字")</f>
        <v>[地獄gag之王]菲臘親王原來同納粹、蘇聯好大淵源？｜分享爆笑地獄gag！｜粵語中字</v>
      </c>
      <c r="E1822" s="82">
        <v>44301.0</v>
      </c>
      <c r="F1822" s="80">
        <v>929.0</v>
      </c>
      <c r="G1822" s="80" t="s">
        <v>63</v>
      </c>
      <c r="H1822" s="80" t="s">
        <v>63</v>
      </c>
      <c r="I1822" s="80" t="s">
        <v>63</v>
      </c>
      <c r="J1822" s="80">
        <v>3893.0</v>
      </c>
      <c r="K1822" s="80">
        <v>0.957452041318248</v>
      </c>
      <c r="L1822" s="80" t="s">
        <v>86</v>
      </c>
    </row>
    <row r="1823">
      <c r="A1823" s="80" t="s">
        <v>217</v>
      </c>
      <c r="B1823" s="81" t="str">
        <f t="shared" si="80"/>
        <v>Stormtrooper白兵</v>
      </c>
      <c r="C1823" s="80" t="s">
        <v>2094</v>
      </c>
      <c r="D1823" s="81" t="str">
        <f>HYPERLINK("https://youtube.com/watch?v=j0cjj0myzcM", "[政治BB班]什麼原因造成社會階級？政府利用市民好心，增大貧富懸殊！我們有自我歧視嗎？｜白兵一分鐘劇場，變左靈異故事！？｜粵語中字")</f>
        <v>[政治BB班]什麼原因造成社會階級？政府利用市民好心，增大貧富懸殊！我們有自我歧視嗎？｜白兵一分鐘劇場，變左靈異故事！？｜粵語中字</v>
      </c>
      <c r="E1823" s="82">
        <v>44516.0</v>
      </c>
      <c r="F1823" s="80">
        <v>798.0</v>
      </c>
      <c r="G1823" s="80" t="s">
        <v>63</v>
      </c>
      <c r="I1823" s="80" t="s">
        <v>63</v>
      </c>
      <c r="J1823" s="80">
        <v>2857.0</v>
      </c>
      <c r="K1823" s="80">
        <v>0.904973075704783</v>
      </c>
      <c r="L1823" s="80" t="s">
        <v>64</v>
      </c>
    </row>
    <row r="1824">
      <c r="A1824" s="80" t="s">
        <v>1118</v>
      </c>
      <c r="B1824" s="81" t="str">
        <f>HYPERLINK("https://www.youtube.com/channel/UCeyXZA7ofepOhL9Z9BATC1w", "80後夫婦移英日記 80s Couple UK Diary")</f>
        <v>80後夫婦移英日記 80s Couple UK Diary</v>
      </c>
      <c r="C1824" s="80" t="s">
        <v>2095</v>
      </c>
      <c r="D1824" s="81" t="str">
        <f>HYPERLINK("https://youtube.com/watch?v=j46xOJbdx3U", "英國藍領員工福利/ 點樣用 £5 喺英國有野食有野飲仲睇到場戲/ 我地教 Managers 講廣東話/ 公司聖誕派對/ Bristol 德國聖誕市集/ 帶你睇英國聖誕燈飾")</f>
        <v>英國藍領員工福利/ 點樣用 £5 喺英國有野食有野飲仲睇到場戲/ 我地教 Managers 講廣東話/ 公司聖誕派對/ Bristol 德國聖誕市集/ 帶你睇英國聖誕燈飾</v>
      </c>
      <c r="E1824" s="82">
        <v>44555.0</v>
      </c>
      <c r="F1824" s="80">
        <v>1075.0</v>
      </c>
      <c r="G1824" s="80" t="s">
        <v>63</v>
      </c>
      <c r="I1824" s="80" t="s">
        <v>63</v>
      </c>
      <c r="J1824" s="80">
        <v>3048.0</v>
      </c>
      <c r="K1824" s="80">
        <v>0.81432006411969</v>
      </c>
      <c r="L1824" s="80" t="s">
        <v>1071</v>
      </c>
    </row>
    <row r="1825">
      <c r="A1825" s="80" t="s">
        <v>61</v>
      </c>
      <c r="B1825" s="81" t="str">
        <f>HYPERLINK("https://www.youtube.com/channel/UCJ4XVrJuqKHbc9yF9oUFseg", "MEeeep More")</f>
        <v>MEeeep More</v>
      </c>
      <c r="C1825" s="80" t="s">
        <v>2096</v>
      </c>
      <c r="D1825" s="81" t="str">
        <f>HYPERLINK("https://youtube.com/watch?v=j6u335nE7fY", "Amazfit GTS2 Mini 開箱評測 | 媲美Apple Watch內建功能 體積更小 更高性價比 ? | amazfitGTS2Mini trex pro apple watch 7")</f>
        <v>Amazfit GTS2 Mini 開箱評測 | 媲美Apple Watch內建功能 體積更小 更高性價比 ? | amazfitGTS2Mini trex pro apple watch 7</v>
      </c>
      <c r="E1825" s="82">
        <v>44376.0</v>
      </c>
      <c r="F1825" s="80">
        <v>280.0</v>
      </c>
      <c r="G1825" s="80" t="s">
        <v>63</v>
      </c>
      <c r="I1825" s="80" t="s">
        <v>63</v>
      </c>
      <c r="J1825" s="80">
        <v>838.0</v>
      </c>
      <c r="K1825" s="80">
        <v>0.754275427542754</v>
      </c>
      <c r="L1825" s="80" t="s">
        <v>64</v>
      </c>
    </row>
    <row r="1826">
      <c r="A1826" s="80" t="s">
        <v>96</v>
      </c>
      <c r="B1826" s="81" t="str">
        <f>HYPERLINK("https://www.youtube.com/channel/UCGtyHJ-L_4RDIHe3XaLofQQ", "Anson Cheung")</f>
        <v>Anson Cheung</v>
      </c>
      <c r="C1826" s="80" t="s">
        <v>2097</v>
      </c>
      <c r="D1826" s="81" t="str">
        <f>HYPERLINK("https://youtube.com/watch?v=j7liAVo6yzE", "Samsung Galaxy Note8 試玩 | Samsung Galaxy Note8 First Look")</f>
        <v>Samsung Galaxy Note8 試玩 | Samsung Galaxy Note8 First Look</v>
      </c>
      <c r="E1826" s="82">
        <v>43002.0</v>
      </c>
      <c r="F1826" s="80">
        <v>366.0</v>
      </c>
      <c r="G1826" s="80" t="s">
        <v>63</v>
      </c>
      <c r="I1826" s="80" t="s">
        <v>63</v>
      </c>
      <c r="J1826" s="80">
        <v>924.0</v>
      </c>
      <c r="K1826" s="80">
        <v>0.634615384615384</v>
      </c>
      <c r="L1826" s="80" t="s">
        <v>64</v>
      </c>
    </row>
    <row r="1827">
      <c r="A1827" s="80" t="s">
        <v>69</v>
      </c>
      <c r="B1827" s="81" t="str">
        <f>HYPERLINK("https://www.youtube.com/channel/UCoVycxbCXEsd-mrP83EqVWQ", "馬米高 Michael MMG")</f>
        <v>馬米高 Michael MMG</v>
      </c>
      <c r="C1827" s="80" t="s">
        <v>2098</v>
      </c>
      <c r="D1827" s="81" t="str">
        <f>HYPERLINK("https://youtube.com/watch?v=j80zTC7IxJ0", "去吉野家dine out係錯 | 最BakChi英文問題")</f>
        <v>去吉野家dine out係錯 | 最BakChi英文問題</v>
      </c>
      <c r="E1827" s="82">
        <v>44044.0</v>
      </c>
      <c r="F1827" s="80">
        <v>394.0</v>
      </c>
      <c r="G1827" s="80" t="s">
        <v>63</v>
      </c>
      <c r="I1827" s="80" t="s">
        <v>63</v>
      </c>
      <c r="J1827" s="80">
        <v>42.0</v>
      </c>
      <c r="K1827" s="80">
        <v>0.269230769230769</v>
      </c>
      <c r="L1827" s="80" t="s">
        <v>64</v>
      </c>
    </row>
    <row r="1828">
      <c r="A1828" s="80" t="s">
        <v>1018</v>
      </c>
      <c r="B1828" s="81" t="str">
        <f>HYPERLINK("https://www.youtube.com/channel/UCAov0-xtECNVYPn46Ltifeg", "Jodieee in UK")</f>
        <v>Jodieee in UK</v>
      </c>
      <c r="C1828" s="80" t="s">
        <v>2099</v>
      </c>
      <c r="D1828" s="81" t="str">
        <f>HYPERLINK("https://youtube.com/watch?v=jDiGbHKuLVM", "【英國週末好去處】Coventry 高雲地利古城遊｜去齊古蹟教堂商場｜大伏定大推？")</f>
        <v>【英國週末好去處】Coventry 高雲地利古城遊｜去齊古蹟教堂商場｜大伏定大推？</v>
      </c>
      <c r="E1828" s="82">
        <v>44444.0</v>
      </c>
      <c r="F1828" s="80">
        <v>576.0</v>
      </c>
      <c r="G1828" s="80" t="s">
        <v>63</v>
      </c>
      <c r="I1828" s="80" t="s">
        <v>63</v>
      </c>
      <c r="J1828" s="80">
        <v>1008.0</v>
      </c>
      <c r="K1828" s="80">
        <v>0.758465011286681</v>
      </c>
      <c r="L1828" s="80" t="s">
        <v>102</v>
      </c>
    </row>
    <row r="1829">
      <c r="A1829" s="80" t="s">
        <v>1312</v>
      </c>
      <c r="B1829" s="81" t="str">
        <f>HYPERLINK("https://www.youtube.com/channel/UC1NxU2rbVZW0Rq6VHmaqoEQ", "Jarvis &amp; Isabella")</f>
        <v>Jarvis &amp; Isabella</v>
      </c>
      <c r="C1829" s="80" t="s">
        <v>2100</v>
      </c>
      <c r="D1829" s="81" t="str">
        <f>HYPERLINK("https://youtube.com/watch?v=jFuzPgEOwQM", "【 開箱嘢 】Black Friday &amp; Christmas 買咗啲乜？網上購物慳錢小秘訣 ~ ( ft . TopCashback ) ｜CC 中文字幕｜Jarvis &amp; Isabella")</f>
        <v>【 開箱嘢 】Black Friday &amp; Christmas 買咗啲乜？網上購物慳錢小秘訣 ~ ( ft . TopCashback ) ｜CC 中文字幕｜Jarvis &amp; Isabella</v>
      </c>
      <c r="E1829" s="82">
        <v>44560.0</v>
      </c>
      <c r="F1829" s="80">
        <v>775.0</v>
      </c>
      <c r="G1829" s="80" t="s">
        <v>63</v>
      </c>
      <c r="I1829" s="80" t="s">
        <v>63</v>
      </c>
      <c r="J1829" s="80">
        <v>2919.0</v>
      </c>
      <c r="K1829" s="80">
        <v>0.823413258110014</v>
      </c>
      <c r="L1829" s="80" t="s">
        <v>64</v>
      </c>
    </row>
    <row r="1830">
      <c r="A1830" s="80" t="s">
        <v>112</v>
      </c>
      <c r="B1830" s="81" t="str">
        <f t="shared" ref="B1830:B1831" si="81">HYPERLINK("https://www.youtube.com/channel/UCW_n_gfIv4HhRqCk8EnRhJA", "Happy Kongner")</f>
        <v>Happy Kongner</v>
      </c>
      <c r="C1830" s="80" t="s">
        <v>2101</v>
      </c>
      <c r="D1830" s="81" t="str">
        <f>HYPERLINK("https://youtube.com/watch?v=jNW6-Uf7QQc", "𠝹櫈電影學會x美帝的籃球特別篇！UNCLE DREW 簡評：名宿介紹/彩蛋解構")</f>
        <v>𠝹櫈電影學會x美帝的籃球特別篇！UNCLE DREW 簡評：名宿介紹/彩蛋解構</v>
      </c>
      <c r="E1830" s="82">
        <v>43283.0</v>
      </c>
      <c r="F1830" s="80">
        <v>923.0</v>
      </c>
      <c r="G1830" s="80" t="s">
        <v>63</v>
      </c>
      <c r="I1830" s="80" t="s">
        <v>63</v>
      </c>
      <c r="J1830" s="80">
        <v>4091.0</v>
      </c>
      <c r="K1830" s="80">
        <v>0.759702878365831</v>
      </c>
      <c r="L1830" s="80" t="s">
        <v>64</v>
      </c>
    </row>
    <row r="1831">
      <c r="A1831" s="80" t="s">
        <v>112</v>
      </c>
      <c r="B1831" s="81" t="str">
        <f t="shared" si="81"/>
        <v>Happy Kongner</v>
      </c>
      <c r="C1831" s="80" t="s">
        <v>2102</v>
      </c>
      <c r="D1831" s="81" t="str">
        <f>HYPERLINK("https://youtube.com/watch?v=jW-eLMjhG-Y", "情人節特別篇：米迦教你寫情詩 [西人文學]")</f>
        <v>情人節特別篇：米迦教你寫情詩 [西人文學]</v>
      </c>
      <c r="E1831" s="82">
        <v>43509.0</v>
      </c>
      <c r="F1831" s="80">
        <v>700.0</v>
      </c>
      <c r="G1831" s="80" t="s">
        <v>63</v>
      </c>
      <c r="I1831" s="80" t="s">
        <v>63</v>
      </c>
      <c r="J1831" s="80">
        <v>2808.0</v>
      </c>
      <c r="K1831" s="80">
        <v>0.710886075949367</v>
      </c>
      <c r="L1831" s="80" t="s">
        <v>64</v>
      </c>
    </row>
    <row r="1832">
      <c r="A1832" s="80" t="s">
        <v>957</v>
      </c>
      <c r="B1832" s="81" t="str">
        <f>HYPERLINK("https://www.youtube.com/channel/UCNdV5VO81YBe5rfhOz1wRmA", "Con爆TV")</f>
        <v>Con爆TV</v>
      </c>
      <c r="C1832" s="80" t="s">
        <v>2103</v>
      </c>
      <c r="D1832" s="81" t="str">
        <f>HYPERLINK("https://youtube.com/watch?v=jWys03diflE", "【PAD/Puzzle &amp; Dragons パズドラ】回鍋必抽龍喚士&amp;龍契士!! PAD史上最強抽蛋Pool值得你All in，全角色性能解說話你知大獎誰屬")</f>
        <v>【PAD/Puzzle &amp; Dragons パズドラ】回鍋必抽龍喚士&amp;龍契士!! PAD史上最強抽蛋Pool值得你All in，全角色性能解說話你知大獎誰屬</v>
      </c>
      <c r="E1832" s="82">
        <v>43505.0</v>
      </c>
      <c r="F1832" s="80">
        <v>652.0</v>
      </c>
      <c r="G1832" s="80" t="s">
        <v>63</v>
      </c>
      <c r="H1832" s="80" t="s">
        <v>63</v>
      </c>
      <c r="I1832" s="80" t="s">
        <v>63</v>
      </c>
      <c r="J1832" s="80">
        <v>3003.0</v>
      </c>
      <c r="K1832" s="80">
        <v>0.91</v>
      </c>
      <c r="L1832" s="80" t="s">
        <v>66</v>
      </c>
    </row>
    <row r="1833">
      <c r="A1833" s="80" t="s">
        <v>74</v>
      </c>
      <c r="B1833" s="81" t="str">
        <f>HYPERLINK("https://www.youtube.com/channel/UCO_5XP-qd-udNxBlzzSzgvw", "Handline Fishing")</f>
        <v>Handline Fishing</v>
      </c>
      <c r="C1833" s="80" t="s">
        <v>2104</v>
      </c>
      <c r="D1833" s="81" t="str">
        <f>HYPERLINK("https://youtube.com/watch?v=jdtHAKwHxYA", "#86 正月特產，大石狗公 @青馬橋底、汲水門大橋橋底『香港釣魚 : 艇釣』青龍頭 {粵語旁白+中英文字幕}")</f>
        <v>#86 正月特產，大石狗公 @青馬橋底、汲水門大橋橋底『香港釣魚 : 艇釣』青龍頭 {粵語旁白+中英文字幕}</v>
      </c>
      <c r="E1833" s="82">
        <v>43888.0</v>
      </c>
      <c r="F1833" s="80">
        <v>213.0</v>
      </c>
      <c r="G1833" s="80" t="s">
        <v>63</v>
      </c>
      <c r="I1833" s="80" t="s">
        <v>63</v>
      </c>
      <c r="J1833" s="80">
        <v>871.0</v>
      </c>
      <c r="K1833" s="80">
        <v>0.945711183496199</v>
      </c>
      <c r="L1833" s="80" t="s">
        <v>76</v>
      </c>
    </row>
    <row r="1834">
      <c r="A1834" s="80" t="s">
        <v>71</v>
      </c>
      <c r="B1834" s="81" t="str">
        <f>HYPERLINK("https://www.youtube.com/channel/UCXTE-gQCetfrx_lC9yFM2aw", "arhoTV")</f>
        <v>arhoTV</v>
      </c>
      <c r="C1834" s="80" t="s">
        <v>2105</v>
      </c>
      <c r="D1834" s="81" t="str">
        <f>HYPERLINK("https://youtube.com/watch?v=jk5cgWU0mHk", "【情人節】送咩禮物俾亞悠好？")</f>
        <v>【情人節】送咩禮物俾亞悠好？</v>
      </c>
      <c r="E1834" s="82">
        <v>42777.0</v>
      </c>
      <c r="F1834" s="80">
        <v>181.0</v>
      </c>
      <c r="G1834" s="80" t="s">
        <v>63</v>
      </c>
      <c r="H1834" s="80" t="s">
        <v>63</v>
      </c>
      <c r="I1834" s="80" t="s">
        <v>63</v>
      </c>
      <c r="J1834" s="80">
        <v>790.0</v>
      </c>
      <c r="K1834" s="80">
        <v>0.916473317865429</v>
      </c>
      <c r="L1834" s="80" t="s">
        <v>413</v>
      </c>
    </row>
    <row r="1835">
      <c r="A1835" s="80" t="s">
        <v>61</v>
      </c>
      <c r="B1835" s="81" t="str">
        <f>HYPERLINK("https://www.youtube.com/channel/UCJ4XVrJuqKHbc9yF9oUFseg", "MEeeep More")</f>
        <v>MEeeep More</v>
      </c>
      <c r="C1835" s="80" t="s">
        <v>2106</v>
      </c>
      <c r="D1835" s="81" t="str">
        <f>HYPERLINK("https://youtube.com/watch?v=jk7GUHJS1NU", "羽衣甘藍果汁 - 自家製蔬菜汁更健康！教你整2020新一代排毒果汁！羽衣甘藍 降血壓天然恩物 | 鉀 Kale Juice 西芹 青瓜 羽衣甘藍食譜 Detox")</f>
        <v>羽衣甘藍果汁 - 自家製蔬菜汁更健康！教你整2020新一代排毒果汁！羽衣甘藍 降血壓天然恩物 | 鉀 Kale Juice 西芹 青瓜 羽衣甘藍食譜 Detox</v>
      </c>
      <c r="E1835" s="82">
        <v>44109.0</v>
      </c>
      <c r="F1835" s="80">
        <v>184.0</v>
      </c>
      <c r="G1835" s="80" t="s">
        <v>63</v>
      </c>
      <c r="I1835" s="80" t="s">
        <v>63</v>
      </c>
      <c r="J1835" s="80">
        <v>446.0</v>
      </c>
      <c r="K1835" s="80">
        <v>0.888446215139442</v>
      </c>
      <c r="L1835" s="80" t="s">
        <v>64</v>
      </c>
    </row>
    <row r="1836">
      <c r="A1836" s="80" t="s">
        <v>278</v>
      </c>
      <c r="B1836" s="81" t="str">
        <f>HYPERLINK("https://www.youtube.com/channel/UCDoEdJo-PI-EKGNKomwLroQ", "mingjai14")</f>
        <v>mingjai14</v>
      </c>
      <c r="C1836" s="80" t="s">
        <v>2107</v>
      </c>
      <c r="D1836" s="81" t="str">
        <f>HYPERLINK("https://youtube.com/watch?v=jtO7fZMzBnc", "燥底大象怒撞車頭+大打出手｜非南非旅2｜Ep 10")</f>
        <v>燥底大象怒撞車頭+大打出手｜非南非旅2｜Ep 10</v>
      </c>
      <c r="E1836" s="82">
        <v>42970.0</v>
      </c>
      <c r="F1836" s="80">
        <v>750.0</v>
      </c>
      <c r="G1836" s="80" t="s">
        <v>63</v>
      </c>
      <c r="H1836" s="80" t="s">
        <v>63</v>
      </c>
      <c r="I1836" s="80" t="s">
        <v>63</v>
      </c>
      <c r="J1836" s="80">
        <v>1787.0</v>
      </c>
      <c r="K1836" s="80">
        <v>0.960236432025792</v>
      </c>
      <c r="L1836" s="80" t="s">
        <v>86</v>
      </c>
    </row>
    <row r="1837">
      <c r="A1837" s="80" t="s">
        <v>61</v>
      </c>
      <c r="B1837" s="81" t="str">
        <f>HYPERLINK("https://www.youtube.com/channel/UCJ4XVrJuqKHbc9yF9oUFseg", "MEeeep More")</f>
        <v>MEeeep More</v>
      </c>
      <c r="C1837" s="80" t="s">
        <v>2108</v>
      </c>
      <c r="D1837" s="81" t="str">
        <f>HYPERLINK("https://youtube.com/watch?v=jxeHLOTtxSA", "xiaomi 11t pro 5G 香港評測！小米11t評測 旗艋級高性價比之選 究竟有幾好？120Hz螢幕更新 120W HyperCharge 17分鐘充滿電！香港5G mi11t")</f>
        <v>xiaomi 11t pro 5G 香港評測！小米11t評測 旗艋級高性價比之選 究竟有幾好？120Hz螢幕更新 120W HyperCharge 17分鐘充滿電！香港5G mi11t</v>
      </c>
      <c r="E1837" s="82">
        <v>44470.0</v>
      </c>
      <c r="F1837" s="80">
        <v>178.0</v>
      </c>
      <c r="G1837" s="80" t="s">
        <v>63</v>
      </c>
      <c r="I1837" s="80" t="s">
        <v>63</v>
      </c>
      <c r="J1837" s="80">
        <v>479.0</v>
      </c>
      <c r="K1837" s="80">
        <v>0.782679738562091</v>
      </c>
      <c r="L1837" s="80" t="s">
        <v>64</v>
      </c>
    </row>
    <row r="1838">
      <c r="A1838" s="80" t="s">
        <v>1039</v>
      </c>
      <c r="B1838" s="81" t="str">
        <f>HYPERLINK("https://www.youtube.com/channel/UCiKEIxbv4RTzyLCKG17N-AA", "Hunting Archer")</f>
        <v>Hunting Archer</v>
      </c>
      <c r="C1838" s="80" t="s">
        <v>2109</v>
      </c>
      <c r="D1838" s="81" t="str">
        <f>HYPERLINK("https://youtube.com/watch?v=k-CjWSf_keA", "【广州漫步】登上麓湖公园公园上的鸿鹄楼 【Walk in GuangZhou】")</f>
        <v>【广州漫步】登上麓湖公园公园上的鸿鹄楼 【Walk in GuangZhou】</v>
      </c>
      <c r="E1838" s="82">
        <v>44324.0</v>
      </c>
      <c r="F1838" s="80">
        <v>1715.0</v>
      </c>
      <c r="G1838" s="80" t="s">
        <v>63</v>
      </c>
      <c r="I1838" s="80" t="s">
        <v>63</v>
      </c>
      <c r="J1838" s="80">
        <v>3277.0</v>
      </c>
      <c r="K1838" s="80">
        <v>0.993632504548211</v>
      </c>
      <c r="L1838" s="80" t="s">
        <v>912</v>
      </c>
    </row>
    <row r="1839">
      <c r="A1839" s="80" t="s">
        <v>121</v>
      </c>
      <c r="B1839" s="81" t="str">
        <f>HYPERLINK("https://www.youtube.com/channel/UC-2hWXRgCg-o5Waz36Yt7BA", "Arm Channel TV")</f>
        <v>Arm Channel TV</v>
      </c>
      <c r="C1839" s="80" t="s">
        <v>2110</v>
      </c>
      <c r="D1839" s="81" t="str">
        <f>HYPERLINK("https://youtube.com/watch?v=k1E9GNtn7G4", "混血肥仔食好西 | 油麻地篇 |  第二十二集")</f>
        <v>混血肥仔食好西 | 油麻地篇 |  第二十二集</v>
      </c>
      <c r="E1839" s="82">
        <v>44288.0</v>
      </c>
      <c r="F1839" s="80">
        <v>335.0</v>
      </c>
      <c r="G1839" s="80" t="s">
        <v>63</v>
      </c>
      <c r="I1839" s="80" t="s">
        <v>63</v>
      </c>
      <c r="J1839" s="80">
        <v>800.0</v>
      </c>
      <c r="K1839" s="80">
        <v>0.97323600973236</v>
      </c>
      <c r="L1839" s="80" t="s">
        <v>64</v>
      </c>
    </row>
    <row r="1840">
      <c r="A1840" s="80" t="s">
        <v>74</v>
      </c>
      <c r="B1840" s="81" t="str">
        <f>HYPERLINK("https://www.youtube.com/channel/UCO_5XP-qd-udNxBlzzSzgvw", "Handline Fishing")</f>
        <v>Handline Fishing</v>
      </c>
      <c r="C1840" s="80" t="s">
        <v>2111</v>
      </c>
      <c r="D1840" s="81" t="str">
        <f>HYPERLINK("https://youtube.com/watch?v=k3_nsic0z_c", "#168 東涌4指大泥鯭，埋步啦，你仲等幾時? | 『香港釣魚 : 岸釣』東涌橋墩 {粵語旁白+中英文字幕}")</f>
        <v>#168 東涌4指大泥鯭，埋步啦，你仲等幾時? | 『香港釣魚 : 岸釣』東涌橋墩 {粵語旁白+中英文字幕}</v>
      </c>
      <c r="E1840" s="82">
        <v>44162.0</v>
      </c>
      <c r="F1840" s="80">
        <v>353.0</v>
      </c>
      <c r="G1840" s="80" t="s">
        <v>63</v>
      </c>
      <c r="I1840" s="80" t="s">
        <v>63</v>
      </c>
      <c r="J1840" s="80">
        <v>706.0</v>
      </c>
      <c r="K1840" s="80">
        <v>0.951482479784366</v>
      </c>
      <c r="L1840" s="80" t="s">
        <v>271</v>
      </c>
    </row>
    <row r="1841">
      <c r="A1841" s="80" t="s">
        <v>1183</v>
      </c>
      <c r="B1841" s="81" t="str">
        <f>HYPERLINK("https://www.youtube.com/channel/UCPBBbFYG51QpjuptQtYfCDA", "siuwaiboy")</f>
        <v>siuwaiboy</v>
      </c>
      <c r="C1841" s="80" t="s">
        <v>2112</v>
      </c>
      <c r="D1841" s="81" t="str">
        <f>HYPERLINK("https://youtube.com/watch?v=k3zN10lbpp4", "邊條PK發明暑期作業？")</f>
        <v>邊條PK發明暑期作業？</v>
      </c>
      <c r="E1841" s="82">
        <v>43326.0</v>
      </c>
      <c r="F1841" s="80">
        <v>130.0</v>
      </c>
      <c r="G1841" s="80" t="s">
        <v>63</v>
      </c>
      <c r="H1841" s="80" t="s">
        <v>63</v>
      </c>
      <c r="I1841" s="80" t="s">
        <v>63</v>
      </c>
      <c r="J1841" s="80">
        <v>435.0</v>
      </c>
      <c r="K1841" s="80">
        <v>0.995271867612293</v>
      </c>
      <c r="L1841" s="80" t="s">
        <v>86</v>
      </c>
    </row>
    <row r="1842">
      <c r="A1842" s="80" t="s">
        <v>1082</v>
      </c>
      <c r="B1842" s="81" t="str">
        <f>HYPERLINK("https://www.youtube.com/channel/UCMosCy_NDf55rDQhzdX_h3w", "熊熊兒童音樂 Bear Music Ltd.")</f>
        <v>熊熊兒童音樂 Bear Music Ltd.</v>
      </c>
      <c r="C1842" s="80" t="s">
        <v>2113</v>
      </c>
      <c r="D1842" s="81" t="str">
        <f>HYPERLINK("https://youtube.com/watch?v=k57ysryUc64", "熊熊粵語兒童故事精選｜聽故事．講故事｜第三輯")</f>
        <v>熊熊粵語兒童故事精選｜聽故事．講故事｜第三輯</v>
      </c>
      <c r="E1842" s="82">
        <v>43557.0</v>
      </c>
      <c r="F1842" s="80">
        <v>1512.0</v>
      </c>
      <c r="G1842" s="80" t="s">
        <v>63</v>
      </c>
      <c r="I1842" s="80" t="s">
        <v>63</v>
      </c>
      <c r="J1842" s="80">
        <v>2054.0</v>
      </c>
      <c r="K1842" s="80">
        <v>0.970699432892249</v>
      </c>
      <c r="L1842" s="80" t="s">
        <v>64</v>
      </c>
    </row>
    <row r="1843">
      <c r="A1843" s="80" t="s">
        <v>1010</v>
      </c>
      <c r="B1843" s="81" t="str">
        <f>HYPERLINK("https://www.youtube.com/channel/UC-nV0odAiVdjH3gB_uSeTcQ", "wepro180")</f>
        <v>wepro180</v>
      </c>
      <c r="C1843" s="80" t="s">
        <v>2114</v>
      </c>
      <c r="D1843" s="81" t="str">
        <f>HYPERLINK("https://youtube.com/watch?v=kDulFBuQYDQ", "edvance 特約【wepro 教室 04】嘉倩 180 ─ Network Segmentation*")</f>
        <v>edvance 特約【wepro 教室 04】嘉倩 180 ─ Network Segmentation*</v>
      </c>
      <c r="E1843" s="82">
        <v>43216.0</v>
      </c>
      <c r="F1843" s="80">
        <v>58.0</v>
      </c>
      <c r="G1843" s="80" t="s">
        <v>63</v>
      </c>
      <c r="I1843" s="80" t="s">
        <v>63</v>
      </c>
      <c r="J1843" s="80">
        <v>214.0</v>
      </c>
      <c r="K1843" s="80">
        <v>0.764285714285714</v>
      </c>
      <c r="L1843" s="80" t="s">
        <v>64</v>
      </c>
    </row>
    <row r="1844">
      <c r="A1844" s="80" t="s">
        <v>61</v>
      </c>
      <c r="B1844" s="81" t="str">
        <f>HYPERLINK("https://www.youtube.com/channel/UCJ4XVrJuqKHbc9yF9oUFseg", "MEeeep More")</f>
        <v>MEeeep More</v>
      </c>
      <c r="C1844" s="80" t="s">
        <v>2115</v>
      </c>
      <c r="D1844" s="81" t="str">
        <f>HYPERLINK("https://youtube.com/watch?v=kEmYmXTXiWU", "POCO M4 Pro 5G | 全新高性價比 M 系列 | 首次加入 5,000 萬像素主鏡 + 超廣角鏡 | 5G 雙卡雙待 | 33W 極速充電")</f>
        <v>POCO M4 Pro 5G | 全新高性價比 M 系列 | 首次加入 5,000 萬像素主鏡 + 超廣角鏡 | 5G 雙卡雙待 | 33W 極速充電</v>
      </c>
      <c r="E1844" s="82">
        <v>44510.0</v>
      </c>
      <c r="F1844" s="80">
        <v>173.0</v>
      </c>
      <c r="G1844" s="80" t="s">
        <v>63</v>
      </c>
      <c r="I1844" s="80" t="s">
        <v>63</v>
      </c>
      <c r="J1844" s="80">
        <v>479.0</v>
      </c>
      <c r="K1844" s="80">
        <v>0.736923076923076</v>
      </c>
      <c r="L1844" s="80" t="s">
        <v>64</v>
      </c>
    </row>
    <row r="1845">
      <c r="A1845" s="80" t="s">
        <v>74</v>
      </c>
      <c r="B1845" s="81" t="str">
        <f>HYPERLINK("https://www.youtube.com/channel/UCO_5XP-qd-udNxBlzzSzgvw", "Handline Fishing")</f>
        <v>Handline Fishing</v>
      </c>
      <c r="C1845" s="80" t="s">
        <v>2116</v>
      </c>
      <c r="D1845" s="81" t="str">
        <f>HYPERLINK("https://youtube.com/watch?v=kQDj3-0kjtU", "#248 蛋蛋號啟航 | 香港釣魚 | 艇釣 | 維港 {粵語旁白+中英文字幕}")</f>
        <v>#248 蛋蛋號啟航 | 香港釣魚 | 艇釣 | 維港 {粵語旁白+中英文字幕}</v>
      </c>
      <c r="E1845" s="82">
        <v>44498.0</v>
      </c>
      <c r="F1845" s="80">
        <v>246.0</v>
      </c>
      <c r="G1845" s="80" t="s">
        <v>63</v>
      </c>
      <c r="H1845" s="80" t="s">
        <v>63</v>
      </c>
      <c r="I1845" s="80" t="s">
        <v>63</v>
      </c>
      <c r="J1845" s="80">
        <v>288.0</v>
      </c>
      <c r="K1845" s="80">
        <v>0.939393939393939</v>
      </c>
      <c r="L1845" s="80" t="s">
        <v>88</v>
      </c>
    </row>
    <row r="1846">
      <c r="A1846" s="80" t="s">
        <v>233</v>
      </c>
      <c r="B1846" s="81" t="str">
        <f>HYPERLINK("https://www.youtube.com/channel/UCjL61vw5qtDQudezRnnv-ig", "rickolam1")</f>
        <v>rickolam1</v>
      </c>
      <c r="C1846" s="80" t="s">
        <v>2117</v>
      </c>
      <c r="D1846" s="81" t="str">
        <f>HYPERLINK("https://youtube.com/watch?v=kTpohYxN5Ic", "【真人show】你遇過的六種老師・上堂硬食屎忽?!")</f>
        <v>【真人show】你遇過的六種老師・上堂硬食屎忽?!</v>
      </c>
      <c r="E1846" s="82">
        <v>42433.0</v>
      </c>
      <c r="F1846" s="80">
        <v>361.0</v>
      </c>
      <c r="G1846" s="80" t="s">
        <v>63</v>
      </c>
      <c r="H1846" s="80" t="s">
        <v>63</v>
      </c>
      <c r="I1846" s="80" t="s">
        <v>63</v>
      </c>
      <c r="J1846" s="80">
        <v>1439.0</v>
      </c>
      <c r="K1846" s="80">
        <v>0.96231884057971</v>
      </c>
      <c r="L1846" s="80" t="s">
        <v>1074</v>
      </c>
    </row>
    <row r="1847">
      <c r="A1847" s="80" t="s">
        <v>1118</v>
      </c>
      <c r="B1847" s="81" t="str">
        <f>HYPERLINK("https://www.youtube.com/channel/UCeyXZA7ofepOhL9Z9BATC1w", "80後夫婦移英日記 80s Couple UK Diary")</f>
        <v>80後夫婦移英日記 80s Couple UK Diary</v>
      </c>
      <c r="C1847" s="80" t="s">
        <v>2118</v>
      </c>
      <c r="D1847" s="81" t="str">
        <f>HYPERLINK("https://youtube.com/watch?v=kZlS1Ogt1ME", "兩公婆移英四個月支出收入大公開~~話你知移民英國要幾多錢先夠~~")</f>
        <v>兩公婆移英四個月支出收入大公開~~話你知移民英國要幾多錢先夠~~</v>
      </c>
      <c r="E1847" s="82">
        <v>44514.0</v>
      </c>
      <c r="F1847" s="80">
        <v>1243.0</v>
      </c>
      <c r="G1847" s="80" t="s">
        <v>63</v>
      </c>
      <c r="I1847" s="80" t="s">
        <v>63</v>
      </c>
      <c r="J1847" s="80">
        <v>3425.0</v>
      </c>
      <c r="K1847" s="80">
        <v>0.811226906679298</v>
      </c>
      <c r="L1847" s="80" t="s">
        <v>102</v>
      </c>
    </row>
    <row r="1848">
      <c r="A1848" s="80" t="s">
        <v>274</v>
      </c>
      <c r="B1848" s="81" t="str">
        <f t="shared" ref="B1848:B1849" si="82">HYPERLINK("https://www.youtube.com/channel/UC2oB9QCXs-RKtaKChrz4dKg", "MtzCherry")</f>
        <v>MtzCherry</v>
      </c>
      <c r="C1848" s="80" t="s">
        <v>2119</v>
      </c>
      <c r="D1848" s="81" t="str">
        <f>HYPERLINK("https://youtube.com/watch?v=kogRnQpDGcY", "🇭🇰 同大家一齊去行年宵!! Lunar New Year Fair in Hong Kong")</f>
        <v>🇭🇰 同大家一齊去行年宵!! Lunar New Year Fair in Hong Kong</v>
      </c>
      <c r="E1848" s="82">
        <v>43502.0</v>
      </c>
      <c r="F1848" s="80">
        <v>214.0</v>
      </c>
      <c r="G1848" s="80" t="s">
        <v>63</v>
      </c>
      <c r="H1848" s="80" t="s">
        <v>63</v>
      </c>
      <c r="I1848" s="80" t="s">
        <v>63</v>
      </c>
      <c r="J1848" s="80">
        <v>76.0</v>
      </c>
      <c r="K1848" s="80">
        <v>0.894117647058823</v>
      </c>
      <c r="L1848" s="80" t="s">
        <v>439</v>
      </c>
    </row>
    <row r="1849">
      <c r="A1849" s="80" t="s">
        <v>274</v>
      </c>
      <c r="B1849" s="81" t="str">
        <f t="shared" si="82"/>
        <v>MtzCherry</v>
      </c>
      <c r="C1849" s="80" t="s">
        <v>2120</v>
      </c>
      <c r="D1849" s="81" t="str">
        <f>HYPERLINK("https://youtube.com/watch?v=ksoSO5fuJ5M", "📦 Unboxing our $23 Budget wide angle lens!")</f>
        <v>📦 Unboxing our $23 Budget wide angle lens!</v>
      </c>
      <c r="E1849" s="82">
        <v>43154.0</v>
      </c>
      <c r="F1849" s="80">
        <v>293.0</v>
      </c>
      <c r="G1849" s="80" t="s">
        <v>63</v>
      </c>
      <c r="H1849" s="80" t="s">
        <v>63</v>
      </c>
      <c r="I1849" s="80" t="s">
        <v>63</v>
      </c>
      <c r="J1849" s="80">
        <v>781.0</v>
      </c>
      <c r="K1849" s="80">
        <v>0.904982618771726</v>
      </c>
      <c r="L1849" s="80" t="s">
        <v>1126</v>
      </c>
    </row>
    <row r="1850">
      <c r="A1850" s="80" t="s">
        <v>112</v>
      </c>
      <c r="B1850" s="81" t="str">
        <f>HYPERLINK("https://www.youtube.com/channel/UCW_n_gfIv4HhRqCk8EnRhJA", "Happy Kongner")</f>
        <v>Happy Kongner</v>
      </c>
      <c r="C1850" s="80" t="s">
        <v>2121</v>
      </c>
      <c r="D1850" s="81" t="str">
        <f>HYPERLINK("https://youtube.com/watch?v=ktKkbGQPx9g", "字得其樂 The ABC of Western Calligraphy 台南筆展")</f>
        <v>字得其樂 The ABC of Western Calligraphy 台南筆展</v>
      </c>
      <c r="E1850" s="82">
        <v>43458.0</v>
      </c>
      <c r="F1850" s="80">
        <v>414.0</v>
      </c>
      <c r="G1850" s="80" t="s">
        <v>63</v>
      </c>
      <c r="I1850" s="80" t="s">
        <v>63</v>
      </c>
      <c r="J1850" s="80">
        <v>1195.0</v>
      </c>
      <c r="K1850" s="80">
        <v>0.906676783004552</v>
      </c>
      <c r="L1850" s="80" t="s">
        <v>64</v>
      </c>
    </row>
    <row r="1851">
      <c r="A1851" s="80" t="s">
        <v>217</v>
      </c>
      <c r="B1851" s="81" t="str">
        <f>HYPERLINK("https://www.youtube.com/channel/UCXKg0qPRz32bs5Z4mTGF3TQ", "Stormtrooper白兵")</f>
        <v>Stormtrooper白兵</v>
      </c>
      <c r="C1851" s="80" t="s">
        <v>2122</v>
      </c>
      <c r="D1851" s="81" t="str">
        <f>HYPERLINK("https://youtube.com/watch?v=ku9Jh_K7acI", "[鑑古知今]全民強制檢測來勢洶洶，大膽推測香港局勢發展，我們距離新疆有多接近！？｜簡介納粹集中營、新疆再教育營｜猶太人是如何一步步地被集體屠殺？")</f>
        <v>[鑑古知今]全民強制檢測來勢洶洶，大膽推測香港局勢發展，我們距離新疆有多接近！？｜簡介納粹集中營、新疆再教育營｜猶太人是如何一步步地被集體屠殺？</v>
      </c>
      <c r="E1851" s="82">
        <v>44119.0</v>
      </c>
      <c r="F1851" s="80">
        <v>1064.0</v>
      </c>
      <c r="G1851" s="80" t="s">
        <v>63</v>
      </c>
      <c r="I1851" s="80" t="s">
        <v>63</v>
      </c>
      <c r="J1851" s="80">
        <v>4738.0</v>
      </c>
      <c r="K1851" s="80">
        <v>0.978521272201569</v>
      </c>
      <c r="L1851" s="80" t="s">
        <v>64</v>
      </c>
    </row>
    <row r="1852">
      <c r="A1852" s="80" t="s">
        <v>71</v>
      </c>
      <c r="B1852" s="81" t="str">
        <f>HYPERLINK("https://www.youtube.com/channel/UCXTE-gQCetfrx_lC9yFM2aw", "arhoTV")</f>
        <v>arhoTV</v>
      </c>
      <c r="C1852" s="80" t="s">
        <v>2123</v>
      </c>
      <c r="D1852" s="81" t="str">
        <f>HYPERLINK("https://youtube.com/watch?v=l0XO8iUjmEc", "【挑戰】去書展！贏日本機票？！又畫公仔！")</f>
        <v>【挑戰】去書展！贏日本機票？！又畫公仔！</v>
      </c>
      <c r="E1852" s="82">
        <v>42936.0</v>
      </c>
      <c r="F1852" s="80">
        <v>216.0</v>
      </c>
      <c r="G1852" s="80" t="s">
        <v>63</v>
      </c>
      <c r="I1852" s="80" t="s">
        <v>63</v>
      </c>
      <c r="J1852" s="80">
        <v>834.0</v>
      </c>
      <c r="K1852" s="80">
        <v>0.777260018639329</v>
      </c>
      <c r="L1852" s="80" t="s">
        <v>64</v>
      </c>
    </row>
    <row r="1853">
      <c r="A1853" s="80" t="s">
        <v>121</v>
      </c>
      <c r="B1853" s="81" t="str">
        <f>HYPERLINK("https://www.youtube.com/channel/UC-2hWXRgCg-o5Waz36Yt7BA", "Arm Channel TV")</f>
        <v>Arm Channel TV</v>
      </c>
      <c r="C1853" s="80" t="s">
        <v>2124</v>
      </c>
      <c r="D1853" s="81" t="str">
        <f>HYPERLINK("https://youtube.com/watch?v=l2_2C2044hw", "【夜晚自遊EP03】堅持有咩用？😐 | 放棄並不可恥？")</f>
        <v>【夜晚自遊EP03】堅持有咩用？😐 | 放棄並不可恥？</v>
      </c>
      <c r="E1853" s="82">
        <v>44389.0</v>
      </c>
      <c r="F1853" s="80">
        <v>679.0</v>
      </c>
      <c r="G1853" s="80" t="s">
        <v>63</v>
      </c>
      <c r="I1853" s="80" t="s">
        <v>63</v>
      </c>
      <c r="J1853" s="80">
        <v>1574.0</v>
      </c>
      <c r="K1853" s="80">
        <v>0.950483091787439</v>
      </c>
      <c r="L1853" s="80" t="s">
        <v>64</v>
      </c>
    </row>
    <row r="1854">
      <c r="A1854" s="80" t="s">
        <v>112</v>
      </c>
      <c r="B1854" s="81" t="str">
        <f>HYPERLINK("https://www.youtube.com/channel/UCW_n_gfIv4HhRqCk8EnRhJA", "Happy Kongner")</f>
        <v>Happy Kongner</v>
      </c>
      <c r="C1854" s="80" t="s">
        <v>2125</v>
      </c>
      <c r="D1854" s="81" t="str">
        <f>HYPERLINK("https://youtube.com/watch?v=l2cbEsvfbwg", "[廣東話Game評] 鼓勵思考的遊戲！簡評《底特律：變人》Detroit: Become Human Quick Review — 垃圾驚批鬥座 第五集")</f>
        <v>[廣東話Game評] 鼓勵思考的遊戲！簡評《底特律：變人》Detroit: Become Human Quick Review — 垃圾驚批鬥座 第五集</v>
      </c>
      <c r="E1854" s="82">
        <v>43280.0</v>
      </c>
      <c r="F1854" s="80">
        <v>690.0</v>
      </c>
      <c r="G1854" s="80" t="s">
        <v>63</v>
      </c>
      <c r="I1854" s="80" t="s">
        <v>63</v>
      </c>
      <c r="J1854" s="80">
        <v>3809.0</v>
      </c>
      <c r="K1854" s="80">
        <v>0.92049299178347</v>
      </c>
      <c r="L1854" s="80" t="s">
        <v>64</v>
      </c>
    </row>
    <row r="1855">
      <c r="A1855" s="80" t="s">
        <v>61</v>
      </c>
      <c r="B1855" s="81" t="str">
        <f>HYPERLINK("https://www.youtube.com/channel/UCJ4XVrJuqKHbc9yF9oUFseg", "MEeeep More")</f>
        <v>MEeeep More</v>
      </c>
      <c r="C1855" s="80" t="s">
        <v>2126</v>
      </c>
      <c r="D1855" s="81" t="str">
        <f>HYPERLINK("https://youtube.com/watch?v=l6hSVSR4iPs", "XROUND VERSA 真無線藍牙耳機開箱實測！藍牙5.0 支援APTX qi無線充電 只賣HK$899！airpods true bluetooth wireless 3D調聲技術 spinfit")</f>
        <v>XROUND VERSA 真無線藍牙耳機開箱實測！藍牙5.0 支援APTX qi無線充電 只賣HK$899！airpods true bluetooth wireless 3D調聲技術 spinfit</v>
      </c>
      <c r="E1855" s="82">
        <v>44039.0</v>
      </c>
      <c r="F1855" s="80">
        <v>189.0</v>
      </c>
      <c r="G1855" s="80" t="s">
        <v>63</v>
      </c>
      <c r="I1855" s="80" t="s">
        <v>63</v>
      </c>
      <c r="J1855" s="80">
        <v>519.0</v>
      </c>
      <c r="K1855" s="80">
        <v>0.727910238429172</v>
      </c>
      <c r="L1855" s="80" t="s">
        <v>64</v>
      </c>
    </row>
    <row r="1856">
      <c r="A1856" s="80" t="s">
        <v>74</v>
      </c>
      <c r="B1856" s="81" t="str">
        <f>HYPERLINK("https://www.youtube.com/channel/UCO_5XP-qd-udNxBlzzSzgvw", "Handline Fishing")</f>
        <v>Handline Fishing</v>
      </c>
      <c r="C1856" s="80" t="s">
        <v>2127</v>
      </c>
      <c r="D1856" s="81" t="str">
        <f>HYPERLINK("https://youtube.com/watch?v=lDelLrZiuE0", "#84 近近地，玩下港水爆釣黃立鯧『香港釣魚 : 艇釣』維港 {粵語旁白+中英文字幕}")</f>
        <v>#84 近近地，玩下港水爆釣黃立鯧『香港釣魚 : 艇釣』維港 {粵語旁白+中英文字幕}</v>
      </c>
      <c r="E1856" s="82">
        <v>43885.0</v>
      </c>
      <c r="F1856" s="80">
        <v>272.0</v>
      </c>
      <c r="G1856" s="80" t="s">
        <v>63</v>
      </c>
      <c r="I1856" s="80" t="s">
        <v>63</v>
      </c>
      <c r="J1856" s="80">
        <v>928.0</v>
      </c>
      <c r="K1856" s="80">
        <v>0.947906026557712</v>
      </c>
      <c r="L1856" s="80" t="s">
        <v>76</v>
      </c>
    </row>
    <row r="1857">
      <c r="A1857" s="80" t="s">
        <v>219</v>
      </c>
      <c r="B1857" s="81" t="str">
        <f>HYPERLINK("https://www.youtube.com/channel/UC9_PnptBIpNF0JXbJjd8TsQ", "Brown's Channel")</f>
        <v>Brown's Channel</v>
      </c>
      <c r="C1857" s="80" t="s">
        <v>2128</v>
      </c>
      <c r="D1857" s="81" t="str">
        <f>HYPERLINK("https://youtube.com/watch?v=lHb8jZe8rPE", "【一隻熊仔去旅行@香港】#4 九龍寨城公園    曾經三不管嘅罪惡都市 今日竟然邊咗XXXX！？")</f>
        <v>【一隻熊仔去旅行@香港】#4 九龍寨城公園    曾經三不管嘅罪惡都市 今日竟然邊咗XXXX！？</v>
      </c>
      <c r="E1857" s="82">
        <v>44463.0</v>
      </c>
      <c r="F1857" s="80">
        <v>471.0</v>
      </c>
      <c r="G1857" s="80" t="s">
        <v>63</v>
      </c>
      <c r="I1857" s="80" t="s">
        <v>63</v>
      </c>
      <c r="J1857" s="80">
        <v>1983.0</v>
      </c>
      <c r="K1857" s="80">
        <v>0.968734733756717</v>
      </c>
      <c r="L1857" s="80" t="s">
        <v>64</v>
      </c>
    </row>
    <row r="1858">
      <c r="A1858" s="80" t="s">
        <v>61</v>
      </c>
      <c r="B1858" s="81" t="str">
        <f>HYPERLINK("https://www.youtube.com/channel/UCJ4XVrJuqKHbc9yF9oUFseg", "MEeeep More")</f>
        <v>MEeeep More</v>
      </c>
      <c r="C1858" s="80" t="s">
        <v>2129</v>
      </c>
      <c r="D1858" s="81" t="str">
        <f>HYPERLINK("https://youtube.com/watch?v=lJA9R5kWZ8M", "二千價位香港5G手機終於來了！小米 10 Lite 5G 香港最平5G性價王！Z世代達人  redmi 10x redmi 10x 5g")</f>
        <v>二千價位香港5G手機終於來了！小米 10 Lite 5G 香港最平5G性價王！Z世代達人  redmi 10x redmi 10x 5g</v>
      </c>
      <c r="E1858" s="82">
        <v>43992.0</v>
      </c>
      <c r="F1858" s="80">
        <v>204.0</v>
      </c>
      <c r="G1858" s="80" t="s">
        <v>63</v>
      </c>
      <c r="I1858" s="80" t="s">
        <v>63</v>
      </c>
      <c r="J1858" s="80">
        <v>579.0</v>
      </c>
      <c r="K1858" s="80">
        <v>0.787755102040816</v>
      </c>
      <c r="L1858" s="80" t="s">
        <v>64</v>
      </c>
    </row>
    <row r="1859">
      <c r="A1859" s="80" t="s">
        <v>1082</v>
      </c>
      <c r="B1859" s="81" t="str">
        <f>HYPERLINK("https://www.youtube.com/channel/UCMosCy_NDf55rDQhzdX_h3w", "熊熊兒童音樂 Bear Music Ltd.")</f>
        <v>熊熊兒童音樂 Bear Music Ltd.</v>
      </c>
      <c r="C1859" s="80" t="s">
        <v>2130</v>
      </c>
      <c r="D1859" s="81" t="str">
        <f>HYPERLINK("https://youtube.com/watch?v=lJC--9tY0AM", "熊熊兒童合唱團【幼熊音樂小教室】《一二三紅綠燈》")</f>
        <v>熊熊兒童合唱團【幼熊音樂小教室】《一二三紅綠燈》</v>
      </c>
      <c r="E1859" s="82">
        <v>44008.0</v>
      </c>
      <c r="F1859" s="80">
        <v>1406.0</v>
      </c>
      <c r="G1859" s="80" t="s">
        <v>63</v>
      </c>
      <c r="I1859" s="80" t="s">
        <v>63</v>
      </c>
      <c r="J1859" s="80">
        <v>2500.0</v>
      </c>
      <c r="K1859" s="80">
        <v>0.975419430355052</v>
      </c>
      <c r="L1859" s="80" t="s">
        <v>64</v>
      </c>
    </row>
    <row r="1860">
      <c r="A1860" s="80" t="s">
        <v>74</v>
      </c>
      <c r="B1860" s="81" t="str">
        <f>HYPERLINK("https://www.youtube.com/channel/UCO_5XP-qd-udNxBlzzSzgvw", "Handline Fishing")</f>
        <v>Handline Fishing</v>
      </c>
      <c r="C1860" s="80" t="s">
        <v>2131</v>
      </c>
      <c r="D1860" s="81" t="str">
        <f>HYPERLINK("https://youtube.com/watch?v=lKrn53vE3Ck", "#233 在非斑季節也能找斑? 大黃釘篇 | 香港釣魚 | 艇釣 | 石仔排 【Insta360 初秋大特惠】")</f>
        <v>#233 在非斑季節也能找斑? 大黃釘篇 | 香港釣魚 | 艇釣 | 石仔排 【Insta360 初秋大特惠】</v>
      </c>
      <c r="E1860" s="82">
        <v>44435.0</v>
      </c>
      <c r="F1860" s="80">
        <v>756.0</v>
      </c>
      <c r="G1860" s="80" t="s">
        <v>63</v>
      </c>
      <c r="H1860" s="80" t="s">
        <v>63</v>
      </c>
      <c r="I1860" s="80" t="s">
        <v>63</v>
      </c>
      <c r="J1860" s="80">
        <v>641.0</v>
      </c>
      <c r="K1860" s="80">
        <v>0.975646879756468</v>
      </c>
      <c r="L1860" s="80" t="s">
        <v>88</v>
      </c>
    </row>
    <row r="1861">
      <c r="A1861" s="80" t="s">
        <v>1016</v>
      </c>
      <c r="B1861" s="81" t="str">
        <f>HYPERLINK("https://www.youtube.com/channel/UCSbiR1l-cfzk44iTJVSAZVQ", "Rhapsody in Lingo")</f>
        <v>Rhapsody in Lingo</v>
      </c>
      <c r="C1861" s="80" t="s">
        <v>2132</v>
      </c>
      <c r="D1861" s="81" t="str">
        <f>HYPERLINK("https://youtube.com/watch?v=lNFHmoZ0V9M", "How I learn languages through YouTube [EN Subs/粵字] Study Polish with me!")</f>
        <v>How I learn languages through YouTube [EN Subs/粵字] Study Polish with me!</v>
      </c>
      <c r="E1861" s="82">
        <v>44254.0</v>
      </c>
      <c r="F1861" s="80">
        <v>570.0</v>
      </c>
      <c r="G1861" s="80" t="s">
        <v>63</v>
      </c>
      <c r="I1861" s="80" t="s">
        <v>63</v>
      </c>
      <c r="J1861" s="80">
        <v>1380.0</v>
      </c>
      <c r="K1861" s="80">
        <v>0.801393728222996</v>
      </c>
      <c r="L1861" s="80" t="s">
        <v>2133</v>
      </c>
    </row>
    <row r="1862">
      <c r="A1862" s="80" t="s">
        <v>74</v>
      </c>
      <c r="B1862" s="81" t="str">
        <f t="shared" ref="B1862:B1865" si="83">HYPERLINK("https://www.youtube.com/channel/UCO_5XP-qd-udNxBlzzSzgvw", "Handline Fishing")</f>
        <v>Handline Fishing</v>
      </c>
      <c r="C1862" s="80" t="s">
        <v>2134</v>
      </c>
      <c r="D1862" s="81" t="str">
        <f>HYPERLINK("https://youtube.com/watch?v=lPeOU6gmwd8", "#65 繼續尋找沙灘邊釣魚仔《第二集》『香港釣魚 : 岸釣』釣芝麻斑 淺水灣  {粵語旁白+中英文字幕}")</f>
        <v>#65 繼續尋找沙灘邊釣魚仔《第二集》『香港釣魚 : 岸釣』釣芝麻斑 淺水灣  {粵語旁白+中英文字幕}</v>
      </c>
      <c r="E1862" s="82">
        <v>43796.0</v>
      </c>
      <c r="F1862" s="80">
        <v>294.0</v>
      </c>
      <c r="G1862" s="80" t="s">
        <v>63</v>
      </c>
      <c r="I1862" s="80" t="s">
        <v>63</v>
      </c>
      <c r="J1862" s="80">
        <v>1097.0</v>
      </c>
      <c r="K1862" s="80">
        <v>0.963971880492091</v>
      </c>
      <c r="L1862" s="80" t="s">
        <v>76</v>
      </c>
    </row>
    <row r="1863">
      <c r="A1863" s="80" t="s">
        <v>74</v>
      </c>
      <c r="B1863" s="81" t="str">
        <f t="shared" si="83"/>
        <v>Handline Fishing</v>
      </c>
      <c r="C1863" s="80" t="s">
        <v>2135</v>
      </c>
      <c r="D1863" s="81" t="str">
        <f>HYPERLINK("https://youtube.com/watch?v=lRJI1vAyOY0", "#124 帶新手出夜水 中晒劇毒『香港釣魚 : 艇釣』櫃底 {粵語旁白+中英文字幕}")</f>
        <v>#124 帶新手出夜水 中晒劇毒『香港釣魚 : 艇釣』櫃底 {粵語旁白+中英文字幕}</v>
      </c>
      <c r="E1863" s="82">
        <v>44000.0</v>
      </c>
      <c r="F1863" s="80">
        <v>303.0</v>
      </c>
      <c r="G1863" s="80" t="s">
        <v>63</v>
      </c>
      <c r="I1863" s="80" t="s">
        <v>63</v>
      </c>
      <c r="J1863" s="80">
        <v>804.0</v>
      </c>
      <c r="K1863" s="80">
        <v>0.949232585596221</v>
      </c>
      <c r="L1863" s="80" t="s">
        <v>76</v>
      </c>
    </row>
    <row r="1864">
      <c r="A1864" s="80" t="s">
        <v>74</v>
      </c>
      <c r="B1864" s="81" t="str">
        <f t="shared" si="83"/>
        <v>Handline Fishing</v>
      </c>
      <c r="C1864" s="80" t="s">
        <v>2136</v>
      </c>
      <c r="D1864" s="81" t="str">
        <f>HYPERLINK("https://youtube.com/watch?v=lW5vZOLvzL4", "#184 【Marco賞禮GIVEAWAYS 活動二】 | 陪基哥盡情釣魚 | 『香港釣魚 : 艇釣』維港 {粵語旁白+中英文字幕}")</f>
        <v>#184 【Marco賞禮GIVEAWAYS 活動二】 | 陪基哥盡情釣魚 | 『香港釣魚 : 艇釣』維港 {粵語旁白+中英文字幕}</v>
      </c>
      <c r="E1864" s="82">
        <v>44222.0</v>
      </c>
      <c r="F1864" s="80">
        <v>483.0</v>
      </c>
      <c r="G1864" s="80" t="s">
        <v>63</v>
      </c>
      <c r="I1864" s="80" t="s">
        <v>63</v>
      </c>
      <c r="J1864" s="80">
        <v>306.0</v>
      </c>
      <c r="K1864" s="80">
        <v>0.983922829581993</v>
      </c>
      <c r="L1864" s="80" t="s">
        <v>271</v>
      </c>
    </row>
    <row r="1865">
      <c r="A1865" s="80" t="s">
        <v>74</v>
      </c>
      <c r="B1865" s="81" t="str">
        <f t="shared" si="83"/>
        <v>Handline Fishing</v>
      </c>
      <c r="C1865" s="80" t="s">
        <v>2137</v>
      </c>
      <c r="D1865" s="81" t="str">
        <f>HYPERLINK("https://youtube.com/watch?v=lWi9k5yJczc", "#201 為了泥鯭四處奔走，等我拍埋個水底俾你睇 | 『香港釣魚 : 岸釣』數碼港 {粵語旁白+中英文字幕}")</f>
        <v>#201 為了泥鯭四處奔走，等我拍埋個水底俾你睇 | 『香港釣魚 : 岸釣』數碼港 {粵語旁白+中英文字幕}</v>
      </c>
      <c r="E1865" s="82">
        <v>44287.0</v>
      </c>
      <c r="F1865" s="80">
        <v>347.0</v>
      </c>
      <c r="G1865" s="80" t="s">
        <v>63</v>
      </c>
      <c r="H1865" s="80" t="s">
        <v>63</v>
      </c>
      <c r="I1865" s="80" t="s">
        <v>63</v>
      </c>
      <c r="J1865" s="80">
        <v>571.0</v>
      </c>
      <c r="K1865" s="80">
        <v>0.973021582733812</v>
      </c>
      <c r="L1865" s="80" t="s">
        <v>88</v>
      </c>
    </row>
    <row r="1866">
      <c r="A1866" s="80" t="s">
        <v>71</v>
      </c>
      <c r="B1866" s="81" t="str">
        <f>HYPERLINK("https://www.youtube.com/channel/UCXTE-gQCetfrx_lC9yFM2aw", "arhoTV")</f>
        <v>arhoTV</v>
      </c>
      <c r="C1866" s="80" t="s">
        <v>2138</v>
      </c>
      <c r="D1866" s="81" t="str">
        <f>HYPERLINK("https://youtube.com/watch?v=lX0PnYzEX_k", "【驗證】打通發夢夢到的電話號碼？！【連登 都市傳說 驗證】")</f>
        <v>【驗證】打通發夢夢到的電話號碼？！【連登 都市傳說 驗證】</v>
      </c>
      <c r="E1866" s="82">
        <v>42819.0</v>
      </c>
      <c r="F1866" s="80">
        <v>212.0</v>
      </c>
      <c r="G1866" s="80" t="s">
        <v>63</v>
      </c>
      <c r="H1866" s="80" t="s">
        <v>63</v>
      </c>
      <c r="I1866" s="80" t="s">
        <v>63</v>
      </c>
      <c r="J1866" s="80">
        <v>1292.0</v>
      </c>
      <c r="K1866" s="80">
        <v>0.842289719626168</v>
      </c>
      <c r="L1866" s="80" t="s">
        <v>86</v>
      </c>
    </row>
    <row r="1867">
      <c r="A1867" s="80" t="s">
        <v>1010</v>
      </c>
      <c r="B1867" s="81" t="str">
        <f>HYPERLINK("https://www.youtube.com/channel/UC-nV0odAiVdjH3gB_uSeTcQ", "wepro180")</f>
        <v>wepro180</v>
      </c>
      <c r="C1867" s="80" t="s">
        <v>2139</v>
      </c>
      <c r="D1867" s="81" t="str">
        <f>HYPERLINK("https://youtube.com/watch?v=lZFFZnX9Nf4", "edvance 特約【wepro 教室 05】嘉倩 180 ─ Firewall")</f>
        <v>edvance 特約【wepro 教室 05】嘉倩 180 ─ Firewall</v>
      </c>
      <c r="E1867" s="82">
        <v>43214.0</v>
      </c>
      <c r="F1867" s="80">
        <v>66.0</v>
      </c>
      <c r="G1867" s="80" t="s">
        <v>63</v>
      </c>
      <c r="I1867" s="80" t="s">
        <v>63</v>
      </c>
      <c r="J1867" s="80">
        <v>264.0</v>
      </c>
      <c r="K1867" s="80">
        <v>0.93286219081272</v>
      </c>
      <c r="L1867" s="80" t="s">
        <v>64</v>
      </c>
    </row>
    <row r="1868">
      <c r="A1868" s="80" t="s">
        <v>112</v>
      </c>
      <c r="B1868" s="81" t="str">
        <f>HYPERLINK("https://www.youtube.com/channel/UCW_n_gfIv4HhRqCk8EnRhJA", "Happy Kongner")</f>
        <v>Happy Kongner</v>
      </c>
      <c r="C1868" s="80" t="s">
        <v>2140</v>
      </c>
      <c r="D1868" s="81" t="str">
        <f>HYPERLINK("https://youtube.com/watch?v=ladpQO8KmAg", "幾年前已經講過燃燒未來唔work? 動畫「C」簡評 [公仔書與卡通片 EP15]")</f>
        <v>幾年前已經講過燃燒未來唔work? 動畫「C」簡評 [公仔書與卡通片 EP15]</v>
      </c>
      <c r="E1868" s="82">
        <v>43421.0</v>
      </c>
      <c r="F1868" s="80">
        <v>810.0</v>
      </c>
      <c r="G1868" s="80" t="s">
        <v>63</v>
      </c>
      <c r="I1868" s="80" t="s">
        <v>63</v>
      </c>
      <c r="J1868" s="80">
        <v>4576.0</v>
      </c>
      <c r="K1868" s="80">
        <v>0.918138041733547</v>
      </c>
      <c r="L1868" s="80" t="s">
        <v>64</v>
      </c>
    </row>
    <row r="1869">
      <c r="A1869" s="80" t="s">
        <v>248</v>
      </c>
      <c r="B1869" s="81" t="str">
        <f>HYPERLINK("https://www.youtube.com/channel/UCUEJok-GiWaGlv5nIPwk-GQ", "Price.com.hk 香港格價網")</f>
        <v>Price.com.hk 香港格價網</v>
      </c>
      <c r="C1869" s="80" t="s">
        <v>2141</v>
      </c>
      <c r="D1869" s="81" t="str">
        <f>HYPERLINK("https://youtube.com/watch?v=6cdnNzMBI7E", "Apple發佈會延至4月舉行？Netflix不能再共享帳號？FaceApp製超強「照騙」 呀叔變美女？【Price Weekly #54 2021年3月】")</f>
        <v>Apple發佈會延至4月舉行？Netflix不能再共享帳號？FaceApp製超強「照騙」 呀叔變美女？【Price Weekly #54 2021年3月】</v>
      </c>
      <c r="E1869" s="82">
        <v>44274.0</v>
      </c>
      <c r="F1869" s="80">
        <v>535.0</v>
      </c>
      <c r="G1869" s="80" t="s">
        <v>63</v>
      </c>
      <c r="I1869" s="80" t="s">
        <v>63</v>
      </c>
      <c r="J1869" s="80">
        <v>1847.0</v>
      </c>
      <c r="K1869" s="80">
        <v>0.686872443287467</v>
      </c>
      <c r="L1869" s="80" t="s">
        <v>64</v>
      </c>
    </row>
    <row r="1870">
      <c r="A1870" s="80" t="s">
        <v>74</v>
      </c>
      <c r="B1870" s="81" t="str">
        <f>HYPERLINK("https://www.youtube.com/channel/UCO_5XP-qd-udNxBlzzSzgvw", "Handline Fishing")</f>
        <v>Handline Fishing</v>
      </c>
      <c r="C1870" s="80" t="s">
        <v>2142</v>
      </c>
      <c r="D1870" s="81" t="str">
        <f>HYPERLINK("https://youtube.com/watch?v=lcUhaIT6Br0", "#208 目標魚找花䱛，我們能完成多少？ | 『香港釣魚 : 艇釣』長洲外 {粵語旁白+中英文字幕}")</f>
        <v>#208 目標魚找花䱛，我們能完成多少？ | 『香港釣魚 : 艇釣』長洲外 {粵語旁白+中英文字幕}</v>
      </c>
      <c r="E1870" s="82">
        <v>44319.0</v>
      </c>
      <c r="F1870" s="80">
        <v>481.0</v>
      </c>
      <c r="G1870" s="80" t="s">
        <v>63</v>
      </c>
      <c r="H1870" s="80" t="s">
        <v>63</v>
      </c>
      <c r="I1870" s="80" t="s">
        <v>63</v>
      </c>
      <c r="J1870" s="80">
        <v>443.0</v>
      </c>
      <c r="K1870" s="80">
        <v>0.950643776824034</v>
      </c>
      <c r="L1870" s="80" t="s">
        <v>88</v>
      </c>
    </row>
    <row r="1871">
      <c r="A1871" s="80" t="s">
        <v>61</v>
      </c>
      <c r="B1871" s="81" t="str">
        <f>HYPERLINK("https://www.youtube.com/channel/UCJ4XVrJuqKHbc9yF9oUFseg", "MEeeep More")</f>
        <v>MEeeep More</v>
      </c>
      <c r="C1871" s="80" t="s">
        <v>2143</v>
      </c>
      <c r="D1871" s="81" t="str">
        <f>HYPERLINK("https://youtube.com/watch?v=lcqYQ8y_U7o", "台北 Pizza Hut 臭豆腐 Pizza - 真係咁好食？")</f>
        <v>台北 Pizza Hut 臭豆腐 Pizza - 真係咁好食？</v>
      </c>
      <c r="E1871" s="82">
        <v>43730.0</v>
      </c>
      <c r="F1871" s="80">
        <v>107.0</v>
      </c>
      <c r="G1871" s="80" t="s">
        <v>63</v>
      </c>
      <c r="I1871" s="80" t="s">
        <v>63</v>
      </c>
      <c r="J1871" s="80">
        <v>281.0</v>
      </c>
      <c r="K1871" s="80">
        <v>0.727979274611399</v>
      </c>
      <c r="L1871" s="80" t="s">
        <v>64</v>
      </c>
    </row>
    <row r="1872">
      <c r="A1872" s="80" t="s">
        <v>112</v>
      </c>
      <c r="B1872" s="81" t="str">
        <f>HYPERLINK("https://www.youtube.com/channel/UCW_n_gfIv4HhRqCk8EnRhJA", "Happy Kongner")</f>
        <v>Happy Kongner</v>
      </c>
      <c r="C1872" s="80" t="s">
        <v>2144</v>
      </c>
      <c r="D1872" s="81" t="str">
        <f>HYPERLINK("https://youtube.com/watch?v=lcsYb95M2BY", "形容女神玩弄兵仔嘅詩：W. B Yeats “No Second Troy” [西人文學]")</f>
        <v>形容女神玩弄兵仔嘅詩：W. B Yeats “No Second Troy” [西人文學]</v>
      </c>
      <c r="E1872" s="82">
        <v>43448.0</v>
      </c>
      <c r="F1872" s="80">
        <v>1230.0</v>
      </c>
      <c r="G1872" s="80" t="s">
        <v>63</v>
      </c>
      <c r="I1872" s="80" t="s">
        <v>63</v>
      </c>
      <c r="J1872" s="80">
        <v>5572.0</v>
      </c>
      <c r="K1872" s="80">
        <v>0.888676236044657</v>
      </c>
      <c r="L1872" s="80" t="s">
        <v>64</v>
      </c>
    </row>
    <row r="1873">
      <c r="A1873" s="80" t="s">
        <v>267</v>
      </c>
      <c r="B1873" s="81" t="str">
        <f>HYPERLINK("https://www.youtube.com/channel/UCcrhFT95jH5XqVVPyBhRbrA", "JFFT")</f>
        <v>JFFT</v>
      </c>
      <c r="C1873" s="80" t="s">
        <v>2145</v>
      </c>
      <c r="D1873" s="81" t="str">
        <f>HYPERLINK("https://youtube.com/watch?v=lf-99BFHHEI", "[毒拎季節]聖誕啟示錄 3")</f>
        <v>[毒拎季節]聖誕啟示錄 3</v>
      </c>
      <c r="E1873" s="82">
        <v>42728.0</v>
      </c>
      <c r="F1873" s="80">
        <v>167.0</v>
      </c>
      <c r="G1873" s="80" t="s">
        <v>63</v>
      </c>
      <c r="I1873" s="80" t="s">
        <v>63</v>
      </c>
      <c r="J1873" s="80">
        <v>243.0</v>
      </c>
      <c r="K1873" s="80">
        <v>0.906716417910447</v>
      </c>
      <c r="L1873" s="80" t="s">
        <v>64</v>
      </c>
    </row>
    <row r="1874">
      <c r="A1874" s="80" t="s">
        <v>217</v>
      </c>
      <c r="B1874" s="81" t="str">
        <f t="shared" ref="B1874:B1875" si="84">HYPERLINK("https://www.youtube.com/channel/UCXKg0qPRz32bs5Z4mTGF3TQ", "Stormtrooper白兵")</f>
        <v>Stormtrooper白兵</v>
      </c>
      <c r="C1874" s="80" t="s">
        <v>2146</v>
      </c>
      <c r="D1874" s="81" t="str">
        <f>HYPERLINK("https://youtube.com/watch?v=lf9QkuQS7z8", "躺平不做韭菜！｜繼六四事件之後的人民抗爭，躺平主義｜解讀讓子彈飛的六四隱喻｜粵語中字")</f>
        <v>躺平不做韭菜！｜繼六四事件之後的人民抗爭，躺平主義｜解讀讓子彈飛的六四隱喻｜粵語中字</v>
      </c>
      <c r="E1874" s="82">
        <v>44350.0</v>
      </c>
      <c r="F1874" s="80">
        <v>943.0</v>
      </c>
      <c r="G1874" s="80" t="s">
        <v>63</v>
      </c>
      <c r="H1874" s="80" t="s">
        <v>63</v>
      </c>
      <c r="I1874" s="80" t="s">
        <v>63</v>
      </c>
      <c r="J1874" s="80">
        <v>3743.0</v>
      </c>
      <c r="K1874" s="80">
        <v>0.961716341212744</v>
      </c>
      <c r="L1874" s="80" t="s">
        <v>86</v>
      </c>
    </row>
    <row r="1875">
      <c r="A1875" s="80" t="s">
        <v>217</v>
      </c>
      <c r="B1875" s="81" t="str">
        <f t="shared" si="84"/>
        <v>Stormtrooper白兵</v>
      </c>
      <c r="C1875" s="80" t="s">
        <v>2147</v>
      </c>
      <c r="D1875" s="81" t="str">
        <f>HYPERLINK("https://youtube.com/watch?v=loZmaTaRLyI", "[心理教室]21種喺疫情下發現嘅人性！你中幾多樣？｜香港人會共患難，還是大難臨頭各自飛？｜人性光輝還是邪惡？｜從疫情了解人性，從人性了解自己｜粵語中字")</f>
        <v>[心理教室]21種喺疫情下發現嘅人性！你中幾多樣？｜香港人會共患難，還是大難臨頭各自飛？｜人性光輝還是邪惡？｜從疫情了解人性，從人性了解自己｜粵語中字</v>
      </c>
      <c r="E1875" s="82">
        <v>44392.0</v>
      </c>
      <c r="F1875" s="80">
        <v>907.0</v>
      </c>
      <c r="G1875" s="80" t="s">
        <v>63</v>
      </c>
      <c r="H1875" s="80" t="s">
        <v>63</v>
      </c>
      <c r="I1875" s="80" t="s">
        <v>63</v>
      </c>
      <c r="J1875" s="80">
        <v>3246.0</v>
      </c>
      <c r="K1875" s="80">
        <v>0.907464355605255</v>
      </c>
      <c r="L1875" s="80" t="s">
        <v>86</v>
      </c>
    </row>
    <row r="1876">
      <c r="A1876" s="80" t="s">
        <v>1007</v>
      </c>
      <c r="B1876" s="81" t="str">
        <f>HYPERLINK("https://www.youtube.com/channel/UCCzgNTkFyDel0FDJtVNgEtQ", "香港人. 德國讀書之【真.洗濕左個頭.無得返轉頭】Miss Chan Life in Germany")</f>
        <v>香港人. 德國讀書之【真.洗濕左個頭.無得返轉頭】Miss Chan Life in Germany</v>
      </c>
      <c r="C1876" s="80" t="s">
        <v>2148</v>
      </c>
      <c r="D1876" s="81" t="str">
        <f>HYPERLINK("https://youtube.com/watch?v=lryNSAuT12s", "【德國無菌旅行團】最似香港既德國城市｜搬去漢堡 Hamburg?｜DB 德國火車俾您驚喜 (香港人製作. 廣東話. 中文字幕)")</f>
        <v>【德國無菌旅行團】最似香港既德國城市｜搬去漢堡 Hamburg?｜DB 德國火車俾您驚喜 (香港人製作. 廣東話. 中文字幕)</v>
      </c>
      <c r="E1876" s="82">
        <v>44315.0</v>
      </c>
      <c r="F1876" s="80">
        <v>223.0</v>
      </c>
      <c r="G1876" s="80" t="s">
        <v>63</v>
      </c>
      <c r="I1876" s="80" t="s">
        <v>63</v>
      </c>
      <c r="J1876" s="80">
        <v>243.0</v>
      </c>
      <c r="K1876" s="80">
        <v>0.934615384615384</v>
      </c>
      <c r="L1876" s="80" t="s">
        <v>64</v>
      </c>
    </row>
    <row r="1877">
      <c r="A1877" s="80" t="s">
        <v>103</v>
      </c>
      <c r="B1877" s="81" t="str">
        <f>HYPERLINK("https://www.youtube.com/channel/UCTVpvSswSER2sq1USBTGfnw", "Brittany Chan")</f>
        <v>Brittany Chan</v>
      </c>
      <c r="C1877" s="80" t="s">
        <v>2149</v>
      </c>
      <c r="D1877" s="81" t="str">
        <f>HYPERLINK("https://youtube.com/watch?v=lsqmMsH-cTs", "cantonese vlog: a day in my life")</f>
        <v>cantonese vlog: a day in my life</v>
      </c>
      <c r="E1877" s="82">
        <v>44514.0</v>
      </c>
      <c r="F1877" s="80">
        <v>594.0</v>
      </c>
      <c r="G1877" s="80" t="s">
        <v>63</v>
      </c>
      <c r="I1877" s="80" t="s">
        <v>63</v>
      </c>
      <c r="J1877" s="80">
        <v>1375.0</v>
      </c>
      <c r="K1877" s="80">
        <v>0.441412520064205</v>
      </c>
      <c r="L1877" s="80" t="s">
        <v>105</v>
      </c>
    </row>
    <row r="1878">
      <c r="A1878" s="80" t="s">
        <v>252</v>
      </c>
      <c r="B1878" s="81" t="str">
        <f>HYPERLINK("https://www.youtube.com/channel/UCrISkBm7rgsRUAw8018eWvw", "MoYung 慕容公子")</f>
        <v>MoYung 慕容公子</v>
      </c>
      <c r="C1878" s="80" t="s">
        <v>2150</v>
      </c>
      <c r="D1878" s="81" t="str">
        <f>HYPERLINK("https://youtube.com/watch?v=lw6iDBzXskk", "慕容玩爐石：會唔會有元素毀滅呢 ?")</f>
        <v>慕容玩爐石：會唔會有元素毀滅呢 ?</v>
      </c>
      <c r="E1878" s="82">
        <v>42611.0</v>
      </c>
      <c r="F1878" s="80">
        <v>57.0</v>
      </c>
      <c r="G1878" s="80" t="s">
        <v>63</v>
      </c>
      <c r="H1878" s="80" t="s">
        <v>63</v>
      </c>
      <c r="I1878" s="80" t="s">
        <v>63</v>
      </c>
      <c r="J1878" s="80">
        <v>69.0</v>
      </c>
      <c r="K1878" s="80">
        <v>1.0</v>
      </c>
      <c r="L1878" s="80" t="s">
        <v>1503</v>
      </c>
    </row>
    <row r="1879">
      <c r="A1879" s="80" t="s">
        <v>94</v>
      </c>
      <c r="B1879" s="81" t="str">
        <f>HYPERLINK("https://www.youtube.com/channel/UCT_dMyI3pNselsmfR6FC8tQ", "PrideLab")</f>
        <v>PrideLab</v>
      </c>
      <c r="C1879" s="80" t="s">
        <v>2151</v>
      </c>
      <c r="D1879" s="81" t="str">
        <f>HYPERLINK("https://youtube.com/watch?v=m2SLn6e9euI", "受女同志歡迎的香港女明星")</f>
        <v>受女同志歡迎的香港女明星</v>
      </c>
      <c r="E1879" s="82">
        <v>43008.0</v>
      </c>
      <c r="F1879" s="80">
        <v>298.0</v>
      </c>
      <c r="G1879" s="80" t="s">
        <v>63</v>
      </c>
      <c r="I1879" s="80" t="s">
        <v>63</v>
      </c>
      <c r="J1879" s="80">
        <v>1104.0</v>
      </c>
      <c r="K1879" s="80">
        <v>0.918469217970049</v>
      </c>
      <c r="L1879" s="80" t="s">
        <v>64</v>
      </c>
    </row>
    <row r="1880">
      <c r="A1880" s="80" t="s">
        <v>274</v>
      </c>
      <c r="B1880" s="81" t="str">
        <f t="shared" ref="B1880:B1881" si="85">HYPERLINK("https://www.youtube.com/channel/UC2oB9QCXs-RKtaKChrz4dKg", "MtzCherry")</f>
        <v>MtzCherry</v>
      </c>
      <c r="C1880" s="80" t="s">
        <v>2152</v>
      </c>
      <c r="D1880" s="81" t="str">
        <f>HYPERLINK("https://youtube.com/watch?v=m3OSphRiZnM", "🧧CNY Special Challenge + Free WhatsApp stickers pack!!")</f>
        <v>🧧CNY Special Challenge + Free WhatsApp stickers pack!!</v>
      </c>
      <c r="E1880" s="82">
        <v>43496.0</v>
      </c>
      <c r="F1880" s="80">
        <v>213.0</v>
      </c>
      <c r="G1880" s="80" t="s">
        <v>63</v>
      </c>
      <c r="H1880" s="80" t="s">
        <v>63</v>
      </c>
      <c r="I1880" s="80" t="s">
        <v>63</v>
      </c>
      <c r="J1880" s="80">
        <v>545.0</v>
      </c>
      <c r="K1880" s="80">
        <v>0.775248933143669</v>
      </c>
      <c r="L1880" s="80" t="s">
        <v>1429</v>
      </c>
    </row>
    <row r="1881">
      <c r="A1881" s="80" t="s">
        <v>274</v>
      </c>
      <c r="B1881" s="81" t="str">
        <f t="shared" si="85"/>
        <v>MtzCherry</v>
      </c>
      <c r="C1881" s="80" t="s">
        <v>2153</v>
      </c>
      <c r="D1881" s="81" t="str">
        <f>HYPERLINK("https://youtube.com/watch?v=m3rP-39R3yE", "🇭🇰CANTONESE tutorial #28 Add oil, hea &amp; chur?")</f>
        <v>🇭🇰CANTONESE tutorial #28 Add oil, hea &amp; chur?</v>
      </c>
      <c r="E1881" s="82">
        <v>43518.0</v>
      </c>
      <c r="F1881" s="80">
        <v>202.0</v>
      </c>
      <c r="G1881" s="80" t="s">
        <v>63</v>
      </c>
      <c r="I1881" s="80" t="s">
        <v>63</v>
      </c>
      <c r="J1881" s="80">
        <v>469.0</v>
      </c>
      <c r="K1881" s="80">
        <v>0.477596741344195</v>
      </c>
      <c r="L1881" s="80" t="s">
        <v>896</v>
      </c>
    </row>
    <row r="1882">
      <c r="A1882" s="80" t="s">
        <v>140</v>
      </c>
      <c r="B1882" s="81" t="str">
        <f>HYPERLINK("https://www.youtube.com/channel/UCHK0CZf9HEXs42qIO1GUouA", "TechiCardia")</f>
        <v>TechiCardia</v>
      </c>
      <c r="C1882" s="80" t="s">
        <v>2154</v>
      </c>
      <c r="D1882" s="81" t="str">
        <f>HYPERLINK("https://youtube.com/watch?v=m89WbeVFMBI", "買人體工學椅前要知道的四件事！！WFH 想買張靚櫈？//了解多一點坐骨神經痛成因, 買張櫈就唔痛？！//ft. ZENOX NEBULA (CC 廣東話字幕) 【TechiCardia】")</f>
        <v>買人體工學椅前要知道的四件事！！WFH 想買張靚櫈？//了解多一點坐骨神經痛成因, 買張櫈就唔痛？！//ft. ZENOX NEBULA (CC 廣東話字幕) 【TechiCardia】</v>
      </c>
      <c r="E1882" s="82">
        <v>44177.0</v>
      </c>
      <c r="F1882" s="80">
        <v>559.0</v>
      </c>
      <c r="G1882" s="80" t="s">
        <v>63</v>
      </c>
      <c r="I1882" s="80" t="s">
        <v>63</v>
      </c>
      <c r="J1882" s="80">
        <v>2353.0</v>
      </c>
      <c r="K1882" s="80">
        <v>0.892979127134724</v>
      </c>
      <c r="L1882" s="80" t="s">
        <v>102</v>
      </c>
    </row>
    <row r="1883">
      <c r="A1883" s="80" t="s">
        <v>217</v>
      </c>
      <c r="B1883" s="81" t="str">
        <f>HYPERLINK("https://www.youtube.com/channel/UCXKg0qPRz32bs5Z4mTGF3TQ", "Stormtrooper白兵")</f>
        <v>Stormtrooper白兵</v>
      </c>
      <c r="C1883" s="80" t="s">
        <v>2155</v>
      </c>
      <c r="D1883" s="81" t="str">
        <f>HYPERLINK("https://youtube.com/watch?v=mIHT7vG1F6A", "[人物誌]賭廳之王－周焯華｜由零到100億身家，一代梟雄的隕落｜AV字幕＋開心版電影都關佢事？｜粵語中字")</f>
        <v>[人物誌]賭廳之王－周焯華｜由零到100億身家，一代梟雄的隕落｜AV字幕＋開心版電影都關佢事？｜粵語中字</v>
      </c>
      <c r="E1883" s="82">
        <v>44532.0</v>
      </c>
      <c r="F1883" s="80">
        <v>769.0</v>
      </c>
      <c r="G1883" s="80" t="s">
        <v>63</v>
      </c>
      <c r="I1883" s="80" t="s">
        <v>63</v>
      </c>
      <c r="J1883" s="80">
        <v>3181.0</v>
      </c>
      <c r="K1883" s="80">
        <v>0.949268874962697</v>
      </c>
      <c r="L1883" s="80" t="s">
        <v>64</v>
      </c>
    </row>
    <row r="1884">
      <c r="A1884" s="80" t="s">
        <v>61</v>
      </c>
      <c r="B1884" s="81" t="str">
        <f>HYPERLINK("https://www.youtube.com/channel/UCJ4XVrJuqKHbc9yF9oUFseg", "MEeeep More")</f>
        <v>MEeeep More</v>
      </c>
      <c r="C1884" s="80" t="s">
        <v>2156</v>
      </c>
      <c r="D1884" s="81" t="str">
        <f>HYPERLINK("https://youtube.com/watch?v=mL16eCi7F8M", "G-Shock G-SQUAD GBD-100 平價智能G-Shock開箱評測！GBD-H1000 vs GBD-100 終極測試！G-Shock Move casio gshock gbd 100")</f>
        <v>G-Shock G-SQUAD GBD-100 平價智能G-Shock開箱評測！GBD-H1000 vs GBD-100 終極測試！G-Shock Move casio gshock gbd 100</v>
      </c>
      <c r="E1884" s="82">
        <v>44029.0</v>
      </c>
      <c r="F1884" s="80">
        <v>192.0</v>
      </c>
      <c r="G1884" s="80" t="s">
        <v>63</v>
      </c>
      <c r="I1884" s="80" t="s">
        <v>63</v>
      </c>
      <c r="J1884" s="80">
        <v>522.0</v>
      </c>
      <c r="K1884" s="80">
        <v>0.765395894428152</v>
      </c>
      <c r="L1884" s="80" t="s">
        <v>64</v>
      </c>
    </row>
    <row r="1885">
      <c r="A1885" s="80" t="s">
        <v>74</v>
      </c>
      <c r="B1885" s="81" t="str">
        <f>HYPERLINK("https://www.youtube.com/channel/UCO_5XP-qd-udNxBlzzSzgvw", "Handline Fishing")</f>
        <v>Handline Fishing</v>
      </c>
      <c r="C1885" s="80" t="s">
        <v>2157</v>
      </c>
      <c r="D1885" s="81" t="str">
        <f>HYPERLINK("https://youtube.com/watch?v=mLf99HmLJ3Q", "#255 粉絲聚會於大頭艇上 | 香港釣魚 | 艇釣 | 維港東 【Surfshark VPN】")</f>
        <v>#255 粉絲聚會於大頭艇上 | 香港釣魚 | 艇釣 | 維港東 【Surfshark VPN】</v>
      </c>
      <c r="E1885" s="82">
        <v>44522.0</v>
      </c>
      <c r="F1885" s="80">
        <v>484.0</v>
      </c>
      <c r="G1885" s="80" t="s">
        <v>63</v>
      </c>
      <c r="H1885" s="80" t="s">
        <v>63</v>
      </c>
      <c r="I1885" s="80" t="s">
        <v>63</v>
      </c>
      <c r="J1885" s="80">
        <v>722.0</v>
      </c>
      <c r="K1885" s="80">
        <v>0.942558746736292</v>
      </c>
      <c r="L1885" s="80" t="s">
        <v>88</v>
      </c>
    </row>
    <row r="1886">
      <c r="A1886" s="80" t="s">
        <v>1050</v>
      </c>
      <c r="B1886" s="81" t="str">
        <f>HYPERLINK("https://www.youtube.com/channel/UCNCwcNnkhHviS0xyJHbhX2Q", "Man The Fvck Up")</f>
        <v>Man The Fvck Up</v>
      </c>
      <c r="C1886" s="80" t="s">
        <v>2158</v>
      </c>
      <c r="D1886" s="81" t="str">
        <f>HYPERLINK("https://youtube.com/watch?v=mS5tyuopxg0", "[超重要!] 我應該點睇自己要學溝女呢件事? (上) How Should I Feel About Learning Success With Women? (Part 1)")</f>
        <v>[超重要!] 我應該點睇自己要學溝女呢件事? (上) How Should I Feel About Learning Success With Women? (Part 1)</v>
      </c>
      <c r="E1886" s="82">
        <v>42757.0</v>
      </c>
      <c r="F1886" s="80">
        <v>376.0</v>
      </c>
      <c r="G1886" s="80" t="s">
        <v>63</v>
      </c>
      <c r="I1886" s="80" t="s">
        <v>63</v>
      </c>
      <c r="J1886" s="80">
        <v>1356.0</v>
      </c>
      <c r="K1886" s="80">
        <v>0.874838709677419</v>
      </c>
      <c r="L1886" s="80" t="s">
        <v>64</v>
      </c>
    </row>
    <row r="1887">
      <c r="A1887" s="80" t="s">
        <v>89</v>
      </c>
      <c r="B1887" s="81" t="str">
        <f>HYPERLINK("https://www.youtube.com/channel/UClc7lRdOhLxh3orjosY1R7g", "三木大師")</f>
        <v>三木大師</v>
      </c>
      <c r="C1887" s="80" t="s">
        <v>2159</v>
      </c>
      <c r="D1887" s="81" t="str">
        <f>HYPERLINK("https://youtube.com/watch?v=mWLFCXrhiYg", "冥想| 10 MINS 冥想 - 找回你的內在小孩 | Meditation")</f>
        <v>冥想| 10 MINS 冥想 - 找回你的內在小孩 | Meditation</v>
      </c>
      <c r="E1887" s="82">
        <v>43960.0</v>
      </c>
      <c r="F1887" s="80">
        <v>560.0</v>
      </c>
      <c r="G1887" s="80" t="s">
        <v>63</v>
      </c>
      <c r="I1887" s="80" t="s">
        <v>63</v>
      </c>
      <c r="J1887" s="80">
        <v>814.0</v>
      </c>
      <c r="K1887" s="80">
        <v>0.998773006134969</v>
      </c>
      <c r="L1887" s="80" t="s">
        <v>91</v>
      </c>
    </row>
    <row r="1888">
      <c r="A1888" s="80" t="s">
        <v>74</v>
      </c>
      <c r="B1888" s="81" t="str">
        <f>HYPERLINK("https://www.youtube.com/channel/UCO_5XP-qd-udNxBlzzSzgvw", "Handline Fishing")</f>
        <v>Handline Fishing</v>
      </c>
      <c r="C1888" s="80" t="s">
        <v>2160</v>
      </c>
      <c r="D1888" s="81" t="str">
        <f>HYPERLINK("https://youtube.com/watch?v=m_9H1V1c1IY", "#246 岸釣釣況好轉，有希望? | 香港釣魚 | 岸釣 | 中西區海濱長廊 【全新 Insta360 GO2 64GB】")</f>
        <v>#246 岸釣釣況好轉，有希望? | 香港釣魚 | 岸釣 | 中西區海濱長廊 【全新 Insta360 GO2 64GB】</v>
      </c>
      <c r="E1888" s="82">
        <v>44490.0</v>
      </c>
      <c r="F1888" s="80">
        <v>362.0</v>
      </c>
      <c r="G1888" s="80" t="s">
        <v>63</v>
      </c>
      <c r="H1888" s="80" t="s">
        <v>63</v>
      </c>
      <c r="I1888" s="80" t="s">
        <v>63</v>
      </c>
      <c r="J1888" s="80">
        <v>675.0</v>
      </c>
      <c r="K1888" s="80">
        <v>0.956390977443609</v>
      </c>
      <c r="L1888" s="80" t="s">
        <v>88</v>
      </c>
    </row>
    <row r="1889">
      <c r="A1889" s="80" t="s">
        <v>96</v>
      </c>
      <c r="B1889" s="81" t="str">
        <f>HYPERLINK("https://www.youtube.com/channel/UCGtyHJ-L_4RDIHe3XaLofQQ", "Anson Cheung")</f>
        <v>Anson Cheung</v>
      </c>
      <c r="C1889" s="80" t="s">
        <v>2161</v>
      </c>
      <c r="D1889" s="81" t="str">
        <f>HYPERLINK("https://youtube.com/watch?v=maww82O_IfA", "S21+ 咁大件事無人講？我講！|Samsung Galaxy S21+ 評測")</f>
        <v>S21+ 咁大件事無人講？我講！|Samsung Galaxy S21+ 評測</v>
      </c>
      <c r="E1889" s="82">
        <v>44264.0</v>
      </c>
      <c r="F1889" s="80">
        <v>571.0</v>
      </c>
      <c r="G1889" s="80" t="s">
        <v>63</v>
      </c>
      <c r="I1889" s="80" t="s">
        <v>63</v>
      </c>
      <c r="J1889" s="80">
        <v>2125.0</v>
      </c>
      <c r="K1889" s="80">
        <v>0.690607734806629</v>
      </c>
      <c r="L1889" s="80" t="s">
        <v>64</v>
      </c>
    </row>
    <row r="1890">
      <c r="A1890" s="80" t="s">
        <v>74</v>
      </c>
      <c r="B1890" s="81" t="str">
        <f>HYPERLINK("https://www.youtube.com/channel/UCO_5XP-qd-udNxBlzzSzgvw", "Handline Fishing")</f>
        <v>Handline Fishing</v>
      </c>
      <c r="C1890" s="80" t="s">
        <v>2162</v>
      </c>
      <c r="D1890" s="81" t="str">
        <f>HYPERLINK("https://youtube.com/watch?v=mdIFvy5NlV4", "#74 大角咀三寶之二，手絲大戰青馬大黃祥 | 『香港釣魚 : 艇釣』青馬 {粵語旁白+中英文字幕}")</f>
        <v>#74 大角咀三寶之二，手絲大戰青馬大黃祥 | 『香港釣魚 : 艇釣』青馬 {粵語旁白+中英文字幕}</v>
      </c>
      <c r="E1890" s="82">
        <v>43832.0</v>
      </c>
      <c r="F1890" s="80">
        <v>441.0</v>
      </c>
      <c r="G1890" s="80" t="s">
        <v>63</v>
      </c>
      <c r="I1890" s="80" t="s">
        <v>63</v>
      </c>
      <c r="J1890" s="80">
        <v>803.0</v>
      </c>
      <c r="K1890" s="80">
        <v>0.928323699421965</v>
      </c>
      <c r="L1890" s="80" t="s">
        <v>1134</v>
      </c>
    </row>
    <row r="1891">
      <c r="A1891" s="80" t="s">
        <v>1016</v>
      </c>
      <c r="B1891" s="81" t="str">
        <f>HYPERLINK("https://www.youtube.com/channel/UCSbiR1l-cfzk44iTJVSAZVQ", "Rhapsody in Lingo")</f>
        <v>Rhapsody in Lingo</v>
      </c>
      <c r="C1891" s="80" t="s">
        <v>2163</v>
      </c>
      <c r="D1891" s="81" t="str">
        <f>HYPERLINK("https://youtube.com/watch?v=meU1ifng7lo", "終於入伙！Lockdown買唔買到日用品？英國伯明翰搬屋記 DAY 1【粵字】")</f>
        <v>終於入伙！Lockdown買唔買到日用品？英國伯明翰搬屋記 DAY 1【粵字】</v>
      </c>
      <c r="E1891" s="82">
        <v>44193.0</v>
      </c>
      <c r="F1891" s="80">
        <v>649.0</v>
      </c>
      <c r="G1891" s="80" t="s">
        <v>63</v>
      </c>
      <c r="I1891" s="80" t="s">
        <v>63</v>
      </c>
      <c r="J1891" s="80">
        <v>1713.0</v>
      </c>
      <c r="K1891" s="80">
        <v>0.871312309257375</v>
      </c>
      <c r="L1891" s="80" t="s">
        <v>1866</v>
      </c>
    </row>
    <row r="1892">
      <c r="A1892" s="80" t="s">
        <v>61</v>
      </c>
      <c r="B1892" s="81" t="str">
        <f t="shared" ref="B1892:B1893" si="86">HYPERLINK("https://www.youtube.com/channel/UCJ4XVrJuqKHbc9yF9oUFseg", "MEeeep More")</f>
        <v>MEeeep More</v>
      </c>
      <c r="C1892" s="80" t="s">
        <v>2164</v>
      </c>
      <c r="D1892" s="81" t="str">
        <f>HYPERLINK("https://youtube.com/watch?v=mjSAsGZrzu0", "吉隆坡宵夜系列 2 - 特色街邊地道板麵")</f>
        <v>吉隆坡宵夜系列 2 - 特色街邊地道板麵</v>
      </c>
      <c r="E1892" s="82">
        <v>43787.0</v>
      </c>
      <c r="F1892" s="80">
        <v>148.0</v>
      </c>
      <c r="G1892" s="80" t="s">
        <v>63</v>
      </c>
      <c r="I1892" s="80" t="s">
        <v>63</v>
      </c>
      <c r="J1892" s="80">
        <v>345.0</v>
      </c>
      <c r="K1892" s="80">
        <v>0.841463414634146</v>
      </c>
      <c r="L1892" s="80" t="s">
        <v>64</v>
      </c>
    </row>
    <row r="1893">
      <c r="A1893" s="80" t="s">
        <v>61</v>
      </c>
      <c r="B1893" s="81" t="str">
        <f t="shared" si="86"/>
        <v>MEeeep More</v>
      </c>
      <c r="C1893" s="80" t="s">
        <v>2165</v>
      </c>
      <c r="D1893" s="81" t="str">
        <f>HYPERLINK("https://youtube.com/watch?v=mqRBf1kPwpw", "買米備用要點揀？ 一招幫你避免浪費")</f>
        <v>買米備用要點揀？ 一招幫你避免浪費</v>
      </c>
      <c r="E1893" s="82">
        <v>43933.0</v>
      </c>
      <c r="F1893" s="80">
        <v>100.0</v>
      </c>
      <c r="G1893" s="80" t="s">
        <v>63</v>
      </c>
      <c r="I1893" s="80" t="s">
        <v>63</v>
      </c>
      <c r="J1893" s="80">
        <v>288.0</v>
      </c>
      <c r="K1893" s="80">
        <v>0.849557522123893</v>
      </c>
      <c r="L1893" s="80" t="s">
        <v>64</v>
      </c>
    </row>
    <row r="1894">
      <c r="A1894" s="80" t="s">
        <v>293</v>
      </c>
      <c r="B1894" s="81" t="str">
        <f>HYPERLINK("https://www.youtube.com/channel/UCXRcbXqjORdIvl63I7MtOLQ", "趁熱 Kerry 's kitchen")</f>
        <v>趁熱 Kerry 's kitchen</v>
      </c>
      <c r="C1894" s="80" t="s">
        <v>2166</v>
      </c>
      <c r="D1894" s="81" t="str">
        <f>HYPERLINK("https://youtube.com/watch?v=6eLoLkxhb-Q", "蕃茄 炒蛋/車厘茄/簡單脫蕃茄皮/簡單 家做/粵語/中字/新手 入門/")</f>
        <v>蕃茄 炒蛋/車厘茄/簡單脫蕃茄皮/簡單 家做/粵語/中字/新手 入門/</v>
      </c>
      <c r="E1894" s="82">
        <v>44354.0</v>
      </c>
      <c r="F1894" s="80">
        <v>520.0</v>
      </c>
      <c r="G1894" s="80" t="s">
        <v>63</v>
      </c>
      <c r="I1894" s="80" t="s">
        <v>63</v>
      </c>
      <c r="J1894" s="80">
        <v>1221.0</v>
      </c>
      <c r="K1894" s="80">
        <v>0.969047619047619</v>
      </c>
      <c r="L1894" s="80" t="s">
        <v>64</v>
      </c>
    </row>
    <row r="1895">
      <c r="A1895" s="80" t="s">
        <v>74</v>
      </c>
      <c r="B1895" s="81" t="str">
        <f>HYPERLINK("https://www.youtube.com/channel/UCO_5XP-qd-udNxBlzzSzgvw", "Handline Fishing")</f>
        <v>Handline Fishing</v>
      </c>
      <c r="C1895" s="80" t="s">
        <v>2167</v>
      </c>
      <c r="D1895" s="81" t="str">
        <f>HYPERLINK("https://youtube.com/watch?v=mubn3i0I0Sg", "#241 今日有條大黃腳，大黑沙 | 根叔 | 香港釣魚 | 艇釣 | 維港 【GOPRO 10】")</f>
        <v>#241 今日有條大黃腳，大黑沙 | 根叔 | 香港釣魚 | 艇釣 | 維港 【GOPRO 10】</v>
      </c>
      <c r="E1895" s="82">
        <v>44467.0</v>
      </c>
      <c r="F1895" s="80">
        <v>388.0</v>
      </c>
      <c r="G1895" s="80" t="s">
        <v>63</v>
      </c>
      <c r="H1895" s="80" t="s">
        <v>63</v>
      </c>
      <c r="I1895" s="80" t="s">
        <v>63</v>
      </c>
      <c r="J1895" s="80">
        <v>325.0</v>
      </c>
      <c r="K1895" s="80">
        <v>0.959627329192546</v>
      </c>
      <c r="L1895" s="80" t="s">
        <v>88</v>
      </c>
    </row>
    <row r="1896">
      <c r="A1896" s="80" t="s">
        <v>67</v>
      </c>
      <c r="B1896" s="81" t="str">
        <f>HYPERLINK("https://www.youtube.com/channel/UC7U6-j2DrKRIKXmPo4kE7YA", "雞WING")</f>
        <v>雞WING</v>
      </c>
      <c r="C1896" s="80" t="s">
        <v>2168</v>
      </c>
      <c r="D1896" s="81" t="str">
        <f>HYPERLINK("https://youtube.com/watch?v=n4oZzcKLYCI", "【Just Game】邊個先係最勁射手！ ｜射箭攻防戰")</f>
        <v>【Just Game】邊個先係最勁射手！ ｜射箭攻防戰</v>
      </c>
      <c r="E1896" s="82">
        <v>44186.0</v>
      </c>
      <c r="F1896" s="80">
        <v>936.0</v>
      </c>
      <c r="G1896" s="80" t="s">
        <v>63</v>
      </c>
      <c r="I1896" s="80" t="s">
        <v>63</v>
      </c>
      <c r="J1896" s="80">
        <v>1870.0</v>
      </c>
      <c r="K1896" s="80">
        <v>0.906446921958313</v>
      </c>
      <c r="L1896" s="80" t="s">
        <v>64</v>
      </c>
    </row>
    <row r="1897">
      <c r="A1897" s="80" t="s">
        <v>96</v>
      </c>
      <c r="B1897" s="81" t="str">
        <f>HYPERLINK("https://www.youtube.com/channel/UCGtyHJ-L_4RDIHe3XaLofQQ", "Anson Cheung")</f>
        <v>Anson Cheung</v>
      </c>
      <c r="C1897" s="80" t="s">
        <v>2169</v>
      </c>
      <c r="D1897" s="81" t="str">
        <f>HYPERLINK("https://youtube.com/watch?v=n5H6P5toin8", "Samsung Galaxy S21 Ultra 評測：做多咗🤦🏻‍♂️｜同場對比 iPhone 12 Pro Max 相機效能｜Anson Cheung")</f>
        <v>Samsung Galaxy S21 Ultra 評測：做多咗🤦🏻‍♂️｜同場對比 iPhone 12 Pro Max 相機效能｜Anson Cheung</v>
      </c>
      <c r="E1897" s="82">
        <v>44229.0</v>
      </c>
      <c r="F1897" s="80">
        <v>1166.0</v>
      </c>
      <c r="G1897" s="80" t="s">
        <v>63</v>
      </c>
      <c r="I1897" s="80" t="s">
        <v>63</v>
      </c>
      <c r="J1897" s="80">
        <v>4038.0</v>
      </c>
      <c r="K1897" s="80">
        <v>0.711291174916329</v>
      </c>
      <c r="L1897" s="80" t="s">
        <v>64</v>
      </c>
    </row>
    <row r="1898">
      <c r="A1898" s="80" t="s">
        <v>61</v>
      </c>
      <c r="B1898" s="81" t="str">
        <f t="shared" ref="B1898:B1900" si="87">HYPERLINK("https://www.youtube.com/channel/UCJ4XVrJuqKHbc9yF9oUFseg", "MEeeep More")</f>
        <v>MEeeep More</v>
      </c>
      <c r="C1898" s="80" t="s">
        <v>2170</v>
      </c>
      <c r="D1898" s="81" t="str">
        <f>HYPERLINK("https://youtube.com/watch?v=n5iEbylhi_0", "【塔斯曼尼亞景點 2020】 蘋果酒係點生產？帶你飲地道 Apple Cidar ! - 澳洲自由行 Huon Cidar")</f>
        <v>【塔斯曼尼亞景點 2020】 蘋果酒係點生產？帶你飲地道 Apple Cidar ! - 澳洲自由行 Huon Cidar</v>
      </c>
      <c r="E1898" s="82">
        <v>43878.0</v>
      </c>
      <c r="F1898" s="80">
        <v>170.0</v>
      </c>
      <c r="G1898" s="80" t="s">
        <v>63</v>
      </c>
      <c r="I1898" s="80" t="s">
        <v>63</v>
      </c>
      <c r="J1898" s="80">
        <v>370.0</v>
      </c>
      <c r="K1898" s="80">
        <v>0.842824601366742</v>
      </c>
      <c r="L1898" s="80" t="s">
        <v>64</v>
      </c>
    </row>
    <row r="1899">
      <c r="A1899" s="80" t="s">
        <v>61</v>
      </c>
      <c r="B1899" s="81" t="str">
        <f t="shared" si="87"/>
        <v>MEeeep More</v>
      </c>
      <c r="C1899" s="80" t="s">
        <v>2171</v>
      </c>
      <c r="D1899" s="81" t="str">
        <f>HYPERLINK("https://youtube.com/watch?v=n85qOF00z4U", "小米 Mi 10T Pro、Mi 10T 登場！頂級配置 144Hz 刷新率 5G支援更多頻？但仲有一個問題未解決…  mi10t mi10tpro 小米10T Pro Xiaomi 10T Pro")</f>
        <v>小米 Mi 10T Pro、Mi 10T 登場！頂級配置 144Hz 刷新率 5G支援更多頻？但仲有一個問題未解決…  mi10t mi10tpro 小米10T Pro Xiaomi 10T Pro</v>
      </c>
      <c r="E1899" s="82">
        <v>44110.0</v>
      </c>
      <c r="F1899" s="80">
        <v>308.0</v>
      </c>
      <c r="G1899" s="80" t="s">
        <v>63</v>
      </c>
      <c r="I1899" s="80" t="s">
        <v>63</v>
      </c>
      <c r="J1899" s="80">
        <v>739.0</v>
      </c>
      <c r="K1899" s="80">
        <v>0.717475728155339</v>
      </c>
      <c r="L1899" s="80" t="s">
        <v>64</v>
      </c>
    </row>
    <row r="1900">
      <c r="A1900" s="80" t="s">
        <v>61</v>
      </c>
      <c r="B1900" s="81" t="str">
        <f t="shared" si="87"/>
        <v>MEeeep More</v>
      </c>
      <c r="C1900" s="80" t="s">
        <v>2172</v>
      </c>
      <c r="D1900" s="81" t="str">
        <f>HYPERLINK("https://youtube.com/watch?v=nC95AxIOlp4", "ClubSIM數據增量 以質素硬撼 SoSIM！ 最平$33/10GB 你Buy唔Buy？")</f>
        <v>ClubSIM數據增量 以質素硬撼 SoSIM！ 最平$33/10GB 你Buy唔Buy？</v>
      </c>
      <c r="E1900" s="82">
        <v>44546.0</v>
      </c>
      <c r="F1900" s="80">
        <v>130.0</v>
      </c>
      <c r="G1900" s="80" t="s">
        <v>63</v>
      </c>
      <c r="I1900" s="80" t="s">
        <v>63</v>
      </c>
      <c r="J1900" s="80">
        <v>346.0</v>
      </c>
      <c r="K1900" s="80">
        <v>0.700404858299595</v>
      </c>
      <c r="L1900" s="80" t="s">
        <v>64</v>
      </c>
    </row>
    <row r="1901">
      <c r="A1901" s="80" t="s">
        <v>217</v>
      </c>
      <c r="B1901" s="81" t="str">
        <f>HYPERLINK("https://www.youtube.com/channel/UCXKg0qPRz32bs5Z4mTGF3TQ", "Stormtrooper白兵")</f>
        <v>Stormtrooper白兵</v>
      </c>
      <c r="C1901" s="80" t="s">
        <v>2173</v>
      </c>
      <c r="D1901" s="81" t="str">
        <f>HYPERLINK("https://youtube.com/watch?v=nF3U9-d9nWw", "[懶人包]香港既未來靠晒佢！？｜遊說有冇用？點先有用？｜簡介政治遊說運作模式｜分析政治與遊說產業之間的關係｜簡述二百多年美國遊說歷史｜")</f>
        <v>[懶人包]香港既未來靠晒佢！？｜遊說有冇用？點先有用？｜簡介政治遊說運作模式｜分析政治與遊說產業之間的關係｜簡述二百多年美國遊說歷史｜</v>
      </c>
      <c r="E1901" s="82">
        <v>44469.0</v>
      </c>
      <c r="F1901" s="80">
        <v>895.0</v>
      </c>
      <c r="G1901" s="80" t="s">
        <v>63</v>
      </c>
      <c r="I1901" s="80" t="s">
        <v>63</v>
      </c>
      <c r="J1901" s="80">
        <v>3320.0</v>
      </c>
      <c r="K1901" s="80">
        <v>0.911837407305685</v>
      </c>
      <c r="L1901" s="80" t="s">
        <v>64</v>
      </c>
    </row>
    <row r="1902">
      <c r="A1902" s="80" t="s">
        <v>74</v>
      </c>
      <c r="B1902" s="81" t="str">
        <f>HYPERLINK("https://www.youtube.com/channel/UCO_5XP-qd-udNxBlzzSzgvw", "Handline Fishing")</f>
        <v>Handline Fishing</v>
      </c>
      <c r="C1902" s="80" t="s">
        <v>2174</v>
      </c>
      <c r="D1902" s="81" t="str">
        <f>HYPERLINK("https://youtube.com/watch?v=nGLAemucJzY", "#207 香港首位拍攝釣魚的Youtuber接受viuTV電視台訪問 【花絮】")</f>
        <v>#207 香港首位拍攝釣魚的Youtuber接受viuTV電視台訪問 【花絮】</v>
      </c>
      <c r="E1902" s="82">
        <v>44316.0</v>
      </c>
      <c r="F1902" s="80">
        <v>229.0</v>
      </c>
      <c r="G1902" s="80" t="s">
        <v>63</v>
      </c>
      <c r="H1902" s="80" t="s">
        <v>63</v>
      </c>
      <c r="I1902" s="80" t="s">
        <v>63</v>
      </c>
      <c r="J1902" s="80">
        <v>379.0</v>
      </c>
      <c r="K1902" s="80">
        <v>0.902380952380952</v>
      </c>
      <c r="L1902" s="80" t="s">
        <v>2175</v>
      </c>
    </row>
    <row r="1903">
      <c r="A1903" s="80" t="s">
        <v>288</v>
      </c>
      <c r="B1903" s="81" t="str">
        <f>HYPERLINK("https://www.youtube.com/channel/UCDWOYEhVnyD4IHZGVAMLc0g", "Brendan 毛爸")</f>
        <v>Brendan 毛爸</v>
      </c>
      <c r="C1903" s="80" t="s">
        <v>2176</v>
      </c>
      <c r="D1903" s="81" t="str">
        <f>HYPERLINK("https://youtube.com/watch?v=6ef8GOgP1Dc", "『今日Talk』到底有穩定工作，有寵物，有物業，有家庭，移唔移民好？到底有幾多包袱？ 片尾有彩彈！！片尾有彩彈！！（請打開CC 中文字幕）")</f>
        <v>『今日Talk』到底有穩定工作，有寵物，有物業，有家庭，移唔移民好？到底有幾多包袱？ 片尾有彩彈！！片尾有彩彈！！（請打開CC 中文字幕）</v>
      </c>
      <c r="E1903" s="82">
        <v>44057.0</v>
      </c>
      <c r="F1903" s="80">
        <v>304.0</v>
      </c>
      <c r="G1903" s="80" t="s">
        <v>63</v>
      </c>
      <c r="I1903" s="80" t="s">
        <v>63</v>
      </c>
      <c r="J1903" s="80">
        <v>959.0</v>
      </c>
      <c r="K1903" s="80">
        <v>0.933787731256085</v>
      </c>
      <c r="L1903" s="80" t="s">
        <v>64</v>
      </c>
    </row>
    <row r="1904">
      <c r="A1904" s="80" t="s">
        <v>74</v>
      </c>
      <c r="B1904" s="81" t="str">
        <f>HYPERLINK("https://www.youtube.com/channel/UCO_5XP-qd-udNxBlzzSzgvw", "Handline Fishing")</f>
        <v>Handline Fishing</v>
      </c>
      <c r="C1904" s="80" t="s">
        <v>2177</v>
      </c>
      <c r="D1904" s="81" t="str">
        <f>HYPERLINK("https://youtube.com/watch?v=nGLqp3pD3_M", "#85 大角咀之大佬-江哥，阿神與馬友的初次接觸『香港釣魚 : 艇釣』馬場 {粵語旁白+中英文字幕}")</f>
        <v>#85 大角咀之大佬-江哥，阿神與馬友的初次接觸『香港釣魚 : 艇釣』馬場 {粵語旁白+中英文字幕}</v>
      </c>
      <c r="E1904" s="82">
        <v>43886.0</v>
      </c>
      <c r="F1904" s="80">
        <v>232.0</v>
      </c>
      <c r="G1904" s="80" t="s">
        <v>63</v>
      </c>
      <c r="I1904" s="80" t="s">
        <v>63</v>
      </c>
      <c r="J1904" s="80">
        <v>725.0</v>
      </c>
      <c r="K1904" s="80">
        <v>0.918884664131812</v>
      </c>
      <c r="L1904" s="80" t="s">
        <v>76</v>
      </c>
    </row>
    <row r="1905">
      <c r="A1905" s="80" t="s">
        <v>71</v>
      </c>
      <c r="B1905" s="81" t="str">
        <f>HYPERLINK("https://www.youtube.com/channel/UCXTE-gQCetfrx_lC9yFM2aw", "arhoTV")</f>
        <v>arhoTV</v>
      </c>
      <c r="C1905" s="80" t="s">
        <v>2178</v>
      </c>
      <c r="D1905" s="81" t="str">
        <f>HYPERLINK("https://youtube.com/watch?v=nLWm-XFchYE", "【日常】丟低亞悠去劈友！？")</f>
        <v>【日常】丟低亞悠去劈友！？</v>
      </c>
      <c r="E1905" s="82">
        <v>42761.0</v>
      </c>
      <c r="F1905" s="80">
        <v>181.0</v>
      </c>
      <c r="G1905" s="80" t="s">
        <v>63</v>
      </c>
      <c r="H1905" s="80" t="s">
        <v>63</v>
      </c>
      <c r="I1905" s="80" t="s">
        <v>63</v>
      </c>
      <c r="J1905" s="80">
        <v>628.0</v>
      </c>
      <c r="K1905" s="80">
        <v>0.638528138528138</v>
      </c>
      <c r="L1905" s="80" t="s">
        <v>973</v>
      </c>
    </row>
    <row r="1906">
      <c r="A1906" s="80" t="s">
        <v>743</v>
      </c>
      <c r="B1906" s="81" t="str">
        <f>HYPERLINK("https://www.youtube.com/channel/UCe6qQ8zbYQJgTBnZ9wBzm9w", "Willy Lee")</f>
        <v>Willy Lee</v>
      </c>
      <c r="C1906" s="80" t="s">
        <v>2179</v>
      </c>
      <c r="D1906" s="81" t="str">
        <f>HYPERLINK("https://youtube.com/watch?v=nU_FvKSx778", "🇭🇰【行山】中級！行左6個鐘終於去到赤紅色海岸既紅石門！航拍, 路線, 打卡位分享 - Willy Lee")</f>
        <v>🇭🇰【行山】中級！行左6個鐘終於去到赤紅色海岸既紅石門！航拍, 路線, 打卡位分享 - Willy Lee</v>
      </c>
      <c r="E1906" s="82">
        <v>44424.0</v>
      </c>
      <c r="F1906" s="80">
        <v>394.0</v>
      </c>
      <c r="G1906" s="80" t="s">
        <v>63</v>
      </c>
      <c r="I1906" s="80" t="s">
        <v>63</v>
      </c>
      <c r="J1906" s="80">
        <v>1715.0</v>
      </c>
      <c r="K1906" s="80">
        <v>0.908368644067796</v>
      </c>
      <c r="L1906" s="80" t="s">
        <v>745</v>
      </c>
    </row>
    <row r="1907">
      <c r="A1907" s="80" t="s">
        <v>233</v>
      </c>
      <c r="B1907" s="81" t="str">
        <f>HYPERLINK("https://www.youtube.com/channel/UCjL61vw5qtDQudezRnnv-ig", "rickolam1")</f>
        <v>rickolam1</v>
      </c>
      <c r="C1907" s="80" t="s">
        <v>2180</v>
      </c>
      <c r="D1907" s="81" t="str">
        <f>HYPERLINK("https://youtube.com/watch?v=nYC3tDc6uf4", "【真人show】5種我最討厭的人・地鐵衝紅燈?!")</f>
        <v>【真人show】5種我最討厭的人・地鐵衝紅燈?!</v>
      </c>
      <c r="E1907" s="82">
        <v>42398.0</v>
      </c>
      <c r="F1907" s="80">
        <v>337.0</v>
      </c>
      <c r="G1907" s="80" t="s">
        <v>63</v>
      </c>
      <c r="H1907" s="80" t="s">
        <v>63</v>
      </c>
      <c r="I1907" s="80" t="s">
        <v>63</v>
      </c>
      <c r="J1907" s="80">
        <v>1530.0</v>
      </c>
      <c r="K1907" s="80">
        <v>0.93463653023824</v>
      </c>
      <c r="L1907" s="80" t="s">
        <v>86</v>
      </c>
    </row>
    <row r="1908">
      <c r="A1908" s="80" t="s">
        <v>1069</v>
      </c>
      <c r="B1908" s="81" t="str">
        <f>HYPERLINK("https://www.youtube.com/channel/UCAnpoZYvOIZUPp66LrWl9OA", "Leave Your Mark")</f>
        <v>Leave Your Mark</v>
      </c>
      <c r="C1908" s="80" t="s">
        <v>2181</v>
      </c>
      <c r="D1908" s="81" t="str">
        <f>HYPERLINK("https://youtube.com/watch?v=nYP75EoOL3g", "#5 卓韻芝 //寧願見證 好過安樂//")</f>
        <v>#5 卓韻芝 //寧願見證 好過安樂//</v>
      </c>
      <c r="E1908" s="82">
        <v>42600.0</v>
      </c>
      <c r="F1908" s="80">
        <v>181.0</v>
      </c>
      <c r="G1908" s="80" t="s">
        <v>63</v>
      </c>
      <c r="I1908" s="80" t="s">
        <v>63</v>
      </c>
      <c r="J1908" s="80">
        <v>605.0</v>
      </c>
      <c r="K1908" s="80">
        <v>0.9453125</v>
      </c>
      <c r="L1908" s="80" t="s">
        <v>1071</v>
      </c>
    </row>
    <row r="1909">
      <c r="A1909" s="80" t="s">
        <v>74</v>
      </c>
      <c r="B1909" s="81" t="str">
        <f t="shared" ref="B1909:B1910" si="88">HYPERLINK("https://www.youtube.com/channel/UCO_5XP-qd-udNxBlzzSzgvw", "Handline Fishing")</f>
        <v>Handline Fishing</v>
      </c>
      <c r="C1909" s="80" t="s">
        <v>2182</v>
      </c>
      <c r="D1909" s="81" t="str">
        <f>HYPERLINK("https://youtube.com/watch?v=ngjm8xUNLUo", "#179 蠔排釣食用裝黃腳鱲，好嘢 | 『香港釣魚 : 艇釣』流浮山蠔排 | 現場收音 |【Expert Graphite 2NU 太陽眼鏡】")</f>
        <v>#179 蠔排釣食用裝黃腳鱲，好嘢 | 『香港釣魚 : 艇釣』流浮山蠔排 | 現場收音 |【Expert Graphite 2NU 太陽眼鏡】</v>
      </c>
      <c r="E1909" s="82">
        <v>44203.0</v>
      </c>
      <c r="F1909" s="80">
        <v>294.0</v>
      </c>
      <c r="G1909" s="80" t="s">
        <v>63</v>
      </c>
      <c r="I1909" s="80" t="s">
        <v>63</v>
      </c>
      <c r="J1909" s="80">
        <v>537.0</v>
      </c>
      <c r="K1909" s="80">
        <v>0.969314079422382</v>
      </c>
      <c r="L1909" s="80" t="s">
        <v>271</v>
      </c>
    </row>
    <row r="1910">
      <c r="A1910" s="80" t="s">
        <v>74</v>
      </c>
      <c r="B1910" s="81" t="str">
        <f t="shared" si="88"/>
        <v>Handline Fishing</v>
      </c>
      <c r="C1910" s="80" t="s">
        <v>2183</v>
      </c>
      <c r="D1910" s="81" t="str">
        <f>HYPERLINK("https://youtube.com/watch?v=nhEl8CY8oSc", "#94 雨後沙鯭兩大條『香港釣魚 : 岸釣』中西區海濱長廊-中環段 {粵語旁白+中英文字幕}")</f>
        <v>#94 雨後沙鯭兩大條『香港釣魚 : 岸釣』中西區海濱長廊-中環段 {粵語旁白+中英文字幕}</v>
      </c>
      <c r="E1910" s="82">
        <v>43910.0</v>
      </c>
      <c r="F1910" s="80">
        <v>147.0</v>
      </c>
      <c r="G1910" s="80" t="s">
        <v>63</v>
      </c>
      <c r="I1910" s="80" t="s">
        <v>63</v>
      </c>
      <c r="J1910" s="80">
        <v>697.0</v>
      </c>
      <c r="K1910" s="80">
        <v>0.969401947148817</v>
      </c>
      <c r="L1910" s="80" t="s">
        <v>76</v>
      </c>
    </row>
    <row r="1911">
      <c r="A1911" s="80" t="s">
        <v>957</v>
      </c>
      <c r="B1911" s="81" t="str">
        <f>HYPERLINK("https://www.youtube.com/channel/UCNdV5VO81YBe5rfhOz1wRmA", "Con爆TV")</f>
        <v>Con爆TV</v>
      </c>
      <c r="C1911" s="80" t="s">
        <v>2184</v>
      </c>
      <c r="D1911" s="81" t="str">
        <f>HYPERLINK("https://youtube.com/watch?v=nlxuJE5jAL8", "【PAD】幽遊白書合作第2彈全角色性能解說!! 最強大獎竟然唔使抽?! 1combo過億傷害的新強角、5星角色都勁有用")</f>
        <v>【PAD】幽遊白書合作第2彈全角色性能解說!! 最強大獎竟然唔使抽?! 1combo過億傷害的新強角、5星角色都勁有用</v>
      </c>
      <c r="E1911" s="82">
        <v>43534.0</v>
      </c>
      <c r="F1911" s="80">
        <v>738.0</v>
      </c>
      <c r="G1911" s="80" t="s">
        <v>63</v>
      </c>
      <c r="I1911" s="80" t="s">
        <v>63</v>
      </c>
      <c r="J1911" s="80">
        <v>2887.0</v>
      </c>
      <c r="K1911" s="80">
        <v>0.935515230071289</v>
      </c>
      <c r="L1911" s="80" t="s">
        <v>64</v>
      </c>
    </row>
    <row r="1912">
      <c r="A1912" s="80" t="s">
        <v>82</v>
      </c>
      <c r="B1912" s="81" t="str">
        <f>HYPERLINK("https://www.youtube.com/channel/UC6C2hkbggXIgapf5jn_V2Dw", "SpongeMob 852")</f>
        <v>SpongeMob 852</v>
      </c>
      <c r="C1912" s="80" t="s">
        <v>2185</v>
      </c>
      <c r="D1912" s="81" t="str">
        <f>HYPERLINK("https://youtube.com/watch?v=nly3i4VYt94", "Novel Flash X THM - Final Round [Official Music Video]")</f>
        <v>Novel Flash X THM - Final Round [Official Music Video]</v>
      </c>
      <c r="E1912" s="82">
        <v>44470.0</v>
      </c>
      <c r="F1912" s="80">
        <v>141.0</v>
      </c>
      <c r="G1912" s="80" t="s">
        <v>63</v>
      </c>
      <c r="I1912" s="80" t="s">
        <v>63</v>
      </c>
      <c r="J1912" s="80">
        <v>340.0</v>
      </c>
      <c r="K1912" s="80">
        <v>0.75055187637969</v>
      </c>
      <c r="L1912" s="80" t="s">
        <v>64</v>
      </c>
    </row>
    <row r="1913">
      <c r="A1913" s="80" t="s">
        <v>74</v>
      </c>
      <c r="B1913" s="81" t="str">
        <f>HYPERLINK("https://www.youtube.com/channel/UCO_5XP-qd-udNxBlzzSzgvw", "Handline Fishing")</f>
        <v>Handline Fishing</v>
      </c>
      <c r="C1913" s="80" t="s">
        <v>2186</v>
      </c>
      <c r="D1913" s="81" t="str">
        <f>HYPERLINK("https://youtube.com/watch?v=nnWkNV7PozY", "#77 五個傻佬去尋鱸，巧遇神魚，大家最後搞到成褲都係...『香港釣魚 : 艇釣』機場 {粵語旁白+中英文字幕}")</f>
        <v>#77 五個傻佬去尋鱸，巧遇神魚，大家最後搞到成褲都係...『香港釣魚 : 艇釣』機場 {粵語旁白+中英文字幕}</v>
      </c>
      <c r="E1913" s="82">
        <v>43844.0</v>
      </c>
      <c r="F1913" s="80">
        <v>272.0</v>
      </c>
      <c r="G1913" s="80" t="s">
        <v>63</v>
      </c>
      <c r="I1913" s="80" t="s">
        <v>63</v>
      </c>
      <c r="J1913" s="80">
        <v>853.0</v>
      </c>
      <c r="K1913" s="80">
        <v>0.979334098737083</v>
      </c>
      <c r="L1913" s="80" t="s">
        <v>76</v>
      </c>
    </row>
    <row r="1914">
      <c r="A1914" s="80" t="s">
        <v>61</v>
      </c>
      <c r="B1914" s="81" t="str">
        <f>HYPERLINK("https://www.youtube.com/channel/UCJ4XVrJuqKHbc9yF9oUFseg", "MEeeep More")</f>
        <v>MEeeep More</v>
      </c>
      <c r="C1914" s="80" t="s">
        <v>2187</v>
      </c>
      <c r="D1914" s="81" t="str">
        <f>HYPERLINK("https://youtube.com/watch?v=noAOjB_i9lo", "[2020聖誕禮物] 唔洗$1000 日本 Green House 家用啤酒機！呢個聖誕屋企變「宅酒吧」！多泡少泡任你揀！溝埋Cocktail一樣得！")</f>
        <v>[2020聖誕禮物] 唔洗$1000 日本 Green House 家用啤酒機！呢個聖誕屋企變「宅酒吧」！多泡少泡任你揀！溝埋Cocktail一樣得！</v>
      </c>
      <c r="E1914" s="82">
        <v>44176.0</v>
      </c>
      <c r="F1914" s="80">
        <v>229.0</v>
      </c>
      <c r="G1914" s="80" t="s">
        <v>63</v>
      </c>
      <c r="I1914" s="80" t="s">
        <v>63</v>
      </c>
      <c r="J1914" s="80">
        <v>553.0</v>
      </c>
      <c r="K1914" s="80">
        <v>0.736351531291611</v>
      </c>
      <c r="L1914" s="80" t="s">
        <v>64</v>
      </c>
    </row>
    <row r="1915">
      <c r="A1915" s="80" t="s">
        <v>96</v>
      </c>
      <c r="B1915" s="81" t="str">
        <f>HYPERLINK("https://www.youtube.com/channel/UCGtyHJ-L_4RDIHe3XaLofQQ", "Anson Cheung")</f>
        <v>Anson Cheung</v>
      </c>
      <c r="C1915" s="80" t="s">
        <v>2188</v>
      </c>
      <c r="D1915" s="81" t="str">
        <f>HYPERLINK("https://youtube.com/watch?v=nrW5oc4fnbA", "【VLOG】Sony a7RIII 香港發佈會 - LG V30+ 影片質素實測 | A Day with Me")</f>
        <v>【VLOG】Sony a7RIII 香港發佈會 - LG V30+ 影片質素實測 | A Day with Me</v>
      </c>
      <c r="E1915" s="82">
        <v>43066.0</v>
      </c>
      <c r="F1915" s="80">
        <v>202.0</v>
      </c>
      <c r="G1915" s="80" t="s">
        <v>63</v>
      </c>
      <c r="I1915" s="80" t="s">
        <v>63</v>
      </c>
      <c r="J1915" s="80">
        <v>562.0</v>
      </c>
      <c r="K1915" s="80">
        <v>0.840059790732436</v>
      </c>
      <c r="L1915" s="80" t="s">
        <v>64</v>
      </c>
    </row>
    <row r="1916">
      <c r="A1916" s="80" t="s">
        <v>252</v>
      </c>
      <c r="B1916" s="81" t="str">
        <f>HYPERLINK("https://www.youtube.com/channel/UCrISkBm7rgsRUAw8018eWvw", "MoYung 慕容公子")</f>
        <v>MoYung 慕容公子</v>
      </c>
      <c r="C1916" s="80" t="s">
        <v>2189</v>
      </c>
      <c r="D1916" s="81" t="str">
        <f>HYPERLINK("https://youtube.com/watch?v=ntKJ4p9uekg", "打機打到開語音嘈交！(大量粗口) 《Deceit》")</f>
        <v>打機打到開語音嘈交！(大量粗口) 《Deceit》</v>
      </c>
      <c r="E1916" s="82">
        <v>42834.0</v>
      </c>
      <c r="F1916" s="80">
        <v>137.0</v>
      </c>
      <c r="G1916" s="80" t="s">
        <v>63</v>
      </c>
      <c r="I1916" s="80" t="s">
        <v>63</v>
      </c>
      <c r="J1916" s="80">
        <v>311.0</v>
      </c>
      <c r="K1916" s="80">
        <v>0.476993865030674</v>
      </c>
      <c r="L1916" s="80" t="s">
        <v>236</v>
      </c>
    </row>
    <row r="1917">
      <c r="A1917" s="80" t="s">
        <v>112</v>
      </c>
      <c r="B1917" s="81" t="str">
        <f>HYPERLINK("https://www.youtube.com/channel/UCW_n_gfIv4HhRqCk8EnRhJA", "Happy Kongner")</f>
        <v>Happy Kongner</v>
      </c>
      <c r="C1917" s="80" t="s">
        <v>2190</v>
      </c>
      <c r="D1917" s="81" t="str">
        <f>HYPERLINK("https://youtube.com/watch?v=o-S7aSg8Jo0", "出乎意料之外！Captain Marvel嘅定位居然係... 簡評 Marvel 電影 Captain Marvel [𠝹櫈電影學會]")</f>
        <v>出乎意料之外！Captain Marvel嘅定位居然係... 簡評 Marvel 電影 Captain Marvel [𠝹櫈電影學會]</v>
      </c>
      <c r="E1917" s="82">
        <v>43531.0</v>
      </c>
      <c r="F1917" s="80">
        <v>1050.0</v>
      </c>
      <c r="G1917" s="80" t="s">
        <v>63</v>
      </c>
      <c r="I1917" s="80" t="s">
        <v>63</v>
      </c>
      <c r="J1917" s="80">
        <v>4985.0</v>
      </c>
      <c r="K1917" s="80">
        <v>0.775151609392007</v>
      </c>
      <c r="L1917" s="80" t="s">
        <v>64</v>
      </c>
    </row>
    <row r="1918">
      <c r="A1918" s="80" t="s">
        <v>217</v>
      </c>
      <c r="B1918" s="81" t="str">
        <f>HYPERLINK("https://www.youtube.com/channel/UCXKg0qPRz32bs5Z4mTGF3TQ", "Stormtrooper白兵")</f>
        <v>Stormtrooper白兵</v>
      </c>
      <c r="C1918" s="80" t="s">
        <v>2191</v>
      </c>
      <c r="D1918" s="81" t="str">
        <f>HYPERLINK("https://youtube.com/watch?v=o0QmLP-bjOA", "[恒大爆煲]中共救與不救重要嗎？有雷曼2.0之稱的恒大會否重蹈雷曼覆轍？鑑古知今，了解雷曼的前世今生！｜粵語中字")</f>
        <v>[恒大爆煲]中共救與不救重要嗎？有雷曼2.0之稱的恒大會否重蹈雷曼覆轍？鑑古知今，了解雷曼的前世今生！｜粵語中字</v>
      </c>
      <c r="E1918" s="82">
        <v>44462.0</v>
      </c>
      <c r="F1918" s="80">
        <v>958.0</v>
      </c>
      <c r="G1918" s="80" t="s">
        <v>63</v>
      </c>
      <c r="I1918" s="80" t="s">
        <v>63</v>
      </c>
      <c r="J1918" s="80">
        <v>4131.0</v>
      </c>
      <c r="K1918" s="80">
        <v>0.94921875</v>
      </c>
      <c r="L1918" s="80" t="s">
        <v>64</v>
      </c>
    </row>
    <row r="1919">
      <c r="A1919" s="80" t="s">
        <v>278</v>
      </c>
      <c r="B1919" s="81" t="str">
        <f>HYPERLINK("https://www.youtube.com/channel/UCDoEdJo-PI-EKGNKomwLroQ", "mingjai14")</f>
        <v>mingjai14</v>
      </c>
      <c r="C1919" s="80" t="s">
        <v>2192</v>
      </c>
      <c r="D1919" s="81" t="str">
        <f>HYPERLINK("https://youtube.com/watch?v=o8qIdO6NJe4", "飽覽威尼斯全景🇮🇹再見歐洲👋 ft.恆仔｜歐遊列國3｜最終回  (全高清)")</f>
        <v>飽覽威尼斯全景🇮🇹再見歐洲👋 ft.恆仔｜歐遊列國3｜最終回  (全高清)</v>
      </c>
      <c r="E1919" s="82">
        <v>43065.0</v>
      </c>
      <c r="F1919" s="80">
        <v>522.0</v>
      </c>
      <c r="G1919" s="80" t="s">
        <v>63</v>
      </c>
      <c r="H1919" s="80" t="s">
        <v>63</v>
      </c>
      <c r="I1919" s="80" t="s">
        <v>63</v>
      </c>
      <c r="J1919" s="80">
        <v>1448.0</v>
      </c>
      <c r="K1919" s="80">
        <v>0.900527009222661</v>
      </c>
      <c r="L1919" s="80" t="s">
        <v>86</v>
      </c>
    </row>
    <row r="1920">
      <c r="A1920" s="80" t="s">
        <v>1168</v>
      </c>
      <c r="B1920" s="81" t="str">
        <f>HYPERLINK("https://www.youtube.com/channel/UCbu2FeFXZ1RAuhioQDF-npQ", "英倫爸爸")</f>
        <v>英倫爸爸</v>
      </c>
      <c r="C1920" s="80" t="s">
        <v>2193</v>
      </c>
      <c r="D1920" s="81" t="str">
        <f>HYPERLINK("https://youtube.com/watch?v=oFKQeDldtMs", "掛住奈良？去 Bushy Park 探小鹿班比 | Kingston | London | 倫敦 | 皇家公園 | Royal Park | CC中文字幕")</f>
        <v>掛住奈良？去 Bushy Park 探小鹿班比 | Kingston | London | 倫敦 | 皇家公園 | Royal Park | CC中文字幕</v>
      </c>
      <c r="E1920" s="82">
        <v>44333.0</v>
      </c>
      <c r="F1920" s="80">
        <v>300.0</v>
      </c>
      <c r="G1920" s="80" t="s">
        <v>63</v>
      </c>
      <c r="I1920" s="80" t="s">
        <v>63</v>
      </c>
      <c r="J1920" s="80">
        <v>284.0</v>
      </c>
      <c r="K1920" s="80">
        <v>0.708229426433915</v>
      </c>
      <c r="L1920" s="80" t="s">
        <v>102</v>
      </c>
    </row>
    <row r="1921">
      <c r="A1921" s="80" t="s">
        <v>140</v>
      </c>
      <c r="B1921" s="81" t="str">
        <f>HYPERLINK("https://www.youtube.com/channel/UCHK0CZf9HEXs42qIO1GUouA", "TechiCardia")</f>
        <v>TechiCardia</v>
      </c>
      <c r="C1921" s="80" t="s">
        <v>2194</v>
      </c>
      <c r="D1921" s="81" t="str">
        <f>HYPERLINK("https://youtube.com/watch?v=oFvuKXdzFaw", "8核 i9-11900K大戰10核10900K！？Intel 11代i9 CPU跑分、遊戲表現詳細測試！//Feat. AsRock Z590// 4K【TechiCardia】[cc廣東話字幕]")</f>
        <v>8核 i9-11900K大戰10核10900K！？Intel 11代i9 CPU跑分、遊戲表現詳細測試！//Feat. AsRock Z590// 4K【TechiCardia】[cc廣東話字幕]</v>
      </c>
      <c r="E1921" s="82">
        <v>44285.0</v>
      </c>
      <c r="F1921" s="80">
        <v>822.0</v>
      </c>
      <c r="G1921" s="80" t="s">
        <v>63</v>
      </c>
      <c r="I1921" s="80" t="s">
        <v>63</v>
      </c>
      <c r="J1921" s="80">
        <v>2347.0</v>
      </c>
      <c r="K1921" s="80">
        <v>0.589106425702811</v>
      </c>
      <c r="L1921" s="80" t="s">
        <v>102</v>
      </c>
    </row>
    <row r="1922">
      <c r="A1922" s="80" t="s">
        <v>217</v>
      </c>
      <c r="B1922" s="81" t="str">
        <f t="shared" ref="B1922:B1923" si="89">HYPERLINK("https://www.youtube.com/channel/UCXKg0qPRz32bs5Z4mTGF3TQ", "Stormtrooper白兵")</f>
        <v>Stormtrooper白兵</v>
      </c>
      <c r="C1922" s="80" t="s">
        <v>2195</v>
      </c>
      <c r="D1922" s="81" t="str">
        <f>HYPERLINK("https://youtube.com/watch?v=oJIooYGc1mo", "[阿富汗撤軍前傳] 西貢淪陷(Fall of Saigon)懶人包｜歷史不斷重演，人類卻無得到教訓！｜同樣20年的戰爭、同樣腐敗的政府、同樣無能的總統、同樣輸給恐佈分子！｜越南戰爭最後數天的人道災難！")</f>
        <v>[阿富汗撤軍前傳] 西貢淪陷(Fall of Saigon)懶人包｜歷史不斷重演，人類卻無得到教訓！｜同樣20年的戰爭、同樣腐敗的政府、同樣無能的總統、同樣輸給恐佈分子！｜越南戰爭最後數天的人道災難！</v>
      </c>
      <c r="E1922" s="82">
        <v>44434.0</v>
      </c>
      <c r="F1922" s="80">
        <v>898.0</v>
      </c>
      <c r="G1922" s="80" t="s">
        <v>63</v>
      </c>
      <c r="I1922" s="80" t="s">
        <v>63</v>
      </c>
      <c r="J1922" s="80">
        <v>4034.0</v>
      </c>
      <c r="K1922" s="80">
        <v>0.930565167243367</v>
      </c>
      <c r="L1922" s="80" t="s">
        <v>64</v>
      </c>
    </row>
    <row r="1923">
      <c r="A1923" s="80" t="s">
        <v>217</v>
      </c>
      <c r="B1923" s="81" t="str">
        <f t="shared" si="89"/>
        <v>Stormtrooper白兵</v>
      </c>
      <c r="C1923" s="80" t="s">
        <v>2196</v>
      </c>
      <c r="D1923" s="81" t="str">
        <f>HYPERLINK("https://youtube.com/watch?v=oKHkxq0CoaE", "[白兵劇場]頻道史上最長劇場片！｜白兵啊梅自爆戀情！？｜假新聞是如何煉成的？｜假新聞有咩用！？")</f>
        <v>[白兵劇場]頻道史上最長劇場片！｜白兵啊梅自爆戀情！？｜假新聞是如何煉成的？｜假新聞有咩用！？</v>
      </c>
      <c r="E1923" s="82">
        <v>44544.0</v>
      </c>
      <c r="F1923" s="80">
        <v>1024.0</v>
      </c>
      <c r="G1923" s="80" t="s">
        <v>63</v>
      </c>
      <c r="I1923" s="80" t="s">
        <v>63</v>
      </c>
      <c r="J1923" s="80">
        <v>3345.0</v>
      </c>
      <c r="K1923" s="80">
        <v>0.934879821129122</v>
      </c>
      <c r="L1923" s="80" t="s">
        <v>64</v>
      </c>
    </row>
    <row r="1924">
      <c r="A1924" s="80" t="s">
        <v>74</v>
      </c>
      <c r="B1924" s="81" t="str">
        <f>HYPERLINK("https://www.youtube.com/channel/UCO_5XP-qd-udNxBlzzSzgvw", "Handline Fishing")</f>
        <v>Handline Fishing</v>
      </c>
      <c r="C1924" s="80" t="s">
        <v>2197</v>
      </c>
      <c r="D1924" s="81" t="str">
        <f>HYPERLINK("https://youtube.com/watch?v=oR1O1IyQkGg", "#238 太公夾萬有什麼機關? | 香港釣魚 | 艇釣 | 西貢大頭艇 【AirFly 太陽眼鏡】")</f>
        <v>#238 太公夾萬有什麼機關? | 香港釣魚 | 艇釣 | 西貢大頭艇 【AirFly 太陽眼鏡】</v>
      </c>
      <c r="E1924" s="82">
        <v>44456.0</v>
      </c>
      <c r="F1924" s="80">
        <v>483.0</v>
      </c>
      <c r="G1924" s="80" t="s">
        <v>63</v>
      </c>
      <c r="H1924" s="80" t="s">
        <v>63</v>
      </c>
      <c r="I1924" s="80" t="s">
        <v>63</v>
      </c>
      <c r="J1924" s="80">
        <v>552.0</v>
      </c>
      <c r="K1924" s="80">
        <v>0.973544973544973</v>
      </c>
      <c r="L1924" s="80" t="s">
        <v>88</v>
      </c>
    </row>
    <row r="1925">
      <c r="A1925" s="80" t="s">
        <v>274</v>
      </c>
      <c r="B1925" s="81" t="str">
        <f>HYPERLINK("https://www.youtube.com/channel/UC2oB9QCXs-RKtaKChrz4dKg", "MtzCherry")</f>
        <v>MtzCherry</v>
      </c>
      <c r="C1925" s="80" t="s">
        <v>2198</v>
      </c>
      <c r="D1925" s="81" t="str">
        <f>HYPERLINK("https://youtube.com/watch?v=oShIQ_QXhC4", "🇭🇰係屋企沖茶餐廳鴛鴦? Making Cha Caan Teng Yuan Yang at home! || LIVING in HONG KONG")</f>
        <v>🇭🇰係屋企沖茶餐廳鴛鴦? Making Cha Caan Teng Yuan Yang at home! || LIVING in HONG KONG</v>
      </c>
      <c r="E1925" s="82">
        <v>43287.0</v>
      </c>
      <c r="F1925" s="80">
        <v>461.0</v>
      </c>
      <c r="G1925" s="80" t="s">
        <v>63</v>
      </c>
      <c r="H1925" s="80" t="s">
        <v>63</v>
      </c>
      <c r="I1925" s="80" t="s">
        <v>63</v>
      </c>
      <c r="J1925" s="80">
        <v>1104.0</v>
      </c>
      <c r="K1925" s="80">
        <v>0.930075821398483</v>
      </c>
      <c r="L1925" s="80" t="s">
        <v>2029</v>
      </c>
    </row>
    <row r="1926">
      <c r="A1926" s="80" t="s">
        <v>260</v>
      </c>
      <c r="B1926" s="81" t="str">
        <f>HYPERLINK("https://www.youtube.com/channel/UC-HXOikkLx7BGEfILGIpYOg", "港短 . 英移")</f>
        <v>港短 . 英移</v>
      </c>
      <c r="C1926" s="80" t="s">
        <v>2199</v>
      </c>
      <c r="D1926" s="81" t="str">
        <f>HYPERLINK("https://youtube.com/watch?v=o_GPqT7V2YA", "【移民的代價】我地移民駛左幾多錢?【移民第一步係先做好預算】| 港短.英移​ #HongKonger #英國租樓 #英國移民")</f>
        <v>【移民的代價】我地移民駛左幾多錢?【移民第一步係先做好預算】| 港短.英移​ #HongKonger #英國租樓 #英國移民</v>
      </c>
      <c r="E1926" s="82">
        <v>44467.0</v>
      </c>
      <c r="F1926" s="80">
        <v>480.0</v>
      </c>
      <c r="G1926" s="80" t="s">
        <v>63</v>
      </c>
      <c r="I1926" s="80" t="s">
        <v>63</v>
      </c>
      <c r="J1926" s="80">
        <v>1759.0</v>
      </c>
      <c r="K1926" s="80">
        <v>0.901127049180327</v>
      </c>
      <c r="L1926" s="80" t="s">
        <v>102</v>
      </c>
    </row>
    <row r="1927">
      <c r="A1927" s="80" t="s">
        <v>1061</v>
      </c>
      <c r="B1927" s="81" t="str">
        <f>HYPERLINK("https://www.youtube.com/channel/UCpgb6oSJR0AXWVKWQ0PmeBw", "Innovation Works Studio")</f>
        <v>Innovation Works Studio</v>
      </c>
      <c r="C1927" s="80" t="s">
        <v>2200</v>
      </c>
      <c r="D1927" s="81" t="str">
        <f>HYPERLINK("https://youtube.com/watch?v=ofeF2G5j5tI", "[新手救星]如何安裝OMSI map及巴士(附中文字幕) | OMSI | OMSI 2 | 巴士遊戲 | Austin揸巴士")</f>
        <v>[新手救星]如何安裝OMSI map及巴士(附中文字幕) | OMSI | OMSI 2 | 巴士遊戲 | Austin揸巴士</v>
      </c>
      <c r="E1927" s="82">
        <v>43704.0</v>
      </c>
      <c r="F1927" s="80">
        <v>207.0</v>
      </c>
      <c r="G1927" s="80" t="s">
        <v>63</v>
      </c>
      <c r="I1927" s="80" t="s">
        <v>63</v>
      </c>
      <c r="J1927" s="80">
        <v>586.0</v>
      </c>
      <c r="K1927" s="80">
        <v>0.603501544799176</v>
      </c>
      <c r="L1927" s="80" t="s">
        <v>521</v>
      </c>
    </row>
    <row r="1928">
      <c r="A1928" s="80" t="s">
        <v>67</v>
      </c>
      <c r="B1928" s="81" t="str">
        <f>HYPERLINK("https://www.youtube.com/channel/UC7U6-j2DrKRIKXmPo4kE7YA", "雞WING")</f>
        <v>雞WING</v>
      </c>
      <c r="C1928" s="80" t="s">
        <v>2201</v>
      </c>
      <c r="D1928" s="81" t="str">
        <f>HYPERLINK("https://youtube.com/watch?v=og0yhMz5HpA", "生日係公司最開心嘅！")</f>
        <v>生日係公司最開心嘅！</v>
      </c>
      <c r="E1928" s="82">
        <v>44179.0</v>
      </c>
      <c r="F1928" s="80">
        <v>974.0</v>
      </c>
      <c r="G1928" s="80" t="s">
        <v>63</v>
      </c>
      <c r="I1928" s="80" t="s">
        <v>63</v>
      </c>
      <c r="J1928" s="80">
        <v>2188.0</v>
      </c>
      <c r="K1928" s="80">
        <v>0.900782214903252</v>
      </c>
      <c r="L1928" s="80" t="s">
        <v>64</v>
      </c>
    </row>
    <row r="1929">
      <c r="A1929" s="80" t="s">
        <v>217</v>
      </c>
      <c r="B1929" s="81" t="str">
        <f>HYPERLINK("https://www.youtube.com/channel/UCXKg0qPRz32bs5Z4mTGF3TQ", "Stormtrooper白兵")</f>
        <v>Stormtrooper白兵</v>
      </c>
      <c r="C1929" s="80" t="s">
        <v>2202</v>
      </c>
      <c r="D1929" s="81" t="str">
        <f>HYPERLINK("https://youtube.com/watch?v=ohzKIawlX3c", "[九一一]當日有三座世貿倒塌？｜解構所有疑點，還原歷史真實原貌｜隱瞞大眾20年｜揭破美國政府背後陰謀｜拉登變成代罪羔羊？｜美國政府及大財團係先知！？｜粵語中字｜")</f>
        <v>[九一一]當日有三座世貿倒塌？｜解構所有疑點，還原歷史真實原貌｜隱瞞大眾20年｜揭破美國政府背後陰謀｜拉登變成代罪羔羊？｜美國政府及大財團係先知！？｜粵語中字｜</v>
      </c>
      <c r="E1929" s="82">
        <v>44252.0</v>
      </c>
      <c r="F1929" s="80">
        <v>1665.0</v>
      </c>
      <c r="G1929" s="80" t="s">
        <v>63</v>
      </c>
      <c r="H1929" s="80" t="s">
        <v>63</v>
      </c>
      <c r="I1929" s="80" t="s">
        <v>63</v>
      </c>
      <c r="J1929" s="80">
        <v>6926.0</v>
      </c>
      <c r="K1929" s="80">
        <v>0.77498041848495</v>
      </c>
      <c r="L1929" s="80" t="s">
        <v>86</v>
      </c>
    </row>
    <row r="1930">
      <c r="A1930" s="80" t="s">
        <v>260</v>
      </c>
      <c r="B1930" s="81" t="str">
        <f>HYPERLINK("https://www.youtube.com/channel/UC-HXOikkLx7BGEfILGIpYOg", "港短 . 英移")</f>
        <v>港短 . 英移</v>
      </c>
      <c r="C1930" s="80" t="s">
        <v>2203</v>
      </c>
      <c r="D1930" s="81" t="str">
        <f>HYPERLINK("https://youtube.com/watch?v=ok6Qt5wBqrI", "好似好少香港人留意呢個地方🤨 | 倫敦北部近郊小鎮Stevenage | 佢其實仲大過St. Albans | 港短.英移 #HongKonger#倫敦近郊#英國香港人#Stevenage #移民英國")</f>
        <v>好似好少香港人留意呢個地方🤨 | 倫敦北部近郊小鎮Stevenage | 佢其實仲大過St. Albans | 港短.英移 #HongKonger#倫敦近郊#英國香港人#Stevenage #移民英國</v>
      </c>
      <c r="E1930" s="82">
        <v>44546.0</v>
      </c>
      <c r="F1930" s="80">
        <v>367.0</v>
      </c>
      <c r="G1930" s="80" t="s">
        <v>63</v>
      </c>
      <c r="I1930" s="80" t="s">
        <v>63</v>
      </c>
      <c r="J1930" s="80">
        <v>1188.0</v>
      </c>
      <c r="K1930" s="80">
        <v>0.68041237113402</v>
      </c>
      <c r="L1930" s="80" t="s">
        <v>102</v>
      </c>
    </row>
    <row r="1931">
      <c r="A1931" s="80" t="s">
        <v>61</v>
      </c>
      <c r="B1931" s="81" t="str">
        <f>HYPERLINK("https://www.youtube.com/channel/UCJ4XVrJuqKHbc9yF9oUFseg", "MEeeep More")</f>
        <v>MEeeep More</v>
      </c>
      <c r="C1931" s="80" t="s">
        <v>2204</v>
      </c>
      <c r="D1931" s="81" t="str">
        <f>HYPERLINK("https://youtube.com/watch?v=olWXP9nuGBM", "正宗娘惹菜食過未？馬來西亞美食地圖")</f>
        <v>正宗娘惹菜食過未？馬來西亞美食地圖</v>
      </c>
      <c r="E1931" s="82">
        <v>43562.0</v>
      </c>
      <c r="F1931" s="80">
        <v>182.0</v>
      </c>
      <c r="G1931" s="80" t="s">
        <v>63</v>
      </c>
      <c r="I1931" s="80" t="s">
        <v>63</v>
      </c>
      <c r="J1931" s="80">
        <v>607.0</v>
      </c>
      <c r="K1931" s="80">
        <v>0.90461997019374</v>
      </c>
      <c r="L1931" s="80" t="s">
        <v>66</v>
      </c>
    </row>
    <row r="1932">
      <c r="A1932" s="80" t="s">
        <v>74</v>
      </c>
      <c r="B1932" s="81" t="str">
        <f>HYPERLINK("https://www.youtube.com/channel/UCO_5XP-qd-udNxBlzzSzgvw", "Handline Fishing")</f>
        <v>Handline Fishing</v>
      </c>
      <c r="C1932" s="80" t="s">
        <v>2205</v>
      </c>
      <c r="D1932" s="81" t="str">
        <f>HYPERLINK("https://youtube.com/watch?v=omHILgoIyHc", "#82 久違了的將軍澳兩匹仔『香港釣魚 : 艇釣』將軍澳自駕遊 {粵語旁白+中英文字幕}")</f>
        <v>#82 久違了的將軍澳兩匹仔『香港釣魚 : 艇釣』將軍澳自駕遊 {粵語旁白+中英文字幕}</v>
      </c>
      <c r="E1932" s="82">
        <v>43872.0</v>
      </c>
      <c r="F1932" s="80">
        <v>243.0</v>
      </c>
      <c r="G1932" s="80" t="s">
        <v>63</v>
      </c>
      <c r="I1932" s="80" t="s">
        <v>63</v>
      </c>
      <c r="J1932" s="80">
        <v>1124.0</v>
      </c>
      <c r="K1932" s="80">
        <v>0.938230383973288</v>
      </c>
      <c r="L1932" s="80" t="s">
        <v>76</v>
      </c>
    </row>
    <row r="1933">
      <c r="A1933" s="80" t="s">
        <v>61</v>
      </c>
      <c r="B1933" s="81" t="str">
        <f>HYPERLINK("https://www.youtube.com/channel/UCJ4XVrJuqKHbc9yF9oUFseg", "MEeeep More")</f>
        <v>MEeeep More</v>
      </c>
      <c r="C1933" s="80" t="s">
        <v>2206</v>
      </c>
      <c r="D1933" s="81" t="str">
        <f>HYPERLINK("https://youtube.com/watch?v=onVpgRcEaa4", "【湯水食譜】椰子栗子豬骨湯 補腎益脾胃 舒緩筋骨酸痛 港式湯水 椰子栗子湯 Chinese Soup 廣東話食譜 家常菜做法 美食台")</f>
        <v>【湯水食譜】椰子栗子豬骨湯 補腎益脾胃 舒緩筋骨酸痛 港式湯水 椰子栗子湯 Chinese Soup 廣東話食譜 家常菜做法 美食台</v>
      </c>
      <c r="E1933" s="82">
        <v>44070.0</v>
      </c>
      <c r="F1933" s="80">
        <v>171.0</v>
      </c>
      <c r="G1933" s="80" t="s">
        <v>63</v>
      </c>
      <c r="I1933" s="80" t="s">
        <v>63</v>
      </c>
      <c r="J1933" s="80">
        <v>351.0</v>
      </c>
      <c r="K1933" s="80">
        <v>0.873134328358208</v>
      </c>
      <c r="L1933" s="80" t="s">
        <v>64</v>
      </c>
    </row>
    <row r="1934">
      <c r="A1934" s="80" t="s">
        <v>1183</v>
      </c>
      <c r="B1934" s="81" t="str">
        <f>HYPERLINK("https://www.youtube.com/channel/UCPBBbFYG51QpjuptQtYfCDA", "siuwaiboy")</f>
        <v>siuwaiboy</v>
      </c>
      <c r="C1934" s="80" t="s">
        <v>2207</v>
      </c>
      <c r="D1934" s="81" t="str">
        <f>HYPERLINK("https://youtube.com/watch?v=opI6Thev0CI", "D&amp;G 如何貶低華人/辱華？")</f>
        <v>D&amp;G 如何貶低華人/辱華？</v>
      </c>
      <c r="E1934" s="82">
        <v>43429.0</v>
      </c>
      <c r="F1934" s="80">
        <v>160.0</v>
      </c>
      <c r="G1934" s="80" t="s">
        <v>63</v>
      </c>
      <c r="H1934" s="80" t="s">
        <v>63</v>
      </c>
      <c r="I1934" s="80" t="s">
        <v>63</v>
      </c>
      <c r="J1934" s="80">
        <v>730.0</v>
      </c>
      <c r="K1934" s="80">
        <v>0.966887417218543</v>
      </c>
      <c r="L1934" s="80" t="s">
        <v>86</v>
      </c>
    </row>
    <row r="1935">
      <c r="A1935" s="80" t="s">
        <v>69</v>
      </c>
      <c r="B1935" s="81" t="str">
        <f>HYPERLINK("https://www.youtube.com/channel/UCoVycxbCXEsd-mrP83EqVWQ", "馬米高 Michael MMG")</f>
        <v>馬米高 Michael MMG</v>
      </c>
      <c r="C1935" s="80" t="s">
        <v>2208</v>
      </c>
      <c r="D1935" s="81" t="str">
        <f>HYPERLINK("https://youtube.com/watch?v=opZNRxEu4fc", "空姐空少常犯低級英文錯誤 [2.0豪華加強版]｜英該咁講")</f>
        <v>空姐空少常犯低級英文錯誤 [2.0豪華加強版]｜英該咁講</v>
      </c>
      <c r="E1935" s="82">
        <v>42937.0</v>
      </c>
      <c r="F1935" s="80">
        <v>381.0</v>
      </c>
      <c r="G1935" s="80" t="s">
        <v>63</v>
      </c>
      <c r="I1935" s="80" t="s">
        <v>63</v>
      </c>
      <c r="J1935" s="80">
        <v>1070.0</v>
      </c>
      <c r="K1935" s="80">
        <v>0.692556634304207</v>
      </c>
      <c r="L1935" s="80" t="s">
        <v>64</v>
      </c>
    </row>
    <row r="1936">
      <c r="A1936" s="80" t="s">
        <v>74</v>
      </c>
      <c r="B1936" s="81" t="str">
        <f>HYPERLINK("https://www.youtube.com/channel/UCO_5XP-qd-udNxBlzzSzgvw", "Handline Fishing")</f>
        <v>Handline Fishing</v>
      </c>
      <c r="C1936" s="80" t="s">
        <v>2209</v>
      </c>
      <c r="D1936" s="81" t="str">
        <f>HYPERLINK("https://youtube.com/watch?v=oqx74_kcKFg", "#217 進哥帶我哋喺3個時段，釣足3種魚 | 『香港釣魚 : 艇釣』長洲外 {粵語旁白+中英文字幕}")</f>
        <v>#217 進哥帶我哋喺3個時段，釣足3種魚 | 『香港釣魚 : 艇釣』長洲外 {粵語旁白+中英文字幕}</v>
      </c>
      <c r="E1936" s="82">
        <v>44354.0</v>
      </c>
      <c r="F1936" s="80">
        <v>495.0</v>
      </c>
      <c r="G1936" s="80" t="s">
        <v>63</v>
      </c>
      <c r="H1936" s="80" t="s">
        <v>63</v>
      </c>
      <c r="I1936" s="80" t="s">
        <v>63</v>
      </c>
      <c r="J1936" s="80">
        <v>480.0</v>
      </c>
      <c r="K1936" s="80">
        <v>0.966244725738396</v>
      </c>
      <c r="L1936" s="80" t="s">
        <v>88</v>
      </c>
    </row>
    <row r="1937">
      <c r="A1937" s="80" t="s">
        <v>69</v>
      </c>
      <c r="B1937" s="81" t="str">
        <f>HYPERLINK("https://www.youtube.com/channel/UCoVycxbCXEsd-mrP83EqVWQ", "馬米高 Michael MMG")</f>
        <v>馬米高 Michael MMG</v>
      </c>
      <c r="C1937" s="80" t="s">
        <v>2210</v>
      </c>
      <c r="D1937" s="81" t="str">
        <f>HYPERLINK("https://youtube.com/watch?v=owS9pVfZHX0", "【又長又粗？！】初中生都識嘅情人節英文")</f>
        <v>【又長又粗？！】初中生都識嘅情人節英文</v>
      </c>
      <c r="E1937" s="82">
        <v>43510.0</v>
      </c>
      <c r="F1937" s="80">
        <v>319.0</v>
      </c>
      <c r="G1937" s="80" t="s">
        <v>63</v>
      </c>
      <c r="I1937" s="80" t="s">
        <v>63</v>
      </c>
      <c r="J1937" s="80">
        <v>637.0</v>
      </c>
      <c r="K1937" s="80">
        <v>0.608404966571155</v>
      </c>
      <c r="L1937" s="80" t="s">
        <v>64</v>
      </c>
    </row>
    <row r="1938">
      <c r="A1938" s="80" t="s">
        <v>94</v>
      </c>
      <c r="B1938" s="81" t="str">
        <f>HYPERLINK("https://www.youtube.com/channel/UCT_dMyI3pNselsmfR6FC8tQ", "PrideLab")</f>
        <v>PrideLab</v>
      </c>
      <c r="C1938" s="80" t="s">
        <v>2211</v>
      </c>
      <c r="D1938" s="81" t="str">
        <f>HYPERLINK("https://youtube.com/watch?v=ozfBWxMNReo", "【香港LGBT+】給正準備出櫃的你們")</f>
        <v>【香港LGBT+】給正準備出櫃的你們</v>
      </c>
      <c r="E1938" s="82">
        <v>42939.0</v>
      </c>
      <c r="F1938" s="80">
        <v>208.0</v>
      </c>
      <c r="G1938" s="80" t="s">
        <v>63</v>
      </c>
      <c r="I1938" s="80" t="s">
        <v>63</v>
      </c>
      <c r="J1938" s="80">
        <v>1006.0</v>
      </c>
      <c r="K1938" s="80">
        <v>0.968238691049085</v>
      </c>
      <c r="L1938" s="80" t="s">
        <v>64</v>
      </c>
    </row>
    <row r="1939">
      <c r="A1939" s="80" t="s">
        <v>61</v>
      </c>
      <c r="B1939" s="81" t="str">
        <f>HYPERLINK("https://www.youtube.com/channel/UCJ4XVrJuqKHbc9yF9oUFseg", "MEeeep More")</f>
        <v>MEeeep More</v>
      </c>
      <c r="C1939" s="80" t="s">
        <v>2212</v>
      </c>
      <c r="D1939" s="81" t="str">
        <f>HYPERLINK("https://youtube.com/watch?v=p1GtYcPxioE", "澳洲有乜嘢古怪肉食？ 地道美食你又Like唔Like？")</f>
        <v>澳洲有乜嘢古怪肉食？ 地道美食你又Like唔Like？</v>
      </c>
      <c r="E1939" s="82">
        <v>43758.0</v>
      </c>
      <c r="F1939" s="80">
        <v>128.0</v>
      </c>
      <c r="G1939" s="80" t="s">
        <v>63</v>
      </c>
      <c r="I1939" s="80" t="s">
        <v>63</v>
      </c>
      <c r="J1939" s="80">
        <v>398.0</v>
      </c>
      <c r="K1939" s="80">
        <v>0.813905930470347</v>
      </c>
      <c r="L1939" s="80" t="s">
        <v>64</v>
      </c>
    </row>
    <row r="1940">
      <c r="A1940" s="80" t="s">
        <v>74</v>
      </c>
      <c r="B1940" s="81" t="str">
        <f>HYPERLINK("https://www.youtube.com/channel/UCO_5XP-qd-udNxBlzzSzgvw", "Handline Fishing")</f>
        <v>Handline Fishing</v>
      </c>
      <c r="C1940" s="80" t="s">
        <v>2213</v>
      </c>
      <c r="D1940" s="81" t="str">
        <f>HYPERLINK("https://youtube.com/watch?v=p1mUl_vBBqo", "#101 汀九扒艇∙目標魚∙任務∙達成!『香港釣魚 : 艇釣』汀九扒艇 {粵語旁白+中英文字幕}")</f>
        <v>#101 汀九扒艇∙目標魚∙任務∙達成!『香港釣魚 : 艇釣』汀九扒艇 {粵語旁白+中英文字幕}</v>
      </c>
      <c r="E1940" s="82">
        <v>43932.0</v>
      </c>
      <c r="F1940" s="80">
        <v>210.0</v>
      </c>
      <c r="G1940" s="80" t="s">
        <v>63</v>
      </c>
      <c r="I1940" s="80" t="s">
        <v>63</v>
      </c>
      <c r="J1940" s="80">
        <v>764.0</v>
      </c>
      <c r="K1940" s="80">
        <v>0.928311057108141</v>
      </c>
      <c r="L1940" s="80" t="s">
        <v>76</v>
      </c>
    </row>
    <row r="1941">
      <c r="A1941" s="80" t="s">
        <v>94</v>
      </c>
      <c r="B1941" s="81" t="str">
        <f>HYPERLINK("https://www.youtube.com/channel/UCT_dMyI3pNselsmfR6FC8tQ", "PrideLab")</f>
        <v>PrideLab</v>
      </c>
      <c r="C1941" s="80" t="s">
        <v>2214</v>
      </c>
      <c r="D1941" s="81" t="str">
        <f>HYPERLINK("https://youtube.com/watch?v=p4xwF9WQrJA", "猜猜誰是HIV+  你願意給他抱抱嗎？")</f>
        <v>猜猜誰是HIV+  你願意給他抱抱嗎？</v>
      </c>
      <c r="E1941" s="82">
        <v>42709.0</v>
      </c>
      <c r="F1941" s="80">
        <v>145.0</v>
      </c>
      <c r="G1941" s="80" t="s">
        <v>63</v>
      </c>
      <c r="I1941" s="80" t="s">
        <v>63</v>
      </c>
      <c r="J1941" s="80">
        <v>384.0</v>
      </c>
      <c r="K1941" s="80">
        <v>0.962406015037593</v>
      </c>
      <c r="L1941" s="80" t="s">
        <v>64</v>
      </c>
    </row>
    <row r="1942">
      <c r="A1942" s="80" t="s">
        <v>74</v>
      </c>
      <c r="B1942" s="81" t="str">
        <f>HYPERLINK("https://www.youtube.com/channel/UCO_5XP-qd-udNxBlzzSzgvw", "Handline Fishing")</f>
        <v>Handline Fishing</v>
      </c>
      <c r="C1942" s="80" t="s">
        <v>2215</v>
      </c>
      <c r="D1942" s="81" t="str">
        <f>HYPERLINK("https://youtube.com/watch?v=p7TS8geZU4k", "#262 聖誕鐘揾聖誕魚 | 香港釣魚 | 艇釣 | 機場頭 {粵語旁白+中英文字幕}")</f>
        <v>#262 聖誕鐘揾聖誕魚 | 香港釣魚 | 艇釣 | 機場頭 {粵語旁白+中英文字幕}</v>
      </c>
      <c r="E1942" s="82">
        <v>44559.0</v>
      </c>
      <c r="F1942" s="80">
        <v>364.0</v>
      </c>
      <c r="G1942" s="80" t="s">
        <v>63</v>
      </c>
      <c r="H1942" s="80" t="s">
        <v>63</v>
      </c>
      <c r="I1942" s="80" t="s">
        <v>63</v>
      </c>
      <c r="J1942" s="80">
        <v>311.0</v>
      </c>
      <c r="K1942" s="80">
        <v>0.94888178913738</v>
      </c>
      <c r="L1942" s="80" t="s">
        <v>88</v>
      </c>
    </row>
    <row r="1943">
      <c r="A1943" s="80" t="s">
        <v>61</v>
      </c>
      <c r="B1943" s="81" t="str">
        <f>HYPERLINK("https://www.youtube.com/channel/UCJ4XVrJuqKHbc9yF9oUFseg", "MEeeep More")</f>
        <v>MEeeep More</v>
      </c>
      <c r="C1943" s="80" t="s">
        <v>2216</v>
      </c>
      <c r="D1943" s="81" t="str">
        <f>HYPERLINK("https://youtube.com/watch?v=p9qd6AZuSLA", "thecoopidea Beans無線耳機開箱評測！ Beans Air Beans Pro 2 Beans Cargo 02 型格又實用 總有款啱你！")</f>
        <v>thecoopidea Beans無線耳機開箱評測！ Beans Air Beans Pro 2 Beans Cargo 02 型格又實用 總有款啱你！</v>
      </c>
      <c r="E1943" s="82">
        <v>44230.0</v>
      </c>
      <c r="F1943" s="80">
        <v>230.0</v>
      </c>
      <c r="G1943" s="80" t="s">
        <v>63</v>
      </c>
      <c r="I1943" s="80" t="s">
        <v>63</v>
      </c>
      <c r="J1943" s="80">
        <v>679.0</v>
      </c>
      <c r="K1943" s="80">
        <v>0.712486883525708</v>
      </c>
      <c r="L1943" s="80" t="s">
        <v>64</v>
      </c>
    </row>
    <row r="1944">
      <c r="A1944" s="80" t="s">
        <v>278</v>
      </c>
      <c r="B1944" s="81" t="str">
        <f>HYPERLINK("https://www.youtube.com/channel/UCDoEdJo-PI-EKGNKomwLroQ", "mingjai14")</f>
        <v>mingjai14</v>
      </c>
      <c r="C1944" s="80" t="s">
        <v>2217</v>
      </c>
      <c r="D1944" s="81" t="str">
        <f>HYPERLINK("https://youtube.com/watch?v=pASEgEDIMjE", "有島有高潮｜非南非旅｜Ep 7")</f>
        <v>有島有高潮｜非南非旅｜Ep 7</v>
      </c>
      <c r="E1944" s="82">
        <v>42801.0</v>
      </c>
      <c r="F1944" s="80">
        <v>718.0</v>
      </c>
      <c r="G1944" s="80" t="s">
        <v>63</v>
      </c>
      <c r="H1944" s="80" t="s">
        <v>63</v>
      </c>
      <c r="I1944" s="80" t="s">
        <v>63</v>
      </c>
      <c r="J1944" s="80">
        <v>1771.0</v>
      </c>
      <c r="K1944" s="80">
        <v>0.86601466992665</v>
      </c>
      <c r="L1944" s="80" t="s">
        <v>86</v>
      </c>
    </row>
    <row r="1945">
      <c r="A1945" s="80" t="s">
        <v>121</v>
      </c>
      <c r="B1945" s="81" t="str">
        <f>HYPERLINK("https://www.youtube.com/channel/UC-2hWXRgCg-o5Waz36Yt7BA", "Arm Channel TV")</f>
        <v>Arm Channel TV</v>
      </c>
      <c r="C1945" s="80" t="s">
        <v>2218</v>
      </c>
      <c r="D1945" s="81" t="str">
        <f>HYPERLINK("https://youtube.com/watch?v=pAneUh6H_xw", "😒 教你面對終極最西之人 | 偽香港旅遊雜誌 #04")</f>
        <v>😒 教你面對終極最西之人 | 偽香港旅遊雜誌 #04</v>
      </c>
      <c r="E1945" s="82">
        <v>44291.0</v>
      </c>
      <c r="F1945" s="80">
        <v>400.0</v>
      </c>
      <c r="G1945" s="80" t="s">
        <v>63</v>
      </c>
      <c r="I1945" s="80" t="s">
        <v>63</v>
      </c>
      <c r="J1945" s="80">
        <v>1209.0</v>
      </c>
      <c r="K1945" s="80">
        <v>0.951219512195121</v>
      </c>
      <c r="L1945" s="80" t="s">
        <v>64</v>
      </c>
    </row>
    <row r="1946">
      <c r="A1946" s="80" t="s">
        <v>74</v>
      </c>
      <c r="B1946" s="81" t="str">
        <f t="shared" ref="B1946:B1947" si="90">HYPERLINK("https://www.youtube.com/channel/UCO_5XP-qd-udNxBlzzSzgvw", "Handline Fishing")</f>
        <v>Handline Fishing</v>
      </c>
      <c r="C1946" s="80" t="s">
        <v>2219</v>
      </c>
      <c r="D1946" s="81" t="str">
        <f>HYPERLINK("https://youtube.com/watch?v=pAxtboW5tbg", "#141 爆釣最後1小時，滿地通紅 |『香港釣魚 : 艇釣』維港 {粵語旁白+中英文字幕}")</f>
        <v>#141 爆釣最後1小時，滿地通紅 |『香港釣魚 : 艇釣』維港 {粵語旁白+中英文字幕}</v>
      </c>
      <c r="E1946" s="82">
        <v>44064.0</v>
      </c>
      <c r="F1946" s="80">
        <v>611.0</v>
      </c>
      <c r="G1946" s="80" t="s">
        <v>63</v>
      </c>
      <c r="I1946" s="80" t="s">
        <v>63</v>
      </c>
      <c r="J1946" s="80">
        <v>1018.0</v>
      </c>
      <c r="K1946" s="80">
        <v>0.980732177263969</v>
      </c>
      <c r="L1946" s="80" t="s">
        <v>1105</v>
      </c>
    </row>
    <row r="1947">
      <c r="A1947" s="80" t="s">
        <v>74</v>
      </c>
      <c r="B1947" s="81" t="str">
        <f t="shared" si="90"/>
        <v>Handline Fishing</v>
      </c>
      <c r="C1947" s="80" t="s">
        <v>2220</v>
      </c>
      <c r="D1947" s="81" t="str">
        <f>HYPERLINK("https://youtube.com/watch?v=pBoSH2DmcE8", "#151 初嘗香港另一熱門橋墩 | 『香港釣魚 : 岸釣』港珠澳人工島 {粵語旁白+中英文字幕}")</f>
        <v>#151 初嘗香港另一熱門橋墩 | 『香港釣魚 : 岸釣』港珠澳人工島 {粵語旁白+中英文字幕}</v>
      </c>
      <c r="E1947" s="82">
        <v>44099.0</v>
      </c>
      <c r="F1947" s="80">
        <v>347.0</v>
      </c>
      <c r="G1947" s="80" t="s">
        <v>63</v>
      </c>
      <c r="I1947" s="80" t="s">
        <v>63</v>
      </c>
      <c r="J1947" s="80">
        <v>754.0</v>
      </c>
      <c r="K1947" s="80">
        <v>0.974160206718346</v>
      </c>
      <c r="L1947" s="80" t="s">
        <v>1105</v>
      </c>
    </row>
    <row r="1948">
      <c r="A1948" s="80" t="s">
        <v>957</v>
      </c>
      <c r="B1948" s="81" t="str">
        <f>HYPERLINK("https://www.youtube.com/channel/UCNdV5VO81YBe5rfhOz1wRmA", "Con爆TV")</f>
        <v>Con爆TV</v>
      </c>
      <c r="C1948" s="80" t="s">
        <v>2221</v>
      </c>
      <c r="D1948" s="81" t="str">
        <f>HYPERLINK("https://youtube.com/watch?v=pBzG3tzwzig", "【PAD/Puzzle &amp; Dragons パズドラ】回鍋必抽!! 街霸合作全角色解說：人權強角、新技能介紹、必抽武裝推介、實用5星")</f>
        <v>【PAD/Puzzle &amp; Dragons パズドラ】回鍋必抽!! 街霸合作全角色解說：人權強角、新技能介紹、必抽武裝推介、實用5星</v>
      </c>
      <c r="E1948" s="82">
        <v>43512.0</v>
      </c>
      <c r="F1948" s="80">
        <v>1125.0</v>
      </c>
      <c r="G1948" s="80" t="s">
        <v>63</v>
      </c>
      <c r="H1948" s="80" t="s">
        <v>63</v>
      </c>
      <c r="I1948" s="80" t="s">
        <v>63</v>
      </c>
      <c r="J1948" s="80">
        <v>4315.0</v>
      </c>
      <c r="K1948" s="80">
        <v>0.940907108591365</v>
      </c>
      <c r="L1948" s="80" t="s">
        <v>66</v>
      </c>
    </row>
    <row r="1949">
      <c r="A1949" s="80" t="s">
        <v>89</v>
      </c>
      <c r="B1949" s="81" t="str">
        <f>HYPERLINK("https://www.youtube.com/channel/UClc7lRdOhLxh3orjosY1R7g", "三木大師")</f>
        <v>三木大師</v>
      </c>
      <c r="C1949" s="80" t="s">
        <v>2222</v>
      </c>
      <c r="D1949" s="81" t="str">
        <f>HYPERLINK("https://youtube.com/watch?v=pJ6gobQA_GM", "真.相? | The truth? | 科學不能解釋 | 宇宙神秘 | 通靈巴夏?")</f>
        <v>真.相? | The truth? | 科學不能解釋 | 宇宙神秘 | 通靈巴夏?</v>
      </c>
      <c r="E1949" s="82">
        <v>43988.0</v>
      </c>
      <c r="F1949" s="80">
        <v>642.0</v>
      </c>
      <c r="G1949" s="80" t="s">
        <v>63</v>
      </c>
      <c r="I1949" s="80" t="s">
        <v>63</v>
      </c>
      <c r="J1949" s="80">
        <v>1749.0</v>
      </c>
      <c r="K1949" s="80">
        <v>0.886018237082066</v>
      </c>
      <c r="L1949" s="80" t="s">
        <v>91</v>
      </c>
    </row>
    <row r="1950">
      <c r="A1950" s="80" t="s">
        <v>140</v>
      </c>
      <c r="B1950" s="81" t="str">
        <f>HYPERLINK("https://www.youtube.com/channel/UCHK0CZf9HEXs42qIO1GUouA", "TechiCardia")</f>
        <v>TechiCardia</v>
      </c>
      <c r="C1950" s="80" t="s">
        <v>2223</v>
      </c>
      <c r="D1950" s="81" t="str">
        <f>HYPERLINK("https://youtube.com/watch?v=pN_xl-vjTUY", "100% 氣流風道機箱！Fractal TORRENT 終極評測！我係咪太挑剔？// 散熱、組裝、細節都不能忽視 // 4K 【TechiCardia】[CC 廣東話字幕]")</f>
        <v>100% 氣流風道機箱！Fractal TORRENT 終極評測！我係咪太挑剔？// 散熱、組裝、細節都不能忽視 // 4K 【TechiCardia】[CC 廣東話字幕]</v>
      </c>
      <c r="E1950" s="82">
        <v>44429.0</v>
      </c>
      <c r="F1950" s="80">
        <v>1073.0</v>
      </c>
      <c r="G1950" s="80" t="s">
        <v>63</v>
      </c>
      <c r="I1950" s="80" t="s">
        <v>63</v>
      </c>
      <c r="J1950" s="80">
        <v>4203.0</v>
      </c>
      <c r="K1950" s="80">
        <v>0.784434490481522</v>
      </c>
      <c r="L1950" s="80" t="s">
        <v>102</v>
      </c>
    </row>
    <row r="1951">
      <c r="A1951" s="80" t="s">
        <v>61</v>
      </c>
      <c r="B1951" s="81" t="str">
        <f>HYPERLINK("https://www.youtube.com/channel/UCJ4XVrJuqKHbc9yF9oUFseg", "MEeeep More")</f>
        <v>MEeeep More</v>
      </c>
      <c r="C1951" s="80" t="s">
        <v>2224</v>
      </c>
      <c r="D1951" s="81" t="str">
        <f>HYPERLINK("https://youtube.com/watch?v=pP0Z4B9hdqk", "海外碌卡 用港幣結算真係抵？ 小心匯率陷阱！")</f>
        <v>海外碌卡 用港幣結算真係抵？ 小心匯率陷阱！</v>
      </c>
      <c r="E1951" s="82">
        <v>43829.0</v>
      </c>
      <c r="F1951" s="80">
        <v>112.0</v>
      </c>
      <c r="G1951" s="80" t="s">
        <v>63</v>
      </c>
      <c r="I1951" s="80" t="s">
        <v>63</v>
      </c>
      <c r="J1951" s="80">
        <v>314.0</v>
      </c>
      <c r="K1951" s="80">
        <v>0.850948509485094</v>
      </c>
      <c r="L1951" s="80" t="s">
        <v>64</v>
      </c>
    </row>
    <row r="1952">
      <c r="A1952" s="80" t="s">
        <v>217</v>
      </c>
      <c r="B1952" s="81" t="str">
        <f>HYPERLINK("https://www.youtube.com/channel/UCXKg0qPRz32bs5Z4mTGF3TQ", "Stormtrooper白兵")</f>
        <v>Stormtrooper白兵</v>
      </c>
      <c r="C1952" s="80" t="s">
        <v>2225</v>
      </c>
      <c r="D1952" s="81" t="str">
        <f>HYPERLINK("https://youtube.com/watch?v=pU9ZYmh4Xeg", "MK Ultra計劃｜真實存在的CIA洗腦計劃 ｜美國總統、荷里活、民眾都不能幸免｜粵語中字")</f>
        <v>MK Ultra計劃｜真實存在的CIA洗腦計劃 ｜美國總統、荷里活、民眾都不能幸免｜粵語中字</v>
      </c>
      <c r="E1952" s="82">
        <v>44259.0</v>
      </c>
      <c r="F1952" s="80">
        <v>1214.0</v>
      </c>
      <c r="G1952" s="80" t="s">
        <v>63</v>
      </c>
      <c r="H1952" s="80" t="s">
        <v>63</v>
      </c>
      <c r="I1952" s="80" t="s">
        <v>63</v>
      </c>
      <c r="J1952" s="80">
        <v>4922.0</v>
      </c>
      <c r="K1952" s="80">
        <v>0.823765690376569</v>
      </c>
      <c r="L1952" s="80" t="s">
        <v>86</v>
      </c>
    </row>
    <row r="1953">
      <c r="A1953" s="80" t="s">
        <v>1310</v>
      </c>
      <c r="B1953" s="81" t="str">
        <f>HYPERLINK("https://www.youtube.com/channel/UC0-DuAJ8XNn3RH1aevvJWgA", "TomorrowLAN CSGO")</f>
        <v>TomorrowLAN CSGO</v>
      </c>
      <c r="C1953" s="80" t="s">
        <v>2226</v>
      </c>
      <c r="D1953" s="81" t="str">
        <f>HYPERLINK("https://youtube.com/watch?v=p_VjRA8KhdY", "[TML CS:GO專題] 64 tick定128 tick？ 5分鐘了解什麼是tickrate！")</f>
        <v>[TML CS:GO專題] 64 tick定128 tick？ 5分鐘了解什麼是tickrate！</v>
      </c>
      <c r="E1953" s="82">
        <v>43469.0</v>
      </c>
      <c r="F1953" s="80">
        <v>328.0</v>
      </c>
      <c r="G1953" s="80" t="s">
        <v>63</v>
      </c>
      <c r="I1953" s="80" t="s">
        <v>63</v>
      </c>
      <c r="J1953" s="80">
        <v>1132.0</v>
      </c>
      <c r="K1953" s="80">
        <v>0.747194719471947</v>
      </c>
      <c r="L1953" s="80" t="s">
        <v>64</v>
      </c>
    </row>
    <row r="1954">
      <c r="A1954" s="80" t="s">
        <v>260</v>
      </c>
      <c r="B1954" s="81" t="str">
        <f>HYPERLINK("https://www.youtube.com/channel/UC-HXOikkLx7BGEfILGIpYOg", "港短 . 英移")</f>
        <v>港短 . 英移</v>
      </c>
      <c r="C1954" s="80" t="s">
        <v>2227</v>
      </c>
      <c r="D1954" s="81" t="str">
        <f>HYPERLINK("https://youtube.com/watch?v=pbb3yuP25SI", "打電話約經紀睇樓俾人問長問短? 佢地會問咩問題? 要準備D咩? [英國地區搵樓攻略] | 港短.英移​ #HongKonger #英國租樓 #英國移民 #英國生活 #英國香港人")</f>
        <v>打電話約經紀睇樓俾人問長問短? 佢地會問咩問題? 要準備D咩? [英國地區搵樓攻略] | 港短.英移​ #HongKonger #英國租樓 #英國移民 #英國生活 #英國香港人</v>
      </c>
      <c r="E1954" s="82">
        <v>44431.0</v>
      </c>
      <c r="F1954" s="80">
        <v>468.0</v>
      </c>
      <c r="G1954" s="80" t="s">
        <v>63</v>
      </c>
      <c r="I1954" s="80" t="s">
        <v>63</v>
      </c>
      <c r="J1954" s="80">
        <v>1141.0</v>
      </c>
      <c r="K1954" s="80">
        <v>0.879044684129429</v>
      </c>
      <c r="L1954" s="80" t="s">
        <v>102</v>
      </c>
    </row>
    <row r="1955">
      <c r="A1955" s="80" t="s">
        <v>217</v>
      </c>
      <c r="B1955" s="81" t="str">
        <f>HYPERLINK("https://www.youtube.com/channel/UCXKg0qPRz32bs5Z4mTGF3TQ", "Stormtrooper白兵")</f>
        <v>Stormtrooper白兵</v>
      </c>
      <c r="C1955" s="80" t="s">
        <v>2228</v>
      </c>
      <c r="D1955" s="81" t="str">
        <f>HYPERLINK("https://youtube.com/watch?v=pkgTrBQMEiE", "史上最強邪教－山達基(Scientology)｜要陪教主打飛機！｜大規模滲透政府｜湯告魯斯都係教徒｜擁有艦隊、監獄、大量土地｜傳銷技術竟然與山達基教有莫大關係？！解構其中傳教招式｜粵語中字")</f>
        <v>史上最強邪教－山達基(Scientology)｜要陪教主打飛機！｜大規模滲透政府｜湯告魯斯都係教徒｜擁有艦隊、監獄、大量土地｜傳銷技術竟然與山達基教有莫大關係？！解構其中傳教招式｜粵語中字</v>
      </c>
      <c r="E1955" s="82">
        <v>44370.0</v>
      </c>
      <c r="F1955" s="80">
        <v>2914.0</v>
      </c>
      <c r="G1955" s="80" t="s">
        <v>63</v>
      </c>
      <c r="I1955" s="80" t="s">
        <v>63</v>
      </c>
      <c r="J1955" s="80">
        <v>13257.0</v>
      </c>
      <c r="K1955" s="80">
        <v>0.884684684684684</v>
      </c>
      <c r="L1955" s="80" t="s">
        <v>64</v>
      </c>
    </row>
    <row r="1956">
      <c r="A1956" s="80" t="s">
        <v>112</v>
      </c>
      <c r="B1956" s="81" t="str">
        <f>HYPERLINK("https://www.youtube.com/channel/UCW_n_gfIv4HhRqCk8EnRhJA", "Happy Kongner")</f>
        <v>Happy Kongner</v>
      </c>
      <c r="C1956" s="80" t="s">
        <v>2229</v>
      </c>
      <c r="D1956" s="81" t="str">
        <f>HYPERLINK("https://youtube.com/watch?v=pkyKttEIgyE", "久違嘅球賽！NBA復賽睇波指南 [美帝的籃球 第四季]")</f>
        <v>久違嘅球賽！NBA復賽睇波指南 [美帝的籃球 第四季]</v>
      </c>
      <c r="E1956" s="82">
        <v>44041.0</v>
      </c>
      <c r="F1956" s="80">
        <v>2260.0</v>
      </c>
      <c r="G1956" s="80" t="s">
        <v>63</v>
      </c>
      <c r="I1956" s="80" t="s">
        <v>63</v>
      </c>
      <c r="J1956" s="80">
        <v>1152.0</v>
      </c>
      <c r="K1956" s="80">
        <v>0.935824532900081</v>
      </c>
      <c r="L1956" s="80" t="s">
        <v>64</v>
      </c>
    </row>
    <row r="1957">
      <c r="A1957" s="80" t="s">
        <v>233</v>
      </c>
      <c r="B1957" s="81" t="str">
        <f>HYPERLINK("https://www.youtube.com/channel/UCjL61vw5qtDQudezRnnv-ig", "rickolam1")</f>
        <v>rickolam1</v>
      </c>
      <c r="C1957" s="80" t="s">
        <v>2230</v>
      </c>
      <c r="D1957" s="81" t="str">
        <f>HYPERLINK("https://youtube.com/watch?v=pp8alUHgGtc", "【NEVER HAVE I EVER 我從來沒有】同粉絲拍拖?! (ft. 王梓軒)")</f>
        <v>【NEVER HAVE I EVER 我從來沒有】同粉絲拍拖?! (ft. 王梓軒)</v>
      </c>
      <c r="E1957" s="82">
        <v>42605.0</v>
      </c>
      <c r="F1957" s="80">
        <v>476.0</v>
      </c>
      <c r="G1957" s="80" t="s">
        <v>63</v>
      </c>
      <c r="I1957" s="80" t="s">
        <v>63</v>
      </c>
      <c r="J1957" s="80">
        <v>1862.0</v>
      </c>
      <c r="K1957" s="80">
        <v>0.839873703202526</v>
      </c>
      <c r="L1957" s="80" t="s">
        <v>521</v>
      </c>
    </row>
    <row r="1958">
      <c r="A1958" s="80" t="s">
        <v>61</v>
      </c>
      <c r="B1958" s="81" t="str">
        <f>HYPERLINK("https://www.youtube.com/channel/UCJ4XVrJuqKHbc9yF9oUFseg", "MEeeep More")</f>
        <v>MEeeep More</v>
      </c>
      <c r="C1958" s="80" t="s">
        <v>2231</v>
      </c>
      <c r="D1958" s="81" t="str">
        <f>HYPERLINK("https://youtube.com/watch?v=ppNofbsxDLM", "HKT Smart Living 家居 Wi-Fi 服務 | Wi-Fi 5、Wi-Fi 6、Mesh Router 乜東東? 專業顧問上門 全方位度「家」訂造")</f>
        <v>HKT Smart Living 家居 Wi-Fi 服務 | Wi-Fi 5、Wi-Fi 6、Mesh Router 乜東東? 專業顧問上門 全方位度「家」訂造</v>
      </c>
      <c r="E1958" s="82">
        <v>44501.0</v>
      </c>
      <c r="F1958" s="80">
        <v>185.0</v>
      </c>
      <c r="G1958" s="80" t="s">
        <v>63</v>
      </c>
      <c r="I1958" s="80" t="s">
        <v>63</v>
      </c>
      <c r="J1958" s="80">
        <v>596.0</v>
      </c>
      <c r="K1958" s="80">
        <v>0.754430379746835</v>
      </c>
      <c r="L1958" s="80" t="s">
        <v>64</v>
      </c>
    </row>
    <row r="1959">
      <c r="A1959" s="80" t="s">
        <v>1010</v>
      </c>
      <c r="B1959" s="81" t="str">
        <f>HYPERLINK("https://www.youtube.com/channel/UC-nV0odAiVdjH3gB_uSeTcQ", "wepro180")</f>
        <v>wepro180</v>
      </c>
      <c r="C1959" s="80" t="s">
        <v>2232</v>
      </c>
      <c r="D1959" s="81" t="str">
        <f>HYPERLINK("https://youtube.com/watch?v=pwpr7CE6oss", "edvance 特約【wepro 教室 06】嘉倩 180 - SQL Injection")</f>
        <v>edvance 特約【wepro 教室 06】嘉倩 180 - SQL Injection</v>
      </c>
      <c r="E1959" s="82">
        <v>43217.0</v>
      </c>
      <c r="F1959" s="80">
        <v>56.0</v>
      </c>
      <c r="G1959" s="80" t="s">
        <v>63</v>
      </c>
      <c r="I1959" s="80" t="s">
        <v>63</v>
      </c>
      <c r="J1959" s="80">
        <v>183.0</v>
      </c>
      <c r="K1959" s="80">
        <v>0.68796992481203</v>
      </c>
      <c r="L1959" s="80" t="s">
        <v>64</v>
      </c>
    </row>
    <row r="1960">
      <c r="A1960" s="80" t="s">
        <v>71</v>
      </c>
      <c r="B1960" s="81" t="str">
        <f>HYPERLINK("https://www.youtube.com/channel/UCXTE-gQCetfrx_lC9yFM2aw", "arhoTV")</f>
        <v>arhoTV</v>
      </c>
      <c r="C1960" s="80" t="s">
        <v>2233</v>
      </c>
      <c r="D1960" s="81" t="str">
        <f>HYPERLINK("https://youtube.com/watch?v=pyXQprpJZss", "【飲食】貓貓 幫我 做壽司！【大回轉壽司貓】")</f>
        <v>【飲食】貓貓 幫我 做壽司！【大回轉壽司貓】</v>
      </c>
      <c r="E1960" s="82">
        <v>42752.0</v>
      </c>
      <c r="F1960" s="80">
        <v>171.0</v>
      </c>
      <c r="G1960" s="80" t="s">
        <v>63</v>
      </c>
      <c r="H1960" s="80" t="s">
        <v>63</v>
      </c>
      <c r="I1960" s="80" t="s">
        <v>63</v>
      </c>
      <c r="J1960" s="80">
        <v>868.0</v>
      </c>
      <c r="K1960" s="80">
        <v>0.901386748844376</v>
      </c>
      <c r="L1960" s="80" t="s">
        <v>86</v>
      </c>
    </row>
    <row r="1961">
      <c r="A1961" s="80" t="s">
        <v>74</v>
      </c>
      <c r="B1961" s="81" t="str">
        <f>HYPERLINK("https://www.youtube.com/channel/UCO_5XP-qd-udNxBlzzSzgvw", "Handline Fishing")</f>
        <v>Handline Fishing</v>
      </c>
      <c r="C1961" s="80" t="s">
        <v>2234</v>
      </c>
      <c r="D1961" s="81" t="str">
        <f>HYPERLINK("https://youtube.com/watch?v=pz2FU6nCC5I", "#154 秋意中釣金頭鯛 | 『香港釣魚 : 艇釣』青衣【Insta360 ONE R Leica 1吋 Sensor鏡頭評測】")</f>
        <v>#154 秋意中釣金頭鯛 | 『香港釣魚 : 艇釣』青衣【Insta360 ONE R Leica 1吋 Sensor鏡頭評測】</v>
      </c>
      <c r="E1961" s="82">
        <v>44113.0</v>
      </c>
      <c r="F1961" s="80">
        <v>619.0</v>
      </c>
      <c r="G1961" s="80" t="s">
        <v>63</v>
      </c>
      <c r="I1961" s="80" t="s">
        <v>63</v>
      </c>
      <c r="J1961" s="80">
        <v>767.0</v>
      </c>
      <c r="K1961" s="80">
        <v>0.928571428571428</v>
      </c>
      <c r="L1961" s="80" t="s">
        <v>1105</v>
      </c>
    </row>
    <row r="1962">
      <c r="A1962" s="80" t="s">
        <v>71</v>
      </c>
      <c r="B1962" s="81" t="str">
        <f>HYPERLINK("https://www.youtube.com/channel/UCXTE-gQCetfrx_lC9yFM2aw", "arhoTV")</f>
        <v>arhoTV</v>
      </c>
      <c r="C1962" s="80" t="s">
        <v>2235</v>
      </c>
      <c r="D1962" s="81" t="str">
        <f>HYPERLINK("https://youtube.com/watch?v=pzUguqt-_3I", "【日常】震驚！熊本熊來香港找我做這種事？!")</f>
        <v>【日常】震驚！熊本熊來香港找我做這種事？!</v>
      </c>
      <c r="E1962" s="82">
        <v>43073.0</v>
      </c>
      <c r="F1962" s="80">
        <v>168.0</v>
      </c>
      <c r="G1962" s="80" t="s">
        <v>63</v>
      </c>
      <c r="I1962" s="80" t="s">
        <v>63</v>
      </c>
      <c r="J1962" s="80">
        <v>304.0</v>
      </c>
      <c r="K1962" s="80">
        <v>0.795811518324607</v>
      </c>
      <c r="L1962" s="80" t="s">
        <v>745</v>
      </c>
    </row>
    <row r="1963">
      <c r="A1963" s="80" t="s">
        <v>1295</v>
      </c>
      <c r="B1963" s="81" t="str">
        <f>HYPERLINK("https://www.youtube.com/channel/UC6ZZDRNS6lxPqk3KvHv22Xg", "Gurpreet Singh")</f>
        <v>Gurpreet Singh</v>
      </c>
      <c r="C1963" s="80" t="s">
        <v>2236</v>
      </c>
      <c r="D1963" s="81" t="str">
        <f>HYPERLINK("https://youtube.com/watch?v=q2f4D3GEvOM", "【宗教與文化】免費午餐在香港")</f>
        <v>【宗教與文化】免費午餐在香港</v>
      </c>
      <c r="E1963" s="82">
        <v>43898.0</v>
      </c>
      <c r="F1963" s="80">
        <v>201.0</v>
      </c>
      <c r="G1963" s="80" t="s">
        <v>63</v>
      </c>
      <c r="I1963" s="80" t="s">
        <v>63</v>
      </c>
      <c r="J1963" s="80">
        <v>688.0</v>
      </c>
      <c r="K1963" s="80">
        <v>0.934782608695652</v>
      </c>
      <c r="L1963" s="80" t="s">
        <v>1071</v>
      </c>
    </row>
    <row r="1964">
      <c r="A1964" s="80" t="s">
        <v>219</v>
      </c>
      <c r="B1964" s="81" t="str">
        <f>HYPERLINK("https://www.youtube.com/channel/UC9_PnptBIpNF0JXbJjd8TsQ", "Brown's Channel")</f>
        <v>Brown's Channel</v>
      </c>
      <c r="C1964" s="80" t="s">
        <v>2237</v>
      </c>
      <c r="D1964" s="81" t="str">
        <f>HYPERLINK("https://youtube.com/watch?v=q2t174Rrb6Q", "【一隻熊仔去旅行@首爾】#4 景福宮 —— 首爾最大嘅皇宮")</f>
        <v>【一隻熊仔去旅行@首爾】#4 景福宮 —— 首爾最大嘅皇宮</v>
      </c>
      <c r="E1964" s="82">
        <v>43876.0</v>
      </c>
      <c r="F1964" s="80">
        <v>282.0</v>
      </c>
      <c r="G1964" s="80" t="s">
        <v>63</v>
      </c>
      <c r="I1964" s="80" t="s">
        <v>63</v>
      </c>
      <c r="J1964" s="80">
        <v>806.0</v>
      </c>
      <c r="K1964" s="80">
        <v>0.974607013301088</v>
      </c>
      <c r="L1964" s="80" t="s">
        <v>64</v>
      </c>
    </row>
    <row r="1965">
      <c r="A1965" s="80" t="s">
        <v>61</v>
      </c>
      <c r="B1965" s="81" t="str">
        <f>HYPERLINK("https://www.youtube.com/channel/UCJ4XVrJuqKHbc9yF9oUFseg", "MEeeep More")</f>
        <v>MEeeep More</v>
      </c>
      <c r="C1965" s="80" t="s">
        <v>2238</v>
      </c>
      <c r="D1965" s="81" t="str">
        <f>HYPERLINK("https://youtube.com/watch?v=q3hM_wT08IY", "台北新派素食邊到搵？碟碟精彩推介 MiaCucina")</f>
        <v>台北新派素食邊到搵？碟碟精彩推介 MiaCucina</v>
      </c>
      <c r="E1965" s="82">
        <v>43712.0</v>
      </c>
      <c r="F1965" s="80">
        <v>170.0</v>
      </c>
      <c r="G1965" s="80" t="s">
        <v>63</v>
      </c>
      <c r="I1965" s="80" t="s">
        <v>63</v>
      </c>
      <c r="J1965" s="80">
        <v>509.0</v>
      </c>
      <c r="K1965" s="80">
        <v>0.805379746835443</v>
      </c>
      <c r="L1965" s="80" t="s">
        <v>64</v>
      </c>
    </row>
    <row r="1966">
      <c r="A1966" s="80" t="s">
        <v>219</v>
      </c>
      <c r="B1966" s="81" t="str">
        <f>HYPERLINK("https://www.youtube.com/channel/UC9_PnptBIpNF0JXbJjd8TsQ", "Brown's Channel")</f>
        <v>Brown's Channel</v>
      </c>
      <c r="C1966" s="80" t="s">
        <v>2239</v>
      </c>
      <c r="D1966" s="81" t="str">
        <f>HYPERLINK("https://youtube.com/watch?v=q5VM2YIThnM", "【一隻熊仔去旅行@實用資訊】#1 CMLink －－ 超抵玩嘅全球數據卡")</f>
        <v>【一隻熊仔去旅行@實用資訊】#1 CMLink －－ 超抵玩嘅全球數據卡</v>
      </c>
      <c r="E1966" s="82">
        <v>43650.0</v>
      </c>
      <c r="F1966" s="80">
        <v>183.0</v>
      </c>
      <c r="G1966" s="80" t="s">
        <v>63</v>
      </c>
      <c r="I1966" s="80" t="s">
        <v>63</v>
      </c>
      <c r="J1966" s="80">
        <v>668.0</v>
      </c>
      <c r="K1966" s="80">
        <v>0.82367447595561</v>
      </c>
      <c r="L1966" s="80" t="s">
        <v>64</v>
      </c>
    </row>
    <row r="1967">
      <c r="A1967" s="80" t="s">
        <v>61</v>
      </c>
      <c r="B1967" s="81" t="str">
        <f>HYPERLINK("https://www.youtube.com/channel/UCJ4XVrJuqKHbc9yF9oUFseg", "MEeeep More")</f>
        <v>MEeeep More</v>
      </c>
      <c r="C1967" s="80" t="s">
        <v>2240</v>
      </c>
      <c r="D1967" s="81" t="str">
        <f>HYPERLINK("https://youtube.com/watch?v=q8S3AfPJDsc", "恆香月餅 - 全新酥小月登場！ 蕭師父親自示範！流心奶黃酥小月超好食唔可以錯過！ | 酥皮月餅 月餅食譜 恆香老餅家 hangheung mooncake")</f>
        <v>恆香月餅 - 全新酥小月登場！ 蕭師父親自示範！流心奶黃酥小月超好食唔可以錯過！ | 酥皮月餅 月餅食譜 恆香老餅家 hangheung mooncake</v>
      </c>
      <c r="E1967" s="82">
        <v>44431.0</v>
      </c>
      <c r="F1967" s="80">
        <v>206.0</v>
      </c>
      <c r="G1967" s="80" t="s">
        <v>63</v>
      </c>
      <c r="I1967" s="80" t="s">
        <v>63</v>
      </c>
      <c r="J1967" s="80">
        <v>590.0</v>
      </c>
      <c r="K1967" s="80">
        <v>0.895295902883156</v>
      </c>
      <c r="L1967" s="80" t="s">
        <v>64</v>
      </c>
    </row>
    <row r="1968">
      <c r="A1968" s="80" t="s">
        <v>112</v>
      </c>
      <c r="B1968" s="81" t="str">
        <f>HYPERLINK("https://www.youtube.com/channel/UCW_n_gfIv4HhRqCk8EnRhJA", "Happy Kongner")</f>
        <v>Happy Kongner</v>
      </c>
      <c r="C1968" s="80" t="s">
        <v>2241</v>
      </c>
      <c r="D1968" s="81" t="str">
        <f>HYPERLINK("https://youtube.com/watch?v=q8cs3L9WqZg", "網球角落頭 Tennis Corner 第一集 Episode 1 網球賽事簡介")</f>
        <v>網球角落頭 Tennis Corner 第一集 Episode 1 網球賽事簡介</v>
      </c>
      <c r="E1968" s="82">
        <v>43575.0</v>
      </c>
      <c r="F1968" s="80">
        <v>496.0</v>
      </c>
      <c r="G1968" s="80" t="s">
        <v>63</v>
      </c>
      <c r="I1968" s="80" t="s">
        <v>63</v>
      </c>
      <c r="J1968" s="80">
        <v>1892.0</v>
      </c>
      <c r="K1968" s="80">
        <v>0.741960784313725</v>
      </c>
      <c r="L1968" s="80" t="s">
        <v>64</v>
      </c>
    </row>
    <row r="1969">
      <c r="A1969" s="80" t="s">
        <v>61</v>
      </c>
      <c r="B1969" s="81" t="str">
        <f>HYPERLINK("https://www.youtube.com/channel/UCJ4XVrJuqKHbc9yF9oUFseg", "MEeeep More")</f>
        <v>MEeeep More</v>
      </c>
      <c r="C1969" s="80" t="s">
        <v>2242</v>
      </c>
      <c r="D1969" s="81" t="str">
        <f>HYPERLINK("https://youtube.com/watch?v=q9AxYPn6HEY", "[5000 消費券] 全港首試 AlipayHK x Sino 消費券體驗館 | 熱門打卡推介 即試電子消費券 登記獲取更豐富優惠 | alipay 支付寶 消費券 支付寶消費券 5000消費券登記")</f>
        <v>[5000 消費券] 全港首試 AlipayHK x Sino 消費券體驗館 | 熱門打卡推介 即試電子消費券 登記獲取更豐富優惠 | alipay 支付寶 消費券 支付寶消費券 5000消費券登記</v>
      </c>
      <c r="E1969" s="82">
        <v>44376.0</v>
      </c>
      <c r="F1969" s="80">
        <v>207.0</v>
      </c>
      <c r="G1969" s="80" t="s">
        <v>63</v>
      </c>
      <c r="I1969" s="80" t="s">
        <v>63</v>
      </c>
      <c r="J1969" s="80">
        <v>638.0</v>
      </c>
      <c r="K1969" s="80">
        <v>0.884882108183079</v>
      </c>
      <c r="L1969" s="80" t="s">
        <v>64</v>
      </c>
    </row>
    <row r="1970">
      <c r="A1970" s="80" t="s">
        <v>74</v>
      </c>
      <c r="B1970" s="81" t="str">
        <f>HYPERLINK("https://www.youtube.com/channel/UCO_5XP-qd-udNxBlzzSzgvw", "Handline Fishing")</f>
        <v>Handline Fishing</v>
      </c>
      <c r="C1970" s="80" t="s">
        <v>2243</v>
      </c>
      <c r="D1970" s="81" t="str">
        <f>HYPERLINK("https://youtube.com/watch?v=q9wTrVDaOQM", "#98 帶新手去玩筏仔 荼毒朋友由我做起『香港釣魚 : 岸釣』東涌橋墩+數碼港【Playmobazaar】")</f>
        <v>#98 帶新手去玩筏仔 荼毒朋友由我做起『香港釣魚 : 岸釣』東涌橋墩+數碼港【Playmobazaar】</v>
      </c>
      <c r="E1970" s="82">
        <v>43922.0</v>
      </c>
      <c r="F1970" s="80">
        <v>211.0</v>
      </c>
      <c r="G1970" s="80" t="s">
        <v>63</v>
      </c>
      <c r="I1970" s="80" t="s">
        <v>63</v>
      </c>
      <c r="J1970" s="80">
        <v>900.0</v>
      </c>
      <c r="K1970" s="80">
        <v>0.955414012738853</v>
      </c>
      <c r="L1970" s="80" t="s">
        <v>76</v>
      </c>
    </row>
    <row r="1971">
      <c r="A1971" s="80" t="s">
        <v>743</v>
      </c>
      <c r="B1971" s="81" t="str">
        <f>HYPERLINK("https://www.youtube.com/channel/UCe6qQ8zbYQJgTBnZ9wBzm9w", "Willy Lee")</f>
        <v>Willy Lee</v>
      </c>
      <c r="C1971" s="80" t="s">
        <v>2244</v>
      </c>
      <c r="D1971" s="81" t="str">
        <f>HYPERLINK("https://youtube.com/watch?v=qAp3-x5kGRo", "🇭🇰【行山】輕鬆！山頂靚景！西高山 - 航拍 - 行山路線分享 - Willy Lee")</f>
        <v>🇭🇰【行山】輕鬆！山頂靚景！西高山 - 航拍 - 行山路線分享 - Willy Lee</v>
      </c>
      <c r="E1971" s="82">
        <v>44161.0</v>
      </c>
      <c r="F1971" s="80">
        <v>205.0</v>
      </c>
      <c r="G1971" s="80" t="s">
        <v>63</v>
      </c>
      <c r="I1971" s="80" t="s">
        <v>63</v>
      </c>
      <c r="J1971" s="80">
        <v>1004.0</v>
      </c>
      <c r="K1971" s="80">
        <v>0.92025664527956</v>
      </c>
      <c r="L1971" s="80" t="s">
        <v>745</v>
      </c>
    </row>
    <row r="1972">
      <c r="A1972" s="80" t="s">
        <v>219</v>
      </c>
      <c r="B1972" s="81" t="str">
        <f>HYPERLINK("https://www.youtube.com/channel/UC9_PnptBIpNF0JXbJjd8TsQ", "Brown's Channel")</f>
        <v>Brown's Channel</v>
      </c>
      <c r="C1972" s="80" t="s">
        <v>2245</v>
      </c>
      <c r="D1972" s="81" t="str">
        <f>HYPERLINK("https://youtube.com/watch?v=qBbzitvoubw", "【一隻熊仔去旅行@澳門】#3 青洲灶記咖啡－－幾OK嘅炭燒咖啡同豬扒包 官也街附近嘅懷舊茶餐廳")</f>
        <v>【一隻熊仔去旅行@澳門】#3 青洲灶記咖啡－－幾OK嘅炭燒咖啡同豬扒包 官也街附近嘅懷舊茶餐廳</v>
      </c>
      <c r="E1972" s="82">
        <v>43890.0</v>
      </c>
      <c r="F1972" s="80">
        <v>193.0</v>
      </c>
      <c r="G1972" s="80" t="s">
        <v>63</v>
      </c>
      <c r="I1972" s="80" t="s">
        <v>63</v>
      </c>
      <c r="J1972" s="80">
        <v>719.0</v>
      </c>
      <c r="K1972" s="80">
        <v>0.965100671140939</v>
      </c>
      <c r="L1972" s="80" t="s">
        <v>64</v>
      </c>
    </row>
    <row r="1973">
      <c r="A1973" s="80" t="s">
        <v>61</v>
      </c>
      <c r="B1973" s="81" t="str">
        <f>HYPERLINK("https://www.youtube.com/channel/UCJ4XVrJuqKHbc9yF9oUFseg", "MEeeep More")</f>
        <v>MEeeep More</v>
      </c>
      <c r="C1973" s="80" t="s">
        <v>2246</v>
      </c>
      <c r="D1973" s="81" t="str">
        <f>HYPERLINK("https://youtube.com/watch?v=qDtqRqyIZPQ", "POCO X3 NFC - HK$1699 強勁中階機皇 120Hz靚芒 2日電量 打機優化 6400萬四攝！POCOPHONE XIAOMI POCO snapdragon 732G 小米 POCO")</f>
        <v>POCO X3 NFC - HK$1699 強勁中階機皇 120Hz靚芒 2日電量 打機優化 6400萬四攝！POCOPHONE XIAOMI POCO snapdragon 732G 小米 POCO</v>
      </c>
      <c r="E1973" s="82">
        <v>44083.0</v>
      </c>
      <c r="F1973" s="80">
        <v>370.0</v>
      </c>
      <c r="G1973" s="80" t="s">
        <v>63</v>
      </c>
      <c r="I1973" s="80" t="s">
        <v>63</v>
      </c>
      <c r="J1973" s="80">
        <v>886.0</v>
      </c>
      <c r="K1973" s="80">
        <v>0.6768525592055</v>
      </c>
      <c r="L1973" s="80" t="s">
        <v>64</v>
      </c>
    </row>
    <row r="1974">
      <c r="A1974" s="80" t="s">
        <v>71</v>
      </c>
      <c r="B1974" s="81" t="str">
        <f>HYPERLINK("https://www.youtube.com/channel/UCXTE-gQCetfrx_lC9yFM2aw", "arhoTV")</f>
        <v>arhoTV</v>
      </c>
      <c r="C1974" s="80" t="s">
        <v>2247</v>
      </c>
      <c r="D1974" s="81" t="str">
        <f>HYPERLINK("https://youtube.com/watch?v=qEWWp-kjFtI", "【挑戰】用Snow睇恐怖片 就唔會驚！？")</f>
        <v>【挑戰】用Snow睇恐怖片 就唔會驚！？</v>
      </c>
      <c r="E1974" s="82">
        <v>42843.0</v>
      </c>
      <c r="F1974" s="80">
        <v>114.0</v>
      </c>
      <c r="G1974" s="80" t="s">
        <v>63</v>
      </c>
      <c r="H1974" s="80" t="s">
        <v>63</v>
      </c>
      <c r="I1974" s="80" t="s">
        <v>63</v>
      </c>
      <c r="J1974" s="80">
        <v>555.0</v>
      </c>
      <c r="K1974" s="80">
        <v>0.788461538461538</v>
      </c>
      <c r="L1974" s="80" t="s">
        <v>86</v>
      </c>
    </row>
    <row r="1975">
      <c r="A1975" s="80" t="s">
        <v>74</v>
      </c>
      <c r="B1975" s="81" t="str">
        <f>HYPERLINK("https://www.youtube.com/channel/UCO_5XP-qd-udNxBlzzSzgvw", "Handline Fishing")</f>
        <v>Handline Fishing</v>
      </c>
      <c r="C1975" s="80" t="s">
        <v>2248</v>
      </c>
      <c r="D1975" s="81" t="str">
        <f>HYPERLINK("https://youtube.com/watch?v=qJ7Hd02CGRk", "#163 終於可以返番嚟釣魚 | 『香港釣魚 : 艇釣』維港 {粵語旁白+中英文字幕}")</f>
        <v>#163 終於可以返番嚟釣魚 | 『香港釣魚 : 艇釣』維港 {粵語旁白+中英文字幕}</v>
      </c>
      <c r="E1975" s="82">
        <v>44145.0</v>
      </c>
      <c r="F1975" s="80">
        <v>616.0</v>
      </c>
      <c r="G1975" s="80" t="s">
        <v>63</v>
      </c>
      <c r="I1975" s="80" t="s">
        <v>63</v>
      </c>
      <c r="J1975" s="80">
        <v>618.0</v>
      </c>
      <c r="K1975" s="80">
        <v>0.964118564742589</v>
      </c>
      <c r="L1975" s="80" t="s">
        <v>271</v>
      </c>
    </row>
    <row r="1976">
      <c r="A1976" s="80" t="s">
        <v>1623</v>
      </c>
      <c r="B1976" s="81" t="str">
        <f>HYPERLINK("https://www.youtube.com/channel/UCDykDDjpIjJ54JTBpJGuH2A", "頴珊頻道 | The Wingshantsui Channel")</f>
        <v>頴珊頻道 | The Wingshantsui Channel</v>
      </c>
      <c r="C1976" s="80" t="s">
        <v>2249</v>
      </c>
      <c r="D1976" s="81" t="str">
        <f>HYPERLINK("https://youtube.com/watch?v=qK48yxOh-tU", "Let's Wok It Out 讓我為你背上這個鑊")</f>
        <v>Let's Wok It Out 讓我為你背上這個鑊</v>
      </c>
      <c r="E1976" s="82">
        <v>43517.0</v>
      </c>
      <c r="F1976" s="80">
        <v>140.0</v>
      </c>
      <c r="G1976" s="80" t="s">
        <v>63</v>
      </c>
      <c r="I1976" s="80" t="s">
        <v>63</v>
      </c>
      <c r="J1976" s="80">
        <v>433.0</v>
      </c>
      <c r="K1976" s="80">
        <v>0.235454051114736</v>
      </c>
      <c r="L1976" s="80" t="s">
        <v>521</v>
      </c>
    </row>
    <row r="1977">
      <c r="A1977" s="80" t="s">
        <v>74</v>
      </c>
      <c r="B1977" s="81" t="str">
        <f>HYPERLINK("https://www.youtube.com/channel/UCO_5XP-qd-udNxBlzzSzgvw", "Handline Fishing")</f>
        <v>Handline Fishing</v>
      </c>
      <c r="C1977" s="80" t="s">
        <v>2250</v>
      </c>
      <c r="D1977" s="81" t="str">
        <f>HYPERLINK("https://youtube.com/watch?v=qLlkDm8gTuk", "#194 你會釣東水? 還是釣西水? 【西水篇】| 『香港釣魚 : 艇釣』青龍頭 {粵語旁白+中英文字幕}")</f>
        <v>#194 你會釣東水? 還是釣西水? 【西水篇】| 『香港釣魚 : 艇釣』青龍頭 {粵語旁白+中英文字幕}</v>
      </c>
      <c r="E1977" s="82">
        <v>44263.0</v>
      </c>
      <c r="F1977" s="80">
        <v>309.0</v>
      </c>
      <c r="G1977" s="80" t="s">
        <v>63</v>
      </c>
      <c r="H1977" s="80" t="s">
        <v>63</v>
      </c>
      <c r="I1977" s="80" t="s">
        <v>63</v>
      </c>
      <c r="J1977" s="80">
        <v>556.0</v>
      </c>
      <c r="K1977" s="80">
        <v>0.955326460481099</v>
      </c>
      <c r="L1977" s="80" t="s">
        <v>88</v>
      </c>
    </row>
    <row r="1978">
      <c r="A1978" s="80" t="s">
        <v>61</v>
      </c>
      <c r="B1978" s="81" t="str">
        <f>HYPERLINK("https://www.youtube.com/channel/UCJ4XVrJuqKHbc9yF9oUFseg", "MEeeep More")</f>
        <v>MEeeep More</v>
      </c>
      <c r="C1978" s="80" t="s">
        <v>2251</v>
      </c>
      <c r="D1978" s="81" t="str">
        <f>HYPERLINK("https://youtube.com/watch?v=qMgvwiJFhYo", "WD My Passport SSD 開箱評測  NVMe超快讀寫速度 體積輕小便攜 耐抗高跌性能 硬件加密 睇片彩蛋優惠 2021ssd推薦 256-bit AES SSD vs Harddisk")</f>
        <v>WD My Passport SSD 開箱評測  NVMe超快讀寫速度 體積輕小便攜 耐抗高跌性能 硬件加密 睇片彩蛋優惠 2021ssd推薦 256-bit AES SSD vs Harddisk</v>
      </c>
      <c r="E1978" s="82">
        <v>44280.0</v>
      </c>
      <c r="F1978" s="80">
        <v>283.0</v>
      </c>
      <c r="G1978" s="80" t="s">
        <v>63</v>
      </c>
      <c r="I1978" s="80" t="s">
        <v>63</v>
      </c>
      <c r="J1978" s="80">
        <v>763.0</v>
      </c>
      <c r="K1978" s="80">
        <v>0.634775374376039</v>
      </c>
      <c r="L1978" s="80" t="s">
        <v>64</v>
      </c>
    </row>
    <row r="1979">
      <c r="A1979" s="80" t="s">
        <v>74</v>
      </c>
      <c r="B1979" s="81" t="str">
        <f>HYPERLINK("https://www.youtube.com/channel/UCO_5XP-qd-udNxBlzzSzgvw", "Handline Fishing")</f>
        <v>Handline Fishing</v>
      </c>
      <c r="C1979" s="80" t="s">
        <v>2252</v>
      </c>
      <c r="D1979" s="81" t="str">
        <f>HYPERLINK("https://youtube.com/watch?v=qMhUsmQZFOA", "#171 爆釣擔半曹白+鰔 | 『香港釣魚 : 艇釣』交椅洲 {粵語旁白+中英文字幕}")</f>
        <v>#171 爆釣擔半曹白+鰔 | 『香港釣魚 : 艇釣』交椅洲 {粵語旁白+中英文字幕}</v>
      </c>
      <c r="E1979" s="82">
        <v>44173.0</v>
      </c>
      <c r="F1979" s="80">
        <v>603.0</v>
      </c>
      <c r="G1979" s="80" t="s">
        <v>63</v>
      </c>
      <c r="I1979" s="80" t="s">
        <v>63</v>
      </c>
      <c r="J1979" s="80">
        <v>816.0</v>
      </c>
      <c r="K1979" s="80">
        <v>0.966824644549763</v>
      </c>
      <c r="L1979" s="80" t="s">
        <v>271</v>
      </c>
    </row>
    <row r="1980">
      <c r="A1980" s="80" t="s">
        <v>274</v>
      </c>
      <c r="B1980" s="81" t="str">
        <f>HYPERLINK("https://www.youtube.com/channel/UC2oB9QCXs-RKtaKChrz4dKg", "MtzCherry")</f>
        <v>MtzCherry</v>
      </c>
      <c r="C1980" s="80" t="s">
        <v>2253</v>
      </c>
      <c r="D1980" s="81" t="str">
        <f>HYPERLINK("https://youtube.com/watch?v=qNWGCu4Odpw", "#WorkFromHome Life in Hong Kong! 在家工作嘅日常 || A Day in My Life")</f>
        <v>#WorkFromHome Life in Hong Kong! 在家工作嘅日常 || A Day in My Life</v>
      </c>
      <c r="E1980" s="82">
        <v>44326.0</v>
      </c>
      <c r="F1980" s="80">
        <v>257.0</v>
      </c>
      <c r="G1980" s="80" t="s">
        <v>63</v>
      </c>
      <c r="H1980" s="80" t="s">
        <v>63</v>
      </c>
      <c r="I1980" s="80" t="s">
        <v>63</v>
      </c>
      <c r="J1980" s="80">
        <v>849.0</v>
      </c>
      <c r="K1980" s="80">
        <v>0.79868297271872</v>
      </c>
      <c r="L1980" s="80" t="s">
        <v>439</v>
      </c>
    </row>
    <row r="1981">
      <c r="A1981" s="80" t="s">
        <v>61</v>
      </c>
      <c r="B1981" s="81" t="str">
        <f>HYPERLINK("https://www.youtube.com/channel/UCJ4XVrJuqKHbc9yF9oUFseg", "MEeeep More")</f>
        <v>MEeeep More</v>
      </c>
      <c r="C1981" s="80" t="s">
        <v>2254</v>
      </c>
      <c r="D1981" s="81" t="str">
        <f>HYPERLINK("https://youtube.com/watch?v=qSfNXRD9Bbs", "Redmi Note 10、Redmi Note 10S、Redmi Note 10 Pro、Redmi Note 10 5G登場 一片睇盡紅米note 10 新手機 發佈會懶人包 香港5G")</f>
        <v>Redmi Note 10、Redmi Note 10S、Redmi Note 10 Pro、Redmi Note 10 5G登場 一片睇盡紅米note 10 新手機 發佈會懶人包 香港5G</v>
      </c>
      <c r="E1981" s="82">
        <v>44260.0</v>
      </c>
      <c r="F1981" s="80">
        <v>248.0</v>
      </c>
      <c r="G1981" s="80" t="s">
        <v>63</v>
      </c>
      <c r="I1981" s="80" t="s">
        <v>63</v>
      </c>
      <c r="J1981" s="80">
        <v>581.0</v>
      </c>
      <c r="K1981" s="80">
        <v>0.579840319361277</v>
      </c>
      <c r="L1981" s="80" t="s">
        <v>64</v>
      </c>
    </row>
    <row r="1982">
      <c r="A1982" s="80" t="s">
        <v>96</v>
      </c>
      <c r="B1982" s="81" t="str">
        <f>HYPERLINK("https://www.youtube.com/channel/UCGtyHJ-L_4RDIHe3XaLofQQ", "Anson Cheung")</f>
        <v>Anson Cheung</v>
      </c>
      <c r="C1982" s="80" t="s">
        <v>2255</v>
      </c>
      <c r="D1982" s="81" t="str">
        <f>HYPERLINK("https://youtube.com/watch?v=qWEh0axFMBw", "LG，感謝你付出的一切⋯⋯")</f>
        <v>LG，感謝你付出的一切⋯⋯</v>
      </c>
      <c r="E1982" s="82">
        <v>44300.0</v>
      </c>
      <c r="F1982" s="80">
        <v>917.0</v>
      </c>
      <c r="G1982" s="80" t="s">
        <v>63</v>
      </c>
      <c r="I1982" s="80" t="s">
        <v>63</v>
      </c>
      <c r="J1982" s="80">
        <v>3330.0</v>
      </c>
      <c r="K1982" s="80">
        <v>0.698259593206122</v>
      </c>
      <c r="L1982" s="80" t="s">
        <v>64</v>
      </c>
    </row>
    <row r="1983">
      <c r="A1983" s="80" t="s">
        <v>112</v>
      </c>
      <c r="B1983" s="81" t="str">
        <f>HYPERLINK("https://www.youtube.com/channel/UCW_n_gfIv4HhRqCk8EnRhJA", "Happy Kongner")</f>
        <v>Happy Kongner</v>
      </c>
      <c r="C1983" s="80" t="s">
        <v>2256</v>
      </c>
      <c r="D1983" s="81" t="str">
        <f>HYPERLINK("https://youtube.com/watch?v=qXbSRgHCA-U", "「廣東話講西洋書法」字得其樂 The ABC of Western Calligraphy 筆幅與特別尖 Nib size and Specialty nibs")</f>
        <v>「廣東話講西洋書法」字得其樂 The ABC of Western Calligraphy 筆幅與特別尖 Nib size and Specialty nibs</v>
      </c>
      <c r="E1983" s="82">
        <v>43272.0</v>
      </c>
      <c r="F1983" s="80">
        <v>606.0</v>
      </c>
      <c r="G1983" s="80" t="s">
        <v>63</v>
      </c>
      <c r="I1983" s="80" t="s">
        <v>63</v>
      </c>
      <c r="J1983" s="80">
        <v>1585.0</v>
      </c>
      <c r="K1983" s="80">
        <v>0.84623598505072</v>
      </c>
      <c r="L1983" s="80" t="s">
        <v>64</v>
      </c>
    </row>
    <row r="1984">
      <c r="A1984" s="80" t="s">
        <v>103</v>
      </c>
      <c r="B1984" s="81" t="str">
        <f>HYPERLINK("https://www.youtube.com/channel/UCTVpvSswSER2sq1USBTGfnw", "Brittany Chan")</f>
        <v>Brittany Chan</v>
      </c>
      <c r="C1984" s="80" t="s">
        <v>2257</v>
      </c>
      <c r="D1984" s="81" t="str">
        <f>HYPERLINK("https://youtube.com/watch?v=qZQLxmxYlNQ", "Spend the day with me | morning fitness, hot pot and 99 Ranch")</f>
        <v>Spend the day with me | morning fitness, hot pot and 99 Ranch</v>
      </c>
      <c r="E1984" s="82">
        <v>44338.0</v>
      </c>
      <c r="F1984" s="80">
        <v>1351.0</v>
      </c>
      <c r="G1984" s="80" t="s">
        <v>63</v>
      </c>
      <c r="I1984" s="80" t="s">
        <v>63</v>
      </c>
      <c r="J1984" s="80">
        <v>2331.0</v>
      </c>
      <c r="K1984" s="80">
        <v>0.615526802218114</v>
      </c>
      <c r="L1984" s="80" t="s">
        <v>105</v>
      </c>
    </row>
    <row r="1985">
      <c r="A1985" s="80" t="s">
        <v>71</v>
      </c>
      <c r="B1985" s="81" t="str">
        <f>HYPERLINK("https://www.youtube.com/channel/UCXTE-gQCetfrx_lC9yFM2aw", "arhoTV")</f>
        <v>arhoTV</v>
      </c>
      <c r="C1985" s="80" t="s">
        <v>2258</v>
      </c>
      <c r="D1985" s="81" t="str">
        <f>HYPERLINK("https://youtube.com/watch?v=qbBPjycDUlQ", "【驗證】召喚潛意識嘅自己？！【都市傳說 與潛意識對話】")</f>
        <v>【驗證】召喚潛意識嘅自己？！【都市傳說 與潛意識對話】</v>
      </c>
      <c r="E1985" s="82">
        <v>42847.0</v>
      </c>
      <c r="F1985" s="80">
        <v>185.0</v>
      </c>
      <c r="G1985" s="80" t="s">
        <v>63</v>
      </c>
      <c r="H1985" s="80" t="s">
        <v>63</v>
      </c>
      <c r="I1985" s="80" t="s">
        <v>63</v>
      </c>
      <c r="J1985" s="80">
        <v>1103.0</v>
      </c>
      <c r="K1985" s="80">
        <v>0.880670611439842</v>
      </c>
      <c r="L1985" s="80" t="s">
        <v>86</v>
      </c>
    </row>
    <row r="1986">
      <c r="A1986" s="80" t="s">
        <v>61</v>
      </c>
      <c r="B1986" s="81" t="str">
        <f t="shared" ref="B1986:B1987" si="91">HYPERLINK("https://www.youtube.com/channel/UCJ4XVrJuqKHbc9yF9oUFseg", "MEeeep More")</f>
        <v>MEeeep More</v>
      </c>
      <c r="C1986" s="80" t="s">
        <v>2259</v>
      </c>
      <c r="D1986" s="81" t="str">
        <f>HYPERLINK("https://youtube.com/watch?v=qe6A7Ndv9Yk", "「步步Go」天然石按摩拖鞋 | 溫感按壓足部穴位 改善體質 預防高危疾病 | 健康拖鞋 vic charming 腳底按摩 足部護理 osim")</f>
        <v>「步步Go」天然石按摩拖鞋 | 溫感按壓足部穴位 改善體質 預防高危疾病 | 健康拖鞋 vic charming 腳底按摩 足部護理 osim</v>
      </c>
      <c r="E1986" s="82">
        <v>44349.0</v>
      </c>
      <c r="F1986" s="80">
        <v>140.0</v>
      </c>
      <c r="G1986" s="80" t="s">
        <v>63</v>
      </c>
      <c r="I1986" s="80" t="s">
        <v>63</v>
      </c>
      <c r="J1986" s="80">
        <v>459.0</v>
      </c>
      <c r="K1986" s="80">
        <v>0.88953488372093</v>
      </c>
      <c r="L1986" s="80" t="s">
        <v>64</v>
      </c>
    </row>
    <row r="1987">
      <c r="A1987" s="80" t="s">
        <v>61</v>
      </c>
      <c r="B1987" s="81" t="str">
        <f t="shared" si="91"/>
        <v>MEeeep More</v>
      </c>
      <c r="C1987" s="80" t="s">
        <v>2260</v>
      </c>
      <c r="D1987" s="81" t="str">
        <f>HYPERLINK("https://youtube.com/watch?v=qfWG0E0UZLk", "SoSIM 全港首試 - 50GB數據只需HK$33有無伏？ 3HK x 百佳 顛覆市場 超抵儲值卡月費Plan！附測速 Prepaid SIM 和記")</f>
        <v>SoSIM 全港首試 - 50GB數據只需HK$33有無伏？ 3HK x 百佳 顛覆市場 超抵儲值卡月費Plan！附測速 Prepaid SIM 和記</v>
      </c>
      <c r="E1987" s="82">
        <v>44120.0</v>
      </c>
      <c r="F1987" s="80">
        <v>256.0</v>
      </c>
      <c r="G1987" s="80" t="s">
        <v>63</v>
      </c>
      <c r="I1987" s="80" t="s">
        <v>63</v>
      </c>
      <c r="J1987" s="80">
        <v>694.0</v>
      </c>
      <c r="K1987" s="80">
        <v>0.761800219538968</v>
      </c>
      <c r="L1987" s="80" t="s">
        <v>64</v>
      </c>
    </row>
    <row r="1988">
      <c r="A1988" s="80" t="s">
        <v>118</v>
      </c>
      <c r="B1988" s="81" t="str">
        <f>HYPERLINK("https://www.youtube.com/channel/UCHrgHYFc5KShMJDZNsDZh4g", "BETHNI Y")</f>
        <v>BETHNI Y</v>
      </c>
      <c r="C1988" s="80" t="s">
        <v>2261</v>
      </c>
      <c r="D1988" s="81" t="str">
        <f>HYPERLINK("https://youtube.com/watch?v=qfhYZUnYadE", "測試一天: ARMANI POWER FABRIC 粉底| Bethni Y")</f>
        <v>測試一天: ARMANI POWER FABRIC 粉底| Bethni Y</v>
      </c>
      <c r="E1988" s="82">
        <v>42753.0</v>
      </c>
      <c r="F1988" s="80">
        <v>1205.0</v>
      </c>
      <c r="G1988" s="80" t="s">
        <v>63</v>
      </c>
      <c r="I1988" s="80" t="s">
        <v>63</v>
      </c>
      <c r="J1988" s="80">
        <v>3873.0</v>
      </c>
      <c r="K1988" s="80">
        <v>0.889935661764705</v>
      </c>
      <c r="L1988" s="80" t="s">
        <v>64</v>
      </c>
    </row>
    <row r="1989">
      <c r="A1989" s="80" t="s">
        <v>112</v>
      </c>
      <c r="B1989" s="81" t="str">
        <f>HYPERLINK("https://www.youtube.com/channel/UCW_n_gfIv4HhRqCk8EnRhJA", "Happy Kongner")</f>
        <v>Happy Kongner</v>
      </c>
      <c r="C1989" s="80" t="s">
        <v>2262</v>
      </c>
      <c r="D1989" s="81" t="str">
        <f>HYPERLINK("https://youtube.com/watch?v=qg8xoc8o9J4", "「廣東話講西洋書法」字得其樂 The ABC of Western Calligraphy 工具")</f>
        <v>「廣東話講西洋書法」字得其樂 The ABC of Western Calligraphy 工具</v>
      </c>
      <c r="E1989" s="82">
        <v>43138.0</v>
      </c>
      <c r="F1989" s="80">
        <v>608.0</v>
      </c>
      <c r="G1989" s="80" t="s">
        <v>63</v>
      </c>
      <c r="I1989" s="80" t="s">
        <v>63</v>
      </c>
      <c r="J1989" s="80">
        <v>1541.0</v>
      </c>
      <c r="K1989" s="80">
        <v>0.803022407503908</v>
      </c>
      <c r="L1989" s="80" t="s">
        <v>64</v>
      </c>
    </row>
    <row r="1990">
      <c r="A1990" s="80" t="s">
        <v>74</v>
      </c>
      <c r="B1990" s="81" t="str">
        <f t="shared" ref="B1990:B1991" si="92">HYPERLINK("https://www.youtube.com/channel/UCO_5XP-qd-udNxBlzzSzgvw", "Handline Fishing")</f>
        <v>Handline Fishing</v>
      </c>
      <c r="C1990" s="80" t="s">
        <v>2263</v>
      </c>
      <c r="D1990" s="81" t="str">
        <f>HYPERLINK("https://youtube.com/watch?v=qgWNAPuJ0Bg", "#91 見証歷史一刻! 大師麻甩櫃底團『香港釣魚 : 艇釣』櫃底 {粵語旁白+中英文字幕}")</f>
        <v>#91 見証歷史一刻! 大師麻甩櫃底團『香港釣魚 : 艇釣』櫃底 {粵語旁白+中英文字幕}</v>
      </c>
      <c r="E1990" s="82">
        <v>43901.0</v>
      </c>
      <c r="F1990" s="80">
        <v>178.0</v>
      </c>
      <c r="G1990" s="80" t="s">
        <v>63</v>
      </c>
      <c r="I1990" s="80" t="s">
        <v>63</v>
      </c>
      <c r="J1990" s="80">
        <v>870.0</v>
      </c>
      <c r="K1990" s="80">
        <v>0.960264900662251</v>
      </c>
      <c r="L1990" s="80" t="s">
        <v>1105</v>
      </c>
    </row>
    <row r="1991">
      <c r="A1991" s="80" t="s">
        <v>74</v>
      </c>
      <c r="B1991" s="81" t="str">
        <f t="shared" si="92"/>
        <v>Handline Fishing</v>
      </c>
      <c r="C1991" s="80" t="s">
        <v>2264</v>
      </c>
      <c r="D1991" s="81" t="str">
        <f>HYPERLINK("https://youtube.com/watch?v=qjGp162-Dq0", "#237 今次輪到基哥甩魚 | 基哥 | 香港釣魚 | 艇釣 | 維港 {粵語旁白+中英文字幕}")</f>
        <v>#237 今次輪到基哥甩魚 | 基哥 | 香港釣魚 | 艇釣 | 維港 {粵語旁白+中英文字幕}</v>
      </c>
      <c r="E1991" s="82">
        <v>44453.0</v>
      </c>
      <c r="F1991" s="80">
        <v>575.0</v>
      </c>
      <c r="G1991" s="80" t="s">
        <v>63</v>
      </c>
      <c r="H1991" s="80" t="s">
        <v>63</v>
      </c>
      <c r="I1991" s="80" t="s">
        <v>63</v>
      </c>
      <c r="J1991" s="80">
        <v>295.0</v>
      </c>
      <c r="K1991" s="80">
        <v>0.948553054662379</v>
      </c>
      <c r="L1991" s="80" t="s">
        <v>88</v>
      </c>
    </row>
    <row r="1992">
      <c r="A1992" s="80" t="s">
        <v>61</v>
      </c>
      <c r="B1992" s="81" t="str">
        <f>HYPERLINK("https://www.youtube.com/channel/UCJ4XVrJuqKHbc9yF9oUFseg", "MEeeep More")</f>
        <v>MEeeep More</v>
      </c>
      <c r="C1992" s="80" t="s">
        <v>2265</v>
      </c>
      <c r="D1992" s="81" t="str">
        <f>HYPERLINK("https://youtube.com/watch?v=qjXJcdD2U_Q", "5G 香港開台 CSL、3香港、中移動各區表現如何？全港首個 5G 大比拼！ Samsung Galaxy S20 Ultra 5G")</f>
        <v>5G 香港開台 CSL、3香港、中移動各區表現如何？全港首個 5G 大比拼！ Samsung Galaxy S20 Ultra 5G</v>
      </c>
      <c r="E1992" s="82">
        <v>43923.0</v>
      </c>
      <c r="F1992" s="80">
        <v>305.0</v>
      </c>
      <c r="G1992" s="80" t="s">
        <v>63</v>
      </c>
      <c r="I1992" s="80" t="s">
        <v>63</v>
      </c>
      <c r="J1992" s="80">
        <v>973.0</v>
      </c>
      <c r="K1992" s="80">
        <v>0.846823324630113</v>
      </c>
      <c r="L1992" s="80" t="s">
        <v>64</v>
      </c>
    </row>
    <row r="1993">
      <c r="A1993" s="80" t="s">
        <v>74</v>
      </c>
      <c r="B1993" s="81" t="str">
        <f>HYPERLINK("https://www.youtube.com/channel/UCO_5XP-qd-udNxBlzzSzgvw", "Handline Fishing")</f>
        <v>Handline Fishing</v>
      </c>
      <c r="C1993" s="80" t="s">
        <v>2266</v>
      </c>
      <c r="D1993" s="81" t="str">
        <f>HYPERLINK("https://youtube.com/watch?v=qjeKRIb2G04", "#156 針墨∙針墨∙針墨∙針墨又針墨 | 『香港釣魚 : 艇釣』維港西 {粵語旁白+中英文字幕}")</f>
        <v>#156 針墨∙針墨∙針墨∙針墨又針墨 | 『香港釣魚 : 艇釣』維港西 {粵語旁白+中英文字幕}</v>
      </c>
      <c r="E1993" s="82">
        <v>44120.0</v>
      </c>
      <c r="F1993" s="80">
        <v>852.0</v>
      </c>
      <c r="G1993" s="80" t="s">
        <v>63</v>
      </c>
      <c r="I1993" s="80" t="s">
        <v>63</v>
      </c>
      <c r="J1993" s="80">
        <v>539.0</v>
      </c>
      <c r="K1993" s="80">
        <v>0.942307692307692</v>
      </c>
      <c r="L1993" s="80" t="s">
        <v>271</v>
      </c>
    </row>
    <row r="1994">
      <c r="A1994" s="80" t="s">
        <v>112</v>
      </c>
      <c r="B1994" s="81" t="str">
        <f>HYPERLINK("https://www.youtube.com/channel/UCW_n_gfIv4HhRqCk8EnRhJA", "Happy Kongner")</f>
        <v>Happy Kongner</v>
      </c>
      <c r="C1994" s="80" t="s">
        <v>2267</v>
      </c>
      <c r="D1994" s="81" t="str">
        <f>HYPERLINK("https://youtube.com/watch?v=ql0qN0D9k4k", "文學味重！難得佳作！《廣告牌殺人事件》Three Billboards Outside Ebbing, Missouri 劇情分析 [𠝹櫈電影學會]")</f>
        <v>文學味重！難得佳作！《廣告牌殺人事件》Three Billboards Outside Ebbing, Missouri 劇情分析 [𠝹櫈電影學會]</v>
      </c>
      <c r="E1994" s="82">
        <v>43164.0</v>
      </c>
      <c r="F1994" s="80">
        <v>719.0</v>
      </c>
      <c r="G1994" s="80" t="s">
        <v>63</v>
      </c>
      <c r="I1994" s="80" t="s">
        <v>63</v>
      </c>
      <c r="J1994" s="80">
        <v>3217.0</v>
      </c>
      <c r="K1994" s="80">
        <v>0.678548829360894</v>
      </c>
      <c r="L1994" s="80" t="s">
        <v>64</v>
      </c>
    </row>
    <row r="1995">
      <c r="A1995" s="80" t="s">
        <v>71</v>
      </c>
      <c r="B1995" s="81" t="str">
        <f>HYPERLINK("https://www.youtube.com/channel/UCXTE-gQCetfrx_lC9yFM2aw", "arhoTV")</f>
        <v>arhoTV</v>
      </c>
      <c r="C1995" s="80" t="s">
        <v>2268</v>
      </c>
      <c r="D1995" s="81" t="str">
        <f>HYPERLINK("https://youtube.com/watch?v=qpV5jK0nXYU", "【飲食】用食玩粘土 整自己個公仔！【知育果子 開箱】")</f>
        <v>【飲食】用食玩粘土 整自己個公仔！【知育果子 開箱】</v>
      </c>
      <c r="E1995" s="82">
        <v>42833.0</v>
      </c>
      <c r="F1995" s="80">
        <v>207.0</v>
      </c>
      <c r="G1995" s="80" t="s">
        <v>63</v>
      </c>
      <c r="H1995" s="80" t="s">
        <v>63</v>
      </c>
      <c r="I1995" s="80" t="s">
        <v>63</v>
      </c>
      <c r="J1995" s="80">
        <v>1103.0</v>
      </c>
      <c r="K1995" s="80">
        <v>0.886384976525821</v>
      </c>
      <c r="L1995" s="80" t="s">
        <v>86</v>
      </c>
    </row>
    <row r="1996">
      <c r="A1996" s="80" t="s">
        <v>1039</v>
      </c>
      <c r="B1996" s="81" t="str">
        <f>HYPERLINK("https://www.youtube.com/channel/UCiKEIxbv4RTzyLCKG17N-AA", "Hunting Archer")</f>
        <v>Hunting Archer</v>
      </c>
      <c r="C1996" s="80" t="s">
        <v>2269</v>
      </c>
      <c r="D1996" s="81" t="str">
        <f>HYPERLINK("https://youtube.com/watch?v=qrD400h4cXI", "【广州漫步】 驾游内环路 途径人民桥到达工业大道 Walk in GuangZhou（粤语中字）")</f>
        <v>【广州漫步】 驾游内环路 途径人民桥到达工业大道 Walk in GuangZhou（粤语中字）</v>
      </c>
      <c r="E1996" s="82">
        <v>44318.0</v>
      </c>
      <c r="F1996" s="80">
        <v>3763.0</v>
      </c>
      <c r="G1996" s="80" t="s">
        <v>63</v>
      </c>
      <c r="I1996" s="80" t="s">
        <v>63</v>
      </c>
      <c r="J1996" s="80">
        <v>11940.0</v>
      </c>
      <c r="K1996" s="80">
        <v>0.98824697897699</v>
      </c>
      <c r="L1996" s="80" t="s">
        <v>912</v>
      </c>
    </row>
    <row r="1997">
      <c r="A1997" s="80" t="s">
        <v>217</v>
      </c>
      <c r="B1997" s="81" t="str">
        <f>HYPERLINK("https://www.youtube.com/channel/UCXKg0qPRz32bs5Z4mTGF3TQ", "Stormtrooper白兵")</f>
        <v>Stormtrooper白兵</v>
      </c>
      <c r="C1997" s="80" t="s">
        <v>2270</v>
      </c>
      <c r="D1997" s="81" t="str">
        <f>HYPERLINK("https://youtube.com/watch?v=qrLx8TksWKk", "[2020年我最喜愛Youtube影片推介]《孫文的野望》｜抗爭入門第一課｜香港人的自省｜中國革命第一人、香港首席暴徒教你什麼是革命！｜深入淺出，分析抗爭的深層意義！｜粵語中字")</f>
        <v>[2020年我最喜愛Youtube影片推介]《孫文的野望》｜抗爭入門第一課｜香港人的自省｜中國革命第一人、香港首席暴徒教你什麼是革命！｜深入淺出，分析抗爭的深層意義！｜粵語中字</v>
      </c>
      <c r="E1997" s="82">
        <v>44196.0</v>
      </c>
      <c r="F1997" s="80">
        <v>1021.0</v>
      </c>
      <c r="G1997" s="80" t="s">
        <v>63</v>
      </c>
      <c r="I1997" s="80" t="s">
        <v>63</v>
      </c>
      <c r="J1997" s="80">
        <v>4334.0</v>
      </c>
      <c r="K1997" s="80">
        <v>0.971313312415957</v>
      </c>
      <c r="L1997" s="80" t="s">
        <v>64</v>
      </c>
    </row>
    <row r="1998">
      <c r="A1998" s="80" t="s">
        <v>1300</v>
      </c>
      <c r="B1998" s="81" t="str">
        <f>HYPERLINK("https://www.youtube.com/channel/UC_p2Zg9tZXrKaLHMxQiZkFQ", "Jackz 3.0")</f>
        <v>Jackz 3.0</v>
      </c>
      <c r="C1998" s="80" t="s">
        <v>2271</v>
      </c>
      <c r="D1998" s="81" t="str">
        <f>HYPERLINK("https://youtube.com/watch?v=qrbjJj1S_6s", "黃秋生：「我要真…係做司儀！」")</f>
        <v>黃秋生：「我要真…係做司儀！」</v>
      </c>
      <c r="E1998" s="82">
        <v>42113.0</v>
      </c>
      <c r="F1998" s="80">
        <v>99.0</v>
      </c>
      <c r="G1998" s="80" t="s">
        <v>63</v>
      </c>
      <c r="I1998" s="80" t="s">
        <v>63</v>
      </c>
      <c r="J1998" s="80">
        <v>226.0</v>
      </c>
      <c r="K1998" s="80">
        <v>0.953586497890295</v>
      </c>
      <c r="L1998" s="80" t="s">
        <v>64</v>
      </c>
    </row>
    <row r="1999">
      <c r="A1999" s="80" t="s">
        <v>71</v>
      </c>
      <c r="B1999" s="81" t="str">
        <f>HYPERLINK("https://www.youtube.com/channel/UCXTE-gQCetfrx_lC9yFM2aw", "arhoTV")</f>
        <v>arhoTV</v>
      </c>
      <c r="C1999" s="80" t="s">
        <v>2272</v>
      </c>
      <c r="D1999" s="81" t="str">
        <f>HYPERLINK("https://youtube.com/watch?v=quOAQU8pO9I", "【開箱】收到不得了的聖誕禮物！")</f>
        <v>【開箱】收到不得了的聖誕禮物！</v>
      </c>
      <c r="E1999" s="82">
        <v>42724.0</v>
      </c>
      <c r="F1999" s="80">
        <v>145.0</v>
      </c>
      <c r="G1999" s="80" t="s">
        <v>63</v>
      </c>
      <c r="I1999" s="80" t="s">
        <v>63</v>
      </c>
      <c r="J1999" s="80">
        <v>304.0</v>
      </c>
      <c r="K1999" s="80">
        <v>0.781491002570694</v>
      </c>
      <c r="L1999" s="80" t="s">
        <v>64</v>
      </c>
    </row>
    <row r="2000">
      <c r="A2000" s="80" t="s">
        <v>112</v>
      </c>
      <c r="B2000" s="81" t="str">
        <f>HYPERLINK("https://www.youtube.com/channel/UCW_n_gfIv4HhRqCk8EnRhJA", "Happy Kongner")</f>
        <v>Happy Kongner</v>
      </c>
      <c r="C2000" s="80" t="s">
        <v>2273</v>
      </c>
      <c r="D2000" s="81" t="str">
        <f>HYPERLINK("https://youtube.com/watch?v=qxkM7qJEN_U", "籃球基礎班之你問我答：NBA勞資協議/簽約/裁員/選秀逐樣解— 美帝的籃球  American Basketball")</f>
        <v>籃球基礎班之你問我答：NBA勞資協議/簽約/裁員/選秀逐樣解— 美帝的籃球  American Basketball</v>
      </c>
      <c r="E2000" s="82">
        <v>43277.0</v>
      </c>
      <c r="F2000" s="80">
        <v>1320.0</v>
      </c>
      <c r="G2000" s="80" t="s">
        <v>63</v>
      </c>
      <c r="I2000" s="80" t="s">
        <v>63</v>
      </c>
      <c r="J2000" s="80">
        <v>5637.0</v>
      </c>
      <c r="K2000" s="80">
        <v>0.820285215366705</v>
      </c>
      <c r="L2000" s="80" t="s">
        <v>64</v>
      </c>
    </row>
    <row r="2001">
      <c r="A2001" s="80" t="s">
        <v>989</v>
      </c>
      <c r="B2001" s="81" t="str">
        <f>HYPERLINK("https://www.youtube.com/channel/UCljo-rxFnc2gl9l8NhhJ66Q", "好青年荼毒室")</f>
        <v>好青年荼毒室</v>
      </c>
      <c r="C2001" s="80" t="s">
        <v>2274</v>
      </c>
      <c r="D2001" s="81" t="str">
        <f>HYPERLINK("https://youtube.com/watch?v=qzRefs7UMcA", "好青年荼毒室   五週年生日派對全記錄")</f>
        <v>好青年荼毒室   五週年生日派對全記錄</v>
      </c>
      <c r="E2001" s="82">
        <v>44555.0</v>
      </c>
      <c r="F2001" s="80">
        <v>1294.0</v>
      </c>
      <c r="G2001" s="80" t="s">
        <v>63</v>
      </c>
      <c r="I2001" s="80" t="s">
        <v>63</v>
      </c>
      <c r="J2001" s="80">
        <v>20.0</v>
      </c>
      <c r="K2001" s="80">
        <v>0.588235294117647</v>
      </c>
      <c r="L2001" s="80" t="s">
        <v>64</v>
      </c>
    </row>
    <row r="2002">
      <c r="A2002" s="80" t="s">
        <v>96</v>
      </c>
      <c r="B2002" s="81" t="str">
        <f>HYPERLINK("https://www.youtube.com/channel/UCGtyHJ-L_4RDIHe3XaLofQQ", "Anson Cheung")</f>
        <v>Anson Cheung</v>
      </c>
      <c r="C2002" s="80" t="s">
        <v>2275</v>
      </c>
      <c r="D2002" s="81" t="str">
        <f>HYPERLINK("https://youtube.com/watch?v=r1ORUNDiVdc", "Sony Xperia 5 II 評測：以下犯上！比Xperia 1 II 更好？｜Anson Cheung 手機評測")</f>
        <v>Sony Xperia 5 II 評測：以下犯上！比Xperia 1 II 更好？｜Anson Cheung 手機評測</v>
      </c>
      <c r="E2002" s="82">
        <v>44239.0</v>
      </c>
      <c r="F2002" s="80">
        <v>732.0</v>
      </c>
      <c r="G2002" s="80" t="s">
        <v>63</v>
      </c>
      <c r="I2002" s="80" t="s">
        <v>63</v>
      </c>
      <c r="J2002" s="80">
        <v>2825.0</v>
      </c>
      <c r="K2002" s="80">
        <v>0.680231158198892</v>
      </c>
      <c r="L2002" s="80" t="s">
        <v>64</v>
      </c>
    </row>
    <row r="2003">
      <c r="A2003" s="80" t="s">
        <v>61</v>
      </c>
      <c r="B2003" s="81" t="str">
        <f>HYPERLINK("https://www.youtube.com/channel/UCJ4XVrJuqKHbc9yF9oUFseg", "MEeeep More")</f>
        <v>MEeeep More</v>
      </c>
      <c r="C2003" s="80" t="s">
        <v>2276</v>
      </c>
      <c r="D2003" s="81" t="str">
        <f>HYPERLINK("https://youtube.com/watch?v=r2pQF9AQtZA", "[新加坡旅遊氣泡2021] 3小時步遊濱海著名景點！魚尾獅、濱海藝術中心、金沙酒店、濱海灣公園一次玩晒！Esplanade, Marina Bay Sands, Gardens by the Bay")</f>
        <v>[新加坡旅遊氣泡2021] 3小時步遊濱海著名景點！魚尾獅、濱海藝術中心、金沙酒店、濱海灣公園一次玩晒！Esplanade, Marina Bay Sands, Gardens by the Bay</v>
      </c>
      <c r="E2003" s="82">
        <v>44325.0</v>
      </c>
      <c r="F2003" s="80">
        <v>347.0</v>
      </c>
      <c r="G2003" s="80" t="s">
        <v>63</v>
      </c>
      <c r="I2003" s="80" t="s">
        <v>63</v>
      </c>
      <c r="J2003" s="80">
        <v>1094.0</v>
      </c>
      <c r="K2003" s="80">
        <v>0.788184438040345</v>
      </c>
      <c r="L2003" s="80" t="s">
        <v>64</v>
      </c>
    </row>
    <row r="2004">
      <c r="A2004" s="80" t="s">
        <v>71</v>
      </c>
      <c r="B2004" s="81" t="str">
        <f>HYPERLINK("https://www.youtube.com/channel/UCXTE-gQCetfrx_lC9yFM2aw", "arhoTV")</f>
        <v>arhoTV</v>
      </c>
      <c r="C2004" s="80" t="s">
        <v>2277</v>
      </c>
      <c r="D2004" s="81" t="str">
        <f>HYPERLINK("https://youtube.com/watch?v=r3pL56Waj8E", "【泰國】泰抄襲？泰國麥當勞都抄我？")</f>
        <v>【泰國】泰抄襲？泰國麥當勞都抄我？</v>
      </c>
      <c r="E2004" s="82">
        <v>42859.0</v>
      </c>
      <c r="F2004" s="80">
        <v>124.0</v>
      </c>
      <c r="G2004" s="80" t="s">
        <v>63</v>
      </c>
      <c r="H2004" s="80" t="s">
        <v>63</v>
      </c>
      <c r="I2004" s="80" t="s">
        <v>63</v>
      </c>
      <c r="J2004" s="80">
        <v>753.0</v>
      </c>
      <c r="K2004" s="80">
        <v>0.895424836601307</v>
      </c>
      <c r="L2004" s="80" t="s">
        <v>86</v>
      </c>
    </row>
    <row r="2005">
      <c r="A2005" s="80" t="s">
        <v>1183</v>
      </c>
      <c r="B2005" s="81" t="str">
        <f>HYPERLINK("https://www.youtube.com/channel/UCPBBbFYG51QpjuptQtYfCDA", "siuwaiboy")</f>
        <v>siuwaiboy</v>
      </c>
      <c r="C2005" s="80" t="s">
        <v>2278</v>
      </c>
      <c r="D2005" s="81" t="str">
        <f>HYPERLINK("https://youtube.com/watch?v=r7oI9ikl8pE", "選港姐即係見工")</f>
        <v>選港姐即係見工</v>
      </c>
      <c r="E2005" s="82">
        <v>42983.0</v>
      </c>
      <c r="F2005" s="80">
        <v>91.0</v>
      </c>
      <c r="G2005" s="80" t="s">
        <v>63</v>
      </c>
      <c r="I2005" s="80" t="s">
        <v>63</v>
      </c>
      <c r="J2005" s="80">
        <v>351.0</v>
      </c>
      <c r="K2005" s="80">
        <v>0.959016393442622</v>
      </c>
      <c r="L2005" s="80" t="s">
        <v>64</v>
      </c>
    </row>
    <row r="2006">
      <c r="A2006" s="80" t="s">
        <v>74</v>
      </c>
      <c r="B2006" s="81" t="str">
        <f>HYPERLINK("https://www.youtube.com/channel/UCO_5XP-qd-udNxBlzzSzgvw", "Handline Fishing")</f>
        <v>Handline Fishing</v>
      </c>
      <c r="C2006" s="80" t="s">
        <v>2279</v>
      </c>
      <c r="D2006" s="81" t="str">
        <f>HYPERLINK("https://youtube.com/watch?v=r7pIqaaoQS0", "#215 休漁期無紅鬚賣，釣黑沙點算好? |『香港釣魚 : 艇釣』維港 {粵語旁白+中英文字幕}")</f>
        <v>#215 休漁期無紅鬚賣，釣黑沙點算好? |『香港釣魚 : 艇釣』維港 {粵語旁白+中英文字幕}</v>
      </c>
      <c r="E2006" s="82">
        <v>44343.0</v>
      </c>
      <c r="F2006" s="80">
        <v>293.0</v>
      </c>
      <c r="G2006" s="80" t="s">
        <v>63</v>
      </c>
      <c r="H2006" s="80" t="s">
        <v>63</v>
      </c>
      <c r="I2006" s="80" t="s">
        <v>63</v>
      </c>
      <c r="J2006" s="80">
        <v>461.0</v>
      </c>
      <c r="K2006" s="80">
        <v>0.957494407158836</v>
      </c>
      <c r="L2006" s="80" t="s">
        <v>88</v>
      </c>
    </row>
    <row r="2007">
      <c r="A2007" s="80" t="s">
        <v>61</v>
      </c>
      <c r="B2007" s="81" t="str">
        <f>HYPERLINK("https://www.youtube.com/channel/UCJ4XVrJuqKHbc9yF9oUFseg", "MEeeep More")</f>
        <v>MEeeep More</v>
      </c>
      <c r="C2007" s="80" t="s">
        <v>2280</v>
      </c>
      <c r="D2007" s="81" t="str">
        <f>HYPERLINK("https://youtube.com/watch?v=rB7xIz5ulFA", "珀斯粉紅湖竟然唔係粉紅色！Esperance海岸線一日遊 - 食玩飛常遊")</f>
        <v>珀斯粉紅湖竟然唔係粉紅色！Esperance海岸線一日遊 - 食玩飛常遊</v>
      </c>
      <c r="E2007" s="82">
        <v>43605.0</v>
      </c>
      <c r="F2007" s="80">
        <v>164.0</v>
      </c>
      <c r="G2007" s="80" t="s">
        <v>63</v>
      </c>
      <c r="I2007" s="80" t="s">
        <v>63</v>
      </c>
      <c r="J2007" s="80">
        <v>508.0</v>
      </c>
      <c r="K2007" s="80">
        <v>0.781538461538461</v>
      </c>
      <c r="L2007" s="80" t="s">
        <v>64</v>
      </c>
    </row>
    <row r="2008">
      <c r="A2008" s="80" t="s">
        <v>278</v>
      </c>
      <c r="B2008" s="81" t="str">
        <f>HYPERLINK("https://www.youtube.com/channel/UCDoEdJo-PI-EKGNKomwLroQ", "mingjai14")</f>
        <v>mingjai14</v>
      </c>
      <c r="C2008" s="80" t="s">
        <v>2281</v>
      </c>
      <c r="D2008" s="81" t="str">
        <f>HYPERLINK("https://youtube.com/watch?v=rDZw6S9aeA0", "五層高跳落街｜新加坡之旅｜Ep 1")</f>
        <v>五層高跳落街｜新加坡之旅｜Ep 1</v>
      </c>
      <c r="E2008" s="82">
        <v>42745.0</v>
      </c>
      <c r="F2008" s="80">
        <v>450.0</v>
      </c>
      <c r="G2008" s="80" t="s">
        <v>63</v>
      </c>
      <c r="I2008" s="80" t="s">
        <v>63</v>
      </c>
      <c r="J2008" s="80">
        <v>1075.0</v>
      </c>
      <c r="K2008" s="80">
        <v>0.740358126721763</v>
      </c>
      <c r="L2008" s="80" t="s">
        <v>64</v>
      </c>
    </row>
    <row r="2009">
      <c r="A2009" s="80" t="s">
        <v>61</v>
      </c>
      <c r="B2009" s="81" t="str">
        <f>HYPERLINK("https://www.youtube.com/channel/UCJ4XVrJuqKHbc9yF9oUFseg", "MEeeep More")</f>
        <v>MEeeep More</v>
      </c>
      <c r="C2009" s="80" t="s">
        <v>2282</v>
      </c>
      <c r="D2009" s="81" t="str">
        <f>HYPERLINK("https://youtube.com/watch?v=rF4-0buWznM", "新春到會滋味推介 | 80s Catering 各款新春菜式一覽 | 新春盆菜")</f>
        <v>新春到會滋味推介 | 80s Catering 各款新春菜式一覽 | 新春盆菜</v>
      </c>
      <c r="E2009" s="82">
        <v>44228.0</v>
      </c>
      <c r="F2009" s="80">
        <v>156.0</v>
      </c>
      <c r="G2009" s="80" t="s">
        <v>63</v>
      </c>
      <c r="I2009" s="80" t="s">
        <v>63</v>
      </c>
      <c r="J2009" s="80">
        <v>478.0</v>
      </c>
      <c r="K2009" s="80">
        <v>0.817094017094017</v>
      </c>
      <c r="L2009" s="80" t="s">
        <v>64</v>
      </c>
    </row>
    <row r="2010">
      <c r="A2010" s="80" t="s">
        <v>78</v>
      </c>
      <c r="B2010" s="81" t="str">
        <f>HYPERLINK("https://www.youtube.com/channel/UCXnWjmQ8BDE0sDIeZLK5yJg", "點 Cook Guide")</f>
        <v>點 Cook Guide</v>
      </c>
      <c r="C2010" s="80" t="s">
        <v>2283</v>
      </c>
      <c r="D2010" s="81" t="str">
        <f>HYPERLINK("https://youtube.com/watch?v=rGDDk04q4_Q", "【美食】應節XO醬炒月餅食到飽")</f>
        <v>【美食】應節XO醬炒月餅食到飽</v>
      </c>
      <c r="E2010" s="82">
        <v>43032.0</v>
      </c>
      <c r="F2010" s="80">
        <v>148.0</v>
      </c>
      <c r="G2010" s="80" t="s">
        <v>63</v>
      </c>
      <c r="I2010" s="80" t="s">
        <v>63</v>
      </c>
      <c r="J2010" s="80">
        <v>352.0</v>
      </c>
      <c r="K2010" s="80">
        <v>0.928759894459102</v>
      </c>
      <c r="L2010" s="80" t="s">
        <v>64</v>
      </c>
    </row>
    <row r="2011">
      <c r="A2011" s="80" t="s">
        <v>140</v>
      </c>
      <c r="B2011" s="81" t="str">
        <f>HYPERLINK("https://www.youtube.com/channel/UCHK0CZf9HEXs42qIO1GUouA", "TechiCardia")</f>
        <v>TechiCardia</v>
      </c>
      <c r="C2011" s="80" t="s">
        <v>2284</v>
      </c>
      <c r="D2011" s="81" t="str">
        <f>HYPERLINK("https://youtube.com/watch?v=rMEQaF4elRQ", "4K CAPTURE BOX 大對決！最新 ASUS TUF CU4K30 高Hz數直通 VS Elgato 4K60 S+！//4K 【TechiCardia】[CC廣東話字幕]")</f>
        <v>4K CAPTURE BOX 大對決！最新 ASUS TUF CU4K30 高Hz數直通 VS Elgato 4K60 S+！//4K 【TechiCardia】[CC廣東話字幕]</v>
      </c>
      <c r="E2011" s="82">
        <v>44384.0</v>
      </c>
      <c r="F2011" s="80">
        <v>678.0</v>
      </c>
      <c r="G2011" s="80" t="s">
        <v>63</v>
      </c>
      <c r="I2011" s="80" t="s">
        <v>63</v>
      </c>
      <c r="J2011" s="80">
        <v>2334.0</v>
      </c>
      <c r="K2011" s="80">
        <v>0.692581602373887</v>
      </c>
      <c r="L2011" s="80" t="s">
        <v>102</v>
      </c>
    </row>
    <row r="2012">
      <c r="A2012" s="80" t="s">
        <v>1050</v>
      </c>
      <c r="B2012" s="81" t="str">
        <f>HYPERLINK("https://www.youtube.com/channel/UCNCwcNnkhHviS0xyJHbhX2Q", "Man The Fvck Up")</f>
        <v>Man The Fvck Up</v>
      </c>
      <c r="C2012" s="80" t="s">
        <v>2285</v>
      </c>
      <c r="D2012" s="81" t="str">
        <f>HYPERLINK("https://youtube.com/watch?v=rPntSoMEoX0", "[溝女] 對女人嚟講, 咩先係真正有價值? - What Does Value Mean To Women?")</f>
        <v>[溝女] 對女人嚟講, 咩先係真正有價值? - What Does Value Mean To Women?</v>
      </c>
      <c r="E2012" s="82">
        <v>42754.0</v>
      </c>
      <c r="F2012" s="80">
        <v>162.0</v>
      </c>
      <c r="G2012" s="80" t="s">
        <v>63</v>
      </c>
      <c r="I2012" s="80" t="s">
        <v>63</v>
      </c>
      <c r="J2012" s="80">
        <v>482.0</v>
      </c>
      <c r="K2012" s="80">
        <v>0.786296900489396</v>
      </c>
      <c r="L2012" s="80" t="s">
        <v>64</v>
      </c>
    </row>
    <row r="2013">
      <c r="A2013" s="80" t="s">
        <v>1310</v>
      </c>
      <c r="B2013" s="81" t="str">
        <f>HYPERLINK("https://www.youtube.com/channel/UC0-DuAJ8XNn3RH1aevvJWgA", "TomorrowLAN CSGO")</f>
        <v>TomorrowLAN CSGO</v>
      </c>
      <c r="C2013" s="80" t="s">
        <v>2286</v>
      </c>
      <c r="D2013" s="81" t="str">
        <f>HYPERLINK("https://youtube.com/watch?v=rRL5p7lScCw", "[EMC] CHIMEI: 其實各個隊伍實力都不相伯仲 [WESG 2018香港區]")</f>
        <v>[EMC] CHIMEI: 其實各個隊伍實力都不相伯仲 [WESG 2018香港區]</v>
      </c>
      <c r="E2013" s="82">
        <v>43413.0</v>
      </c>
      <c r="F2013" s="80">
        <v>108.0</v>
      </c>
      <c r="G2013" s="80" t="s">
        <v>63</v>
      </c>
      <c r="H2013" s="80" t="s">
        <v>63</v>
      </c>
      <c r="I2013" s="80" t="s">
        <v>63</v>
      </c>
      <c r="J2013" s="80">
        <v>335.0</v>
      </c>
      <c r="K2013" s="80">
        <v>0.893333333333333</v>
      </c>
      <c r="L2013" s="80" t="s">
        <v>86</v>
      </c>
    </row>
    <row r="2014">
      <c r="A2014" s="80" t="s">
        <v>1000</v>
      </c>
      <c r="B2014" s="81" t="str">
        <f>HYPERLINK("https://www.youtube.com/channel/UChJQlg1b_cOttPX3SiIh5gA", "Lau Dinha in Hong Kong - Hong Kong in the World")</f>
        <v>Lau Dinha in Hong Kong - Hong Kong in the World</v>
      </c>
      <c r="C2014" s="80" t="s">
        <v>2287</v>
      </c>
      <c r="D2014" s="81" t="str">
        <f>HYPERLINK("https://youtube.com/watch?v=rXXDXGNU5SI", "要幫襯小店就要幫襯哩種最高性價比嘅！！你都嚟幫幫受疫情影響的小店啦!! @龔柯允Karen Kong  #CreatorSpotlightHK")</f>
        <v>要幫襯小店就要幫襯哩種最高性價比嘅！！你都嚟幫幫受疫情影響的小店啦!! @龔柯允Karen Kong  #CreatorSpotlightHK</v>
      </c>
      <c r="E2014" s="82">
        <v>44134.0</v>
      </c>
      <c r="F2014" s="80">
        <v>1034.0</v>
      </c>
      <c r="G2014" s="80" t="s">
        <v>63</v>
      </c>
      <c r="H2014" s="80" t="s">
        <v>63</v>
      </c>
      <c r="I2014" s="80" t="s">
        <v>63</v>
      </c>
      <c r="J2014" s="80">
        <v>3112.0</v>
      </c>
      <c r="K2014" s="80">
        <v>0.855650261204289</v>
      </c>
      <c r="L2014" s="80" t="s">
        <v>2288</v>
      </c>
    </row>
    <row r="2015">
      <c r="A2015" s="80" t="s">
        <v>61</v>
      </c>
      <c r="B2015" s="81" t="str">
        <f>HYPERLINK("https://www.youtube.com/channel/UCJ4XVrJuqKHbc9yF9oUFseg", "MEeeep More")</f>
        <v>MEeeep More</v>
      </c>
      <c r="C2015" s="80" t="s">
        <v>2289</v>
      </c>
      <c r="D2015" s="81" t="str">
        <f>HYPERLINK("https://youtube.com/watch?v=rg8f0zGHcjk", "Jabra Elite 85T ANC 藍芽耳機登場！開箱即試 聲樣都咁靚 多級主動降噪任你揀 jabra85t elite85t")</f>
        <v>Jabra Elite 85T ANC 藍芽耳機登場！開箱即試 聲樣都咁靚 多級主動降噪任你揀 jabra85t elite85t</v>
      </c>
      <c r="E2015" s="82">
        <v>44139.0</v>
      </c>
      <c r="F2015" s="80">
        <v>156.0</v>
      </c>
      <c r="G2015" s="80" t="s">
        <v>63</v>
      </c>
      <c r="I2015" s="80" t="s">
        <v>63</v>
      </c>
      <c r="J2015" s="80">
        <v>346.0</v>
      </c>
      <c r="K2015" s="80">
        <v>0.662835249042145</v>
      </c>
      <c r="L2015" s="80" t="s">
        <v>64</v>
      </c>
    </row>
    <row r="2016">
      <c r="A2016" s="80" t="s">
        <v>219</v>
      </c>
      <c r="B2016" s="81" t="str">
        <f>HYPERLINK("https://www.youtube.com/channel/UC9_PnptBIpNF0JXbJjd8TsQ", "Brown's Channel")</f>
        <v>Brown's Channel</v>
      </c>
      <c r="C2016" s="80" t="s">
        <v>2290</v>
      </c>
      <c r="D2016" s="81" t="str">
        <f>HYPERLINK("https://youtube.com/watch?v=riJPgjPVXbo", "【一隻熊仔去旅行@首爾】#6 Paris Baguette Cafe －－ 韓國平版 Starbucks 開到通街都係")</f>
        <v>【一隻熊仔去旅行@首爾】#6 Paris Baguette Cafe －－ 韓國平版 Starbucks 開到通街都係</v>
      </c>
      <c r="E2016" s="82">
        <v>43897.0</v>
      </c>
      <c r="F2016" s="80">
        <v>318.0</v>
      </c>
      <c r="G2016" s="80" t="s">
        <v>63</v>
      </c>
      <c r="I2016" s="80" t="s">
        <v>63</v>
      </c>
      <c r="J2016" s="80">
        <v>1028.0</v>
      </c>
      <c r="K2016" s="80">
        <v>0.82636655948553</v>
      </c>
      <c r="L2016" s="80" t="s">
        <v>64</v>
      </c>
    </row>
    <row r="2017">
      <c r="A2017" s="80" t="s">
        <v>112</v>
      </c>
      <c r="B2017" s="81" t="str">
        <f>HYPERLINK("https://www.youtube.com/channel/UCW_n_gfIv4HhRqCk8EnRhJA", "Happy Kongner")</f>
        <v>Happy Kongner</v>
      </c>
      <c r="C2017" s="80" t="s">
        <v>2291</v>
      </c>
      <c r="D2017" s="81" t="str">
        <f>HYPERLINK("https://youtube.com/watch?v=riQmRpIxx3M", "成王之路：支離破碎  [公仔書與卡通片:海賊王特輯 第八集]")</f>
        <v>成王之路：支離破碎  [公仔書與卡通片:海賊王特輯 第八集]</v>
      </c>
      <c r="E2017" s="82">
        <v>43783.0</v>
      </c>
      <c r="F2017" s="80">
        <v>604.0</v>
      </c>
      <c r="G2017" s="80" t="s">
        <v>63</v>
      </c>
      <c r="I2017" s="80" t="s">
        <v>63</v>
      </c>
      <c r="J2017" s="80">
        <v>2009.0</v>
      </c>
      <c r="K2017" s="80">
        <v>0.936160298229263</v>
      </c>
      <c r="L2017" s="80" t="s">
        <v>64</v>
      </c>
    </row>
    <row r="2018">
      <c r="A2018" s="80" t="s">
        <v>61</v>
      </c>
      <c r="B2018" s="81" t="str">
        <f>HYPERLINK("https://www.youtube.com/channel/UCJ4XVrJuqKHbc9yF9oUFseg", "MEeeep More")</f>
        <v>MEeeep More</v>
      </c>
      <c r="C2018" s="80" t="s">
        <v>2292</v>
      </c>
      <c r="D2018" s="81" t="str">
        <f>HYPERLINK("https://youtube.com/watch?v=rjOsFBP7AU4", "Samsung 三星 Galaxy Note20 Ultra / Note20 評測登場！話你知幾時推出及價錢！顏色靚 相機正 有5G同Wi-Fi 6！galaxy note20 ultra 開箱")</f>
        <v>Samsung 三星 Galaxy Note20 Ultra / Note20 評測登場！話你知幾時推出及價錢！顏色靚 相機正 有5G同Wi-Fi 6！galaxy note20 ultra 開箱</v>
      </c>
      <c r="E2018" s="82">
        <v>44049.0</v>
      </c>
      <c r="F2018" s="80">
        <v>362.0</v>
      </c>
      <c r="G2018" s="80" t="s">
        <v>63</v>
      </c>
      <c r="I2018" s="80" t="s">
        <v>63</v>
      </c>
      <c r="J2018" s="80">
        <v>967.0</v>
      </c>
      <c r="K2018" s="80">
        <v>0.673398328690807</v>
      </c>
      <c r="L2018" s="80" t="s">
        <v>64</v>
      </c>
    </row>
    <row r="2019">
      <c r="A2019" s="80" t="s">
        <v>217</v>
      </c>
      <c r="B2019" s="81" t="str">
        <f>HYPERLINK("https://www.youtube.com/channel/UCXKg0qPRz32bs5Z4mTGF3TQ", "Stormtrooper白兵")</f>
        <v>Stormtrooper白兵</v>
      </c>
      <c r="C2019" s="80" t="s">
        <v>2293</v>
      </c>
      <c r="D2019" s="81" t="str">
        <f>HYPERLINK("https://youtube.com/watch?v=rn7e5u-4WJ8", "[獨裁者系列]僅次毛澤東、史太林的大魔頭｜希特拉如何從一個窮困的年輕畫家，經歷多次低谷，最終令德國人放棄民主，雙手奉上所有權力，走上國家元首的傳奇經歷｜粵語中字")</f>
        <v>[獨裁者系列]僅次毛澤東、史太林的大魔頭｜希特拉如何從一個窮困的年輕畫家，經歷多次低谷，最終令德國人放棄民主，雙手奉上所有權力，走上國家元首的傳奇經歷｜粵語中字</v>
      </c>
      <c r="E2019" s="82">
        <v>44413.0</v>
      </c>
      <c r="F2019" s="80">
        <v>1556.0</v>
      </c>
      <c r="G2019" s="80" t="s">
        <v>63</v>
      </c>
      <c r="H2019" s="80" t="s">
        <v>63</v>
      </c>
      <c r="I2019" s="80" t="s">
        <v>63</v>
      </c>
      <c r="J2019" s="80">
        <v>6593.0</v>
      </c>
      <c r="K2019" s="80">
        <v>0.972604768251147</v>
      </c>
      <c r="L2019" s="80" t="s">
        <v>86</v>
      </c>
    </row>
    <row r="2020">
      <c r="A2020" s="80" t="s">
        <v>74</v>
      </c>
      <c r="B2020" s="81" t="str">
        <f>HYPERLINK("https://www.youtube.com/channel/UCO_5XP-qd-udNxBlzzSzgvw", "Handline Fishing")</f>
        <v>Handline Fishing</v>
      </c>
      <c r="C2020" s="80" t="s">
        <v>2294</v>
      </c>
      <c r="D2020" s="81" t="str">
        <f>HYPERLINK("https://youtube.com/watch?v=rp9oupPEh9o", "#126 我意想不到的東涌橋墩『香港釣魚 : 岸釣』東涌橋墩 {粵語旁白+中英文字幕}")</f>
        <v>#126 我意想不到的東涌橋墩『香港釣魚 : 岸釣』東涌橋墩 {粵語旁白+中英文字幕}</v>
      </c>
      <c r="E2020" s="82">
        <v>44007.0</v>
      </c>
      <c r="F2020" s="80">
        <v>146.0</v>
      </c>
      <c r="G2020" s="80" t="s">
        <v>63</v>
      </c>
      <c r="I2020" s="80" t="s">
        <v>63</v>
      </c>
      <c r="J2020" s="80">
        <v>565.0</v>
      </c>
      <c r="K2020" s="80">
        <v>0.933884297520661</v>
      </c>
      <c r="L2020" s="80" t="s">
        <v>1013</v>
      </c>
    </row>
    <row r="2021">
      <c r="A2021" s="80" t="s">
        <v>217</v>
      </c>
      <c r="B2021" s="81" t="str">
        <f>HYPERLINK("https://www.youtube.com/channel/UCXKg0qPRz32bs5Z4mTGF3TQ", "Stormtrooper白兵")</f>
        <v>Stormtrooper白兵</v>
      </c>
      <c r="C2021" s="80" t="s">
        <v>2295</v>
      </c>
      <c r="D2021" s="81" t="str">
        <f>HYPERLINK("https://youtube.com/watch?v=rq_IvmLQ6Zs", "[白兵號外]泛民初選被秋後算帳！｜解構大搜捕的可能原因｜搜捕背後竟遺漏一關鍵人物！？")</f>
        <v>[白兵號外]泛民初選被秋後算帳！｜解構大搜捕的可能原因｜搜捕背後竟遺漏一關鍵人物！？</v>
      </c>
      <c r="E2021" s="82">
        <v>44202.0</v>
      </c>
      <c r="F2021" s="80">
        <v>541.0</v>
      </c>
      <c r="G2021" s="80" t="s">
        <v>63</v>
      </c>
      <c r="H2021" s="80" t="s">
        <v>63</v>
      </c>
      <c r="I2021" s="80" t="s">
        <v>63</v>
      </c>
      <c r="J2021" s="80">
        <v>2336.0</v>
      </c>
      <c r="K2021" s="80">
        <v>0.98110037799244</v>
      </c>
      <c r="L2021" s="80" t="s">
        <v>86</v>
      </c>
    </row>
    <row r="2022">
      <c r="A2022" s="80" t="s">
        <v>61</v>
      </c>
      <c r="B2022" s="81" t="str">
        <f>HYPERLINK("https://www.youtube.com/channel/UCJ4XVrJuqKHbc9yF9oUFseg", "MEeeep More")</f>
        <v>MEeeep More</v>
      </c>
      <c r="C2022" s="80" t="s">
        <v>2296</v>
      </c>
      <c r="D2022" s="81" t="str">
        <f>HYPERLINK("https://youtube.com/watch?v=rsmzhaCck3Q", "國泰貴賓室系列 - 新加坡樟宜機場 T4 老火湯都有得飲！ (Cathay Pacific Lounge - Singapore Changi T4)")</f>
        <v>國泰貴賓室系列 - 新加坡樟宜機場 T4 老火湯都有得飲！ (Cathay Pacific Lounge - Singapore Changi T4)</v>
      </c>
      <c r="E2022" s="82">
        <v>43725.0</v>
      </c>
      <c r="F2022" s="80">
        <v>139.0</v>
      </c>
      <c r="G2022" s="80" t="s">
        <v>63</v>
      </c>
      <c r="I2022" s="80" t="s">
        <v>63</v>
      </c>
      <c r="J2022" s="80">
        <v>413.0</v>
      </c>
      <c r="K2022" s="80">
        <v>0.853305785123966</v>
      </c>
      <c r="L2022" s="80" t="s">
        <v>64</v>
      </c>
    </row>
    <row r="2023">
      <c r="A2023" s="80" t="s">
        <v>140</v>
      </c>
      <c r="B2023" s="81" t="str">
        <f>HYPERLINK("https://www.youtube.com/channel/UCHK0CZf9HEXs42qIO1GUouA", "TechiCardia")</f>
        <v>TechiCardia</v>
      </c>
      <c r="C2023" s="80" t="s">
        <v>2297</v>
      </c>
      <c r="D2023" s="81" t="str">
        <f>HYPERLINK("https://youtube.com/watch?v=rwyhJl7OloE", "一定受歡迎的直立式ITX機箱！SSUPD MESHLICIOUS 終極評測！買前請做足功課！//4K 【TechiCardia】[CC廣東話字幕]")</f>
        <v>一定受歡迎的直立式ITX機箱！SSUPD MESHLICIOUS 終極評測！買前請做足功課！//4K 【TechiCardia】[CC廣東話字幕]</v>
      </c>
      <c r="E2023" s="82">
        <v>44359.0</v>
      </c>
      <c r="F2023" s="80">
        <v>1068.0</v>
      </c>
      <c r="G2023" s="80" t="s">
        <v>63</v>
      </c>
      <c r="I2023" s="80" t="s">
        <v>63</v>
      </c>
      <c r="J2023" s="80">
        <v>3971.0</v>
      </c>
      <c r="K2023" s="80">
        <v>0.774980483996877</v>
      </c>
      <c r="L2023" s="80" t="s">
        <v>102</v>
      </c>
    </row>
    <row r="2024">
      <c r="A2024" s="80" t="s">
        <v>278</v>
      </c>
      <c r="B2024" s="81" t="str">
        <f>HYPERLINK("https://www.youtube.com/channel/UCDoEdJo-PI-EKGNKomwLroQ", "mingjai14")</f>
        <v>mingjai14</v>
      </c>
      <c r="C2024" s="80" t="s">
        <v>2298</v>
      </c>
      <c r="D2024" s="81" t="str">
        <f>HYPERLINK("https://youtube.com/watch?v=rzbSHIhHs5I", "Ming仔11個機場小習慣")</f>
        <v>Ming仔11個機場小習慣</v>
      </c>
      <c r="E2024" s="82">
        <v>43581.0</v>
      </c>
      <c r="F2024" s="80">
        <v>496.0</v>
      </c>
      <c r="G2024" s="80" t="s">
        <v>63</v>
      </c>
      <c r="H2024" s="80" t="s">
        <v>63</v>
      </c>
      <c r="I2024" s="80" t="s">
        <v>63</v>
      </c>
      <c r="J2024" s="80">
        <v>1972.0</v>
      </c>
      <c r="K2024" s="80">
        <v>0.960247805885389</v>
      </c>
      <c r="L2024" s="80" t="s">
        <v>86</v>
      </c>
    </row>
    <row r="2025">
      <c r="A2025" s="80" t="s">
        <v>1310</v>
      </c>
      <c r="B2025" s="81" t="str">
        <f>HYPERLINK("https://www.youtube.com/channel/UC0-DuAJ8XNn3RH1aevvJWgA", "TomorrowLAN CSGO")</f>
        <v>TomorrowLAN CSGO</v>
      </c>
      <c r="C2025" s="80" t="s">
        <v>2299</v>
      </c>
      <c r="D2025" s="81" t="str">
        <f>HYPERLINK("https://youtube.com/watch?v=s0LBHp8NtR0", "TML CS:GO週報 EP.7 (ViCi同香港選手Freeman打入世界賽Major, 送大量ESEA試玩碼, 新比賽季節開始等等)")</f>
        <v>TML CS:GO週報 EP.7 (ViCi同香港選手Freeman打入世界賽Major, 送大量ESEA試玩碼, 新比賽季節開始等等)</v>
      </c>
      <c r="E2025" s="82">
        <v>43498.0</v>
      </c>
      <c r="F2025" s="80">
        <v>379.0</v>
      </c>
      <c r="G2025" s="80" t="s">
        <v>63</v>
      </c>
      <c r="I2025" s="80" t="s">
        <v>63</v>
      </c>
      <c r="J2025" s="80">
        <v>1101.0</v>
      </c>
      <c r="K2025" s="80">
        <v>0.672161172161172</v>
      </c>
      <c r="L2025" s="80" t="s">
        <v>91</v>
      </c>
    </row>
    <row r="2026">
      <c r="A2026" s="80" t="s">
        <v>278</v>
      </c>
      <c r="B2026" s="81" t="str">
        <f>HYPERLINK("https://www.youtube.com/channel/UCDoEdJo-PI-EKGNKomwLroQ", "mingjai14")</f>
        <v>mingjai14</v>
      </c>
      <c r="C2026" s="80" t="s">
        <v>2300</v>
      </c>
      <c r="D2026" s="81" t="str">
        <f>HYPERLINK("https://youtube.com/watch?v=s14xjQ_5G2Y", "如何解決電腦桌面的土地問題？")</f>
        <v>如何解決電腦桌面的土地問題？</v>
      </c>
      <c r="E2026" s="82">
        <v>43537.0</v>
      </c>
      <c r="F2026" s="80">
        <v>278.0</v>
      </c>
      <c r="G2026" s="80" t="s">
        <v>63</v>
      </c>
      <c r="I2026" s="80" t="s">
        <v>63</v>
      </c>
      <c r="J2026" s="80">
        <v>723.0</v>
      </c>
      <c r="K2026" s="80">
        <v>0.81787330316742</v>
      </c>
      <c r="L2026" s="80" t="s">
        <v>64</v>
      </c>
    </row>
    <row r="2027">
      <c r="A2027" s="80" t="s">
        <v>140</v>
      </c>
      <c r="B2027" s="81" t="str">
        <f>HYPERLINK("https://www.youtube.com/channel/UCHK0CZf9HEXs42qIO1GUouA", "TechiCardia")</f>
        <v>TechiCardia</v>
      </c>
      <c r="C2027" s="80" t="s">
        <v>2301</v>
      </c>
      <c r="D2027" s="81" t="str">
        <f>HYPERLINK("https://youtube.com/watch?v=s7-lcfBE4aE", "六件開學必買抵玩iPad周邊科技用品！唔洗買Apple Pencil！// ft. MORAL BAGS | 4K 【TechiCardia】[CC廣東話字幕]")</f>
        <v>六件開學必買抵玩iPad周邊科技用品！唔洗買Apple Pencil！// ft. MORAL BAGS | 4K 【TechiCardia】[CC廣東話字幕]</v>
      </c>
      <c r="E2027" s="82">
        <v>44436.0</v>
      </c>
      <c r="F2027" s="80">
        <v>1000.0</v>
      </c>
      <c r="G2027" s="80" t="s">
        <v>63</v>
      </c>
      <c r="I2027" s="80" t="s">
        <v>63</v>
      </c>
      <c r="J2027" s="80">
        <v>3473.0</v>
      </c>
      <c r="K2027" s="80">
        <v>0.660642952254137</v>
      </c>
      <c r="L2027" s="80" t="s">
        <v>102</v>
      </c>
    </row>
    <row r="2028">
      <c r="A2028" s="80" t="s">
        <v>1050</v>
      </c>
      <c r="B2028" s="81" t="str">
        <f>HYPERLINK("https://www.youtube.com/channel/UCNCwcNnkhHviS0xyJHbhX2Q", "Man The Fvck Up")</f>
        <v>Man The Fvck Up</v>
      </c>
      <c r="C2028" s="80" t="s">
        <v>2302</v>
      </c>
      <c r="D2028" s="81" t="str">
        <f>HYPERLINK("https://youtube.com/watch?v=s8TmiG2p2ag", "[溝女Q&amp;A x2!]  “你好nice” + “我好悶” 暗中真正意思!")</f>
        <v>[溝女Q&amp;A x2!]  “你好nice” + “我好悶” 暗中真正意思!</v>
      </c>
      <c r="E2028" s="82">
        <v>42752.0</v>
      </c>
      <c r="F2028" s="80">
        <v>264.0</v>
      </c>
      <c r="G2028" s="80" t="s">
        <v>63</v>
      </c>
      <c r="I2028" s="80" t="s">
        <v>63</v>
      </c>
      <c r="J2028" s="80">
        <v>814.0</v>
      </c>
      <c r="K2028" s="80">
        <v>0.799607072691552</v>
      </c>
      <c r="L2028" s="80" t="s">
        <v>64</v>
      </c>
    </row>
    <row r="2029">
      <c r="A2029" s="80" t="s">
        <v>74</v>
      </c>
      <c r="B2029" s="81" t="str">
        <f>HYPERLINK("https://www.youtube.com/channel/UCO_5XP-qd-udNxBlzzSzgvw", "Handline Fishing")</f>
        <v>Handline Fishing</v>
      </c>
      <c r="C2029" s="80" t="s">
        <v>2303</v>
      </c>
      <c r="D2029" s="81" t="str">
        <f>HYPERLINK("https://youtube.com/watch?v=sC2Y8UcIziU", "#257 維港稀客 | 基哥 | 香港釣魚 | 艇釣 | 維港 {粵語旁白+中英文字幕}")</f>
        <v>#257 維港稀客 | 基哥 | 香港釣魚 | 艇釣 | 維港 {粵語旁白+中英文字幕}</v>
      </c>
      <c r="E2029" s="82">
        <v>44529.0</v>
      </c>
      <c r="F2029" s="80">
        <v>257.0</v>
      </c>
      <c r="G2029" s="80" t="s">
        <v>63</v>
      </c>
      <c r="H2029" s="80" t="s">
        <v>63</v>
      </c>
      <c r="I2029" s="80" t="s">
        <v>63</v>
      </c>
      <c r="J2029" s="80">
        <v>229.0</v>
      </c>
      <c r="K2029" s="80">
        <v>0.918803418803418</v>
      </c>
      <c r="L2029" s="80" t="s">
        <v>88</v>
      </c>
    </row>
    <row r="2030">
      <c r="A2030" s="80" t="s">
        <v>94</v>
      </c>
      <c r="B2030" s="81" t="str">
        <f>HYPERLINK("https://www.youtube.com/channel/UCT_dMyI3pNselsmfR6FC8tQ", "PrideLab")</f>
        <v>PrideLab</v>
      </c>
      <c r="C2030" s="80" t="s">
        <v>2304</v>
      </c>
      <c r="D2030" s="81" t="str">
        <f>HYPERLINK("https://youtube.com/watch?v=sEitQVVTy-g", "Daily日日操 - 膊頭線條有得練篇")</f>
        <v>Daily日日操 - 膊頭線條有得練篇</v>
      </c>
      <c r="E2030" s="82">
        <v>42874.0</v>
      </c>
      <c r="F2030" s="80">
        <v>638.0</v>
      </c>
      <c r="G2030" s="80" t="s">
        <v>63</v>
      </c>
      <c r="I2030" s="80" t="s">
        <v>63</v>
      </c>
      <c r="J2030" s="80">
        <v>2229.0</v>
      </c>
      <c r="K2030" s="80">
        <v>0.896260554885404</v>
      </c>
      <c r="L2030" s="80" t="s">
        <v>64</v>
      </c>
    </row>
    <row r="2031">
      <c r="A2031" s="80" t="s">
        <v>61</v>
      </c>
      <c r="B2031" s="81" t="str">
        <f t="shared" ref="B2031:B2034" si="93">HYPERLINK("https://www.youtube.com/channel/UCJ4XVrJuqKHbc9yF9oUFseg", "MEeeep More")</f>
        <v>MEeeep More</v>
      </c>
      <c r="C2031" s="80" t="s">
        <v>2305</v>
      </c>
      <c r="D2031" s="81" t="str">
        <f>HYPERLINK("https://youtube.com/watch?v=sKEkaKWDFic", "Redmi Note 9T 5G 手機開箱評測 | 入門價錢享有 5G 雙卡雙待 | 4800 萬像素鏡頭拍攝 4K 30fps 影片 | xiaomi 紅米note 9t 香港5G 2021手機評測")</f>
        <v>Redmi Note 9T 5G 手機開箱評測 | 入門價錢享有 5G 雙卡雙待 | 4800 萬像素鏡頭拍攝 4K 30fps 影片 | xiaomi 紅米note 9t 香港5G 2021手機評測</v>
      </c>
      <c r="E2031" s="82">
        <v>44251.0</v>
      </c>
      <c r="F2031" s="80">
        <v>220.0</v>
      </c>
      <c r="G2031" s="80" t="s">
        <v>63</v>
      </c>
      <c r="I2031" s="80" t="s">
        <v>63</v>
      </c>
      <c r="J2031" s="80">
        <v>568.0</v>
      </c>
      <c r="K2031" s="80">
        <v>0.728205128205128</v>
      </c>
      <c r="L2031" s="80" t="s">
        <v>64</v>
      </c>
    </row>
    <row r="2032">
      <c r="A2032" s="80" t="s">
        <v>61</v>
      </c>
      <c r="B2032" s="81" t="str">
        <f t="shared" si="93"/>
        <v>MEeeep More</v>
      </c>
      <c r="C2032" s="80" t="s">
        <v>2306</v>
      </c>
      <c r="D2032" s="81" t="str">
        <f>HYPERLINK("https://youtube.com/watch?v=sNOw_r0B4EE", "Chromecast with GoogleTV 開賣！唔洗HK$400 舊電視即時變智能電視 比小米  Mi TV Stick 更好？Android TV Google TV 智能電視")</f>
        <v>Chromecast with GoogleTV 開賣！唔洗HK$400 舊電視即時變智能電視 比小米  Mi TV Stick 更好？Android TV Google TV 智能電視</v>
      </c>
      <c r="E2032" s="82">
        <v>44111.0</v>
      </c>
      <c r="F2032" s="80">
        <v>156.0</v>
      </c>
      <c r="G2032" s="80" t="s">
        <v>63</v>
      </c>
      <c r="I2032" s="80" t="s">
        <v>63</v>
      </c>
      <c r="J2032" s="80">
        <v>423.0</v>
      </c>
      <c r="K2032" s="80">
        <v>0.614825581395348</v>
      </c>
      <c r="L2032" s="80" t="s">
        <v>64</v>
      </c>
    </row>
    <row r="2033">
      <c r="A2033" s="80" t="s">
        <v>61</v>
      </c>
      <c r="B2033" s="81" t="str">
        <f t="shared" si="93"/>
        <v>MEeeep More</v>
      </c>
      <c r="C2033" s="80" t="s">
        <v>2307</v>
      </c>
      <c r="D2033" s="81" t="str">
        <f>HYPERLINK("https://youtube.com/watch?v=sNXHwGhpCFw", "TCL P725 AndroidTV 開箱評測 |  4K HDR10 螢幕 + Dolby vision &amp; atmos 戲院級體驗 |  chromecast with google tv")</f>
        <v>TCL P725 AndroidTV 開箱評測 |  4K HDR10 螢幕 + Dolby vision &amp; atmos 戲院級體驗 |  chromecast with google tv</v>
      </c>
      <c r="E2033" s="82">
        <v>44466.0</v>
      </c>
      <c r="F2033" s="80">
        <v>222.0</v>
      </c>
      <c r="G2033" s="80" t="s">
        <v>63</v>
      </c>
      <c r="I2033" s="80" t="s">
        <v>63</v>
      </c>
      <c r="J2033" s="80">
        <v>557.0</v>
      </c>
      <c r="K2033" s="80">
        <v>0.773611111111111</v>
      </c>
      <c r="L2033" s="80" t="s">
        <v>64</v>
      </c>
    </row>
    <row r="2034">
      <c r="A2034" s="80" t="s">
        <v>61</v>
      </c>
      <c r="B2034" s="81" t="str">
        <f t="shared" si="93"/>
        <v>MEeeep More</v>
      </c>
      <c r="C2034" s="80" t="s">
        <v>2308</v>
      </c>
      <c r="D2034" s="81" t="str">
        <f>HYPERLINK("https://youtube.com/watch?v=sPzBOm0d2Uw", "Logitech ERGO K860 人體工學無線鍵盤 | 弧形設計減低手部勞損 Easy-Switch隨時切換三部裝置 長用鍵盤人士必備 |  logi 羅技 ergok860 人體工學鍵盤")</f>
        <v>Logitech ERGO K860 人體工學無線鍵盤 | 弧形設計減低手部勞損 Easy-Switch隨時切換三部裝置 長用鍵盤人士必備 |  logi 羅技 ergok860 人體工學鍵盤</v>
      </c>
      <c r="E2034" s="82">
        <v>44327.0</v>
      </c>
      <c r="F2034" s="80">
        <v>201.0</v>
      </c>
      <c r="G2034" s="80" t="s">
        <v>63</v>
      </c>
      <c r="I2034" s="80" t="s">
        <v>63</v>
      </c>
      <c r="J2034" s="80">
        <v>618.0</v>
      </c>
      <c r="K2034" s="80">
        <v>0.818543046357615</v>
      </c>
      <c r="L2034" s="80" t="s">
        <v>64</v>
      </c>
    </row>
    <row r="2035">
      <c r="A2035" s="80" t="s">
        <v>1000</v>
      </c>
      <c r="B2035" s="81" t="str">
        <f>HYPERLINK("https://www.youtube.com/channel/UChJQlg1b_cOttPX3SiIh5gA", "Lau Dinha in Hong Kong - Hong Kong in the World")</f>
        <v>Lau Dinha in Hong Kong - Hong Kong in the World</v>
      </c>
      <c r="C2035" s="80" t="s">
        <v>2309</v>
      </c>
      <c r="D2035" s="81" t="str">
        <f>HYPERLINK("https://youtube.com/watch?v=sSEQAaffL8Q", "廣東話口語字幕投稿招募")</f>
        <v>廣東話口語字幕投稿招募</v>
      </c>
      <c r="E2035" s="82">
        <v>43660.0</v>
      </c>
      <c r="F2035" s="80">
        <v>202.0</v>
      </c>
      <c r="G2035" s="80" t="s">
        <v>63</v>
      </c>
      <c r="I2035" s="80" t="s">
        <v>63</v>
      </c>
      <c r="J2035" s="80">
        <v>676.0</v>
      </c>
      <c r="K2035" s="80">
        <v>0.926027397260273</v>
      </c>
      <c r="L2035" s="80" t="s">
        <v>2310</v>
      </c>
    </row>
    <row r="2036">
      <c r="A2036" s="80" t="s">
        <v>118</v>
      </c>
      <c r="B2036" s="81" t="str">
        <f>HYPERLINK("https://www.youtube.com/channel/UCHrgHYFc5KShMJDZNsDZh4g", "BETHNI Y")</f>
        <v>BETHNI Y</v>
      </c>
      <c r="C2036" s="80" t="s">
        <v>2311</v>
      </c>
      <c r="D2036" s="81" t="str">
        <f>HYPERLINK("https://youtube.com/watch?v=sTVbrE9vAW0", "淘寶開箱 － 一堆文具同印章！✏️ | Bethni Y")</f>
        <v>淘寶開箱 － 一堆文具同印章！✏️ | Bethni Y</v>
      </c>
      <c r="E2036" s="82">
        <v>42716.0</v>
      </c>
      <c r="F2036" s="80">
        <v>899.0</v>
      </c>
      <c r="G2036" s="80" t="s">
        <v>63</v>
      </c>
      <c r="I2036" s="80" t="s">
        <v>63</v>
      </c>
      <c r="J2036" s="80">
        <v>2223.0</v>
      </c>
      <c r="K2036" s="80">
        <v>0.80718954248366</v>
      </c>
      <c r="L2036" s="80" t="s">
        <v>64</v>
      </c>
    </row>
    <row r="2037">
      <c r="A2037" s="80" t="s">
        <v>74</v>
      </c>
      <c r="B2037" s="81" t="str">
        <f>HYPERLINK("https://www.youtube.com/channel/UCO_5XP-qd-udNxBlzzSzgvw", "Handline Fishing")</f>
        <v>Handline Fishing</v>
      </c>
      <c r="C2037" s="80" t="s">
        <v>2312</v>
      </c>
      <c r="D2037" s="81" t="str">
        <f>HYPERLINK("https://youtube.com/watch?v=sU6fwiA8FNk", "#157 其實喱度有無魚架? | 『香港釣魚 : 岸釣』灣仔臨時海濱花園 {粵語旁白+中英文字幕}")</f>
        <v>#157 其實喱度有無魚架? | 『香港釣魚 : 岸釣』灣仔臨時海濱花園 {粵語旁白+中英文字幕}</v>
      </c>
      <c r="E2037" s="82">
        <v>44124.0</v>
      </c>
      <c r="F2037" s="80">
        <v>481.0</v>
      </c>
      <c r="G2037" s="80" t="s">
        <v>63</v>
      </c>
      <c r="I2037" s="80" t="s">
        <v>63</v>
      </c>
      <c r="J2037" s="80">
        <v>1105.0</v>
      </c>
      <c r="K2037" s="80">
        <v>0.962543554006968</v>
      </c>
      <c r="L2037" s="80" t="s">
        <v>271</v>
      </c>
    </row>
    <row r="2038">
      <c r="A2038" s="80" t="s">
        <v>71</v>
      </c>
      <c r="B2038" s="81" t="str">
        <f>HYPERLINK("https://www.youtube.com/channel/UCXTE-gQCetfrx_lC9yFM2aw", "arhoTV")</f>
        <v>arhoTV</v>
      </c>
      <c r="C2038" s="80" t="s">
        <v>2313</v>
      </c>
      <c r="D2038" s="81" t="str">
        <f>HYPERLINK("https://youtube.com/watch?v=sWZ_gDWkQ_0", "【挑戰】運動廢柴首次打羽毛球！慘遭恥笑...")</f>
        <v>【挑戰】運動廢柴首次打羽毛球！慘遭恥笑...</v>
      </c>
      <c r="E2038" s="82">
        <v>42915.0</v>
      </c>
      <c r="F2038" s="80">
        <v>282.0</v>
      </c>
      <c r="G2038" s="80" t="s">
        <v>63</v>
      </c>
      <c r="I2038" s="80" t="s">
        <v>63</v>
      </c>
      <c r="J2038" s="80">
        <v>795.0</v>
      </c>
      <c r="K2038" s="80">
        <v>0.854838709677419</v>
      </c>
      <c r="L2038" s="80" t="s">
        <v>64</v>
      </c>
    </row>
    <row r="2039">
      <c r="A2039" s="80" t="s">
        <v>1373</v>
      </c>
      <c r="B2039" s="81" t="str">
        <f>HYPERLINK("https://www.youtube.com/channel/UCNsL7xLGZvocrljHcCJ71VA", "漏墨佬")</f>
        <v>漏墨佬</v>
      </c>
      <c r="C2039" s="80" t="s">
        <v>2314</v>
      </c>
      <c r="D2039" s="81" t="str">
        <f>HYPERLINK("https://youtube.com/watch?v=sXJvVE9JbQQ", "窮到冇飯開！！去人屋企偷野食")</f>
        <v>窮到冇飯開！！去人屋企偷野食</v>
      </c>
      <c r="E2039" s="82">
        <v>43439.0</v>
      </c>
      <c r="F2039" s="80">
        <v>404.0</v>
      </c>
      <c r="G2039" s="80" t="s">
        <v>63</v>
      </c>
      <c r="I2039" s="80" t="s">
        <v>63</v>
      </c>
      <c r="J2039" s="80">
        <v>1500.0</v>
      </c>
      <c r="K2039" s="80">
        <v>0.90307043949428</v>
      </c>
      <c r="L2039" s="80" t="s">
        <v>64</v>
      </c>
    </row>
    <row r="2040">
      <c r="A2040" s="80" t="s">
        <v>260</v>
      </c>
      <c r="B2040" s="81" t="str">
        <f>HYPERLINK("https://www.youtube.com/channel/UC-HXOikkLx7BGEfILGIpYOg", "港短 . 英移")</f>
        <v>港短 . 英移</v>
      </c>
      <c r="C2040" s="80" t="s">
        <v>2315</v>
      </c>
      <c r="D2040" s="81" t="str">
        <f>HYPERLINK("https://youtube.com/watch?v=sawZjGIhe_o", "倫敦入面有個非洲草原??😳 | Richmond upon Thames🌲| 港短.英移 |#Richmond #HongKonger #英國租樓 #英國移民 #英國生活 #英國香港人 #倫敦列治文")</f>
        <v>倫敦入面有個非洲草原??😳 | Richmond upon Thames🌲| 港短.英移 |#Richmond #HongKonger #英國租樓 #英國移民 #英國生活 #英國香港人 #倫敦列治文</v>
      </c>
      <c r="E2040" s="82">
        <v>44511.0</v>
      </c>
      <c r="F2040" s="80">
        <v>533.0</v>
      </c>
      <c r="G2040" s="80" t="s">
        <v>63</v>
      </c>
      <c r="I2040" s="80" t="s">
        <v>63</v>
      </c>
      <c r="J2040" s="80">
        <v>2044.0</v>
      </c>
      <c r="K2040" s="80">
        <v>0.736576576576576</v>
      </c>
      <c r="L2040" s="80" t="s">
        <v>102</v>
      </c>
    </row>
    <row r="2041">
      <c r="A2041" s="80" t="s">
        <v>140</v>
      </c>
      <c r="B2041" s="81" t="str">
        <f>HYPERLINK("https://www.youtube.com/channel/UCHK0CZf9HEXs42qIO1GUouA", "TechiCardia")</f>
        <v>TechiCardia</v>
      </c>
      <c r="C2041" s="80" t="s">
        <v>2316</v>
      </c>
      <c r="D2041" s="81" t="str">
        <f>HYPERLINK("https://youtube.com/watch?v=sfZ-E7cYwH8", "$400至$500邊隻黑色風冷散熱器最好？效能、安裝、外觀大比拼！！//SCYTHE, ARCTIC, GELID// 4K 【TechiCardia】[CC 廣東話字幕]")</f>
        <v>$400至$500邊隻黑色風冷散熱器最好？效能、安裝、外觀大比拼！！//SCYTHE, ARCTIC, GELID// 4K 【TechiCardia】[CC 廣東話字幕]</v>
      </c>
      <c r="E2041" s="82">
        <v>44205.0</v>
      </c>
      <c r="F2041" s="80">
        <v>698.0</v>
      </c>
      <c r="G2041" s="80" t="s">
        <v>63</v>
      </c>
      <c r="I2041" s="80" t="s">
        <v>63</v>
      </c>
      <c r="J2041" s="80">
        <v>2778.0</v>
      </c>
      <c r="K2041" s="80">
        <v>0.699748110831234</v>
      </c>
      <c r="L2041" s="80" t="s">
        <v>102</v>
      </c>
    </row>
    <row r="2042">
      <c r="A2042" s="80" t="s">
        <v>61</v>
      </c>
      <c r="B2042" s="81" t="str">
        <f>HYPERLINK("https://www.youtube.com/channel/UCJ4XVrJuqKHbc9yF9oUFseg", "MEeeep More")</f>
        <v>MEeeep More</v>
      </c>
      <c r="C2042" s="80" t="s">
        <v>2317</v>
      </c>
      <c r="D2042" s="81" t="str">
        <f>HYPERLINK("https://youtube.com/watch?v=snzGPq0psNQ", "新加坡米之蓮 Laksa 叻沙邊到食？唔用筷子夠特別！328加東叻沙 - 食玩飛常遊")</f>
        <v>新加坡米之蓮 Laksa 叻沙邊到食？唔用筷子夠特別！328加東叻沙 - 食玩飛常遊</v>
      </c>
      <c r="E2042" s="82">
        <v>43479.0</v>
      </c>
      <c r="F2042" s="80">
        <v>235.0</v>
      </c>
      <c r="G2042" s="80" t="s">
        <v>63</v>
      </c>
      <c r="I2042" s="80" t="s">
        <v>63</v>
      </c>
      <c r="J2042" s="80">
        <v>846.0</v>
      </c>
      <c r="K2042" s="80">
        <v>0.932745314222712</v>
      </c>
      <c r="L2042" s="80" t="s">
        <v>64</v>
      </c>
    </row>
    <row r="2043">
      <c r="A2043" s="80" t="s">
        <v>278</v>
      </c>
      <c r="B2043" s="81" t="str">
        <f>HYPERLINK("https://www.youtube.com/channel/UCDoEdJo-PI-EKGNKomwLroQ", "mingjai14")</f>
        <v>mingjai14</v>
      </c>
      <c r="C2043" s="80" t="s">
        <v>2318</v>
      </c>
      <c r="D2043" s="81" t="str">
        <f>HYPERLINK("https://youtube.com/watch?v=swA592ePg-M", "首次踏足澳洲土地☝️🇦🇺｜西澳之旅｜Day 1")</f>
        <v>首次踏足澳洲土地☝️🇦🇺｜西澳之旅｜Day 1</v>
      </c>
      <c r="E2043" s="82">
        <v>43317.0</v>
      </c>
      <c r="F2043" s="80">
        <v>651.0</v>
      </c>
      <c r="G2043" s="80" t="s">
        <v>63</v>
      </c>
      <c r="I2043" s="80" t="s">
        <v>63</v>
      </c>
      <c r="J2043" s="80">
        <v>1635.0</v>
      </c>
      <c r="K2043" s="80">
        <v>0.819138276553106</v>
      </c>
      <c r="L2043" s="80" t="s">
        <v>64</v>
      </c>
    </row>
    <row r="2044">
      <c r="A2044" s="80" t="s">
        <v>61</v>
      </c>
      <c r="B2044" s="81" t="str">
        <f>HYPERLINK("https://www.youtube.com/channel/UCJ4XVrJuqKHbc9yF9oUFseg", "MEeeep More")</f>
        <v>MEeeep More</v>
      </c>
      <c r="C2044" s="80" t="s">
        <v>2319</v>
      </c>
      <c r="D2044" s="81" t="str">
        <f>HYPERLINK("https://youtube.com/watch?v=sx8Wu6wm8dQ", "HUAWEI P40 Pro 香港開箱實測！ LEICA 超靚鏡頭 + AI 功能完美演繹機皇定義！  AI精彩瞬間  路人消除 反光消除")</f>
        <v>HUAWEI P40 Pro 香港開箱實測！ LEICA 超靚鏡頭 + AI 功能完美演繹機皇定義！  AI精彩瞬間  路人消除 反光消除</v>
      </c>
      <c r="E2044" s="82">
        <v>43958.0</v>
      </c>
      <c r="F2044" s="80">
        <v>311.0</v>
      </c>
      <c r="G2044" s="80" t="s">
        <v>63</v>
      </c>
      <c r="I2044" s="80" t="s">
        <v>63</v>
      </c>
      <c r="J2044" s="80">
        <v>883.0</v>
      </c>
      <c r="K2044" s="80">
        <v>0.913133402275077</v>
      </c>
      <c r="L2044" s="80" t="s">
        <v>64</v>
      </c>
    </row>
    <row r="2045">
      <c r="A2045" s="80" t="s">
        <v>1082</v>
      </c>
      <c r="B2045" s="81" t="str">
        <f>HYPERLINK("https://www.youtube.com/channel/UCMosCy_NDf55rDQhzdX_h3w", "熊熊兒童音樂 Bear Music Ltd.")</f>
        <v>熊熊兒童音樂 Bear Music Ltd.</v>
      </c>
      <c r="C2045" s="80" t="s">
        <v>2320</v>
      </c>
      <c r="D2045" s="81" t="str">
        <f>HYPERLINK("https://youtube.com/watch?v=t05BdWFtxjo", "熊熊粵語兒童故事精選｜聽故事．講故事｜第四輯 ：1.大獅子和小老鼠 2. 懶惰的媽媽 3.夢中的好姐姐")</f>
        <v>熊熊粵語兒童故事精選｜聽故事．講故事｜第四輯 ：1.大獅子和小老鼠 2. 懶惰的媽媽 3.夢中的好姐姐</v>
      </c>
      <c r="E2045" s="82">
        <v>43564.0</v>
      </c>
      <c r="F2045" s="80">
        <v>1255.0</v>
      </c>
      <c r="G2045" s="80" t="s">
        <v>63</v>
      </c>
      <c r="I2045" s="80" t="s">
        <v>63</v>
      </c>
      <c r="J2045" s="80">
        <v>1871.0</v>
      </c>
      <c r="K2045" s="80">
        <v>0.982152230971128</v>
      </c>
      <c r="L2045" s="80" t="s">
        <v>64</v>
      </c>
    </row>
    <row r="2046">
      <c r="A2046" s="80" t="s">
        <v>71</v>
      </c>
      <c r="B2046" s="81" t="str">
        <f>HYPERLINK("https://www.youtube.com/channel/UCXTE-gQCetfrx_lC9yFM2aw", "arhoTV")</f>
        <v>arhoTV</v>
      </c>
      <c r="C2046" s="80" t="s">
        <v>2321</v>
      </c>
      <c r="D2046" s="81" t="str">
        <f>HYPERLINK("https://youtube.com/watch?v=t1CApMphVYw", "【日常】有冇伏？$30 睇木乃伊真身？！")</f>
        <v>【日常】有冇伏？$30 睇木乃伊真身？！</v>
      </c>
      <c r="E2046" s="82">
        <v>42917.0</v>
      </c>
      <c r="F2046" s="80">
        <v>212.0</v>
      </c>
      <c r="G2046" s="80" t="s">
        <v>63</v>
      </c>
      <c r="I2046" s="80" t="s">
        <v>63</v>
      </c>
      <c r="J2046" s="80">
        <v>586.0</v>
      </c>
      <c r="K2046" s="80">
        <v>0.815020862308762</v>
      </c>
      <c r="L2046" s="80" t="s">
        <v>64</v>
      </c>
    </row>
    <row r="2047">
      <c r="A2047" s="80" t="s">
        <v>127</v>
      </c>
      <c r="B2047" s="81" t="str">
        <f>HYPERLINK("https://www.youtube.com/channel/UC97oYK3XMf9RLtkc0lO8C-Q", "健康旦 HiEggo")</f>
        <v>健康旦 HiEggo</v>
      </c>
      <c r="C2047" s="80" t="s">
        <v>2322</v>
      </c>
      <c r="D2047" s="81" t="str">
        <f>HYPERLINK("https://youtube.com/watch?v=6nHdzGIxyRw", "陳慧儀詳解日本蘿蔔糕、台灣大甲芋頭糕做法 蘿蔔蓉有助軟化血管 老人院長者都啱食 - 鄭丹瑞《健康旦》陳慧儀 Part 4 （CC中文字幕）")</f>
        <v>陳慧儀詳解日本蘿蔔糕、台灣大甲芋頭糕做法 蘿蔔蓉有助軟化血管 老人院長者都啱食 - 鄭丹瑞《健康旦》陳慧儀 Part 4 （CC中文字幕）</v>
      </c>
      <c r="E2047" s="82">
        <v>43965.0</v>
      </c>
      <c r="F2047" s="80">
        <v>632.0</v>
      </c>
      <c r="G2047" s="80" t="s">
        <v>63</v>
      </c>
      <c r="I2047" s="80" t="s">
        <v>63</v>
      </c>
      <c r="J2047" s="80">
        <v>2615.0</v>
      </c>
      <c r="K2047" s="80">
        <v>0.996190476190476</v>
      </c>
      <c r="L2047" s="80" t="s">
        <v>64</v>
      </c>
    </row>
    <row r="2048">
      <c r="A2048" s="80" t="s">
        <v>94</v>
      </c>
      <c r="B2048" s="81" t="str">
        <f>HYPERLINK("https://www.youtube.com/channel/UCT_dMyI3pNselsmfR6FC8tQ", "PrideLab")</f>
        <v>PrideLab</v>
      </c>
      <c r="C2048" s="80" t="s">
        <v>2323</v>
      </c>
      <c r="D2048" s="81" t="str">
        <f>HYPERLINK("https://youtube.com/watch?v=t4oOa_h8eJw", "喺Lab講呢啲 TB都會想平胸？")</f>
        <v>喺Lab講呢啲 TB都會想平胸？</v>
      </c>
      <c r="E2048" s="82">
        <v>43167.0</v>
      </c>
      <c r="F2048" s="80">
        <v>337.0</v>
      </c>
      <c r="G2048" s="80" t="s">
        <v>63</v>
      </c>
      <c r="I2048" s="80" t="s">
        <v>63</v>
      </c>
      <c r="J2048" s="80">
        <v>1408.0</v>
      </c>
      <c r="K2048" s="80">
        <v>0.919060052219321</v>
      </c>
      <c r="L2048" s="80" t="s">
        <v>64</v>
      </c>
    </row>
    <row r="2049">
      <c r="A2049" s="80" t="s">
        <v>743</v>
      </c>
      <c r="B2049" s="81" t="str">
        <f>HYPERLINK("https://www.youtube.com/channel/UCe6qQ8zbYQJgTBnZ9wBzm9w", "Willy Lee")</f>
        <v>Willy Lee</v>
      </c>
      <c r="C2049" s="80" t="s">
        <v>2324</v>
      </c>
      <c r="D2049" s="81" t="str">
        <f>HYPERLINK("https://youtube.com/watch?v=t503xMJy36M", "🇭🇰【行山】極高危！極陡峭兼冇手腳位！對自己有120%信心先好去！魔鬼西崖 - 航拍, 路線, 打卡位分享 - Willy Lee")</f>
        <v>🇭🇰【行山】極高危！極陡峭兼冇手腳位！對自己有120%信心先好去！魔鬼西崖 - 航拍, 路線, 打卡位分享 - Willy Lee</v>
      </c>
      <c r="E2049" s="82">
        <v>44485.0</v>
      </c>
      <c r="F2049" s="80">
        <v>340.0</v>
      </c>
      <c r="G2049" s="80" t="s">
        <v>63</v>
      </c>
      <c r="I2049" s="80" t="s">
        <v>63</v>
      </c>
      <c r="J2049" s="80">
        <v>888.0</v>
      </c>
      <c r="K2049" s="80">
        <v>0.88095238095238</v>
      </c>
      <c r="L2049" s="80" t="s">
        <v>64</v>
      </c>
    </row>
    <row r="2050">
      <c r="A2050" s="80" t="s">
        <v>1183</v>
      </c>
      <c r="B2050" s="81" t="str">
        <f>HYPERLINK("https://www.youtube.com/channel/UCPBBbFYG51QpjuptQtYfCDA", "siuwaiboy")</f>
        <v>siuwaiboy</v>
      </c>
      <c r="C2050" s="80" t="s">
        <v>2325</v>
      </c>
      <c r="D2050" s="81" t="str">
        <f>HYPERLINK("https://youtube.com/watch?v=tCDFzL2SSD8", "點解個世界有舊咁嘅嘢？")</f>
        <v>點解個世界有舊咁嘅嘢？</v>
      </c>
      <c r="E2050" s="82">
        <v>42939.0</v>
      </c>
      <c r="F2050" s="80">
        <v>151.0</v>
      </c>
      <c r="G2050" s="80" t="s">
        <v>63</v>
      </c>
      <c r="I2050" s="80" t="s">
        <v>63</v>
      </c>
      <c r="J2050" s="80">
        <v>379.0</v>
      </c>
      <c r="K2050" s="80">
        <v>0.997368421052631</v>
      </c>
      <c r="L2050" s="80" t="s">
        <v>64</v>
      </c>
    </row>
    <row r="2051">
      <c r="A2051" s="80" t="s">
        <v>74</v>
      </c>
      <c r="B2051" s="81" t="str">
        <f>HYPERLINK("https://www.youtube.com/channel/UCO_5XP-qd-udNxBlzzSzgvw", "Handline Fishing")</f>
        <v>Handline Fishing</v>
      </c>
      <c r="C2051" s="80" t="s">
        <v>2326</v>
      </c>
      <c r="D2051" s="81" t="str">
        <f>HYPERLINK("https://youtube.com/watch?v=tDS7HoaG0TI", "#204 《太公語錄》雞魚係要打孖嚟釣㗎 | 『香港釣魚 : 艇釣』西貢 {粵語旁白+中英文字幕}")</f>
        <v>#204 《太公語錄》雞魚係要打孖嚟釣㗎 | 『香港釣魚 : 艇釣』西貢 {粵語旁白+中英文字幕}</v>
      </c>
      <c r="E2051" s="82">
        <v>44301.0</v>
      </c>
      <c r="F2051" s="80">
        <v>602.0</v>
      </c>
      <c r="G2051" s="80" t="s">
        <v>63</v>
      </c>
      <c r="H2051" s="80" t="s">
        <v>63</v>
      </c>
      <c r="I2051" s="80" t="s">
        <v>63</v>
      </c>
      <c r="J2051" s="80">
        <v>757.0</v>
      </c>
      <c r="K2051" s="80">
        <v>0.969609261939218</v>
      </c>
      <c r="L2051" s="80" t="s">
        <v>88</v>
      </c>
    </row>
    <row r="2052">
      <c r="A2052" s="80" t="s">
        <v>252</v>
      </c>
      <c r="B2052" s="81" t="str">
        <f>HYPERLINK("https://www.youtube.com/channel/UCrISkBm7rgsRUAw8018eWvw", "MoYung 慕容公子")</f>
        <v>MoYung 慕容公子</v>
      </c>
      <c r="C2052" s="80" t="s">
        <v>2327</v>
      </c>
      <c r="D2052" s="81" t="str">
        <f>HYPERLINK("https://youtube.com/watch?v=tJh_6RdZZVo", "脱節 | MoYung慕容")</f>
        <v>脱節 | MoYung慕容</v>
      </c>
      <c r="E2052" s="82">
        <v>44504.0</v>
      </c>
      <c r="F2052" s="80">
        <v>485.0</v>
      </c>
      <c r="G2052" s="80" t="s">
        <v>63</v>
      </c>
      <c r="I2052" s="80" t="s">
        <v>63</v>
      </c>
      <c r="J2052" s="80">
        <v>1583.0</v>
      </c>
      <c r="K2052" s="80">
        <v>0.963481436396835</v>
      </c>
      <c r="L2052" s="80" t="s">
        <v>820</v>
      </c>
    </row>
    <row r="2053">
      <c r="A2053" s="80" t="s">
        <v>1118</v>
      </c>
      <c r="B2053" s="81" t="str">
        <f>HYPERLINK("https://www.youtube.com/channel/UCeyXZA7ofepOhL9Z9BATC1w", "80後夫婦移英日記 80s Couple UK Diary")</f>
        <v>80後夫婦移英日記 80s Couple UK Diary</v>
      </c>
      <c r="C2053" s="80" t="s">
        <v>2328</v>
      </c>
      <c r="D2053" s="81" t="str">
        <f>HYPERLINK("https://youtube.com/watch?v=tKe2uhovcBI", "移民英國近一個月，慶幸有帶同做呢幾樣野，仲有好後悔無帶到嗰幾樣野，有需要記得帶埋過黎呀!!!!")</f>
        <v>移民英國近一個月，慶幸有帶同做呢幾樣野，仲有好後悔無帶到嗰幾樣野，有需要記得帶埋過黎呀!!!!</v>
      </c>
      <c r="E2053" s="82">
        <v>44408.0</v>
      </c>
      <c r="F2053" s="80">
        <v>537.0</v>
      </c>
      <c r="G2053" s="80" t="s">
        <v>63</v>
      </c>
      <c r="I2053" s="80" t="s">
        <v>63</v>
      </c>
      <c r="J2053" s="80">
        <v>1678.0</v>
      </c>
      <c r="K2053" s="80">
        <v>0.886892177589852</v>
      </c>
      <c r="L2053" s="80" t="s">
        <v>102</v>
      </c>
    </row>
    <row r="2054">
      <c r="A2054" s="80" t="s">
        <v>238</v>
      </c>
      <c r="B2054" s="81" t="str">
        <f>HYPERLINK("https://www.youtube.com/channel/UCSBkm4LwpgBmcA3MCtO8vqg", "Post76影音玩樂")</f>
        <v>Post76影音玩樂</v>
      </c>
      <c r="C2054" s="80" t="s">
        <v>2329</v>
      </c>
      <c r="D2054" s="81" t="str">
        <f>HYPERLINK("https://youtube.com/watch?v=6o-H9o7e0rY", "Disney+ 香港版 登錄首日初試：「電視＋播放器」效果分享、介面及焦點功能速試【DisneyPlus速試】")</f>
        <v>Disney+ 香港版 登錄首日初試：「電視＋播放器」效果分享、介面及焦點功能速試【DisneyPlus速試】</v>
      </c>
      <c r="E2054" s="82">
        <v>44516.0</v>
      </c>
      <c r="F2054" s="80">
        <v>961.0</v>
      </c>
      <c r="G2054" s="80" t="s">
        <v>63</v>
      </c>
      <c r="H2054" s="80" t="s">
        <v>63</v>
      </c>
      <c r="I2054" s="80" t="s">
        <v>63</v>
      </c>
      <c r="J2054" s="80">
        <v>2871.0</v>
      </c>
      <c r="K2054" s="80">
        <v>0.729625832906202</v>
      </c>
      <c r="L2054" s="80" t="s">
        <v>240</v>
      </c>
    </row>
    <row r="2055">
      <c r="A2055" s="80" t="s">
        <v>112</v>
      </c>
      <c r="B2055" s="81" t="str">
        <f>HYPERLINK("https://www.youtube.com/channel/UCW_n_gfIv4HhRqCk8EnRhJA", "Happy Kongner")</f>
        <v>Happy Kongner</v>
      </c>
      <c r="C2055" s="80" t="s">
        <v>2330</v>
      </c>
      <c r="D2055" s="81" t="str">
        <f>HYPERLINK("https://youtube.com/watch?v=tMl-T0vLLKU", "收山之作﹖還是傳世佳作﹖ef- a tale of memories &amp; melodies簡評 [公仔書與卡通片EP19]")</f>
        <v>收山之作﹖還是傳世佳作﹖ef- a tale of memories &amp; melodies簡評 [公仔書與卡通片EP19]</v>
      </c>
      <c r="E2055" s="82">
        <v>43621.0</v>
      </c>
      <c r="F2055" s="80">
        <v>1250.0</v>
      </c>
      <c r="G2055" s="80" t="s">
        <v>63</v>
      </c>
      <c r="I2055" s="80" t="s">
        <v>63</v>
      </c>
      <c r="J2055" s="80">
        <v>7090.0</v>
      </c>
      <c r="K2055" s="80">
        <v>0.929226736566186</v>
      </c>
      <c r="L2055" s="80" t="s">
        <v>64</v>
      </c>
    </row>
    <row r="2056">
      <c r="A2056" s="80" t="s">
        <v>61</v>
      </c>
      <c r="B2056" s="81" t="str">
        <f>HYPERLINK("https://www.youtube.com/channel/UCJ4XVrJuqKHbc9yF9oUFseg", "MEeeep More")</f>
        <v>MEeeep More</v>
      </c>
      <c r="C2056" s="80" t="s">
        <v>2331</v>
      </c>
      <c r="D2056" s="81" t="str">
        <f>HYPERLINK("https://youtube.com/watch?v=tQYA_mcvmQ4", "Mi 小米手錶運動版開箱評測 特強續航力 追蹤過百種運動功能 輕鬆監測即時身心狀況 Xiaomi watch sport 小米手表 小米智能手錶 高性價比")</f>
        <v>Mi 小米手錶運動版開箱評測 特強續航力 追蹤過百種運動功能 輕鬆監測即時身心狀況 Xiaomi watch sport 小米手表 小米智能手錶 高性價比</v>
      </c>
      <c r="E2056" s="82">
        <v>44237.0</v>
      </c>
      <c r="F2056" s="80">
        <v>200.0</v>
      </c>
      <c r="G2056" s="80" t="s">
        <v>63</v>
      </c>
      <c r="I2056" s="80" t="s">
        <v>63</v>
      </c>
      <c r="J2056" s="80">
        <v>653.0</v>
      </c>
      <c r="K2056" s="80">
        <v>0.887228260869565</v>
      </c>
      <c r="L2056" s="80" t="s">
        <v>64</v>
      </c>
    </row>
    <row r="2057">
      <c r="A2057" s="80" t="s">
        <v>1183</v>
      </c>
      <c r="B2057" s="81" t="str">
        <f>HYPERLINK("https://www.youtube.com/channel/UCPBBbFYG51QpjuptQtYfCDA", "siuwaiboy")</f>
        <v>siuwaiboy</v>
      </c>
      <c r="C2057" s="80" t="s">
        <v>2332</v>
      </c>
      <c r="D2057" s="81" t="str">
        <f>HYPERLINK("https://youtube.com/watch?v=tSPnVySUBDQ", "黃子華真係送飛俾我 [1April]")</f>
        <v>黃子華真係送飛俾我 [1April]</v>
      </c>
      <c r="E2057" s="82">
        <v>43191.0</v>
      </c>
      <c r="F2057" s="80">
        <v>84.0</v>
      </c>
      <c r="G2057" s="80" t="s">
        <v>63</v>
      </c>
      <c r="I2057" s="80" t="s">
        <v>63</v>
      </c>
      <c r="J2057" s="80">
        <v>318.0</v>
      </c>
      <c r="K2057" s="80">
        <v>0.916426512968299</v>
      </c>
      <c r="L2057" s="80" t="s">
        <v>64</v>
      </c>
    </row>
    <row r="2058">
      <c r="A2058" s="80" t="s">
        <v>94</v>
      </c>
      <c r="B2058" s="81" t="str">
        <f>HYPERLINK("https://www.youtube.com/channel/UCT_dMyI3pNselsmfR6FC8tQ", "PrideLab")</f>
        <v>PrideLab</v>
      </c>
      <c r="C2058" s="80" t="s">
        <v>2333</v>
      </c>
      <c r="D2058" s="81" t="str">
        <f>HYPERLINK("https://youtube.com/watch?v=tUde7d9RcZ8", "【喺Lab講呢啲】 男同志教你認識多功能潤滑劑")</f>
        <v>【喺Lab講呢啲】 男同志教你認識多功能潤滑劑</v>
      </c>
      <c r="E2058" s="82">
        <v>43020.0</v>
      </c>
      <c r="F2058" s="80">
        <v>606.0</v>
      </c>
      <c r="G2058" s="80" t="s">
        <v>63</v>
      </c>
      <c r="I2058" s="80" t="s">
        <v>63</v>
      </c>
      <c r="J2058" s="80">
        <v>2745.0</v>
      </c>
      <c r="K2058" s="80">
        <v>0.915305101700566</v>
      </c>
      <c r="L2058" s="80" t="s">
        <v>64</v>
      </c>
    </row>
    <row r="2059">
      <c r="A2059" s="80" t="s">
        <v>217</v>
      </c>
      <c r="B2059" s="81" t="str">
        <f>HYPERLINK("https://www.youtube.com/channel/UCXKg0qPRz32bs5Z4mTGF3TQ", "Stormtrooper白兵")</f>
        <v>Stormtrooper白兵</v>
      </c>
      <c r="C2059" s="80" t="s">
        <v>2334</v>
      </c>
      <c r="D2059" s="81" t="str">
        <f>HYPERLINK("https://youtube.com/watch?v=tWWxhBWYwOI", "[人物誌]華爾街戀童淫媒、蘿莉塔飛機、性奴島擁有人－愛潑斯坦｜如何從底層向上流，最終變成販賣兒童色情魔頭｜踢爆美國政商名流的性醜聞，如何使用權力輾壓司法系統｜")</f>
        <v>[人物誌]華爾街戀童淫媒、蘿莉塔飛機、性奴島擁有人－愛潑斯坦｜如何從底層向上流，最終變成販賣兒童色情魔頭｜踢爆美國政商名流的性醜聞，如何使用權力輾壓司法系統｜</v>
      </c>
      <c r="E2059" s="82">
        <v>44161.0</v>
      </c>
      <c r="F2059" s="80">
        <v>1447.0</v>
      </c>
      <c r="G2059" s="80" t="s">
        <v>63</v>
      </c>
      <c r="H2059" s="80" t="s">
        <v>63</v>
      </c>
      <c r="I2059" s="80" t="s">
        <v>63</v>
      </c>
      <c r="J2059" s="80">
        <v>6273.0</v>
      </c>
      <c r="K2059" s="80">
        <v>0.846901579586877</v>
      </c>
      <c r="L2059" s="80" t="s">
        <v>86</v>
      </c>
    </row>
    <row r="2060">
      <c r="A2060" s="80" t="s">
        <v>1069</v>
      </c>
      <c r="B2060" s="81" t="str">
        <f>HYPERLINK("https://www.youtube.com/channel/UCAnpoZYvOIZUPp66LrWl9OA", "Leave Your Mark")</f>
        <v>Leave Your Mark</v>
      </c>
      <c r="C2060" s="80" t="s">
        <v>2335</v>
      </c>
      <c r="D2060" s="81" t="str">
        <f>HYPERLINK("https://youtube.com/watch?v=tZ6aU8g8E4k", "#7 Gabe Shum  //紋身 不是什麼//")</f>
        <v>#7 Gabe Shum  //紋身 不是什麼//</v>
      </c>
      <c r="E2060" s="82">
        <v>42612.0</v>
      </c>
      <c r="F2060" s="80">
        <v>131.0</v>
      </c>
      <c r="G2060" s="80" t="s">
        <v>63</v>
      </c>
      <c r="I2060" s="80" t="s">
        <v>63</v>
      </c>
      <c r="J2060" s="80">
        <v>418.0</v>
      </c>
      <c r="K2060" s="80">
        <v>0.981220657276995</v>
      </c>
      <c r="L2060" s="80" t="s">
        <v>1071</v>
      </c>
    </row>
    <row r="2061">
      <c r="A2061" s="80" t="s">
        <v>82</v>
      </c>
      <c r="B2061" s="81" t="str">
        <f>HYPERLINK("https://www.youtube.com/channel/UC6C2hkbggXIgapf5jn_V2Dw", "SpongeMob 852")</f>
        <v>SpongeMob 852</v>
      </c>
      <c r="C2061" s="80" t="s">
        <v>2336</v>
      </c>
      <c r="D2061" s="81" t="str">
        <f>HYPERLINK("https://youtube.com/watch?v=t_tmCZGECSg", "Novel Fla$h x Teddy Beer - 啪啪啪  [Paak1]³ (Prod. by Zacuri)")</f>
        <v>Novel Fla$h x Teddy Beer - 啪啪啪  [Paak1]³ (Prod. by Zacuri)</v>
      </c>
      <c r="E2061" s="82">
        <v>44374.0</v>
      </c>
      <c r="F2061" s="80">
        <v>149.0</v>
      </c>
      <c r="G2061" s="80" t="s">
        <v>63</v>
      </c>
      <c r="I2061" s="80" t="s">
        <v>63</v>
      </c>
      <c r="J2061" s="80">
        <v>403.0</v>
      </c>
      <c r="K2061" s="80">
        <v>0.700869565217391</v>
      </c>
      <c r="L2061" s="80" t="s">
        <v>64</v>
      </c>
    </row>
    <row r="2062">
      <c r="A2062" s="80" t="s">
        <v>129</v>
      </c>
      <c r="B2062" s="81" t="str">
        <f>HYPERLINK("https://www.youtube.com/channel/UCBbTnorwzva0ZIMGW0ttwVA", "阿豬 Ah Ju")</f>
        <v>阿豬 Ah Ju</v>
      </c>
      <c r="C2062" s="80" t="s">
        <v>2337</v>
      </c>
      <c r="D2062" s="81" t="str">
        <f>HYPERLINK("https://youtube.com/watch?v=th9bG8FNSA8", "大坑必食隱世小店")</f>
        <v>大坑必食隱世小店</v>
      </c>
      <c r="E2062" s="82">
        <v>44292.0</v>
      </c>
      <c r="F2062" s="80">
        <v>657.0</v>
      </c>
      <c r="G2062" s="80" t="s">
        <v>63</v>
      </c>
      <c r="I2062" s="80" t="s">
        <v>63</v>
      </c>
      <c r="J2062" s="80">
        <v>2239.0</v>
      </c>
      <c r="K2062" s="80">
        <v>0.847784929950776</v>
      </c>
      <c r="L2062" s="80" t="s">
        <v>64</v>
      </c>
    </row>
    <row r="2063">
      <c r="A2063" s="80" t="s">
        <v>61</v>
      </c>
      <c r="B2063" s="81" t="str">
        <f>HYPERLINK("https://www.youtube.com/channel/UCJ4XVrJuqKHbc9yF9oUFseg", "MEeeep More")</f>
        <v>MEeeep More</v>
      </c>
      <c r="C2063" s="80" t="s">
        <v>2338</v>
      </c>
      <c r="D2063" s="81" t="str">
        <f>HYPERLINK("https://youtube.com/watch?v=tl_ZyfAxR3c", "空氣清新機 有效消滅空氣中人類冠狀病毒！香港研發技術開賣！- 空氣清新機邊隻好 空氣淨化機 best air purifier 防疫措施 air purifiers 疫情")</f>
        <v>空氣清新機 有效消滅空氣中人類冠狀病毒！香港研發技術開賣！- 空氣清新機邊隻好 空氣淨化機 best air purifier 防疫措施 air purifiers 疫情</v>
      </c>
      <c r="E2063" s="82">
        <v>44022.0</v>
      </c>
      <c r="F2063" s="80">
        <v>176.0</v>
      </c>
      <c r="G2063" s="80" t="s">
        <v>63</v>
      </c>
      <c r="I2063" s="80" t="s">
        <v>63</v>
      </c>
      <c r="J2063" s="80">
        <v>513.0</v>
      </c>
      <c r="K2063" s="80">
        <v>0.873935264054514</v>
      </c>
      <c r="L2063" s="80" t="s">
        <v>64</v>
      </c>
    </row>
    <row r="2064">
      <c r="A2064" s="80" t="s">
        <v>74</v>
      </c>
      <c r="B2064" s="81" t="str">
        <f>HYPERLINK("https://www.youtube.com/channel/UCO_5XP-qd-udNxBlzzSzgvw", "Handline Fishing")</f>
        <v>Handline Fishing</v>
      </c>
      <c r="C2064" s="80" t="s">
        <v>2339</v>
      </c>
      <c r="D2064" s="81" t="str">
        <f>HYPERLINK("https://youtube.com/watch?v=tnnBDs51X6g", "#76 王子復仇記，星光大道有魚釣啦『香港釣魚 : 艇釣』維港 {粵語旁白+中英文字幕}")</f>
        <v>#76 王子復仇記，星光大道有魚釣啦『香港釣魚 : 艇釣』維港 {粵語旁白+中英文字幕}</v>
      </c>
      <c r="E2064" s="82">
        <v>43840.0</v>
      </c>
      <c r="F2064" s="80">
        <v>273.0</v>
      </c>
      <c r="G2064" s="80" t="s">
        <v>63</v>
      </c>
      <c r="I2064" s="80" t="s">
        <v>63</v>
      </c>
      <c r="J2064" s="80">
        <v>807.0</v>
      </c>
      <c r="K2064" s="80">
        <v>0.951650943396226</v>
      </c>
      <c r="L2064" s="80" t="s">
        <v>76</v>
      </c>
    </row>
    <row r="2065">
      <c r="A2065" s="80" t="s">
        <v>67</v>
      </c>
      <c r="B2065" s="81" t="str">
        <f>HYPERLINK("https://www.youtube.com/channel/UC7U6-j2DrKRIKXmPo4kE7YA", "雞WING")</f>
        <v>雞WING</v>
      </c>
      <c r="C2065" s="80" t="s">
        <v>2340</v>
      </c>
      <c r="D2065" s="81" t="str">
        <f>HYPERLINK("https://youtube.com/watch?v=toU93TS-wyI", "氣氛超好 久違的室外battle !")</f>
        <v>氣氛超好 久違的室外battle !</v>
      </c>
      <c r="E2065" s="82">
        <v>44174.0</v>
      </c>
      <c r="F2065" s="80">
        <v>1364.0</v>
      </c>
      <c r="G2065" s="80" t="s">
        <v>63</v>
      </c>
      <c r="I2065" s="80" t="s">
        <v>63</v>
      </c>
      <c r="J2065" s="80">
        <v>1681.0</v>
      </c>
      <c r="K2065" s="80">
        <v>0.824828263002944</v>
      </c>
      <c r="L2065" s="80" t="s">
        <v>91</v>
      </c>
    </row>
    <row r="2066">
      <c r="A2066" s="80" t="s">
        <v>278</v>
      </c>
      <c r="B2066" s="81" t="str">
        <f>HYPERLINK("https://www.youtube.com/channel/UCDoEdJo-PI-EKGNKomwLroQ", "mingjai14")</f>
        <v>mingjai14</v>
      </c>
      <c r="C2066" s="80" t="s">
        <v>2341</v>
      </c>
      <c r="D2066" s="81" t="str">
        <f>HYPERLINK("https://youtube.com/watch?v=tpO3s4eDvow", "Vlog新成員曝光、陳冠希事件")</f>
        <v>Vlog新成員曝光、陳冠希事件</v>
      </c>
      <c r="E2066" s="82">
        <v>42863.0</v>
      </c>
      <c r="F2066" s="80">
        <v>321.0</v>
      </c>
      <c r="G2066" s="80" t="s">
        <v>63</v>
      </c>
      <c r="I2066" s="80" t="s">
        <v>63</v>
      </c>
      <c r="J2066" s="80">
        <v>1259.0</v>
      </c>
      <c r="K2066" s="80">
        <v>0.920994879297732</v>
      </c>
      <c r="L2066" s="80" t="s">
        <v>64</v>
      </c>
    </row>
    <row r="2067">
      <c r="A2067" s="80" t="s">
        <v>61</v>
      </c>
      <c r="B2067" s="81" t="str">
        <f>HYPERLINK("https://www.youtube.com/channel/UCJ4XVrJuqKHbc9yF9oUFseg", "MEeeep More")</f>
        <v>MEeeep More</v>
      </c>
      <c r="C2067" s="80" t="s">
        <v>2342</v>
      </c>
      <c r="D2067" s="81" t="str">
        <f>HYPERLINK("https://youtube.com/watch?v=tq3Gml79QlE", "[2021智能手錶推介] Amazfit T-Rex Pro 重裝回歸 | 唔駛$1300 媲美 G-Shock 更高性價比軍用級智能錶 | xiaomi t rex pro gbd-h1000")</f>
        <v>[2021智能手錶推介] Amazfit T-Rex Pro 重裝回歸 | 唔駛$1300 媲美 G-Shock 更高性價比軍用級智能錶 | xiaomi t rex pro gbd-h1000</v>
      </c>
      <c r="E2067" s="82">
        <v>44281.0</v>
      </c>
      <c r="F2067" s="80">
        <v>221.0</v>
      </c>
      <c r="G2067" s="80" t="s">
        <v>63</v>
      </c>
      <c r="I2067" s="80" t="s">
        <v>63</v>
      </c>
      <c r="J2067" s="80">
        <v>650.0</v>
      </c>
      <c r="K2067" s="80">
        <v>0.766509433962264</v>
      </c>
      <c r="L2067" s="80" t="s">
        <v>64</v>
      </c>
    </row>
    <row r="2068">
      <c r="A2068" s="80" t="s">
        <v>112</v>
      </c>
      <c r="B2068" s="81" t="str">
        <f>HYPERLINK("https://www.youtube.com/channel/UCW_n_gfIv4HhRqCk8EnRhJA", "Happy Kongner")</f>
        <v>Happy Kongner</v>
      </c>
      <c r="C2068" s="80" t="s">
        <v>2343</v>
      </c>
      <c r="D2068" s="81" t="str">
        <f>HYPERLINK("https://youtube.com/watch?v=tr-WsmxZhJ8", "教你氹女上床嘅情詩：Andrew Marvell “To His Coy Mistress” [西人文學]")</f>
        <v>教你氹女上床嘅情詩：Andrew Marvell “To His Coy Mistress” [西人文學]</v>
      </c>
      <c r="E2068" s="82">
        <v>43333.0</v>
      </c>
      <c r="F2068" s="80">
        <v>880.0</v>
      </c>
      <c r="G2068" s="80" t="s">
        <v>63</v>
      </c>
      <c r="I2068" s="80" t="s">
        <v>63</v>
      </c>
      <c r="J2068" s="80">
        <v>2624.0</v>
      </c>
      <c r="K2068" s="80">
        <v>0.772446276125993</v>
      </c>
      <c r="L2068" s="80" t="s">
        <v>64</v>
      </c>
    </row>
    <row r="2069">
      <c r="A2069" s="80" t="s">
        <v>2001</v>
      </c>
      <c r="B2069" s="81" t="str">
        <f>HYPERLINK("https://www.youtube.com/channel/UCOioTRIWn0mvBWxySe-zN_w", "Polyglot School / Edmund Tran / Languages")</f>
        <v>Polyglot School / Edmund Tran / Languages</v>
      </c>
      <c r="C2069" s="80" t="s">
        <v>2344</v>
      </c>
      <c r="D2069" s="81" t="str">
        <f>HYPERLINK("https://youtube.com/watch?v=trtbhjX3oeI", "香港人が話する沖縄口にちいてぃぬ話 A Hongkonger talking about Okinawan (subtitles in Japanese, English and Cantonese)")</f>
        <v>香港人が話する沖縄口にちいてぃぬ話 A Hongkonger talking about Okinawan (subtitles in Japanese, English and Cantonese)</v>
      </c>
      <c r="E2069" s="82">
        <v>42156.0</v>
      </c>
      <c r="F2069" s="80">
        <v>1070.0</v>
      </c>
      <c r="G2069" s="80" t="s">
        <v>63</v>
      </c>
      <c r="I2069" s="80" t="s">
        <v>63</v>
      </c>
      <c r="J2069" s="80">
        <v>1717.0</v>
      </c>
      <c r="K2069" s="80">
        <v>0.896137787056367</v>
      </c>
      <c r="L2069" s="80" t="s">
        <v>2345</v>
      </c>
    </row>
    <row r="2070">
      <c r="A2070" s="80" t="s">
        <v>219</v>
      </c>
      <c r="B2070" s="81" t="str">
        <f>HYPERLINK("https://www.youtube.com/channel/UC9_PnptBIpNF0JXbJjd8TsQ", "Brown's Channel")</f>
        <v>Brown's Channel</v>
      </c>
      <c r="C2070" s="80" t="s">
        <v>2346</v>
      </c>
      <c r="D2070" s="81" t="str">
        <f>HYPERLINK("https://youtube.com/watch?v=tsLdCqYBrBg", "【一隻熊仔去搵食@香港】#1 鮮芋仙 —— 超大碗芋圓 高CP值 台灣過江龍")</f>
        <v>【一隻熊仔去搵食@香港】#1 鮮芋仙 —— 超大碗芋圓 高CP值 台灣過江龍</v>
      </c>
      <c r="E2070" s="82">
        <v>43998.0</v>
      </c>
      <c r="F2070" s="80">
        <v>266.0</v>
      </c>
      <c r="G2070" s="80" t="s">
        <v>63</v>
      </c>
      <c r="I2070" s="80" t="s">
        <v>63</v>
      </c>
      <c r="J2070" s="80">
        <v>929.0</v>
      </c>
      <c r="K2070" s="80">
        <v>0.896718146718146</v>
      </c>
      <c r="L2070" s="80" t="s">
        <v>64</v>
      </c>
    </row>
    <row r="2071">
      <c r="A2071" s="80" t="s">
        <v>71</v>
      </c>
      <c r="B2071" s="81" t="str">
        <f>HYPERLINK("https://www.youtube.com/channel/UCXTE-gQCetfrx_lC9yFM2aw", "arhoTV")</f>
        <v>arhoTV</v>
      </c>
      <c r="C2071" s="80" t="s">
        <v>2347</v>
      </c>
      <c r="D2071" s="81" t="str">
        <f>HYPERLINK("https://youtube.com/watch?v=twDQAcNYLtU", "【驗證】花子小姐的電話號碼？【都市傳說 花子】")</f>
        <v>【驗證】花子小姐的電話號碼？【都市傳說 花子】</v>
      </c>
      <c r="E2071" s="82">
        <v>42745.0</v>
      </c>
      <c r="F2071" s="80">
        <v>168.0</v>
      </c>
      <c r="G2071" s="80" t="s">
        <v>63</v>
      </c>
      <c r="H2071" s="80" t="s">
        <v>63</v>
      </c>
      <c r="I2071" s="80" t="s">
        <v>63</v>
      </c>
      <c r="J2071" s="80">
        <v>700.0</v>
      </c>
      <c r="K2071" s="80">
        <v>0.911458333333333</v>
      </c>
      <c r="L2071" s="80" t="s">
        <v>413</v>
      </c>
    </row>
    <row r="2072">
      <c r="A2072" s="80" t="s">
        <v>129</v>
      </c>
      <c r="B2072" s="81" t="str">
        <f>HYPERLINK("https://www.youtube.com/channel/UCBbTnorwzva0ZIMGW0ttwVA", "阿豬 Ah Ju")</f>
        <v>阿豬 Ah Ju</v>
      </c>
      <c r="C2072" s="80" t="s">
        <v>2348</v>
      </c>
      <c r="D2072" s="81" t="str">
        <f>HYPERLINK("https://youtube.com/watch?v=txo4xXq3ozY", "仲追唔追黃金同美股 [中文字幕]  | 阿豬介紹美國ETF同分享股票市場睇法")</f>
        <v>仲追唔追黃金同美股 [中文字幕]  | 阿豬介紹美國ETF同分享股票市場睇法</v>
      </c>
      <c r="E2072" s="82">
        <v>44042.0</v>
      </c>
      <c r="F2072" s="80">
        <v>1021.0</v>
      </c>
      <c r="G2072" s="80" t="s">
        <v>63</v>
      </c>
      <c r="I2072" s="80" t="s">
        <v>63</v>
      </c>
      <c r="J2072" s="80">
        <v>3644.0</v>
      </c>
      <c r="K2072" s="80">
        <v>0.656813266041816</v>
      </c>
      <c r="L2072" s="80" t="s">
        <v>102</v>
      </c>
    </row>
    <row r="2073">
      <c r="A2073" s="80" t="s">
        <v>74</v>
      </c>
      <c r="B2073" s="81" t="str">
        <f t="shared" ref="B2073:B2075" si="94">HYPERLINK("https://www.youtube.com/channel/UCO_5XP-qd-udNxBlzzSzgvw", "Handline Fishing")</f>
        <v>Handline Fishing</v>
      </c>
      <c r="C2073" s="80" t="s">
        <v>2349</v>
      </c>
      <c r="D2073" s="81" t="str">
        <f>HYPERLINK("https://youtube.com/watch?v=u-H5o0PAVWw", "#71 朋友號 - 釣針墨聖誕派對2019 Christmas Party『香港釣魚』{粵語旁白+中文字幕}")</f>
        <v>#71 朋友號 - 釣針墨聖誕派對2019 Christmas Party『香港釣魚』{粵語旁白+中文字幕}</v>
      </c>
      <c r="E2073" s="82">
        <v>43821.0</v>
      </c>
      <c r="F2073" s="80">
        <v>216.0</v>
      </c>
      <c r="G2073" s="80" t="s">
        <v>63</v>
      </c>
      <c r="I2073" s="80" t="s">
        <v>63</v>
      </c>
      <c r="J2073" s="80">
        <v>464.0</v>
      </c>
      <c r="K2073" s="80">
        <v>0.859259259259259</v>
      </c>
      <c r="L2073" s="80" t="s">
        <v>1013</v>
      </c>
    </row>
    <row r="2074">
      <c r="A2074" s="80" t="s">
        <v>74</v>
      </c>
      <c r="B2074" s="81" t="str">
        <f t="shared" si="94"/>
        <v>Handline Fishing</v>
      </c>
      <c r="C2074" s="80" t="s">
        <v>2350</v>
      </c>
      <c r="D2074" s="81" t="str">
        <f>HYPERLINK("https://youtube.com/watch?v=u-bw0sZRo1U", "#90 全片紙皮一片紅『香港釣魚 : 艇釣』青龍頭 {粵語旁白+中英文字幕}")</f>
        <v>#90 全片紙皮一片紅『香港釣魚 : 艇釣』青龍頭 {粵語旁白+中英文字幕}</v>
      </c>
      <c r="E2074" s="82">
        <v>43899.0</v>
      </c>
      <c r="F2074" s="80">
        <v>234.0</v>
      </c>
      <c r="G2074" s="80" t="s">
        <v>63</v>
      </c>
      <c r="I2074" s="80" t="s">
        <v>63</v>
      </c>
      <c r="J2074" s="80">
        <v>967.0</v>
      </c>
      <c r="K2074" s="80">
        <v>0.932497589199614</v>
      </c>
      <c r="L2074" s="80" t="s">
        <v>76</v>
      </c>
    </row>
    <row r="2075">
      <c r="A2075" s="80" t="s">
        <v>74</v>
      </c>
      <c r="B2075" s="81" t="str">
        <f t="shared" si="94"/>
        <v>Handline Fishing</v>
      </c>
      <c r="C2075" s="80" t="s">
        <v>2351</v>
      </c>
      <c r="D2075" s="81" t="str">
        <f>HYPERLINK("https://youtube.com/watch?v=u3Dq3rbE9Mk", "#68 維港爆釣黃雞···泡『香港釣魚 : 艇釣』維港 {粵語旁白+中英文字幕}")</f>
        <v>#68 維港爆釣黃雞···泡『香港釣魚 : 艇釣』維港 {粵語旁白+中英文字幕}</v>
      </c>
      <c r="E2075" s="82">
        <v>43808.0</v>
      </c>
      <c r="F2075" s="80">
        <v>260.0</v>
      </c>
      <c r="G2075" s="80" t="s">
        <v>63</v>
      </c>
      <c r="I2075" s="80" t="s">
        <v>63</v>
      </c>
      <c r="J2075" s="80">
        <v>1048.0</v>
      </c>
      <c r="K2075" s="80">
        <v>0.959706959706959</v>
      </c>
      <c r="L2075" s="80" t="s">
        <v>1134</v>
      </c>
    </row>
    <row r="2076">
      <c r="A2076" s="80" t="s">
        <v>112</v>
      </c>
      <c r="B2076" s="81" t="str">
        <f>HYPERLINK("https://www.youtube.com/channel/UCW_n_gfIv4HhRqCk8EnRhJA", "Happy Kongner")</f>
        <v>Happy Kongner</v>
      </c>
      <c r="C2076" s="80" t="s">
        <v>2352</v>
      </c>
      <c r="D2076" s="81" t="str">
        <f>HYPERLINK("https://youtube.com/watch?v=u4CxRH1Mpz8", "你食唔食狗啊？ 「做乜野懶人包」")</f>
        <v>你食唔食狗啊？ 「做乜野懶人包」</v>
      </c>
      <c r="E2076" s="82">
        <v>43083.0</v>
      </c>
      <c r="F2076" s="80">
        <v>422.0</v>
      </c>
      <c r="G2076" s="80" t="s">
        <v>63</v>
      </c>
      <c r="H2076" s="80" t="s">
        <v>63</v>
      </c>
      <c r="I2076" s="80" t="s">
        <v>63</v>
      </c>
      <c r="J2076" s="80">
        <v>1969.0</v>
      </c>
      <c r="K2076" s="80">
        <v>0.963778756730298</v>
      </c>
      <c r="L2076" s="80" t="s">
        <v>86</v>
      </c>
    </row>
    <row r="2077">
      <c r="A2077" s="80" t="s">
        <v>140</v>
      </c>
      <c r="B2077" s="81" t="str">
        <f>HYPERLINK("https://www.youtube.com/channel/UCHK0CZf9HEXs42qIO1GUouA", "TechiCardia")</f>
        <v>TechiCardia</v>
      </c>
      <c r="C2077" s="80" t="s">
        <v>2353</v>
      </c>
      <c r="D2077" s="81" t="str">
        <f>HYPERLINK("https://youtube.com/watch?v=uA7UDrz9R2k", "AMD 主機板問題令USB斷線？！四分鐘就解決到問題！(暫時) B550/X570 USB BUG //4K 【TechiCardia】")</f>
        <v>AMD 主機板問題令USB斷線？！四分鐘就解決到問題！(暫時) B550/X570 USB BUG //4K 【TechiCardia】</v>
      </c>
      <c r="E2077" s="82">
        <v>44287.0</v>
      </c>
      <c r="F2077" s="80">
        <v>269.0</v>
      </c>
      <c r="G2077" s="80" t="s">
        <v>63</v>
      </c>
      <c r="I2077" s="80" t="s">
        <v>63</v>
      </c>
      <c r="J2077" s="80">
        <v>757.0</v>
      </c>
      <c r="K2077" s="80">
        <v>0.576981707317073</v>
      </c>
      <c r="L2077" s="80" t="s">
        <v>102</v>
      </c>
    </row>
    <row r="2078">
      <c r="A2078" s="80" t="s">
        <v>219</v>
      </c>
      <c r="B2078" s="81" t="str">
        <f>HYPERLINK("https://www.youtube.com/channel/UC9_PnptBIpNF0JXbJjd8TsQ", "Brown's Channel")</f>
        <v>Brown's Channel</v>
      </c>
      <c r="C2078" s="80" t="s">
        <v>2354</v>
      </c>
      <c r="D2078" s="81" t="str">
        <f>HYPERLINK("https://youtube.com/watch?v=uAs1DeSfdk8", "【一隻熊仔去旅行@深圳】#9 KFC －－ 究竟佢嘅早餐好唔好食？伏唔伏？")</f>
        <v>【一隻熊仔去旅行@深圳】#9 KFC －－ 究竟佢嘅早餐好唔好食？伏唔伏？</v>
      </c>
      <c r="E2078" s="82">
        <v>43665.0</v>
      </c>
      <c r="F2078" s="80">
        <v>367.0</v>
      </c>
      <c r="G2078" s="80" t="s">
        <v>63</v>
      </c>
      <c r="I2078" s="80" t="s">
        <v>63</v>
      </c>
      <c r="J2078" s="80">
        <v>1136.0</v>
      </c>
      <c r="K2078" s="80">
        <v>0.886115444617784</v>
      </c>
      <c r="L2078" s="80" t="s">
        <v>64</v>
      </c>
    </row>
    <row r="2079">
      <c r="A2079" s="80" t="s">
        <v>217</v>
      </c>
      <c r="B2079" s="81" t="str">
        <f>HYPERLINK("https://www.youtube.com/channel/UCXKg0qPRz32bs5Z4mTGF3TQ", "Stormtrooper白兵")</f>
        <v>Stormtrooper白兵</v>
      </c>
      <c r="C2079" s="80" t="s">
        <v>2355</v>
      </c>
      <c r="D2079" s="81" t="str">
        <f>HYPERLINK("https://youtube.com/watch?v=uBJVDRkSnpI", "[借古諷今] 極權的統治手段—古羅馬帝國的文化清洗：如何將大家改造成順民？｜留下來的人可以做什麼？ 如何對抗文化清洗？ 我哋有好多嘢可以做！｜粵語中字")</f>
        <v>[借古諷今] 極權的統治手段—古羅馬帝國的文化清洗：如何將大家改造成順民？｜留下來的人可以做什麼？ 如何對抗文化清洗？ 我哋有好多嘢可以做！｜粵語中字</v>
      </c>
      <c r="E2079" s="82">
        <v>44390.0</v>
      </c>
      <c r="F2079" s="80">
        <v>914.0</v>
      </c>
      <c r="G2079" s="80" t="s">
        <v>63</v>
      </c>
      <c r="H2079" s="80" t="s">
        <v>63</v>
      </c>
      <c r="I2079" s="80" t="s">
        <v>63</v>
      </c>
      <c r="J2079" s="80">
        <v>3406.0</v>
      </c>
      <c r="K2079" s="80">
        <v>0.906815761448349</v>
      </c>
      <c r="L2079" s="80" t="s">
        <v>86</v>
      </c>
    </row>
    <row r="2080">
      <c r="A2080" s="80" t="s">
        <v>1016</v>
      </c>
      <c r="B2080" s="81" t="str">
        <f>HYPERLINK("https://www.youtube.com/channel/UCSbiR1l-cfzk44iTJVSAZVQ", "Rhapsody in Lingo")</f>
        <v>Rhapsody in Lingo</v>
      </c>
      <c r="C2080" s="80" t="s">
        <v>2356</v>
      </c>
      <c r="D2080" s="81" t="str">
        <f>HYPERLINK("https://youtube.com/watch?v=uDmi-csjYfY", "Hongkonger Speaks 11 Languages – My Polyglot Story [eng subs/粵文字幕] 記住睇到尾！")</f>
        <v>Hongkonger Speaks 11 Languages – My Polyglot Story [eng subs/粵文字幕] 記住睇到尾！</v>
      </c>
      <c r="E2080" s="82">
        <v>44087.0</v>
      </c>
      <c r="F2080" s="80">
        <v>610.0</v>
      </c>
      <c r="G2080" s="80" t="s">
        <v>63</v>
      </c>
      <c r="I2080" s="80" t="s">
        <v>63</v>
      </c>
      <c r="J2080" s="80">
        <v>1410.0</v>
      </c>
      <c r="K2080" s="80">
        <v>0.979166666666666</v>
      </c>
      <c r="L2080" s="80" t="s">
        <v>102</v>
      </c>
    </row>
    <row r="2081">
      <c r="A2081" s="80" t="s">
        <v>121</v>
      </c>
      <c r="B2081" s="81" t="str">
        <f>HYPERLINK("https://www.youtube.com/channel/UC-2hWXRgCg-o5Waz36Yt7BA", "Arm Channel TV")</f>
        <v>Arm Channel TV</v>
      </c>
      <c r="C2081" s="80" t="s">
        <v>2357</v>
      </c>
      <c r="D2081" s="81" t="str">
        <f>HYPERLINK("https://youtube.com/watch?v=uJ9SjwsWzKU", "🔥 當你在曼徹斯特喜歡上另一個男人💖  | 不怕隔離睇好波 EP04")</f>
        <v>🔥 當你在曼徹斯特喜歡上另一個男人💖  | 不怕隔離睇好波 EP04</v>
      </c>
      <c r="E2081" s="82">
        <v>44354.0</v>
      </c>
      <c r="F2081" s="80">
        <v>358.0</v>
      </c>
      <c r="G2081" s="80" t="s">
        <v>63</v>
      </c>
      <c r="I2081" s="80" t="s">
        <v>63</v>
      </c>
      <c r="J2081" s="80">
        <v>1053.0</v>
      </c>
      <c r="K2081" s="80">
        <v>0.959890610756609</v>
      </c>
      <c r="L2081" s="80" t="s">
        <v>64</v>
      </c>
    </row>
    <row r="2082">
      <c r="A2082" s="80" t="s">
        <v>217</v>
      </c>
      <c r="B2082" s="81" t="str">
        <f>HYPERLINK("https://www.youtube.com/channel/UCXKg0qPRz32bs5Z4mTGF3TQ", "Stormtrooper白兵")</f>
        <v>Stormtrooper白兵</v>
      </c>
      <c r="C2082" s="80" t="s">
        <v>2358</v>
      </c>
      <c r="D2082" s="81" t="str">
        <f>HYPERLINK("https://youtube.com/watch?v=uLSBZiYHLVU", "「原來呢個世界入面有一啲嘢，荒謬到某一個程度嘅時候，就冇人會信，但唔代表唔存在」香港……其實一直都係咁荒謬，只係你唔認識啫……《出埃及記》")</f>
        <v>「原來呢個世界入面有一啲嘢，荒謬到某一個程度嘅時候，就冇人會信，但唔代表唔存在」香港……其實一直都係咁荒謬，只係你唔認識啫……《出埃及記》</v>
      </c>
      <c r="E2082" s="82">
        <v>44077.0</v>
      </c>
      <c r="F2082" s="80">
        <v>1009.0</v>
      </c>
      <c r="G2082" s="80" t="s">
        <v>63</v>
      </c>
      <c r="I2082" s="80" t="s">
        <v>63</v>
      </c>
      <c r="J2082" s="80">
        <v>3891.0</v>
      </c>
      <c r="K2082" s="80">
        <v>0.977883890424729</v>
      </c>
      <c r="L2082" s="80" t="s">
        <v>64</v>
      </c>
    </row>
    <row r="2083">
      <c r="A2083" s="80" t="s">
        <v>233</v>
      </c>
      <c r="B2083" s="81" t="str">
        <f>HYPERLINK("https://www.youtube.com/channel/UCjL61vw5qtDQudezRnnv-ig", "rickolam1")</f>
        <v>rickolam1</v>
      </c>
      <c r="C2083" s="80" t="s">
        <v>2359</v>
      </c>
      <c r="D2083" s="81" t="str">
        <f>HYPERLINK("https://youtube.com/watch?v=uLskc8YxtsQ", "【悄悄問答會・THE WHISPER Q&amp;A】賣魚蛋會甩下巴...?")</f>
        <v>【悄悄問答會・THE WHISPER Q&amp;A】賣魚蛋會甩下巴...?</v>
      </c>
      <c r="E2083" s="82">
        <v>42342.0</v>
      </c>
      <c r="F2083" s="80">
        <v>344.0</v>
      </c>
      <c r="G2083" s="80" t="s">
        <v>63</v>
      </c>
      <c r="I2083" s="80" t="s">
        <v>63</v>
      </c>
      <c r="J2083" s="80">
        <v>1384.0</v>
      </c>
      <c r="K2083" s="80">
        <v>0.688214818498259</v>
      </c>
      <c r="L2083" s="80" t="s">
        <v>64</v>
      </c>
    </row>
    <row r="2084">
      <c r="A2084" s="80" t="s">
        <v>71</v>
      </c>
      <c r="B2084" s="81" t="str">
        <f>HYPERLINK("https://www.youtube.com/channel/UCXTE-gQCetfrx_lC9yFM2aw", "arhoTV")</f>
        <v>arhoTV</v>
      </c>
      <c r="C2084" s="80" t="s">
        <v>2360</v>
      </c>
      <c r="D2084" s="81" t="str">
        <f>HYPERLINK("https://youtube.com/watch?v=uPQno_63ND0", "【開箱】亞悠教我射...擊技巧！")</f>
        <v>【開箱】亞悠教我射...擊技巧！</v>
      </c>
      <c r="E2084" s="82">
        <v>42773.0</v>
      </c>
      <c r="F2084" s="80">
        <v>177.0</v>
      </c>
      <c r="G2084" s="80" t="s">
        <v>63</v>
      </c>
      <c r="H2084" s="80" t="s">
        <v>63</v>
      </c>
      <c r="I2084" s="80" t="s">
        <v>63</v>
      </c>
      <c r="J2084" s="80">
        <v>851.0</v>
      </c>
      <c r="K2084" s="80">
        <v>0.894099848714069</v>
      </c>
      <c r="L2084" s="80" t="s">
        <v>86</v>
      </c>
    </row>
    <row r="2085">
      <c r="A2085" s="80" t="s">
        <v>140</v>
      </c>
      <c r="B2085" s="81" t="str">
        <f>HYPERLINK("https://www.youtube.com/channel/UCHK0CZf9HEXs42qIO1GUouA", "TechiCardia")</f>
        <v>TechiCardia</v>
      </c>
      <c r="C2085" s="80" t="s">
        <v>2361</v>
      </c>
      <c r="D2085" s="81" t="str">
        <f>HYPERLINK("https://youtube.com/watch?v=uQL2AFEyxN8", "絕對「透明」的評測！ NOTHING Ear (1) $799 真係咁正？教主 ANSON LO 代言 | 外國超人氣真無線ANC耳機 // 4K 【TechiCardia】[CC廣東話字幕]")</f>
        <v>絕對「透明」的評測！ NOTHING Ear (1) $799 真係咁正？教主 ANSON LO 代言 | 外國超人氣真無線ANC耳機 // 4K 【TechiCardia】[CC廣東話字幕]</v>
      </c>
      <c r="E2085" s="82">
        <v>44457.0</v>
      </c>
      <c r="F2085" s="80">
        <v>861.0</v>
      </c>
      <c r="G2085" s="80" t="s">
        <v>63</v>
      </c>
      <c r="I2085" s="80" t="s">
        <v>63</v>
      </c>
      <c r="J2085" s="80">
        <v>2735.0</v>
      </c>
      <c r="K2085" s="80">
        <v>0.785242606948033</v>
      </c>
      <c r="L2085" s="80" t="s">
        <v>102</v>
      </c>
    </row>
    <row r="2086">
      <c r="A2086" s="80" t="s">
        <v>112</v>
      </c>
      <c r="B2086" s="81" t="str">
        <f>HYPERLINK("https://www.youtube.com/channel/UCW_n_gfIv4HhRqCk8EnRhJA", "Happy Kongner")</f>
        <v>Happy Kongner</v>
      </c>
      <c r="C2086" s="80" t="s">
        <v>2362</v>
      </c>
      <c r="D2086" s="81" t="str">
        <f>HYPERLINK("https://youtube.com/watch?v=u_bSQ9ncH00", "成王之路：冒險嘅晨光  [公仔書與卡通片:海賊王特輯 第一集]")</f>
        <v>成王之路：冒險嘅晨光  [公仔書與卡通片:海賊王特輯 第一集]</v>
      </c>
      <c r="E2086" s="82">
        <v>43286.0</v>
      </c>
      <c r="F2086" s="80">
        <v>1031.0</v>
      </c>
      <c r="G2086" s="80" t="s">
        <v>63</v>
      </c>
      <c r="I2086" s="80" t="s">
        <v>63</v>
      </c>
      <c r="J2086" s="80">
        <v>5564.0</v>
      </c>
      <c r="K2086" s="80">
        <v>0.986349937954263</v>
      </c>
      <c r="L2086" s="80" t="s">
        <v>64</v>
      </c>
    </row>
    <row r="2087">
      <c r="A2087" s="80" t="s">
        <v>61</v>
      </c>
      <c r="B2087" s="81" t="str">
        <f>HYPERLINK("https://www.youtube.com/channel/UCJ4XVrJuqKHbc9yF9oUFseg", "MEeeep More")</f>
        <v>MEeeep More</v>
      </c>
      <c r="C2087" s="80" t="s">
        <v>2363</v>
      </c>
      <c r="D2087" s="81" t="str">
        <f>HYPERLINK("https://youtube.com/watch?v=ue_B83mt6M8", "Filter King Air Con Mask 冷氣機殺菌濾紙 | 冷氣機都要戴口罩? 安裝簡單 輕鬆殺滅 99% 新冠病毒 | covid-19 hk")</f>
        <v>Filter King Air Con Mask 冷氣機殺菌濾紙 | 冷氣機都要戴口罩? 安裝簡單 輕鬆殺滅 99% 新冠病毒 | covid-19 hk</v>
      </c>
      <c r="E2087" s="82">
        <v>44273.0</v>
      </c>
      <c r="F2087" s="80">
        <v>227.0</v>
      </c>
      <c r="G2087" s="80" t="s">
        <v>63</v>
      </c>
      <c r="I2087" s="80" t="s">
        <v>63</v>
      </c>
      <c r="J2087" s="80">
        <v>640.0</v>
      </c>
      <c r="K2087" s="80">
        <v>0.767386091127098</v>
      </c>
      <c r="L2087" s="80" t="s">
        <v>64</v>
      </c>
    </row>
    <row r="2088">
      <c r="A2088" s="80" t="s">
        <v>74</v>
      </c>
      <c r="B2088" s="81" t="str">
        <f>HYPERLINK("https://www.youtube.com/channel/UCO_5XP-qd-udNxBlzzSzgvw", "Handline Fishing")</f>
        <v>Handline Fishing</v>
      </c>
      <c r="C2088" s="80" t="s">
        <v>2364</v>
      </c>
      <c r="D2088" s="81" t="str">
        <f>HYPERLINK("https://youtube.com/watch?v=ufSHfzt7xDQ", "#188 約齊腳去果洲找孖花 | 『香港釣魚 : 艇釣』果洲群島 {粵語旁白+中英文字幕}")</f>
        <v>#188 約齊腳去果洲找孖花 | 『香港釣魚 : 艇釣』果洲群島 {粵語旁白+中英文字幕}</v>
      </c>
      <c r="E2088" s="82">
        <v>44236.0</v>
      </c>
      <c r="F2088" s="80">
        <v>481.0</v>
      </c>
      <c r="G2088" s="80" t="s">
        <v>63</v>
      </c>
      <c r="I2088" s="80" t="s">
        <v>63</v>
      </c>
      <c r="J2088" s="80">
        <v>848.0</v>
      </c>
      <c r="K2088" s="80">
        <v>0.945373467112597</v>
      </c>
      <c r="L2088" s="80" t="s">
        <v>271</v>
      </c>
    </row>
    <row r="2089">
      <c r="A2089" s="80" t="s">
        <v>288</v>
      </c>
      <c r="B2089" s="81" t="str">
        <f>HYPERLINK("https://www.youtube.com/channel/UCDWOYEhVnyD4IHZGVAMLc0g", "Brendan 毛爸")</f>
        <v>Brendan 毛爸</v>
      </c>
      <c r="C2089" s="80" t="s">
        <v>2365</v>
      </c>
      <c r="D2089" s="81" t="str">
        <f>HYPERLINK("https://youtube.com/watch?v=6plKCLcjsVs", "『戰雙帕彌什』附送S級自選角色兑換碼｜分享首抽 ｜詳細分析如何配搭雙S｜新手開局建議！玩前必看｜手機遊戲(請打開CC 中文字幕）")</f>
        <v>『戰雙帕彌什』附送S級自選角色兑換碼｜分享首抽 ｜詳細分析如何配搭雙S｜新手開局建議！玩前必看｜手機遊戲(請打開CC 中文字幕）</v>
      </c>
      <c r="E2089" s="82">
        <v>44072.0</v>
      </c>
      <c r="F2089" s="80">
        <v>505.0</v>
      </c>
      <c r="G2089" s="80" t="s">
        <v>63</v>
      </c>
      <c r="I2089" s="80" t="s">
        <v>63</v>
      </c>
      <c r="J2089" s="80">
        <v>1802.0</v>
      </c>
      <c r="K2089" s="80">
        <v>0.948920484465508</v>
      </c>
      <c r="L2089" s="80" t="s">
        <v>64</v>
      </c>
    </row>
    <row r="2090">
      <c r="A2090" s="80" t="s">
        <v>71</v>
      </c>
      <c r="B2090" s="81" t="str">
        <f>HYPERLINK("https://www.youtube.com/channel/UCXTE-gQCetfrx_lC9yFM2aw", "arhoTV")</f>
        <v>arhoTV</v>
      </c>
      <c r="C2090" s="80" t="s">
        <v>2366</v>
      </c>
      <c r="D2090" s="81" t="str">
        <f>HYPERLINK("https://youtube.com/watch?v=uiTp9xeJIEg", "【飲食】重量級食玩布丁！【知育果子 開箱】")</f>
        <v>【飲食】重量級食玩布丁！【知育果子 開箱】</v>
      </c>
      <c r="E2090" s="82">
        <v>42775.0</v>
      </c>
      <c r="F2090" s="80">
        <v>249.0</v>
      </c>
      <c r="G2090" s="80" t="s">
        <v>63</v>
      </c>
      <c r="H2090" s="80" t="s">
        <v>63</v>
      </c>
      <c r="I2090" s="80" t="s">
        <v>63</v>
      </c>
      <c r="J2090" s="80">
        <v>1346.0</v>
      </c>
      <c r="K2090" s="80">
        <v>0.938207136640557</v>
      </c>
      <c r="L2090" s="80" t="s">
        <v>86</v>
      </c>
    </row>
    <row r="2091">
      <c r="A2091" s="80" t="s">
        <v>61</v>
      </c>
      <c r="B2091" s="81" t="str">
        <f>HYPERLINK("https://www.youtube.com/channel/UCJ4XVrJuqKHbc9yF9oUFseg", "MEeeep More")</f>
        <v>MEeeep More</v>
      </c>
      <c r="C2091" s="80" t="s">
        <v>2367</v>
      </c>
      <c r="D2091" s="81" t="str">
        <f>HYPERLINK("https://youtube.com/watch?v=uizQgRxmmQU", "古祖蛋糕食譜 氣炸鍋零失敗 古祖味蛋糕 ｜ 古早蛋糕 Castella Cake 台式古早味蛋糕 食譜 氣炸鍋食譜 AirFlyer Recipe")</f>
        <v>古祖蛋糕食譜 氣炸鍋零失敗 古祖味蛋糕 ｜ 古早蛋糕 Castella Cake 台式古早味蛋糕 食譜 氣炸鍋食譜 AirFlyer Recipe</v>
      </c>
      <c r="E2091" s="82">
        <v>44215.0</v>
      </c>
      <c r="F2091" s="80">
        <v>206.0</v>
      </c>
      <c r="G2091" s="80" t="s">
        <v>63</v>
      </c>
      <c r="I2091" s="80" t="s">
        <v>63</v>
      </c>
      <c r="J2091" s="80">
        <v>374.0</v>
      </c>
      <c r="K2091" s="80">
        <v>0.851936218678815</v>
      </c>
      <c r="L2091" s="80" t="s">
        <v>64</v>
      </c>
    </row>
    <row r="2092">
      <c r="A2092" s="80" t="s">
        <v>74</v>
      </c>
      <c r="B2092" s="81" t="str">
        <f>HYPERLINK("https://www.youtube.com/channel/UCO_5XP-qd-udNxBlzzSzgvw", "Handline Fishing")</f>
        <v>Handline Fishing</v>
      </c>
      <c r="C2092" s="80" t="s">
        <v>2368</v>
      </c>
      <c r="D2092" s="81" t="str">
        <f>HYPERLINK("https://youtube.com/watch?v=um21DzQOuLg", "#146 港水釣南油大池魚 | 『香港釣魚 : 艇釣』東龍島/維港東 {粵語旁白+中英文字幕}")</f>
        <v>#146 港水釣南油大池魚 | 『香港釣魚 : 艇釣』東龍島/維港東 {粵語旁白+中英文字幕}</v>
      </c>
      <c r="E2092" s="82">
        <v>44082.0</v>
      </c>
      <c r="F2092" s="80">
        <v>675.0</v>
      </c>
      <c r="G2092" s="80" t="s">
        <v>63</v>
      </c>
      <c r="I2092" s="80" t="s">
        <v>63</v>
      </c>
      <c r="J2092" s="80">
        <v>846.0</v>
      </c>
      <c r="K2092" s="80">
        <v>0.974654377880184</v>
      </c>
      <c r="L2092" s="80" t="s">
        <v>1105</v>
      </c>
    </row>
    <row r="2093">
      <c r="A2093" s="80" t="s">
        <v>1280</v>
      </c>
      <c r="B2093" s="81" t="str">
        <f>HYPERLINK("https://www.youtube.com/channel/UCE_8XiKCl79p7UZoStMu4RA", "Dr Winnie Chor Linguistics Lab")</f>
        <v>Dr Winnie Chor Linguistics Lab</v>
      </c>
      <c r="C2093" s="80" t="s">
        <v>2369</v>
      </c>
      <c r="D2093" s="81" t="str">
        <f>HYPERLINK("https://youtube.com/watch?v=upscjvYjFL8", "跟左博士學語言學 【發音篇】  雲雲博士？")</f>
        <v>跟左博士學語言學 【發音篇】  雲雲博士？</v>
      </c>
      <c r="E2093" s="82">
        <v>43952.0</v>
      </c>
      <c r="F2093" s="80">
        <v>251.0</v>
      </c>
      <c r="G2093" s="80" t="s">
        <v>63</v>
      </c>
      <c r="I2093" s="80" t="s">
        <v>63</v>
      </c>
      <c r="J2093" s="80">
        <v>952.0</v>
      </c>
      <c r="K2093" s="80">
        <v>0.93516699410609</v>
      </c>
      <c r="L2093" s="80" t="s">
        <v>102</v>
      </c>
    </row>
    <row r="2094">
      <c r="A2094" s="80" t="s">
        <v>219</v>
      </c>
      <c r="B2094" s="81" t="str">
        <f>HYPERLINK("https://www.youtube.com/channel/UC9_PnptBIpNF0JXbJjd8TsQ", "Brown's Channel")</f>
        <v>Brown's Channel</v>
      </c>
      <c r="C2094" s="80" t="s">
        <v>2370</v>
      </c>
      <c r="D2094" s="81" t="str">
        <f>HYPERLINK("https://youtube.com/watch?v=ustCEv7oKG4", "【一隻熊仔去旅行@澳門】#1 西灣安記 －－ 要自己沖嘅奶茶")</f>
        <v>【一隻熊仔去旅行@澳門】#1 西灣安記 －－ 要自己沖嘅奶茶</v>
      </c>
      <c r="E2094" s="82">
        <v>43659.0</v>
      </c>
      <c r="F2094" s="80">
        <v>177.0</v>
      </c>
      <c r="G2094" s="80" t="s">
        <v>63</v>
      </c>
      <c r="I2094" s="80" t="s">
        <v>63</v>
      </c>
      <c r="J2094" s="80">
        <v>596.0</v>
      </c>
      <c r="K2094" s="80">
        <v>0.92834890965732</v>
      </c>
      <c r="L2094" s="80" t="s">
        <v>64</v>
      </c>
    </row>
    <row r="2095">
      <c r="A2095" s="80" t="s">
        <v>140</v>
      </c>
      <c r="B2095" s="81" t="str">
        <f>HYPERLINK("https://www.youtube.com/channel/UCHK0CZf9HEXs42qIO1GUouA", "TechiCardia")</f>
        <v>TechiCardia</v>
      </c>
      <c r="C2095" s="80" t="s">
        <v>2371</v>
      </c>
      <c r="D2095" s="81" t="str">
        <f>HYPERLINK("https://youtube.com/watch?v=uw1MRYcjEiU", "全新高架床工作空間！由計劃到整理電線貼士 | 單人床空間創出無限可能性？//HONG KONG BUNK BED SETUP  2021//4K 廣東話【TechiCardia】[CC 廣東話字幕]")</f>
        <v>全新高架床工作空間！由計劃到整理電線貼士 | 單人床空間創出無限可能性？//HONG KONG BUNK BED SETUP  2021//4K 廣東話【TechiCardia】[CC 廣東話字幕]</v>
      </c>
      <c r="E2095" s="82">
        <v>44238.0</v>
      </c>
      <c r="F2095" s="80">
        <v>1062.0</v>
      </c>
      <c r="G2095" s="80" t="s">
        <v>63</v>
      </c>
      <c r="I2095" s="80" t="s">
        <v>63</v>
      </c>
      <c r="J2095" s="80">
        <v>4192.0</v>
      </c>
      <c r="K2095" s="80">
        <v>0.773289061058845</v>
      </c>
      <c r="L2095" s="80" t="s">
        <v>102</v>
      </c>
    </row>
    <row r="2096">
      <c r="A2096" s="80" t="s">
        <v>74</v>
      </c>
      <c r="B2096" s="81" t="str">
        <f>HYPERLINK("https://www.youtube.com/channel/UCO_5XP-qd-udNxBlzzSzgvw", "Handline Fishing")</f>
        <v>Handline Fishing</v>
      </c>
      <c r="C2096" s="80" t="s">
        <v>2372</v>
      </c>
      <c r="D2096" s="81" t="str">
        <f>HYPERLINK("https://youtube.com/watch?v=v0l5lbCKrMM", "#148 發電廠出水口釣魚仔 | 『香港釣魚 : 艇釣』流浮山自駕遊 {粵語旁白+中英文字幕}")</f>
        <v>#148 發電廠出水口釣魚仔 | 『香港釣魚 : 艇釣』流浮山自駕遊 {粵語旁白+中英文字幕}</v>
      </c>
      <c r="E2096" s="82">
        <v>44089.0</v>
      </c>
      <c r="F2096" s="80">
        <v>318.0</v>
      </c>
      <c r="G2096" s="80" t="s">
        <v>63</v>
      </c>
      <c r="I2096" s="80" t="s">
        <v>63</v>
      </c>
      <c r="J2096" s="80">
        <v>691.0</v>
      </c>
      <c r="K2096" s="80">
        <v>0.96105702364395</v>
      </c>
      <c r="L2096" s="80" t="s">
        <v>1105</v>
      </c>
    </row>
    <row r="2097">
      <c r="A2097" s="80" t="s">
        <v>1007</v>
      </c>
      <c r="B2097" s="81" t="str">
        <f>HYPERLINK("https://www.youtube.com/channel/UCCzgNTkFyDel0FDJtVNgEtQ", "香港人. 德國讀書之【真.洗濕左個頭.無得返轉頭】Miss Chan Life in Germany")</f>
        <v>香港人. 德國讀書之【真.洗濕左個頭.無得返轉頭】Miss Chan Life in Germany</v>
      </c>
      <c r="C2097" s="80" t="s">
        <v>2373</v>
      </c>
      <c r="D2097" s="81" t="str">
        <f>HYPERLINK("https://youtube.com/watch?v=v4fZyCJgFAY", "【和你- 在德國Lockdown 下教巴黎舞】 (上集) plus 夜遊科隆 Köln (香港人製作. 廣東話)")</f>
        <v>【和你- 在德國Lockdown 下教巴黎舞】 (上集) plus 夜遊科隆 Köln (香港人製作. 廣東話)</v>
      </c>
      <c r="E2097" s="82">
        <v>44180.0</v>
      </c>
      <c r="F2097" s="80">
        <v>596.0</v>
      </c>
      <c r="G2097" s="80" t="s">
        <v>63</v>
      </c>
      <c r="I2097" s="80" t="s">
        <v>63</v>
      </c>
      <c r="J2097" s="80">
        <v>1713.0</v>
      </c>
      <c r="K2097" s="80">
        <v>0.783981693363844</v>
      </c>
      <c r="L2097" s="80" t="s">
        <v>64</v>
      </c>
    </row>
    <row r="2098">
      <c r="A2098" s="80" t="s">
        <v>2374</v>
      </c>
      <c r="B2098" s="81" t="str">
        <f>HYPERLINK("https://www.youtube.com/channel/UC0lbhIloP3pcKJT07YosZlQ", "講豬hi speakchuhi")</f>
        <v>講豬hi speakchuhi</v>
      </c>
      <c r="C2098" s="80" t="s">
        <v>2375</v>
      </c>
      <c r="D2098" s="81" t="str">
        <f>HYPERLINK("https://youtube.com/watch?v=6qZpzUZgukA", "[BNO續領] (下集) 續領BNO護照❗️ 幾多日會收到新護照❓[中文字幕] | CUKC平權前續番先❗️")</f>
        <v>[BNO續領] (下集) 續領BNO護照❗️ 幾多日會收到新護照❓[中文字幕] | CUKC平權前續番先❗️</v>
      </c>
      <c r="E2098" s="82">
        <v>43822.0</v>
      </c>
      <c r="F2098" s="80">
        <v>145.0</v>
      </c>
      <c r="G2098" s="80" t="s">
        <v>63</v>
      </c>
      <c r="I2098" s="80" t="s">
        <v>63</v>
      </c>
      <c r="J2098" s="80">
        <v>446.0</v>
      </c>
      <c r="K2098" s="80">
        <v>0.783831282952548</v>
      </c>
      <c r="L2098" s="80" t="s">
        <v>102</v>
      </c>
    </row>
    <row r="2099">
      <c r="A2099" s="80" t="s">
        <v>74</v>
      </c>
      <c r="B2099" s="81" t="str">
        <f>HYPERLINK("https://www.youtube.com/channel/UCO_5XP-qd-udNxBlzzSzgvw", "Handline Fishing")</f>
        <v>Handline Fishing</v>
      </c>
      <c r="C2099" s="80" t="s">
        <v>2376</v>
      </c>
      <c r="D2099" s="81" t="str">
        <f>HYPERLINK("https://youtube.com/watch?v=vCK35T-vArE", "#83 初嘗橋墩釣老泥的滋味『香港釣魚 : 岸釣』東涌橋墩 {粵語旁白+中英文字幕}")</f>
        <v>#83 初嘗橋墩釣老泥的滋味『香港釣魚 : 岸釣』東涌橋墩 {粵語旁白+中英文字幕}</v>
      </c>
      <c r="E2099" s="82">
        <v>43877.0</v>
      </c>
      <c r="F2099" s="80">
        <v>272.0</v>
      </c>
      <c r="G2099" s="80" t="s">
        <v>63</v>
      </c>
      <c r="I2099" s="80" t="s">
        <v>63</v>
      </c>
      <c r="J2099" s="80">
        <v>1128.0</v>
      </c>
      <c r="K2099" s="80">
        <v>0.93687707641196</v>
      </c>
      <c r="L2099" s="80" t="s">
        <v>76</v>
      </c>
    </row>
    <row r="2100">
      <c r="A2100" s="80" t="s">
        <v>1000</v>
      </c>
      <c r="B2100" s="81" t="str">
        <f>HYPERLINK("https://www.youtube.com/channel/UChJQlg1b_cOttPX3SiIh5gA", "Lau Dinha in Hong Kong - Hong Kong in the World")</f>
        <v>Lau Dinha in Hong Kong - Hong Kong in the World</v>
      </c>
      <c r="C2100" s="80" t="s">
        <v>2377</v>
      </c>
      <c r="D2100" s="81" t="str">
        <f>HYPERLINK("https://youtube.com/watch?v=vD4bQWDjef4", "香港人每天都在用的接尾助語詞！6個必學感情表達方式！")</f>
        <v>香港人每天都在用的接尾助語詞！6個必學感情表達方式！</v>
      </c>
      <c r="E2100" s="82">
        <v>43341.0</v>
      </c>
      <c r="F2100" s="80">
        <v>419.0</v>
      </c>
      <c r="G2100" s="80" t="s">
        <v>63</v>
      </c>
      <c r="I2100" s="80" t="s">
        <v>63</v>
      </c>
      <c r="J2100" s="80">
        <v>1283.0</v>
      </c>
      <c r="K2100" s="80">
        <v>0.9884437596302</v>
      </c>
      <c r="L2100" s="80" t="s">
        <v>64</v>
      </c>
    </row>
    <row r="2101">
      <c r="A2101" s="80" t="s">
        <v>743</v>
      </c>
      <c r="B2101" s="81" t="str">
        <f>HYPERLINK("https://www.youtube.com/channel/UCe6qQ8zbYQJgTBnZ9wBzm9w", "Willy Lee")</f>
        <v>Willy Lee</v>
      </c>
      <c r="C2101" s="80" t="s">
        <v>2378</v>
      </c>
      <c r="D2101" s="81" t="str">
        <f>HYPERLINK("https://youtube.com/watch?v=vDYor3jhoCo", "🇯🇵【日本】野澤溫泉掟雪球影雪景食溫泉蛋、輕井澤長70米白絲瀑布！2019跨年遊EP2 - 野澤溫泉 輕井澤篇 - Willy Lee")</f>
        <v>🇯🇵【日本】野澤溫泉掟雪球影雪景食溫泉蛋、輕井澤長70米白絲瀑布！2019跨年遊EP2 - 野澤溫泉 輕井澤篇 - Willy Lee</v>
      </c>
      <c r="E2101" s="82">
        <v>44304.0</v>
      </c>
      <c r="F2101" s="80">
        <v>573.0</v>
      </c>
      <c r="G2101" s="80" t="s">
        <v>63</v>
      </c>
      <c r="I2101" s="80" t="s">
        <v>63</v>
      </c>
      <c r="J2101" s="80">
        <v>2926.0</v>
      </c>
      <c r="K2101" s="80">
        <v>0.922155688622754</v>
      </c>
      <c r="L2101" s="80" t="s">
        <v>745</v>
      </c>
    </row>
    <row r="2102">
      <c r="A2102" s="80" t="s">
        <v>112</v>
      </c>
      <c r="B2102" s="81" t="str">
        <f>HYPERLINK("https://www.youtube.com/channel/UCW_n_gfIv4HhRqCk8EnRhJA", "Happy Kongner")</f>
        <v>Happy Kongner</v>
      </c>
      <c r="C2102" s="80" t="s">
        <v>2379</v>
      </c>
      <c r="D2102" s="81" t="str">
        <f>HYPERLINK("https://youtube.com/watch?v=vDjHZLK0wsQ", "網球角落頭 Tennis Corner 第二集 Episode 2 雙王對決回顧 - 2019溫布頓節錄")</f>
        <v>網球角落頭 Tennis Corner 第二集 Episode 2 雙王對決回顧 - 2019溫布頓節錄</v>
      </c>
      <c r="E2102" s="82">
        <v>43757.0</v>
      </c>
      <c r="F2102" s="80">
        <v>1201.0</v>
      </c>
      <c r="G2102" s="80" t="s">
        <v>63</v>
      </c>
      <c r="I2102" s="80" t="s">
        <v>63</v>
      </c>
      <c r="J2102" s="80">
        <v>712.0</v>
      </c>
      <c r="K2102" s="80">
        <v>0.798206278026905</v>
      </c>
      <c r="L2102" s="80" t="s">
        <v>64</v>
      </c>
    </row>
    <row r="2103">
      <c r="A2103" s="80" t="s">
        <v>61</v>
      </c>
      <c r="B2103" s="81" t="str">
        <f>HYPERLINK("https://www.youtube.com/channel/UCJ4XVrJuqKHbc9yF9oUFseg", "MEeeep More")</f>
        <v>MEeeep More</v>
      </c>
      <c r="C2103" s="80" t="s">
        <v>2380</v>
      </c>
      <c r="D2103" s="81" t="str">
        <f>HYPERLINK("https://youtube.com/watch?v=vHYOtuTSd4U", "[聖誕禮物2020] 仿真指壓按摩不求人！韓國mediness「四手神肩」shiatsu指壓肩頸按摩器 | 迷你雪櫃汽水機 懶人恩物！ 家用按摩器 迷你汽水機")</f>
        <v>[聖誕禮物2020] 仿真指壓按摩不求人！韓國mediness「四手神肩」shiatsu指壓肩頸按摩器 | 迷你雪櫃汽水機 懶人恩物！ 家用按摩器 迷你汽水機</v>
      </c>
      <c r="E2103" s="82">
        <v>44180.0</v>
      </c>
      <c r="F2103" s="80">
        <v>169.0</v>
      </c>
      <c r="G2103" s="80" t="s">
        <v>63</v>
      </c>
      <c r="I2103" s="80" t="s">
        <v>63</v>
      </c>
      <c r="J2103" s="80">
        <v>495.0</v>
      </c>
      <c r="K2103" s="80">
        <v>0.786963434022257</v>
      </c>
      <c r="L2103" s="80" t="s">
        <v>64</v>
      </c>
    </row>
    <row r="2104">
      <c r="A2104" s="80" t="s">
        <v>74</v>
      </c>
      <c r="B2104" s="81" t="str">
        <f>HYPERLINK("https://www.youtube.com/channel/UCO_5XP-qd-udNxBlzzSzgvw", "Handline Fishing")</f>
        <v>Handline Fishing</v>
      </c>
      <c r="C2104" s="80" t="s">
        <v>2381</v>
      </c>
      <c r="D2104" s="81" t="str">
        <f>HYPERLINK("https://youtube.com/watch?v=vJFkXMa8zTI", "#263 開心釣魚又一Day | 香港釣魚 | 艇釣 | 南丫發電廠 {粵語旁白+中英文字幕}")</f>
        <v>#263 開心釣魚又一Day | 香港釣魚 | 艇釣 | 南丫發電廠 {粵語旁白+中英文字幕}</v>
      </c>
      <c r="E2104" s="82">
        <v>44562.0</v>
      </c>
      <c r="F2104" s="80">
        <v>297.0</v>
      </c>
      <c r="G2104" s="80" t="s">
        <v>63</v>
      </c>
      <c r="H2104" s="80" t="s">
        <v>63</v>
      </c>
      <c r="I2104" s="80" t="s">
        <v>63</v>
      </c>
      <c r="J2104" s="80">
        <v>221.0</v>
      </c>
      <c r="K2104" s="80">
        <v>0.909465020576131</v>
      </c>
      <c r="L2104" s="80" t="s">
        <v>88</v>
      </c>
    </row>
    <row r="2105">
      <c r="A2105" s="80" t="s">
        <v>217</v>
      </c>
      <c r="B2105" s="81" t="str">
        <f>HYPERLINK("https://www.youtube.com/channel/UCXKg0qPRz32bs5Z4mTGF3TQ", "Stormtrooper白兵")</f>
        <v>Stormtrooper白兵</v>
      </c>
      <c r="C2105" s="80" t="s">
        <v>2382</v>
      </c>
      <c r="D2105" s="81" t="str">
        <f>HYPERLINK("https://youtube.com/watch?v=vJMuc8D0c90", "[現代深層國家]Deep State代理人－克林頓基金會｜選舉舞弊幕後黑手、美國政府背後的龐大勢力，真正的通俄門！拜登已成傀儡？！私通中共、中東國家、恐怖分子！入錢就能解決「煩惱」！搵銀數十億！")</f>
        <v>[現代深層國家]Deep State代理人－克林頓基金會｜選舉舞弊幕後黑手、美國政府背後的龐大勢力，真正的通俄門！拜登已成傀儡？！私通中共、中東國家、恐怖分子！入錢就能解決「煩惱」！搵銀數十億！</v>
      </c>
      <c r="E2105" s="82">
        <v>44154.0</v>
      </c>
      <c r="F2105" s="80">
        <v>1116.0</v>
      </c>
      <c r="G2105" s="80" t="s">
        <v>63</v>
      </c>
      <c r="H2105" s="80" t="s">
        <v>63</v>
      </c>
      <c r="I2105" s="80" t="s">
        <v>63</v>
      </c>
      <c r="J2105" s="80">
        <v>4872.0</v>
      </c>
      <c r="K2105" s="80">
        <v>0.90272373540856</v>
      </c>
      <c r="L2105" s="80" t="s">
        <v>86</v>
      </c>
    </row>
    <row r="2106">
      <c r="A2106" s="80" t="s">
        <v>94</v>
      </c>
      <c r="B2106" s="81" t="str">
        <f>HYPERLINK("https://www.youtube.com/channel/UCT_dMyI3pNselsmfR6FC8tQ", "PrideLab")</f>
        <v>PrideLab</v>
      </c>
      <c r="C2106" s="80" t="s">
        <v>2383</v>
      </c>
      <c r="D2106" s="81" t="str">
        <f>HYPERLINK("https://youtube.com/watch?v=vK2yoiqOxXM", "跨仔 x TB 傾多啲")</f>
        <v>跨仔 x TB 傾多啲</v>
      </c>
      <c r="E2106" s="82">
        <v>42671.0</v>
      </c>
      <c r="F2106" s="80">
        <v>280.0</v>
      </c>
      <c r="G2106" s="80" t="s">
        <v>63</v>
      </c>
      <c r="I2106" s="80" t="s">
        <v>63</v>
      </c>
      <c r="J2106" s="80">
        <v>808.0</v>
      </c>
      <c r="K2106" s="80">
        <v>0.981773997569866</v>
      </c>
      <c r="L2106" s="80" t="s">
        <v>64</v>
      </c>
    </row>
    <row r="2107">
      <c r="A2107" s="80" t="s">
        <v>112</v>
      </c>
      <c r="B2107" s="81" t="str">
        <f>HYPERLINK("https://www.youtube.com/channel/UCW_n_gfIv4HhRqCk8EnRhJA", "Happy Kongner")</f>
        <v>Happy Kongner</v>
      </c>
      <c r="C2107" s="80" t="s">
        <v>2384</v>
      </c>
      <c r="D2107" s="81" t="str">
        <f>HYPERLINK("https://youtube.com/watch?v=vNkf7ESQQGE", "成王之路：我哋同你對抗世界  [公仔書與卡通片:海賊王特輯 第六集]")</f>
        <v>成王之路：我哋同你對抗世界  [公仔書與卡通片:海賊王特輯 第六集]</v>
      </c>
      <c r="E2107" s="82">
        <v>43603.0</v>
      </c>
      <c r="F2107" s="80">
        <v>1068.0</v>
      </c>
      <c r="G2107" s="80" t="s">
        <v>63</v>
      </c>
      <c r="I2107" s="80" t="s">
        <v>63</v>
      </c>
      <c r="J2107" s="80">
        <v>4156.0</v>
      </c>
      <c r="K2107" s="80">
        <v>0.929130337581041</v>
      </c>
      <c r="L2107" s="80" t="s">
        <v>64</v>
      </c>
    </row>
    <row r="2108">
      <c r="A2108" s="80" t="s">
        <v>61</v>
      </c>
      <c r="B2108" s="81" t="str">
        <f>HYPERLINK("https://www.youtube.com/channel/UCJ4XVrJuqKHbc9yF9oUFseg", "MEeeep More")</f>
        <v>MEeeep More</v>
      </c>
      <c r="C2108" s="80" t="s">
        <v>2385</v>
      </c>
      <c r="D2108" s="81" t="str">
        <f>HYPERLINK("https://youtube.com/watch?v=vO9afEpXEek", "HUAWEI 華為 P40 Pro+ 登場！Galaxy S20 Ultra 天敵？ 10倍光學變焦 40W 無線快充 你又Buy唔Buy？ P40 Pro Plus P40 香港5G Z世代達人")</f>
        <v>HUAWEI 華為 P40 Pro+ 登場！Galaxy S20 Ultra 天敵？ 10倍光學變焦 40W 無線快充 你又Buy唔Buy？ P40 Pro Plus P40 香港5G Z世代達人</v>
      </c>
      <c r="E2108" s="82">
        <v>43994.0</v>
      </c>
      <c r="F2108" s="80">
        <v>214.0</v>
      </c>
      <c r="G2108" s="80" t="s">
        <v>63</v>
      </c>
      <c r="I2108" s="80" t="s">
        <v>63</v>
      </c>
      <c r="J2108" s="80">
        <v>493.0</v>
      </c>
      <c r="K2108" s="80">
        <v>0.696327683615819</v>
      </c>
      <c r="L2108" s="80" t="s">
        <v>64</v>
      </c>
    </row>
    <row r="2109">
      <c r="A2109" s="80" t="s">
        <v>1183</v>
      </c>
      <c r="B2109" s="81" t="str">
        <f>HYPERLINK("https://www.youtube.com/channel/UCPBBbFYG51QpjuptQtYfCDA", "siuwaiboy")</f>
        <v>siuwaiboy</v>
      </c>
      <c r="C2109" s="80" t="s">
        <v>2386</v>
      </c>
      <c r="D2109" s="81" t="str">
        <f>HYPERLINK("https://youtube.com/watch?v=vSHEpk2fmrE", "成績差如何向媽媽解釋？")</f>
        <v>成績差如何向媽媽解釋？</v>
      </c>
      <c r="E2109" s="82">
        <v>43167.0</v>
      </c>
      <c r="F2109" s="80">
        <v>119.0</v>
      </c>
      <c r="G2109" s="80" t="s">
        <v>63</v>
      </c>
      <c r="I2109" s="80" t="s">
        <v>63</v>
      </c>
      <c r="J2109" s="80">
        <v>316.0</v>
      </c>
      <c r="K2109" s="80">
        <v>0.946107784431137</v>
      </c>
      <c r="L2109" s="80" t="s">
        <v>521</v>
      </c>
    </row>
    <row r="2110">
      <c r="A2110" s="80" t="s">
        <v>61</v>
      </c>
      <c r="B2110" s="81" t="str">
        <f>HYPERLINK("https://www.youtube.com/channel/UCJ4XVrJuqKHbc9yF9oUFseg", "MEeeep More")</f>
        <v>MEeeep More</v>
      </c>
      <c r="C2110" s="80" t="s">
        <v>2387</v>
      </c>
      <c r="D2110" s="81" t="str">
        <f>HYPERLINK("https://youtube.com/watch?v=vZ22OvlOrpQ", "[性價比手機] Nokia C20 開箱評測  $798 大螢幕+全新 Android Go 三卡插槽 雙卡雙待 | nokiac20 雙sim卡 nokia 2021 新機 入門級手機")</f>
        <v>[性價比手機] Nokia C20 開箱評測  $798 大螢幕+全新 Android Go 三卡插槽 雙卡雙待 | nokiac20 雙sim卡 nokia 2021 新機 入門級手機</v>
      </c>
      <c r="E2110" s="82">
        <v>44459.0</v>
      </c>
      <c r="F2110" s="80">
        <v>156.0</v>
      </c>
      <c r="G2110" s="80" t="s">
        <v>63</v>
      </c>
      <c r="I2110" s="80" t="s">
        <v>63</v>
      </c>
      <c r="J2110" s="80">
        <v>382.0</v>
      </c>
      <c r="K2110" s="80">
        <v>0.683363148479427</v>
      </c>
      <c r="L2110" s="80" t="s">
        <v>64</v>
      </c>
    </row>
    <row r="2111">
      <c r="A2111" s="80" t="s">
        <v>112</v>
      </c>
      <c r="B2111" s="81" t="str">
        <f>HYPERLINK("https://www.youtube.com/channel/UCW_n_gfIv4HhRqCk8EnRhJA", "Happy Kongner")</f>
        <v>Happy Kongner</v>
      </c>
      <c r="C2111" s="80" t="s">
        <v>2388</v>
      </c>
      <c r="D2111" s="81" t="str">
        <f>HYPERLINK("https://youtube.com/watch?v=v_3Py8LCxko", "因畫風而唔睇就走寶！ JOJO奇妙冒險第一季觀後感 [公仔書與卡通片 EP12]")</f>
        <v>因畫風而唔睇就走寶！ JOJO奇妙冒險第一季觀後感 [公仔書與卡通片 EP12]</v>
      </c>
      <c r="E2111" s="82">
        <v>43364.0</v>
      </c>
      <c r="F2111" s="80">
        <v>622.0</v>
      </c>
      <c r="G2111" s="80" t="s">
        <v>63</v>
      </c>
      <c r="I2111" s="80" t="s">
        <v>63</v>
      </c>
      <c r="J2111" s="80">
        <v>3180.0</v>
      </c>
      <c r="K2111" s="80">
        <v>0.858067997841338</v>
      </c>
      <c r="L2111" s="80" t="s">
        <v>64</v>
      </c>
    </row>
    <row r="2112">
      <c r="A2112" s="80" t="s">
        <v>61</v>
      </c>
      <c r="B2112" s="81" t="str">
        <f>HYPERLINK("https://www.youtube.com/channel/UCJ4XVrJuqKHbc9yF9oUFseg", "MEeeep More")</f>
        <v>MEeeep More</v>
      </c>
      <c r="C2112" s="80" t="s">
        <v>2389</v>
      </c>
      <c r="D2112" s="81" t="str">
        <f>HYPERLINK("https://youtube.com/watch?v=v_qrqia9Dgw", "【澳洲自駕遊2020】 澳洲墨爾本近距離睇樹熊！生態旅遊第一步！- 食玩飛常遊 Koala Conservation Centre")</f>
        <v>【澳洲自駕遊2020】 澳洲墨爾本近距離睇樹熊！生態旅遊第一步！- 食玩飛常遊 Koala Conservation Centre</v>
      </c>
      <c r="E2112" s="82">
        <v>43899.0</v>
      </c>
      <c r="F2112" s="80">
        <v>132.0</v>
      </c>
      <c r="G2112" s="80" t="s">
        <v>63</v>
      </c>
      <c r="I2112" s="80" t="s">
        <v>63</v>
      </c>
      <c r="J2112" s="80">
        <v>312.0</v>
      </c>
      <c r="K2112" s="80">
        <v>0.781954887218045</v>
      </c>
      <c r="L2112" s="80" t="s">
        <v>64</v>
      </c>
    </row>
    <row r="2113">
      <c r="A2113" s="80" t="s">
        <v>219</v>
      </c>
      <c r="B2113" s="81" t="str">
        <f>HYPERLINK("https://www.youtube.com/channel/UC9_PnptBIpNF0JXbJjd8TsQ", "Brown's Channel")</f>
        <v>Brown's Channel</v>
      </c>
      <c r="C2113" s="80" t="s">
        <v>2390</v>
      </c>
      <c r="D2113" s="81" t="str">
        <f>HYPERLINK("https://youtube.com/watch?v=va9uBxvFm9Q", "【一隻熊仔去旅行@香港】#2 LINE Friends World Festival -- 帶你喺香港環遊世界")</f>
        <v>【一隻熊仔去旅行@香港】#2 LINE Friends World Festival -- 帶你喺香港環遊世界</v>
      </c>
      <c r="E2113" s="82">
        <v>44421.0</v>
      </c>
      <c r="F2113" s="80">
        <v>759.0</v>
      </c>
      <c r="G2113" s="80" t="s">
        <v>63</v>
      </c>
      <c r="I2113" s="80" t="s">
        <v>63</v>
      </c>
      <c r="J2113" s="80">
        <v>2587.0</v>
      </c>
      <c r="K2113" s="80">
        <v>0.79796421961752</v>
      </c>
      <c r="L2113" s="80" t="s">
        <v>64</v>
      </c>
    </row>
    <row r="2114">
      <c r="A2114" s="80" t="s">
        <v>71</v>
      </c>
      <c r="B2114" s="81" t="str">
        <f>HYPERLINK("https://www.youtube.com/channel/UCXTE-gQCetfrx_lC9yFM2aw", "arhoTV")</f>
        <v>arhoTV</v>
      </c>
      <c r="C2114" s="80" t="s">
        <v>2391</v>
      </c>
      <c r="D2114" s="81" t="str">
        <f>HYPERLINK("https://youtube.com/watch?v=vb4mtra366Q", "【飲食】史上最強薄荷朱古力！")</f>
        <v>【飲食】史上最強薄荷朱古力！</v>
      </c>
      <c r="E2114" s="82">
        <v>42840.0</v>
      </c>
      <c r="F2114" s="80">
        <v>251.0</v>
      </c>
      <c r="G2114" s="80" t="s">
        <v>63</v>
      </c>
      <c r="H2114" s="80" t="s">
        <v>63</v>
      </c>
      <c r="I2114" s="80" t="s">
        <v>63</v>
      </c>
      <c r="J2114" s="80">
        <v>1305.0</v>
      </c>
      <c r="K2114" s="80">
        <v>0.964523281596452</v>
      </c>
      <c r="L2114" s="80" t="s">
        <v>120</v>
      </c>
    </row>
    <row r="2115">
      <c r="A2115" s="80" t="s">
        <v>1039</v>
      </c>
      <c r="B2115" s="81" t="str">
        <f>HYPERLINK("https://www.youtube.com/channel/UCiKEIxbv4RTzyLCKG17N-AA", "Hunting Archer")</f>
        <v>Hunting Archer</v>
      </c>
      <c r="C2115" s="80" t="s">
        <v>2392</v>
      </c>
      <c r="D2115" s="81" t="str">
        <f>HYPERLINK("https://youtube.com/watch?v=vdGLzVvQbCo", "【广州漫步之驾游广州】驾游观看由可能是广州最长的道路-广州大道 【Walk in GuangZhou】（粤语中字）")</f>
        <v>【广州漫步之驾游广州】驾游观看由可能是广州最长的道路-广州大道 【Walk in GuangZhou】（粤语中字）</v>
      </c>
      <c r="E2115" s="82">
        <v>44320.0</v>
      </c>
      <c r="F2115" s="80">
        <v>2642.0</v>
      </c>
      <c r="G2115" s="80" t="s">
        <v>63</v>
      </c>
      <c r="I2115" s="80" t="s">
        <v>63</v>
      </c>
      <c r="J2115" s="80">
        <v>6696.0</v>
      </c>
      <c r="K2115" s="80">
        <v>0.991119005328596</v>
      </c>
      <c r="L2115" s="80" t="s">
        <v>776</v>
      </c>
    </row>
    <row r="2116">
      <c r="A2116" s="80" t="s">
        <v>61</v>
      </c>
      <c r="B2116" s="81" t="str">
        <f>HYPERLINK("https://www.youtube.com/channel/UCJ4XVrJuqKHbc9yF9oUFseg", "MEeeep More")</f>
        <v>MEeeep More</v>
      </c>
      <c r="C2116" s="80" t="s">
        <v>2393</v>
      </c>
      <c r="D2116" s="81" t="str">
        <f>HYPERLINK("https://youtube.com/watch?v=vfPMDi4nCNI", "電子收據來了！Moneyback易賞錢電子收據 全港百佳屈臣氏都用到！")</f>
        <v>電子收據來了！Moneyback易賞錢電子收據 全港百佳屈臣氏都用到！</v>
      </c>
      <c r="E2116" s="82">
        <v>44182.0</v>
      </c>
      <c r="F2116" s="80">
        <v>109.0</v>
      </c>
      <c r="G2116" s="80" t="s">
        <v>63</v>
      </c>
      <c r="I2116" s="80" t="s">
        <v>63</v>
      </c>
      <c r="J2116" s="80">
        <v>228.0</v>
      </c>
      <c r="K2116" s="80">
        <v>0.662790697674418</v>
      </c>
      <c r="L2116" s="80" t="s">
        <v>64</v>
      </c>
    </row>
    <row r="2117">
      <c r="A2117" s="80" t="s">
        <v>96</v>
      </c>
      <c r="B2117" s="81" t="str">
        <f>HYPERLINK("https://www.youtube.com/channel/UCGtyHJ-L_4RDIHe3XaLofQQ", "Anson Cheung")</f>
        <v>Anson Cheung</v>
      </c>
      <c r="C2117" s="80" t="s">
        <v>2394</v>
      </c>
      <c r="D2117" s="81" t="str">
        <f>HYPERLINK("https://youtube.com/watch?v=vghPVMVG3n0", "【致我曾經最愛的廠商】親愛的HTC：你的野心呢？｜HTC U20 5G 評測")</f>
        <v>【致我曾經最愛的廠商】親愛的HTC：你的野心呢？｜HTC U20 5G 評測</v>
      </c>
      <c r="E2117" s="82">
        <v>44218.0</v>
      </c>
      <c r="F2117" s="80">
        <v>724.0</v>
      </c>
      <c r="G2117" s="80" t="s">
        <v>63</v>
      </c>
      <c r="I2117" s="80" t="s">
        <v>63</v>
      </c>
      <c r="J2117" s="80">
        <v>2362.0</v>
      </c>
      <c r="K2117" s="80">
        <v>0.731722428748451</v>
      </c>
      <c r="L2117" s="80" t="s">
        <v>64</v>
      </c>
    </row>
    <row r="2118">
      <c r="A2118" s="80" t="s">
        <v>1118</v>
      </c>
      <c r="B2118" s="81" t="str">
        <f>HYPERLINK("https://www.youtube.com/channel/UCeyXZA7ofepOhL9Z9BATC1w", "80後夫婦移英日記 80s Couple UK Diary")</f>
        <v>80後夫婦移英日記 80s Couple UK Diary</v>
      </c>
      <c r="C2118" s="80" t="s">
        <v>2395</v>
      </c>
      <c r="D2118" s="81" t="str">
        <f>HYPERLINK("https://youtube.com/watch?v=vkYCPJZ8Kuk", "到埗英國~~ 落機即被攔住~~ 黃色地區隔離期只需 6 日~~ Santander International 張卡用唔到~~ 一星期網上申請埋 NI仲買埋車添!!")</f>
        <v>到埗英國~~ 落機即被攔住~~ 黃色地區隔離期只需 6 日~~ Santander International 張卡用唔到~~ 一星期網上申請埋 NI仲買埋車添!!</v>
      </c>
      <c r="E2118" s="82">
        <v>44398.0</v>
      </c>
      <c r="F2118" s="80">
        <v>339.0</v>
      </c>
      <c r="G2118" s="80" t="s">
        <v>63</v>
      </c>
      <c r="I2118" s="80" t="s">
        <v>63</v>
      </c>
      <c r="J2118" s="80">
        <v>1099.0</v>
      </c>
      <c r="K2118" s="80">
        <v>0.759502418797512</v>
      </c>
      <c r="L2118" s="80" t="s">
        <v>102</v>
      </c>
    </row>
    <row r="2119">
      <c r="A2119" s="80" t="s">
        <v>74</v>
      </c>
      <c r="B2119" s="81" t="str">
        <f t="shared" ref="B2119:B2120" si="95">HYPERLINK("https://www.youtube.com/channel/UCO_5XP-qd-udNxBlzzSzgvw", "Handline Fishing")</f>
        <v>Handline Fishing</v>
      </c>
      <c r="C2119" s="80" t="s">
        <v>2396</v>
      </c>
      <c r="D2119" s="81" t="str">
        <f>HYPERLINK("https://youtube.com/watch?v=vodL3CzxB1c", "#104 筏仔釣魚，又多張新郵票，星星泥鯭『香港釣魚 : 岸釣』東涌橋墩 {粵語旁白+中英文字幕}")</f>
        <v>#104 筏仔釣魚，又多張新郵票，星星泥鯭『香港釣魚 : 岸釣』東涌橋墩 {粵語旁白+中英文字幕}</v>
      </c>
      <c r="E2119" s="82">
        <v>43942.0</v>
      </c>
      <c r="F2119" s="80">
        <v>294.0</v>
      </c>
      <c r="G2119" s="80" t="s">
        <v>63</v>
      </c>
      <c r="I2119" s="80" t="s">
        <v>63</v>
      </c>
      <c r="J2119" s="80">
        <v>903.0</v>
      </c>
      <c r="K2119" s="80">
        <v>0.941605839416058</v>
      </c>
      <c r="L2119" s="80" t="s">
        <v>76</v>
      </c>
    </row>
    <row r="2120">
      <c r="A2120" s="80" t="s">
        <v>74</v>
      </c>
      <c r="B2120" s="81" t="str">
        <f t="shared" si="95"/>
        <v>Handline Fishing</v>
      </c>
      <c r="C2120" s="80" t="s">
        <v>2397</v>
      </c>
      <c r="D2120" s="81" t="str">
        <f>HYPERLINK("https://youtube.com/watch?v=vppOsqu-H38", "#166 陪天使釣魚，我再睇多次幻彩詠香江 | 『香港釣魚 : 艇釣』維港 {粵語旁白+中英文字幕}")</f>
        <v>#166 陪天使釣魚，我再睇多次幻彩詠香江 | 『香港釣魚 : 艇釣』維港 {粵語旁白+中英文字幕}</v>
      </c>
      <c r="E2120" s="82">
        <v>44155.0</v>
      </c>
      <c r="F2120" s="80">
        <v>417.0</v>
      </c>
      <c r="G2120" s="80" t="s">
        <v>63</v>
      </c>
      <c r="I2120" s="80" t="s">
        <v>63</v>
      </c>
      <c r="J2120" s="80">
        <v>638.0</v>
      </c>
      <c r="K2120" s="80">
        <v>0.971080669710806</v>
      </c>
      <c r="L2120" s="80" t="s">
        <v>271</v>
      </c>
    </row>
    <row r="2121">
      <c r="A2121" s="80" t="s">
        <v>957</v>
      </c>
      <c r="B2121" s="81" t="str">
        <f>HYPERLINK("https://www.youtube.com/channel/UCNdV5VO81YBe5rfhOz1wRmA", "Con爆TV")</f>
        <v>Con爆TV</v>
      </c>
      <c r="C2121" s="80" t="s">
        <v>2398</v>
      </c>
      <c r="D2121" s="81" t="str">
        <f>HYPERLINK("https://youtube.com/watch?v=vseLcaO0YKA", "【PAD/Puzzle &amp; Dragons パズドラ】有宙斯有王冠？! 5100萬DL記念杯高分解說")</f>
        <v>【PAD/Puzzle &amp; Dragons パズドラ】有宙斯有王冠？! 5100萬DL記念杯高分解說</v>
      </c>
      <c r="E2121" s="82">
        <v>43499.0</v>
      </c>
      <c r="F2121" s="80">
        <v>491.0</v>
      </c>
      <c r="G2121" s="80" t="s">
        <v>63</v>
      </c>
      <c r="I2121" s="80" t="s">
        <v>63</v>
      </c>
      <c r="J2121" s="80">
        <v>606.0</v>
      </c>
      <c r="K2121" s="80">
        <v>0.922374429223744</v>
      </c>
      <c r="L2121" s="80" t="s">
        <v>64</v>
      </c>
    </row>
    <row r="2122">
      <c r="A2122" s="80" t="s">
        <v>74</v>
      </c>
      <c r="B2122" s="81" t="str">
        <f>HYPERLINK("https://www.youtube.com/channel/UCO_5XP-qd-udNxBlzzSzgvw", "Handline Fishing")</f>
        <v>Handline Fishing</v>
      </c>
      <c r="C2122" s="80" t="s">
        <v>2399</v>
      </c>
      <c r="D2122" s="81" t="str">
        <f>HYPERLINK("https://youtube.com/watch?v=vuy9KPinW4s", "#127 玩轉香港仔大頭艇 家姐篇『香港釣魚 : 艇釣』南丫島 {粵語旁白+中英文字幕}")</f>
        <v>#127 玩轉香港仔大頭艇 家姐篇『香港釣魚 : 艇釣』南丫島 {粵語旁白+中英文字幕}</v>
      </c>
      <c r="E2122" s="82">
        <v>44010.0</v>
      </c>
      <c r="F2122" s="80">
        <v>448.0</v>
      </c>
      <c r="G2122" s="80" t="s">
        <v>63</v>
      </c>
      <c r="I2122" s="80" t="s">
        <v>63</v>
      </c>
      <c r="J2122" s="80">
        <v>1536.0</v>
      </c>
      <c r="K2122" s="80">
        <v>0.952853598014888</v>
      </c>
      <c r="L2122" s="80" t="s">
        <v>76</v>
      </c>
    </row>
    <row r="2123">
      <c r="A2123" s="80" t="s">
        <v>61</v>
      </c>
      <c r="B2123" s="81" t="str">
        <f>HYPERLINK("https://www.youtube.com/channel/UCJ4XVrJuqKHbc9yF9oUFseg", "MEeeep More")</f>
        <v>MEeeep More</v>
      </c>
      <c r="C2123" s="80" t="s">
        <v>2400</v>
      </c>
      <c r="D2123" s="81" t="str">
        <f>HYPERLINK("https://youtube.com/watch?v=vxBosekJRRk", "iPhone方便隱藏功能你要知！教你免App免安裝 即轉PDF！iphone pdf printer | pdf iphone iphone12 iphone12pro iphone12promax")</f>
        <v>iPhone方便隱藏功能你要知！教你免App免安裝 即轉PDF！iphone pdf printer | pdf iphone iphone12 iphone12pro iphone12promax</v>
      </c>
      <c r="E2123" s="82">
        <v>44270.0</v>
      </c>
      <c r="F2123" s="80">
        <v>114.0</v>
      </c>
      <c r="G2123" s="80" t="s">
        <v>63</v>
      </c>
      <c r="I2123" s="80" t="s">
        <v>63</v>
      </c>
      <c r="J2123" s="80">
        <v>289.0</v>
      </c>
      <c r="K2123" s="80">
        <v>0.640798226164079</v>
      </c>
      <c r="L2123" s="80" t="s">
        <v>64</v>
      </c>
    </row>
    <row r="2124">
      <c r="A2124" s="80" t="s">
        <v>96</v>
      </c>
      <c r="B2124" s="81" t="str">
        <f>HYPERLINK("https://www.youtube.com/channel/UCGtyHJ-L_4RDIHe3XaLofQQ", "Anson Cheung")</f>
        <v>Anson Cheung</v>
      </c>
      <c r="C2124" s="80" t="s">
        <v>2401</v>
      </c>
      <c r="D2124" s="81" t="str">
        <f>HYPERLINK("https://youtube.com/watch?v=w2Dn6kNA74I", "Samsung Galaxy Z Fold 2 會成為未來手機的主流？🤔 | Samsung Galaxy Z Fold 2 評測")</f>
        <v>Samsung Galaxy Z Fold 2 會成為未來手機的主流？🤔 | Samsung Galaxy Z Fold 2 評測</v>
      </c>
      <c r="E2124" s="82">
        <v>44119.0</v>
      </c>
      <c r="F2124" s="80">
        <v>527.0</v>
      </c>
      <c r="G2124" s="80" t="s">
        <v>63</v>
      </c>
      <c r="I2124" s="80" t="s">
        <v>63</v>
      </c>
      <c r="J2124" s="80">
        <v>1883.0</v>
      </c>
      <c r="K2124" s="80">
        <v>0.68422965116279</v>
      </c>
      <c r="L2124" s="80" t="s">
        <v>64</v>
      </c>
    </row>
    <row r="2125">
      <c r="A2125" s="80" t="s">
        <v>1039</v>
      </c>
      <c r="B2125" s="81" t="str">
        <f>HYPERLINK("https://www.youtube.com/channel/UCiKEIxbv4RTzyLCKG17N-AA", "Hunting Archer")</f>
        <v>Hunting Archer</v>
      </c>
      <c r="C2125" s="80" t="s">
        <v>2402</v>
      </c>
      <c r="D2125" s="81" t="str">
        <f>HYPERLINK("https://youtube.com/watch?v=w4vQYYCeE6c", "【广州漫步】员村地铁站上班高峰期实录 【Walk in GuangZhou】（粤语中字）")</f>
        <v>【广州漫步】员村地铁站上班高峰期实录 【Walk in GuangZhou】（粤语中字）</v>
      </c>
      <c r="E2125" s="82">
        <v>44319.0</v>
      </c>
      <c r="F2125" s="80">
        <v>2599.0</v>
      </c>
      <c r="G2125" s="80" t="s">
        <v>63</v>
      </c>
      <c r="I2125" s="80" t="s">
        <v>63</v>
      </c>
      <c r="J2125" s="80">
        <v>7846.0</v>
      </c>
      <c r="K2125" s="80">
        <v>0.992285316807891</v>
      </c>
      <c r="L2125" s="80" t="s">
        <v>2403</v>
      </c>
    </row>
    <row r="2126">
      <c r="A2126" s="80" t="s">
        <v>74</v>
      </c>
      <c r="B2126" s="81" t="str">
        <f>HYPERLINK("https://www.youtube.com/channel/UCO_5XP-qd-udNxBlzzSzgvw", "Handline Fishing")</f>
        <v>Handline Fishing</v>
      </c>
      <c r="C2126" s="80" t="s">
        <v>2404</v>
      </c>
      <c r="D2126" s="81" t="str">
        <f>HYPERLINK("https://youtube.com/watch?v=w69E1hgby7g", "#210 與兩位龜密勇闖西水 | 『香港釣魚 : 艇釣』青龍頭 {粵語旁白+中英文字幕}")</f>
        <v>#210 與兩位龜密勇闖西水 | 『香港釣魚 : 艇釣』青龍頭 {粵語旁白+中英文字幕}</v>
      </c>
      <c r="E2126" s="82">
        <v>44326.0</v>
      </c>
      <c r="F2126" s="80">
        <v>389.0</v>
      </c>
      <c r="G2126" s="80" t="s">
        <v>63</v>
      </c>
      <c r="H2126" s="80" t="s">
        <v>63</v>
      </c>
      <c r="I2126" s="80" t="s">
        <v>63</v>
      </c>
      <c r="J2126" s="80">
        <v>357.0</v>
      </c>
      <c r="K2126" s="80">
        <v>0.964864864864864</v>
      </c>
      <c r="L2126" s="80" t="s">
        <v>88</v>
      </c>
    </row>
    <row r="2127">
      <c r="A2127" s="80" t="s">
        <v>94</v>
      </c>
      <c r="B2127" s="81" t="str">
        <f>HYPERLINK("https://www.youtube.com/channel/UCT_dMyI3pNselsmfR6FC8tQ", "PrideLab")</f>
        <v>PrideLab</v>
      </c>
      <c r="C2127" s="80" t="s">
        <v>2405</v>
      </c>
      <c r="D2127" s="81" t="str">
        <f>HYPERLINK("https://youtube.com/watch?v=w6V0_ZbKJ4g", "暢通易達不「易達」平機會：政府應將心比己")</f>
        <v>暢通易達不「易達」平機會：政府應將心比己</v>
      </c>
      <c r="E2127" s="82">
        <v>42756.0</v>
      </c>
      <c r="F2127" s="80">
        <v>410.0</v>
      </c>
      <c r="G2127" s="80" t="s">
        <v>63</v>
      </c>
      <c r="I2127" s="80" t="s">
        <v>63</v>
      </c>
      <c r="J2127" s="80">
        <v>1672.0</v>
      </c>
      <c r="K2127" s="80">
        <v>0.977777777777777</v>
      </c>
      <c r="L2127" s="80" t="s">
        <v>64</v>
      </c>
    </row>
    <row r="2128">
      <c r="A2128" s="80" t="s">
        <v>112</v>
      </c>
      <c r="B2128" s="81" t="str">
        <f>HYPERLINK("https://www.youtube.com/channel/UCW_n_gfIv4HhRqCk8EnRhJA", "Happy Kongner")</f>
        <v>Happy Kongner</v>
      </c>
      <c r="C2128" s="80" t="s">
        <v>2406</v>
      </c>
      <c r="D2128" s="81" t="str">
        <f>HYPERLINK("https://youtube.com/watch?v=w7LH25vOd58", "一個非典型敘述性詭計騙局—《從前...有個荷里活》 Once Upon a Time... in Hollywood [𠝹櫈電影學會]")</f>
        <v>一個非典型敘述性詭計騙局—《從前...有個荷里活》 Once Upon a Time... in Hollywood [𠝹櫈電影學會]</v>
      </c>
      <c r="E2128" s="82">
        <v>43712.0</v>
      </c>
      <c r="F2128" s="80">
        <v>1040.0</v>
      </c>
      <c r="G2128" s="80" t="s">
        <v>63</v>
      </c>
      <c r="I2128" s="80" t="s">
        <v>63</v>
      </c>
      <c r="J2128" s="80">
        <v>4891.0</v>
      </c>
      <c r="K2128" s="80">
        <v>0.758647432914533</v>
      </c>
      <c r="L2128" s="80" t="s">
        <v>64</v>
      </c>
    </row>
    <row r="2129">
      <c r="A2129" s="80" t="s">
        <v>74</v>
      </c>
      <c r="B2129" s="81" t="str">
        <f>HYPERLINK("https://www.youtube.com/channel/UCO_5XP-qd-udNxBlzzSzgvw", "Handline Fishing")</f>
        <v>Handline Fishing</v>
      </c>
      <c r="C2129" s="80" t="s">
        <v>2407</v>
      </c>
      <c r="D2129" s="81" t="str">
        <f>HYPERLINK("https://youtube.com/watch?v=w7XIJOU6cZc", "#202 維港，永遠充滿驚喜的釣場 |『香港釣魚 : 艇釣』維港 {粵語旁白+中英文字幕}")</f>
        <v>#202 維港，永遠充滿驚喜的釣場 |『香港釣魚 : 艇釣』維港 {粵語旁白+中英文字幕}</v>
      </c>
      <c r="E2129" s="82">
        <v>44294.0</v>
      </c>
      <c r="F2129" s="80">
        <v>685.0</v>
      </c>
      <c r="G2129" s="80" t="s">
        <v>63</v>
      </c>
      <c r="H2129" s="80" t="s">
        <v>63</v>
      </c>
      <c r="I2129" s="80" t="s">
        <v>63</v>
      </c>
      <c r="J2129" s="80">
        <v>530.0</v>
      </c>
      <c r="K2129" s="80">
        <v>0.970178926441351</v>
      </c>
      <c r="L2129" s="80" t="s">
        <v>88</v>
      </c>
    </row>
    <row r="2130">
      <c r="A2130" s="80" t="s">
        <v>96</v>
      </c>
      <c r="B2130" s="81" t="str">
        <f>HYPERLINK("https://www.youtube.com/channel/UCGtyHJ-L_4RDIHe3XaLofQQ", "Anson Cheung")</f>
        <v>Anson Cheung</v>
      </c>
      <c r="C2130" s="80" t="s">
        <v>2408</v>
      </c>
      <c r="D2130" s="81" t="str">
        <f>HYPERLINK("https://youtube.com/watch?v=w7YTwgC9XaM", "我的第一對發燒級真無線耳機：FoKus Pro by Noble Audio")</f>
        <v>我的第一對發燒級真無線耳機：FoKus Pro by Noble Audio</v>
      </c>
      <c r="E2130" s="82">
        <v>44470.0</v>
      </c>
      <c r="F2130" s="80">
        <v>433.0</v>
      </c>
      <c r="G2130" s="80" t="s">
        <v>63</v>
      </c>
      <c r="I2130" s="80" t="s">
        <v>63</v>
      </c>
      <c r="J2130" s="80">
        <v>1696.0</v>
      </c>
      <c r="K2130" s="80">
        <v>0.647081266692102</v>
      </c>
      <c r="L2130" s="80" t="s">
        <v>64</v>
      </c>
    </row>
    <row r="2131">
      <c r="A2131" s="80" t="s">
        <v>74</v>
      </c>
      <c r="B2131" s="81" t="str">
        <f t="shared" ref="B2131:B2132" si="96">HYPERLINK("https://www.youtube.com/channel/UCO_5XP-qd-udNxBlzzSzgvw", "Handline Fishing")</f>
        <v>Handline Fishing</v>
      </c>
      <c r="C2131" s="80" t="s">
        <v>2409</v>
      </c>
      <c r="D2131" s="81" t="str">
        <f>HYPERLINK("https://youtube.com/watch?v=w9qPWWdLO0M", "#133 星期日 試餌 ｜『香港釣魚 : 岸釣』西區貨物裝卸區/豐物道 {粵語旁白+中英文字幕}")</f>
        <v>#133 星期日 試餌 ｜『香港釣魚 : 岸釣』西區貨物裝卸區/豐物道 {粵語旁白+中英文字幕}</v>
      </c>
      <c r="E2131" s="82">
        <v>44033.0</v>
      </c>
      <c r="F2131" s="80">
        <v>603.0</v>
      </c>
      <c r="G2131" s="80" t="s">
        <v>63</v>
      </c>
      <c r="I2131" s="80" t="s">
        <v>63</v>
      </c>
      <c r="J2131" s="80">
        <v>1990.0</v>
      </c>
      <c r="K2131" s="80">
        <v>0.967428293631502</v>
      </c>
      <c r="L2131" s="80" t="s">
        <v>76</v>
      </c>
    </row>
    <row r="2132">
      <c r="A2132" s="80" t="s">
        <v>74</v>
      </c>
      <c r="B2132" s="81" t="str">
        <f t="shared" si="96"/>
        <v>Handline Fishing</v>
      </c>
      <c r="C2132" s="80" t="s">
        <v>2410</v>
      </c>
      <c r="D2132" s="81" t="str">
        <f>HYPERLINK("https://youtube.com/watch?v=wCZCOe7rc7k", "#206 汲水門大雞魚，要揀住嚟釣 | 『香港釣魚 : 艇釣』青龍頭 {粵語旁白+中英文字幕}")</f>
        <v>#206 汲水門大雞魚，要揀住嚟釣 | 『香港釣魚 : 艇釣』青龍頭 {粵語旁白+中英文字幕}</v>
      </c>
      <c r="E2132" s="82">
        <v>44308.0</v>
      </c>
      <c r="F2132" s="80">
        <v>808.0</v>
      </c>
      <c r="G2132" s="80" t="s">
        <v>63</v>
      </c>
      <c r="H2132" s="80" t="s">
        <v>63</v>
      </c>
      <c r="I2132" s="80" t="s">
        <v>63</v>
      </c>
      <c r="J2132" s="80">
        <v>560.0</v>
      </c>
      <c r="K2132" s="80">
        <v>0.961111111111111</v>
      </c>
      <c r="L2132" s="80" t="s">
        <v>88</v>
      </c>
    </row>
    <row r="2133">
      <c r="A2133" s="80" t="s">
        <v>743</v>
      </c>
      <c r="B2133" s="81" t="str">
        <f>HYPERLINK("https://www.youtube.com/channel/UCe6qQ8zbYQJgTBnZ9wBzm9w", "Willy Lee")</f>
        <v>Willy Lee</v>
      </c>
      <c r="C2133" s="80" t="s">
        <v>2411</v>
      </c>
      <c r="D2133" s="81" t="str">
        <f>HYPERLINK("https://youtube.com/watch?v=wDJ6tgueYaw", "🇭🇰【行山】輕鬆！港島CP值最高既山！日落靚景、路程短、交通方便！仲可以睇到螢火蟲！紅香爐峰 - 航拍, 路線, 打卡位分享 - Willy Lee")</f>
        <v>🇭🇰【行山】輕鬆！港島CP值最高既山！日落靚景、路程短、交通方便！仲可以睇到螢火蟲！紅香爐峰 - 航拍, 路線, 打卡位分享 - Willy Lee</v>
      </c>
      <c r="E2133" s="82">
        <v>44165.0</v>
      </c>
      <c r="F2133" s="80">
        <v>372.0</v>
      </c>
      <c r="G2133" s="80" t="s">
        <v>63</v>
      </c>
      <c r="I2133" s="80" t="s">
        <v>63</v>
      </c>
      <c r="J2133" s="80">
        <v>1903.0</v>
      </c>
      <c r="K2133" s="80">
        <v>0.91139846743295</v>
      </c>
      <c r="L2133" s="80" t="s">
        <v>745</v>
      </c>
    </row>
    <row r="2134">
      <c r="A2134" s="80" t="s">
        <v>74</v>
      </c>
      <c r="B2134" s="81" t="str">
        <f>HYPERLINK("https://www.youtube.com/channel/UCO_5XP-qd-udNxBlzzSzgvw", "Handline Fishing")</f>
        <v>Handline Fishing</v>
      </c>
      <c r="C2134" s="80" t="s">
        <v>2412</v>
      </c>
      <c r="D2134" s="81" t="str">
        <f>HYPERLINK("https://youtube.com/watch?v=wHdEPGu8Wvg", "#258 再一次圓夢3大目標魚 | 香港釣魚 | 艇釣 | 汲水門 {粵語旁白+中英文字幕}")</f>
        <v>#258 再一次圓夢3大目標魚 | 香港釣魚 | 艇釣 | 汲水門 {粵語旁白+中英文字幕}</v>
      </c>
      <c r="E2134" s="82">
        <v>44533.0</v>
      </c>
      <c r="F2134" s="80">
        <v>520.0</v>
      </c>
      <c r="G2134" s="80" t="s">
        <v>63</v>
      </c>
      <c r="H2134" s="80" t="s">
        <v>63</v>
      </c>
      <c r="I2134" s="80" t="s">
        <v>63</v>
      </c>
      <c r="J2134" s="80">
        <v>576.0</v>
      </c>
      <c r="K2134" s="80">
        <v>0.981549815498155</v>
      </c>
      <c r="L2134" s="80" t="s">
        <v>88</v>
      </c>
    </row>
    <row r="2135">
      <c r="A2135" s="80" t="s">
        <v>1183</v>
      </c>
      <c r="B2135" s="81" t="str">
        <f>HYPERLINK("https://www.youtube.com/channel/UCPBBbFYG51QpjuptQtYfCDA", "siuwaiboy")</f>
        <v>siuwaiboy</v>
      </c>
      <c r="C2135" s="80" t="s">
        <v>2413</v>
      </c>
      <c r="D2135" s="81" t="str">
        <f>HYPERLINK("https://youtube.com/watch?v=wI9LjlKdEAw", "不要對我說這些話🙉")</f>
        <v>不要對我說這些話🙉</v>
      </c>
      <c r="E2135" s="82">
        <v>43321.0</v>
      </c>
      <c r="F2135" s="80">
        <v>111.0</v>
      </c>
      <c r="G2135" s="80" t="s">
        <v>63</v>
      </c>
      <c r="H2135" s="80" t="s">
        <v>63</v>
      </c>
      <c r="I2135" s="80" t="s">
        <v>63</v>
      </c>
      <c r="J2135" s="80">
        <v>379.0</v>
      </c>
      <c r="K2135" s="80">
        <v>1.0</v>
      </c>
      <c r="L2135" s="80" t="s">
        <v>86</v>
      </c>
    </row>
    <row r="2136">
      <c r="A2136" s="80" t="s">
        <v>2041</v>
      </c>
      <c r="B2136" s="81" t="str">
        <f>HYPERLINK("https://www.youtube.com/channel/UCO6pB-ZN4XJ6MVkibvuEe0A", "SingSingTracker 星昇財經指標")</f>
        <v>SingSingTracker 星昇財經指標</v>
      </c>
      <c r="C2136" s="80" t="s">
        <v>2414</v>
      </c>
      <c r="D2136" s="81" t="str">
        <f>HYPERLINK("https://youtube.com/watch?v=6ri-7Lg6cn8", "【全球晶片荒大趨勢❓】晶片市場值得入市？【點CC中文字幕】 #晶片荒 #晶片股 #台積電")</f>
        <v>【全球晶片荒大趨勢❓】晶片市場值得入市？【點CC中文字幕】 #晶片荒 #晶片股 #台積電</v>
      </c>
      <c r="E2136" s="82">
        <v>44322.0</v>
      </c>
      <c r="F2136" s="80">
        <v>416.0</v>
      </c>
      <c r="G2136" s="80" t="s">
        <v>63</v>
      </c>
      <c r="I2136" s="80" t="s">
        <v>63</v>
      </c>
      <c r="J2136" s="80">
        <v>1415.0</v>
      </c>
      <c r="K2136" s="80">
        <v>0.845280764635603</v>
      </c>
      <c r="L2136" s="80" t="s">
        <v>64</v>
      </c>
    </row>
    <row r="2137">
      <c r="A2137" s="80" t="s">
        <v>1016</v>
      </c>
      <c r="B2137" s="81" t="str">
        <f>HYPERLINK("https://www.youtube.com/channel/UCSbiR1l-cfzk44iTJVSAZVQ", "Rhapsody in Lingo")</f>
        <v>Rhapsody in Lingo</v>
      </c>
      <c r="C2137" s="80" t="s">
        <v>2415</v>
      </c>
      <c r="D2137" s="81" t="str">
        <f>HYPERLINK("https://youtube.com/watch?v=wLh5m17DIYc", "unorthodox hebrew learning [en sub/粵字] language learning update")</f>
        <v>unorthodox hebrew learning [en sub/粵字] language learning update</v>
      </c>
      <c r="E2137" s="82">
        <v>44277.0</v>
      </c>
      <c r="F2137" s="80">
        <v>1302.0</v>
      </c>
      <c r="G2137" s="80" t="s">
        <v>63</v>
      </c>
      <c r="I2137" s="80" t="s">
        <v>63</v>
      </c>
      <c r="J2137" s="80">
        <v>3879.0</v>
      </c>
      <c r="K2137" s="80">
        <v>0.912705882352941</v>
      </c>
      <c r="L2137" s="80" t="s">
        <v>105</v>
      </c>
    </row>
    <row r="2138">
      <c r="A2138" s="80" t="s">
        <v>1005</v>
      </c>
      <c r="B2138" s="81" t="str">
        <f>HYPERLINK("https://www.youtube.com/channel/UCOJ6DAid2DfCUlRpvAF1Ejw", "優化人生 Life Optimization")</f>
        <v>優化人生 Life Optimization</v>
      </c>
      <c r="C2138" s="80" t="s">
        <v>2416</v>
      </c>
      <c r="D2138" s="81" t="str">
        <f>HYPERLINK("https://youtube.com/watch?v=wOiWf7WP0kc", "要學好入酮先要瞭解點破酮【有字幕】｜ 每樣事物都有兩面，視乎我地點樣揀😎")</f>
        <v>要學好入酮先要瞭解點破酮【有字幕】｜ 每樣事物都有兩面，視乎我地點樣揀😎</v>
      </c>
      <c r="E2138" s="82">
        <v>43794.0</v>
      </c>
      <c r="F2138" s="80">
        <v>622.0</v>
      </c>
      <c r="G2138" s="80" t="s">
        <v>63</v>
      </c>
      <c r="I2138" s="80" t="s">
        <v>63</v>
      </c>
      <c r="J2138" s="80">
        <v>1592.0</v>
      </c>
      <c r="K2138" s="80">
        <v>0.985148514851485</v>
      </c>
      <c r="L2138" s="80" t="s">
        <v>64</v>
      </c>
    </row>
    <row r="2139">
      <c r="A2139" s="80" t="s">
        <v>217</v>
      </c>
      <c r="B2139" s="81" t="str">
        <f>HYPERLINK("https://www.youtube.com/channel/UCXKg0qPRz32bs5Z4mTGF3TQ", "Stormtrooper白兵")</f>
        <v>Stormtrooper白兵</v>
      </c>
      <c r="C2139" s="80" t="s">
        <v>2417</v>
      </c>
      <c r="D2139" s="81" t="str">
        <f>HYPERLINK("https://youtube.com/watch?v=wSZbvkuoMYM", "[隱瞞輻射]台山核電廠核洩漏的真相｜又關拜登兩父子事？｜會否重蹈切爾諾貝利覆轍？｜解構為何極權必然隱藏災難真相｜燒山話無事，香港人大難臨頭？｜粵語中字")</f>
        <v>[隱瞞輻射]台山核電廠核洩漏的真相｜又關拜登兩父子事？｜會否重蹈切爾諾貝利覆轍？｜解構為何極權必然隱藏災難真相｜燒山話無事，香港人大難臨頭？｜粵語中字</v>
      </c>
      <c r="E2139" s="82">
        <v>44364.0</v>
      </c>
      <c r="F2139" s="80">
        <v>984.0</v>
      </c>
      <c r="G2139" s="80" t="s">
        <v>63</v>
      </c>
      <c r="H2139" s="80" t="s">
        <v>63</v>
      </c>
      <c r="I2139" s="80" t="s">
        <v>63</v>
      </c>
      <c r="J2139" s="80">
        <v>4075.0</v>
      </c>
      <c r="K2139" s="80">
        <v>0.942605878268919</v>
      </c>
      <c r="L2139" s="80" t="s">
        <v>86</v>
      </c>
    </row>
    <row r="2140">
      <c r="A2140" s="80" t="s">
        <v>957</v>
      </c>
      <c r="B2140" s="81" t="str">
        <f>HYPERLINK("https://www.youtube.com/channel/UCNdV5VO81YBe5rfhOz1wRmA", "Con爆TV")</f>
        <v>Con爆TV</v>
      </c>
      <c r="C2140" s="80" t="s">
        <v>2418</v>
      </c>
      <c r="D2140" s="81" t="str">
        <f>HYPERLINK("https://youtube.com/watch?v=wZzx9XkA-_E", "【PAD速報】5100萬記念地下城S級+快刷要點/今期流行異形剋星超人隊/PAD連動玩具最新消息、光愛貓神日本炒過千")</f>
        <v>【PAD速報】5100萬記念地下城S級+快刷要點/今期流行異形剋星超人隊/PAD連動玩具最新消息、光愛貓神日本炒過千</v>
      </c>
      <c r="E2140" s="82">
        <v>43510.0</v>
      </c>
      <c r="F2140" s="80">
        <v>349.0</v>
      </c>
      <c r="G2140" s="80" t="s">
        <v>63</v>
      </c>
      <c r="H2140" s="80" t="s">
        <v>63</v>
      </c>
      <c r="I2140" s="80" t="s">
        <v>63</v>
      </c>
      <c r="J2140" s="80">
        <v>1386.0</v>
      </c>
      <c r="K2140" s="80">
        <v>0.886756238003838</v>
      </c>
      <c r="L2140" s="80" t="s">
        <v>959</v>
      </c>
    </row>
    <row r="2141">
      <c r="A2141" s="80" t="s">
        <v>260</v>
      </c>
      <c r="B2141" s="81" t="str">
        <f>HYPERLINK("https://www.youtube.com/channel/UC-HXOikkLx7BGEfILGIpYOg", "港短 . 英移")</f>
        <v>港短 . 英移</v>
      </c>
      <c r="C2141" s="80" t="s">
        <v>2419</v>
      </c>
      <c r="D2141" s="81" t="str">
        <f>HYPERLINK("https://youtube.com/watch?v=w_xUM83NkW8", "外國既月亮比較圓?🌙 | 7樣英國改變我地既野 | 港短.英移 #HongKonger #英國移民 #英國生活 #英國香港人")</f>
        <v>外國既月亮比較圓?🌙 | 7樣英國改變我地既野 | 港短.英移 #HongKonger #英國移民 #英國生活 #英國香港人</v>
      </c>
      <c r="E2141" s="82">
        <v>44517.0</v>
      </c>
      <c r="F2141" s="80">
        <v>542.0</v>
      </c>
      <c r="G2141" s="80" t="s">
        <v>63</v>
      </c>
      <c r="I2141" s="80" t="s">
        <v>63</v>
      </c>
      <c r="J2141" s="80">
        <v>2370.0</v>
      </c>
      <c r="K2141" s="80">
        <v>0.895353230071779</v>
      </c>
      <c r="L2141" s="80" t="s">
        <v>102</v>
      </c>
    </row>
    <row r="2142">
      <c r="A2142" s="80" t="s">
        <v>74</v>
      </c>
      <c r="B2142" s="81" t="str">
        <f>HYPERLINK("https://www.youtube.com/channel/UCO_5XP-qd-udNxBlzzSzgvw", "Handline Fishing")</f>
        <v>Handline Fishing</v>
      </c>
      <c r="C2142" s="80" t="s">
        <v>2420</v>
      </c>
      <c r="D2142" s="81" t="str">
        <f>HYPERLINK("https://youtube.com/watch?v=waT6Scyqhbw", "#79 歲晚收爐魚，搶先收四封大利是『香港釣魚 : 艇釣』維港 {粵語旁白+中英文字幕}")</f>
        <v>#79 歲晚收爐魚，搶先收四封大利是『香港釣魚 : 艇釣』維港 {粵語旁白+中英文字幕}</v>
      </c>
      <c r="E2142" s="82">
        <v>43856.0</v>
      </c>
      <c r="F2142" s="80">
        <v>292.0</v>
      </c>
      <c r="G2142" s="80" t="s">
        <v>63</v>
      </c>
      <c r="I2142" s="80" t="s">
        <v>63</v>
      </c>
      <c r="J2142" s="80">
        <v>1003.0</v>
      </c>
      <c r="K2142" s="80">
        <v>0.940018744142455</v>
      </c>
      <c r="L2142" s="80" t="s">
        <v>76</v>
      </c>
    </row>
    <row r="2143">
      <c r="A2143" s="80" t="s">
        <v>94</v>
      </c>
      <c r="B2143" s="81" t="str">
        <f>HYPERLINK("https://www.youtube.com/channel/UCT_dMyI3pNselsmfR6FC8tQ", "PrideLab")</f>
        <v>PrideLab</v>
      </c>
      <c r="C2143" s="80" t="s">
        <v>2421</v>
      </c>
      <c r="D2143" s="81" t="str">
        <f>HYPERLINK("https://youtube.com/watch?v=weyPQJ6hnZg", "Daily日日操  - TB操出老鼠仔篇")</f>
        <v>Daily日日操  - TB操出老鼠仔篇</v>
      </c>
      <c r="E2143" s="82">
        <v>42906.0</v>
      </c>
      <c r="F2143" s="80">
        <v>745.0</v>
      </c>
      <c r="G2143" s="80" t="s">
        <v>63</v>
      </c>
      <c r="I2143" s="80" t="s">
        <v>63</v>
      </c>
      <c r="J2143" s="80">
        <v>2637.0</v>
      </c>
      <c r="K2143" s="80">
        <v>0.869722955145118</v>
      </c>
      <c r="L2143" s="80" t="s">
        <v>64</v>
      </c>
    </row>
    <row r="2144">
      <c r="A2144" s="80" t="s">
        <v>74</v>
      </c>
      <c r="B2144" s="81" t="str">
        <f>HYPERLINK("https://www.youtube.com/channel/UCO_5XP-qd-udNxBlzzSzgvw", "Handline Fishing")</f>
        <v>Handline Fishing</v>
      </c>
      <c r="C2144" s="80" t="s">
        <v>2422</v>
      </c>
      <c r="D2144" s="81" t="str">
        <f>HYPERLINK("https://youtube.com/watch?v=wgFOhCZB9Kk", "#236 【🎁Marco賞禮GIVEAWAYS 活動六】朋自遠方來釣魚 | 香港釣魚 | 艇釣 | 維港東 【Ventolation 透氣鞋】")</f>
        <v>#236 【🎁Marco賞禮GIVEAWAYS 活動六】朋自遠方來釣魚 | 香港釣魚 | 艇釣 | 維港東 【Ventolation 透氣鞋】</v>
      </c>
      <c r="E2144" s="82">
        <v>44445.0</v>
      </c>
      <c r="F2144" s="80">
        <v>326.0</v>
      </c>
      <c r="G2144" s="80" t="s">
        <v>63</v>
      </c>
      <c r="H2144" s="80" t="s">
        <v>63</v>
      </c>
      <c r="I2144" s="80" t="s">
        <v>63</v>
      </c>
      <c r="J2144" s="80">
        <v>432.0</v>
      </c>
      <c r="K2144" s="80">
        <v>0.919148936170212</v>
      </c>
      <c r="L2144" s="80" t="s">
        <v>88</v>
      </c>
    </row>
    <row r="2145">
      <c r="A2145" s="80" t="s">
        <v>61</v>
      </c>
      <c r="B2145" s="81" t="str">
        <f t="shared" ref="B2145:B2146" si="97">HYPERLINK("https://www.youtube.com/channel/UCJ4XVrJuqKHbc9yF9oUFseg", "MEeeep More")</f>
        <v>MEeeep More</v>
      </c>
      <c r="C2145" s="80" t="s">
        <v>2423</v>
      </c>
      <c r="D2145" s="81" t="str">
        <f>HYPERLINK("https://youtube.com/watch?v=wiXYyaaoH2g", "台北麻辣火鍋王者！溫體牛+伊比利豬頂級美食！刀叉食鴨血你又試過未？")</f>
        <v>台北麻辣火鍋王者！溫體牛+伊比利豬頂級美食！刀叉食鴨血你又試過未？</v>
      </c>
      <c r="E2145" s="82">
        <v>43766.0</v>
      </c>
      <c r="F2145" s="80">
        <v>296.0</v>
      </c>
      <c r="G2145" s="80" t="s">
        <v>63</v>
      </c>
      <c r="I2145" s="80" t="s">
        <v>63</v>
      </c>
      <c r="J2145" s="80">
        <v>937.0</v>
      </c>
      <c r="K2145" s="80">
        <v>0.937</v>
      </c>
      <c r="L2145" s="80" t="s">
        <v>64</v>
      </c>
    </row>
    <row r="2146">
      <c r="A2146" s="80" t="s">
        <v>61</v>
      </c>
      <c r="B2146" s="81" t="str">
        <f t="shared" si="97"/>
        <v>MEeeep More</v>
      </c>
      <c r="C2146" s="80" t="s">
        <v>2424</v>
      </c>
      <c r="D2146" s="81" t="str">
        <f>HYPERLINK("https://youtube.com/watch?v=wix7BHTLtDw", "【吉隆坡美食2020】 冬瓜盅打邊爐連湯都咁正！ 平民價美食推介")</f>
        <v>【吉隆坡美食2020】 冬瓜盅打邊爐連湯都咁正！ 平民價美食推介</v>
      </c>
      <c r="E2146" s="82">
        <v>43842.0</v>
      </c>
      <c r="F2146" s="80">
        <v>132.0</v>
      </c>
      <c r="G2146" s="80" t="s">
        <v>63</v>
      </c>
      <c r="I2146" s="80" t="s">
        <v>63</v>
      </c>
      <c r="J2146" s="80">
        <v>369.0</v>
      </c>
      <c r="K2146" s="80">
        <v>0.878571428571428</v>
      </c>
      <c r="L2146" s="80" t="s">
        <v>64</v>
      </c>
    </row>
    <row r="2147">
      <c r="A2147" s="80" t="s">
        <v>140</v>
      </c>
      <c r="B2147" s="81" t="str">
        <f>HYPERLINK("https://www.youtube.com/channel/UCHK0CZf9HEXs42qIO1GUouA", "TechiCardia")</f>
        <v>TechiCardia</v>
      </c>
      <c r="C2147" s="80" t="s">
        <v>2425</v>
      </c>
      <c r="D2147" s="81" t="str">
        <f>HYPERLINK("https://youtube.com/watch?v=wjDFYGNapo4", "自費升級！最平嘅三頻WiFi 6 Mesh Router 路由器！？LINKSYS VELOP MX4050 開箱實測/換埋PCIE WiFi卡/ 4K 【TechiCardia】[CC 廣東話字幕]")</f>
        <v>自費升級！最平嘅三頻WiFi 6 Mesh Router 路由器！？LINKSYS VELOP MX4050 開箱實測/換埋PCIE WiFi卡/ 4K 【TechiCardia】[CC 廣東話字幕]</v>
      </c>
      <c r="E2147" s="82">
        <v>44198.0</v>
      </c>
      <c r="F2147" s="80">
        <v>526.0</v>
      </c>
      <c r="G2147" s="80" t="s">
        <v>63</v>
      </c>
      <c r="I2147" s="80" t="s">
        <v>63</v>
      </c>
      <c r="J2147" s="80">
        <v>1680.0</v>
      </c>
      <c r="K2147" s="80">
        <v>0.678513731825525</v>
      </c>
      <c r="L2147" s="80" t="s">
        <v>102</v>
      </c>
    </row>
    <row r="2148">
      <c r="A2148" s="80" t="s">
        <v>94</v>
      </c>
      <c r="B2148" s="81" t="str">
        <f>HYPERLINK("https://www.youtube.com/channel/UCT_dMyI3pNselsmfR6FC8tQ", "PrideLab")</f>
        <v>PrideLab</v>
      </c>
      <c r="C2148" s="80" t="s">
        <v>2426</v>
      </c>
      <c r="D2148" s="81" t="str">
        <f>HYPERLINK("https://youtube.com/watch?v=wkuXorOIQJs", "PrideLab問啲女人啲女人嘢")</f>
        <v>PrideLab問啲女人啲女人嘢</v>
      </c>
      <c r="E2148" s="82">
        <v>42920.0</v>
      </c>
      <c r="F2148" s="80">
        <v>155.0</v>
      </c>
      <c r="G2148" s="80" t="s">
        <v>63</v>
      </c>
      <c r="I2148" s="80" t="s">
        <v>63</v>
      </c>
      <c r="J2148" s="80">
        <v>591.0</v>
      </c>
      <c r="K2148" s="80">
        <v>0.957860615883306</v>
      </c>
      <c r="L2148" s="80" t="s">
        <v>64</v>
      </c>
    </row>
    <row r="2149">
      <c r="A2149" s="80" t="s">
        <v>217</v>
      </c>
      <c r="B2149" s="81" t="str">
        <f>HYPERLINK("https://www.youtube.com/channel/UCXKg0qPRz32bs5Z4mTGF3TQ", "Stormtrooper白兵")</f>
        <v>Stormtrooper白兵</v>
      </c>
      <c r="C2149" s="80" t="s">
        <v>2427</v>
      </c>
      <c r="D2149" s="81" t="str">
        <f>HYPERLINK("https://youtube.com/watch?v=wlBVFppGGzA", "[政治BB班]未有元宇宙，先變元監獄！？｜作為無權力者的我們，是否只能坐以待斃！？｜粵語中字")</f>
        <v>[政治BB班]未有元宇宙，先變元監獄！？｜作為無權力者的我們，是否只能坐以待斃！？｜粵語中字</v>
      </c>
      <c r="E2149" s="82">
        <v>44509.0</v>
      </c>
      <c r="F2149" s="80">
        <v>1205.0</v>
      </c>
      <c r="G2149" s="80" t="s">
        <v>63</v>
      </c>
      <c r="I2149" s="80" t="s">
        <v>63</v>
      </c>
      <c r="J2149" s="80">
        <v>5297.0</v>
      </c>
      <c r="K2149" s="80">
        <v>0.868360655737704</v>
      </c>
      <c r="L2149" s="80" t="s">
        <v>64</v>
      </c>
    </row>
    <row r="2150">
      <c r="A2150" s="80" t="s">
        <v>1050</v>
      </c>
      <c r="B2150" s="81" t="str">
        <f>HYPERLINK("https://www.youtube.com/channel/UCNCwcNnkhHviS0xyJHbhX2Q", "Man The Fvck Up")</f>
        <v>Man The Fvck Up</v>
      </c>
      <c r="C2150" s="80" t="s">
        <v>2428</v>
      </c>
      <c r="D2150" s="81" t="str">
        <f>HYPERLINK("https://youtube.com/watch?v=wzIhEc6OS7o", "[溝女] 佢唔覆你whatsapp點算(下)? -  What To Do When She Stops Texting You? (Part 2)")</f>
        <v>[溝女] 佢唔覆你whatsapp點算(下)? -  What To Do When She Stops Texting You? (Part 2)</v>
      </c>
      <c r="E2150" s="82">
        <v>42749.0</v>
      </c>
      <c r="F2150" s="80">
        <v>319.0</v>
      </c>
      <c r="G2150" s="80" t="s">
        <v>63</v>
      </c>
      <c r="I2150" s="80" t="s">
        <v>63</v>
      </c>
      <c r="J2150" s="80">
        <v>1065.0</v>
      </c>
      <c r="K2150" s="80">
        <v>0.80377358490566</v>
      </c>
      <c r="L2150" s="80" t="s">
        <v>64</v>
      </c>
    </row>
    <row r="2151">
      <c r="A2151" s="80" t="s">
        <v>74</v>
      </c>
      <c r="B2151" s="81" t="str">
        <f>HYPERLINK("https://www.youtube.com/channel/UCO_5XP-qd-udNxBlzzSzgvw", "Handline Fishing")</f>
        <v>Handline Fishing</v>
      </c>
      <c r="C2151" s="80" t="s">
        <v>2429</v>
      </c>
      <c r="D2151" s="81" t="str">
        <f>HYPERLINK("https://youtube.com/watch?v=x-zfrLG5bNE", "#100 每年3月南水 過手癮限定之瓜衫『香港釣魚 : 艇釣』蒲台島 {粵語旁白+中英文字幕}")</f>
        <v>#100 每年3月南水 過手癮限定之瓜衫『香港釣魚 : 艇釣』蒲台島 {粵語旁白+中英文字幕}</v>
      </c>
      <c r="E2151" s="82">
        <v>43927.0</v>
      </c>
      <c r="F2151" s="80">
        <v>351.0</v>
      </c>
      <c r="G2151" s="80" t="s">
        <v>63</v>
      </c>
      <c r="I2151" s="80" t="s">
        <v>63</v>
      </c>
      <c r="J2151" s="80">
        <v>968.0</v>
      </c>
      <c r="K2151" s="80">
        <v>0.978766430738119</v>
      </c>
      <c r="L2151" s="80" t="s">
        <v>76</v>
      </c>
    </row>
    <row r="2152">
      <c r="A2152" s="80" t="s">
        <v>61</v>
      </c>
      <c r="B2152" s="81" t="str">
        <f>HYPERLINK("https://www.youtube.com/channel/UCJ4XVrJuqKHbc9yF9oUFseg", "MEeeep More")</f>
        <v>MEeeep More</v>
      </c>
      <c r="C2152" s="80" t="s">
        <v>2430</v>
      </c>
      <c r="D2152" s="81" t="str">
        <f>HYPERLINK("https://youtube.com/watch?v=x4UZ3SG6hpw", "[秋冬湯水] 素食湯水篇-合掌瓜栗子煲紅蘿蔔湯 潤肺潤喉 秋季滋潤必飲湯水")</f>
        <v>[秋冬湯水] 素食湯水篇-合掌瓜栗子煲紅蘿蔔湯 潤肺潤喉 秋季滋潤必飲湯水</v>
      </c>
      <c r="E2152" s="82">
        <v>44496.0</v>
      </c>
      <c r="F2152" s="80">
        <v>144.0</v>
      </c>
      <c r="G2152" s="80" t="s">
        <v>63</v>
      </c>
      <c r="I2152" s="80" t="s">
        <v>63</v>
      </c>
      <c r="J2152" s="80">
        <v>354.0</v>
      </c>
      <c r="K2152" s="80">
        <v>0.861313868613138</v>
      </c>
      <c r="L2152" s="80" t="s">
        <v>64</v>
      </c>
    </row>
    <row r="2153">
      <c r="A2153" s="80" t="s">
        <v>219</v>
      </c>
      <c r="B2153" s="81" t="str">
        <f t="shared" ref="B2153:B2154" si="98">HYPERLINK("https://www.youtube.com/channel/UC9_PnptBIpNF0JXbJjd8TsQ", "Brown's Channel")</f>
        <v>Brown's Channel</v>
      </c>
      <c r="C2153" s="80" t="s">
        <v>2431</v>
      </c>
      <c r="D2153" s="81" t="str">
        <f>HYPERLINK("https://youtube.com/watch?v=x58rerxBJ-Q", "【一隻熊仔去旅行@首爾】#5 國立古宮博物館——景福宮隔離嘅博物館 🏛️🏛️")</f>
        <v>【一隻熊仔去旅行@首爾】#5 國立古宮博物館——景福宮隔離嘅博物館 🏛️🏛️</v>
      </c>
      <c r="E2153" s="82">
        <v>43883.0</v>
      </c>
      <c r="F2153" s="80">
        <v>271.0</v>
      </c>
      <c r="G2153" s="80" t="s">
        <v>63</v>
      </c>
      <c r="I2153" s="80" t="s">
        <v>63</v>
      </c>
      <c r="J2153" s="80">
        <v>1039.0</v>
      </c>
      <c r="K2153" s="80">
        <v>0.979264844486333</v>
      </c>
      <c r="L2153" s="80" t="s">
        <v>64</v>
      </c>
    </row>
    <row r="2154">
      <c r="A2154" s="80" t="s">
        <v>219</v>
      </c>
      <c r="B2154" s="81" t="str">
        <f t="shared" si="98"/>
        <v>Brown's Channel</v>
      </c>
      <c r="C2154" s="80" t="s">
        <v>2432</v>
      </c>
      <c r="D2154" s="81" t="str">
        <f>HYPERLINK("https://youtube.com/watch?v=x6KYNgQIY44", "【一隻熊仔去旅行@深圳】 #10 VEONES 維星 －－ 超高性價比紫薯鮮奶")</f>
        <v>【一隻熊仔去旅行@深圳】 #10 VEONES 維星 －－ 超高性價比紫薯鮮奶</v>
      </c>
      <c r="E2154" s="82">
        <v>43693.0</v>
      </c>
      <c r="F2154" s="80">
        <v>218.0</v>
      </c>
      <c r="G2154" s="80" t="s">
        <v>63</v>
      </c>
      <c r="I2154" s="80" t="s">
        <v>63</v>
      </c>
      <c r="J2154" s="80">
        <v>644.0</v>
      </c>
      <c r="K2154" s="80">
        <v>0.855245683930942</v>
      </c>
      <c r="L2154" s="80" t="s">
        <v>64</v>
      </c>
    </row>
    <row r="2155">
      <c r="A2155" s="80" t="s">
        <v>74</v>
      </c>
      <c r="B2155" s="81" t="str">
        <f>HYPERLINK("https://www.youtube.com/channel/UCO_5XP-qd-udNxBlzzSzgvw", "Handline Fishing")</f>
        <v>Handline Fishing</v>
      </c>
      <c r="C2155" s="80" t="s">
        <v>2433</v>
      </c>
      <c r="D2155" s="81" t="str">
        <f>HYPERLINK("https://youtube.com/watch?v=x8VFbYcb9BA", "#125 再一次玩筏仔荼毒朋友『香港釣魚 : 岸釣』數碼港 {粵語旁白+中英文字幕}")</f>
        <v>#125 再一次玩筏仔荼毒朋友『香港釣魚 : 岸釣』數碼港 {粵語旁白+中英文字幕}</v>
      </c>
      <c r="E2155" s="82">
        <v>44004.0</v>
      </c>
      <c r="F2155" s="80">
        <v>228.0</v>
      </c>
      <c r="G2155" s="80" t="s">
        <v>63</v>
      </c>
      <c r="I2155" s="80" t="s">
        <v>63</v>
      </c>
      <c r="J2155" s="80">
        <v>884.0</v>
      </c>
      <c r="K2155" s="80">
        <v>0.981132075471698</v>
      </c>
      <c r="L2155" s="80" t="s">
        <v>76</v>
      </c>
    </row>
    <row r="2156">
      <c r="A2156" s="80" t="s">
        <v>121</v>
      </c>
      <c r="B2156" s="81" t="str">
        <f>HYPERLINK("https://www.youtube.com/channel/UC-2hWXRgCg-o5Waz36Yt7BA", "Arm Channel TV")</f>
        <v>Arm Channel TV</v>
      </c>
      <c r="C2156" s="80" t="s">
        <v>2434</v>
      </c>
      <c r="D2156" s="81" t="str">
        <f>HYPERLINK("https://youtube.com/watch?v=x9eu3aIb638", "如果執相突然收皮 | 米露迪【如果突然收皮 EP04】")</f>
        <v>如果執相突然收皮 | 米露迪【如果突然收皮 EP04】</v>
      </c>
      <c r="E2156" s="82">
        <v>44515.0</v>
      </c>
      <c r="F2156" s="80">
        <v>329.0</v>
      </c>
      <c r="G2156" s="80" t="s">
        <v>63</v>
      </c>
      <c r="I2156" s="80" t="s">
        <v>63</v>
      </c>
      <c r="J2156" s="80">
        <v>1127.0</v>
      </c>
      <c r="K2156" s="80">
        <v>0.933719966859983</v>
      </c>
      <c r="L2156" s="80" t="s">
        <v>64</v>
      </c>
    </row>
    <row r="2157">
      <c r="A2157" s="80" t="s">
        <v>74</v>
      </c>
      <c r="B2157" s="81" t="str">
        <f>HYPERLINK("https://www.youtube.com/channel/UCO_5XP-qd-udNxBlzzSzgvw", "Handline Fishing")</f>
        <v>Handline Fishing</v>
      </c>
      <c r="C2157" s="80" t="s">
        <v>2435</v>
      </c>
      <c r="D2157" s="81" t="str">
        <f>HYPERLINK("https://youtube.com/watch?v=xDApCdl_jnQ", "#180 Fishcation | 『香港釣魚 : 艇釣』布袋澳 {粵語旁白+中英文字幕}")</f>
        <v>#180 Fishcation | 『香港釣魚 : 艇釣』布袋澳 {粵語旁白+中英文字幕}</v>
      </c>
      <c r="E2157" s="82">
        <v>44208.0</v>
      </c>
      <c r="F2157" s="80">
        <v>480.0</v>
      </c>
      <c r="G2157" s="80" t="s">
        <v>63</v>
      </c>
      <c r="I2157" s="80" t="s">
        <v>63</v>
      </c>
      <c r="J2157" s="80">
        <v>878.0</v>
      </c>
      <c r="K2157" s="80">
        <v>0.961664841182913</v>
      </c>
      <c r="L2157" s="80" t="s">
        <v>271</v>
      </c>
    </row>
    <row r="2158">
      <c r="A2158" s="80" t="s">
        <v>61</v>
      </c>
      <c r="B2158" s="81" t="str">
        <f>HYPERLINK("https://www.youtube.com/channel/UCJ4XVrJuqKHbc9yF9oUFseg", "MEeeep More")</f>
        <v>MEeeep More</v>
      </c>
      <c r="C2158" s="80" t="s">
        <v>2436</v>
      </c>
      <c r="D2158" s="81" t="str">
        <f>HYPERLINK("https://youtube.com/watch?v=xFvEZJnv8rw", "帶你食馬來西亞正宗椰漿飯 - 《食玩飛常遊》")</f>
        <v>帶你食馬來西亞正宗椰漿飯 - 《食玩飛常遊》</v>
      </c>
      <c r="E2158" s="82">
        <v>43556.0</v>
      </c>
      <c r="F2158" s="80">
        <v>154.0</v>
      </c>
      <c r="G2158" s="80" t="s">
        <v>63</v>
      </c>
      <c r="I2158" s="80" t="s">
        <v>63</v>
      </c>
      <c r="J2158" s="80">
        <v>494.0</v>
      </c>
      <c r="K2158" s="80">
        <v>0.871252204585537</v>
      </c>
      <c r="L2158" s="80" t="s">
        <v>66</v>
      </c>
    </row>
    <row r="2159">
      <c r="A2159" s="80" t="s">
        <v>74</v>
      </c>
      <c r="B2159" s="81" t="str">
        <f>HYPERLINK("https://www.youtube.com/channel/UCO_5XP-qd-udNxBlzzSzgvw", "Handline Fishing")</f>
        <v>Handline Fishing</v>
      </c>
      <c r="C2159" s="80" t="s">
        <v>2437</v>
      </c>
      <c r="D2159" s="81" t="str">
        <f>HYPERLINK("https://youtube.com/watch?v=xI0vzA5vLJU", "#175 同時滿足兩個願望..釣魚 / 針墨 | 『香港釣魚 : 艇釣』維港 {粵語旁白+中英文字幕}")</f>
        <v>#175 同時滿足兩個願望..釣魚 / 針墨 | 『香港釣魚 : 艇釣』維港 {粵語旁白+中英文字幕}</v>
      </c>
      <c r="E2159" s="82">
        <v>44187.0</v>
      </c>
      <c r="F2159" s="80">
        <v>552.0</v>
      </c>
      <c r="G2159" s="80" t="s">
        <v>63</v>
      </c>
      <c r="I2159" s="80" t="s">
        <v>63</v>
      </c>
      <c r="J2159" s="80">
        <v>616.0</v>
      </c>
      <c r="K2159" s="80">
        <v>0.964006259780907</v>
      </c>
      <c r="L2159" s="80" t="s">
        <v>271</v>
      </c>
    </row>
    <row r="2160">
      <c r="A2160" s="80" t="s">
        <v>1007</v>
      </c>
      <c r="B2160" s="81" t="str">
        <f>HYPERLINK("https://www.youtube.com/channel/UCCzgNTkFyDel0FDJtVNgEtQ", "香港人. 德國讀書之【真.洗濕左個頭.無得返轉頭】Miss Chan Life in Germany")</f>
        <v>香港人. 德國讀書之【真.洗濕左個頭.無得返轉頭】Miss Chan Life in Germany</v>
      </c>
      <c r="C2160" s="80" t="s">
        <v>2438</v>
      </c>
      <c r="D2160" s="81" t="str">
        <f>HYPERLINK("https://youtube.com/watch?v=xK7PBJJzvis", "【德國無菌旅行團 】之土耳其系列｜超市篇 - 下集｜Elfa 最愛土耳其青梅釀酒｜山羊芝士｜ 乳酪｜肉類｜調味料｜Miss Chan 充滿恐懼的橄欖 (香港人製作. 廣東話. 中文字幕)")</f>
        <v>【德國無菌旅行團 】之土耳其系列｜超市篇 - 下集｜Elfa 最愛土耳其青梅釀酒｜山羊芝士｜ 乳酪｜肉類｜調味料｜Miss Chan 充滿恐懼的橄欖 (香港人製作. 廣東話. 中文字幕)</v>
      </c>
      <c r="E2160" s="82">
        <v>44399.0</v>
      </c>
      <c r="F2160" s="80">
        <v>245.0</v>
      </c>
      <c r="G2160" s="80" t="s">
        <v>63</v>
      </c>
      <c r="I2160" s="80" t="s">
        <v>63</v>
      </c>
      <c r="J2160" s="80">
        <v>1074.0</v>
      </c>
      <c r="K2160" s="80">
        <v>0.858513189448441</v>
      </c>
      <c r="L2160" s="80" t="s">
        <v>64</v>
      </c>
    </row>
    <row r="2161">
      <c r="A2161" s="80" t="s">
        <v>1039</v>
      </c>
      <c r="B2161" s="81" t="str">
        <f>HYPERLINK("https://www.youtube.com/channel/UCiKEIxbv4RTzyLCKG17N-AA", "Hunting Archer")</f>
        <v>Hunting Archer</v>
      </c>
      <c r="C2161" s="80" t="s">
        <v>2439</v>
      </c>
      <c r="D2161" s="81" t="str">
        <f>HYPERLINK("https://youtube.com/watch?v=xMAi_vi1uPk", "【广州漫步】 已经消失了的丰宁路 Walk in GuangZhou")</f>
        <v>【广州漫步】 已经消失了的丰宁路 Walk in GuangZhou</v>
      </c>
      <c r="E2161" s="82">
        <v>44368.0</v>
      </c>
      <c r="F2161" s="80">
        <v>1587.0</v>
      </c>
      <c r="G2161" s="80" t="s">
        <v>63</v>
      </c>
      <c r="I2161" s="80" t="s">
        <v>63</v>
      </c>
      <c r="J2161" s="80">
        <v>5054.0</v>
      </c>
      <c r="K2161" s="80">
        <v>0.987302207462395</v>
      </c>
      <c r="L2161" s="80" t="s">
        <v>757</v>
      </c>
    </row>
    <row r="2162">
      <c r="A2162" s="80" t="s">
        <v>61</v>
      </c>
      <c r="B2162" s="81" t="str">
        <f>HYPERLINK("https://www.youtube.com/channel/UCJ4XVrJuqKHbc9yF9oUFseg", "MEeeep More")</f>
        <v>MEeeep More</v>
      </c>
      <c r="C2162" s="80" t="s">
        <v>2440</v>
      </c>
      <c r="D2162" s="81" t="str">
        <f>HYPERLINK("https://youtube.com/watch?v=xUOMQVubmCg", "鴻蒙 來了! 華為 Huawei Mate X2 摺疊形手機登場! 升級改用內摺疊設計 後置 Leica 四鏡頭 仲可以當前置鏡頭自拍 MateX2 HarmonyOS 香港5G 摺疊手機 2021")</f>
        <v>鴻蒙 來了! 華為 Huawei Mate X2 摺疊形手機登場! 升級改用內摺疊設計 後置 Leica 四鏡頭 仲可以當前置鏡頭自拍 MateX2 HarmonyOS 香港5G 摺疊手機 2021</v>
      </c>
      <c r="E2162" s="82">
        <v>44253.0</v>
      </c>
      <c r="F2162" s="80">
        <v>188.0</v>
      </c>
      <c r="G2162" s="80" t="s">
        <v>63</v>
      </c>
      <c r="I2162" s="80" t="s">
        <v>63</v>
      </c>
      <c r="J2162" s="80">
        <v>459.0</v>
      </c>
      <c r="K2162" s="80">
        <v>0.727416798732171</v>
      </c>
      <c r="L2162" s="80" t="s">
        <v>64</v>
      </c>
    </row>
    <row r="2163">
      <c r="A2163" s="80" t="s">
        <v>71</v>
      </c>
      <c r="B2163" s="81" t="str">
        <f>HYPERLINK("https://www.youtube.com/channel/UCXTE-gQCetfrx_lC9yFM2aw", "arhoTV")</f>
        <v>arhoTV</v>
      </c>
      <c r="C2163" s="80" t="s">
        <v>2441</v>
      </c>
      <c r="D2163" s="81" t="str">
        <f>HYPERLINK("https://youtube.com/watch?v=xebBKH5XCZ0", "【飲食】試食全部泰國 7－11 飛碟！")</f>
        <v>【飲食】試食全部泰國 7－11 飛碟！</v>
      </c>
      <c r="E2163" s="82">
        <v>42861.0</v>
      </c>
      <c r="F2163" s="80">
        <v>316.0</v>
      </c>
      <c r="G2163" s="80" t="s">
        <v>63</v>
      </c>
      <c r="H2163" s="80" t="s">
        <v>63</v>
      </c>
      <c r="I2163" s="80" t="s">
        <v>63</v>
      </c>
      <c r="J2163" s="80">
        <v>1763.0</v>
      </c>
      <c r="K2163" s="80">
        <v>0.958768873403019</v>
      </c>
      <c r="L2163" s="80" t="s">
        <v>86</v>
      </c>
    </row>
    <row r="2164">
      <c r="A2164" s="80" t="s">
        <v>1010</v>
      </c>
      <c r="B2164" s="81" t="str">
        <f t="shared" ref="B2164:B2165" si="99">HYPERLINK("https://www.youtube.com/channel/UC-nV0odAiVdjH3gB_uSeTcQ", "wepro180")</f>
        <v>wepro180</v>
      </c>
      <c r="C2164" s="80" t="s">
        <v>2442</v>
      </c>
      <c r="D2164" s="81" t="str">
        <f>HYPERLINK("https://youtube.com/watch?v=xeeEIBW1K-w", "edvance 特約【wepro 教室 14】嘉倩 180 ─  APT 攻擊")</f>
        <v>edvance 特約【wepro 教室 14】嘉倩 180 ─  APT 攻擊</v>
      </c>
      <c r="E2164" s="82">
        <v>43229.0</v>
      </c>
      <c r="F2164" s="80">
        <v>68.0</v>
      </c>
      <c r="G2164" s="80" t="s">
        <v>63</v>
      </c>
      <c r="I2164" s="80" t="s">
        <v>63</v>
      </c>
      <c r="J2164" s="80">
        <v>265.0</v>
      </c>
      <c r="K2164" s="80">
        <v>0.83596214511041</v>
      </c>
      <c r="L2164" s="80" t="s">
        <v>64</v>
      </c>
    </row>
    <row r="2165">
      <c r="A2165" s="80" t="s">
        <v>1010</v>
      </c>
      <c r="B2165" s="81" t="str">
        <f t="shared" si="99"/>
        <v>wepro180</v>
      </c>
      <c r="C2165" s="80" t="s">
        <v>2443</v>
      </c>
      <c r="D2165" s="81" t="str">
        <f>HYPERLINK("https://youtube.com/watch?v=xgS_yDCmAJk", "edvance 特約【wepro 教室 13】嘉倩 180  ─ Zero-Day Attack")</f>
        <v>edvance 特約【wepro 教室 13】嘉倩 180  ─ Zero-Day Attack</v>
      </c>
      <c r="E2165" s="82">
        <v>43228.0</v>
      </c>
      <c r="F2165" s="80">
        <v>58.0</v>
      </c>
      <c r="G2165" s="80" t="s">
        <v>63</v>
      </c>
      <c r="I2165" s="80" t="s">
        <v>63</v>
      </c>
      <c r="J2165" s="80">
        <v>208.0</v>
      </c>
      <c r="K2165" s="80">
        <v>0.750902527075812</v>
      </c>
      <c r="L2165" s="80" t="s">
        <v>64</v>
      </c>
    </row>
    <row r="2166">
      <c r="A2166" s="80" t="s">
        <v>221</v>
      </c>
      <c r="B2166" s="81" t="str">
        <f>HYPERLINK("https://www.youtube.com/channel/UCBgWgQyEb5eTzvh4lLcuipQ", "Wikitongues")</f>
        <v>Wikitongues</v>
      </c>
      <c r="C2166" s="80" t="s">
        <v>2444</v>
      </c>
      <c r="D2166" s="81" t="str">
        <f>HYPERLINK("https://youtube.com/watch?v=xj26oHydbyE", "WIKITONGUES: Iasmin speaking Cantonese")</f>
        <v>WIKITONGUES: Iasmin speaking Cantonese</v>
      </c>
      <c r="E2166" s="82">
        <v>42810.0</v>
      </c>
      <c r="F2166" s="80">
        <v>353.0</v>
      </c>
      <c r="G2166" s="80" t="s">
        <v>63</v>
      </c>
      <c r="I2166" s="80" t="s">
        <v>63</v>
      </c>
      <c r="J2166" s="80">
        <v>678.0</v>
      </c>
      <c r="K2166" s="80">
        <v>0.405988023952095</v>
      </c>
      <c r="L2166" s="80" t="s">
        <v>287</v>
      </c>
    </row>
    <row r="2167">
      <c r="A2167" s="80" t="s">
        <v>267</v>
      </c>
      <c r="B2167" s="81" t="str">
        <f>HYPERLINK("https://www.youtube.com/channel/UCcrhFT95jH5XqVVPyBhRbrA", "JFFT")</f>
        <v>JFFT</v>
      </c>
      <c r="C2167" s="80" t="s">
        <v>2445</v>
      </c>
      <c r="D2167" s="81" t="str">
        <f>HYPERLINK("https://youtube.com/watch?v=xjLHKA380xs", "[癲佬旅遊]JFFT無牌駕駛被捉")</f>
        <v>[癲佬旅遊]JFFT無牌駕駛被捉</v>
      </c>
      <c r="E2167" s="82">
        <v>43346.0</v>
      </c>
      <c r="F2167" s="80">
        <v>385.0</v>
      </c>
      <c r="G2167" s="80" t="s">
        <v>63</v>
      </c>
      <c r="I2167" s="80" t="s">
        <v>63</v>
      </c>
      <c r="J2167" s="80">
        <v>67.0</v>
      </c>
      <c r="K2167" s="80">
        <v>0.930555555555555</v>
      </c>
      <c r="L2167" s="80" t="s">
        <v>64</v>
      </c>
    </row>
    <row r="2168">
      <c r="A2168" s="80" t="s">
        <v>61</v>
      </c>
      <c r="B2168" s="81" t="str">
        <f>HYPERLINK("https://www.youtube.com/channel/UCJ4XVrJuqKHbc9yF9oUFseg", "MEeeep More")</f>
        <v>MEeeep More</v>
      </c>
      <c r="C2168" s="80" t="s">
        <v>2446</v>
      </c>
      <c r="D2168" s="81" t="str">
        <f>HYPERLINK("https://youtube.com/watch?v=xjfVBRpNlcs", "澳洲昆士蘭 Fraser Island 點解海水可以咁乾淨？- 食玩飛常遊")</f>
        <v>澳洲昆士蘭 Fraser Island 點解海水可以咁乾淨？- 食玩飛常遊</v>
      </c>
      <c r="E2168" s="82">
        <v>43591.0</v>
      </c>
      <c r="F2168" s="80">
        <v>110.0</v>
      </c>
      <c r="G2168" s="80" t="s">
        <v>63</v>
      </c>
      <c r="I2168" s="80" t="s">
        <v>63</v>
      </c>
      <c r="J2168" s="80">
        <v>379.0</v>
      </c>
      <c r="K2168" s="80">
        <v>0.778234086242299</v>
      </c>
      <c r="L2168" s="80" t="s">
        <v>64</v>
      </c>
    </row>
    <row r="2169">
      <c r="A2169" s="80" t="s">
        <v>1623</v>
      </c>
      <c r="B2169" s="81" t="str">
        <f>HYPERLINK("https://www.youtube.com/channel/UCDykDDjpIjJ54JTBpJGuH2A", "頴珊頻道 | The Wingshantsui Channel")</f>
        <v>頴珊頻道 | The Wingshantsui Channel</v>
      </c>
      <c r="C2169" s="80" t="s">
        <v>2447</v>
      </c>
      <c r="D2169" s="81" t="str">
        <f>HYPERLINK("https://youtube.com/watch?v=xlB7aq8ACWE", "How Cantonese Redefined the ABC's 廣東話的ABC")</f>
        <v>How Cantonese Redefined the ABC's 廣東話的ABC</v>
      </c>
      <c r="E2169" s="82">
        <v>43317.0</v>
      </c>
      <c r="F2169" s="80">
        <v>91.0</v>
      </c>
      <c r="G2169" s="80" t="s">
        <v>63</v>
      </c>
      <c r="I2169" s="80" t="s">
        <v>63</v>
      </c>
      <c r="J2169" s="80">
        <v>226.0</v>
      </c>
      <c r="K2169" s="80">
        <v>0.210037174721189</v>
      </c>
      <c r="L2169" s="80" t="s">
        <v>521</v>
      </c>
    </row>
    <row r="2170">
      <c r="A2170" s="80" t="s">
        <v>743</v>
      </c>
      <c r="B2170" s="81" t="str">
        <f>HYPERLINK("https://www.youtube.com/channel/UCe6qQ8zbYQJgTBnZ9wBzm9w", "Willy Lee")</f>
        <v>Willy Lee</v>
      </c>
      <c r="C2170" s="80" t="s">
        <v>2448</v>
      </c>
      <c r="D2170" s="81" t="str">
        <f>HYPERLINK("https://youtube.com/watch?v=xmVsgju_AKw", "🇭🇰【行山】中級！超似犀牛既犀牛石！航拍, 路線, 打卡位分享 - Willy Lee")</f>
        <v>🇭🇰【行山】中級！超似犀牛既犀牛石！航拍, 路線, 打卡位分享 - Willy Lee</v>
      </c>
      <c r="E2170" s="82">
        <v>44147.0</v>
      </c>
      <c r="F2170" s="80">
        <v>232.0</v>
      </c>
      <c r="G2170" s="80" t="s">
        <v>63</v>
      </c>
      <c r="I2170" s="80" t="s">
        <v>63</v>
      </c>
      <c r="J2170" s="80">
        <v>907.0</v>
      </c>
      <c r="K2170" s="80">
        <v>0.935051546391752</v>
      </c>
      <c r="L2170" s="80" t="s">
        <v>745</v>
      </c>
    </row>
    <row r="2171">
      <c r="A2171" s="80" t="s">
        <v>278</v>
      </c>
      <c r="B2171" s="81" t="str">
        <f>HYPERLINK("https://www.youtube.com/channel/UCDoEdJo-PI-EKGNKomwLroQ", "mingjai14")</f>
        <v>mingjai14</v>
      </c>
      <c r="C2171" s="80" t="s">
        <v>2449</v>
      </c>
      <c r="D2171" s="81" t="str">
        <f>HYPERLINK("https://youtube.com/watch?v=xnsQwIT5-YM", "有錢都係買唔到嘅生活品味😎只在丹麥🇩🇰| 歐遊列國6｜Day2")</f>
        <v>有錢都係買唔到嘅生活品味😎只在丹麥🇩🇰| 歐遊列國6｜Day2</v>
      </c>
      <c r="E2171" s="82">
        <v>43562.0</v>
      </c>
      <c r="F2171" s="80">
        <v>853.0</v>
      </c>
      <c r="G2171" s="80" t="s">
        <v>63</v>
      </c>
      <c r="H2171" s="80" t="s">
        <v>63</v>
      </c>
      <c r="I2171" s="80" t="s">
        <v>63</v>
      </c>
      <c r="J2171" s="80">
        <v>2310.0</v>
      </c>
      <c r="K2171" s="80">
        <v>0.922936616507067</v>
      </c>
      <c r="L2171" s="80" t="s">
        <v>86</v>
      </c>
    </row>
    <row r="2172">
      <c r="A2172" s="80" t="s">
        <v>274</v>
      </c>
      <c r="B2172" s="81" t="str">
        <f>HYPERLINK("https://www.youtube.com/channel/UC2oB9QCXs-RKtaKChrz4dKg", "MtzCherry")</f>
        <v>MtzCherry</v>
      </c>
      <c r="C2172" s="80" t="s">
        <v>2450</v>
      </c>
      <c r="D2172" s="81" t="str">
        <f>HYPERLINK("https://youtube.com/watch?v=y1n4hlsJXWc", "[Eng Sub] 係韓國維修三叔＋踩單車去超市 Getting my phone repaired + Bike Ride to Supermarket")</f>
        <v>[Eng Sub] 係韓國維修三叔＋踩單車去超市 Getting my phone repaired + Bike Ride to Supermarket</v>
      </c>
      <c r="E2172" s="82">
        <v>42881.0</v>
      </c>
      <c r="F2172" s="80">
        <v>193.0</v>
      </c>
      <c r="G2172" s="80" t="s">
        <v>63</v>
      </c>
      <c r="I2172" s="80" t="s">
        <v>63</v>
      </c>
      <c r="J2172" s="80">
        <v>377.0</v>
      </c>
      <c r="K2172" s="80">
        <v>0.926289926289926</v>
      </c>
      <c r="L2172" s="80" t="s">
        <v>521</v>
      </c>
    </row>
    <row r="2173">
      <c r="A2173" s="80" t="s">
        <v>78</v>
      </c>
      <c r="B2173" s="81" t="str">
        <f>HYPERLINK("https://www.youtube.com/channel/UCXnWjmQ8BDE0sDIeZLK5yJg", "點 Cook Guide")</f>
        <v>點 Cook Guide</v>
      </c>
      <c r="C2173" s="80" t="s">
        <v>2451</v>
      </c>
      <c r="D2173" s="81" t="str">
        <f>HYPERLINK("https://youtube.com/watch?v=y2Bd8XdCVfM", "出發了!! 文青攝影教學 唔好再咁影機場 [東京求學之旅]")</f>
        <v>出發了!! 文青攝影教學 唔好再咁影機場 [東京求學之旅]</v>
      </c>
      <c r="E2173" s="82">
        <v>42827.0</v>
      </c>
      <c r="F2173" s="80">
        <v>199.0</v>
      </c>
      <c r="G2173" s="80" t="s">
        <v>63</v>
      </c>
      <c r="H2173" s="80" t="s">
        <v>63</v>
      </c>
      <c r="I2173" s="80" t="s">
        <v>63</v>
      </c>
      <c r="J2173" s="80">
        <v>235.0</v>
      </c>
      <c r="K2173" s="80">
        <v>1.0</v>
      </c>
      <c r="L2173" s="80" t="s">
        <v>2452</v>
      </c>
    </row>
    <row r="2174">
      <c r="A2174" s="80" t="s">
        <v>1050</v>
      </c>
      <c r="B2174" s="81" t="str">
        <f>HYPERLINK("https://www.youtube.com/channel/UCNCwcNnkhHviS0xyJHbhX2Q", "Man The Fvck Up")</f>
        <v>Man The Fvck Up</v>
      </c>
      <c r="C2174" s="80" t="s">
        <v>2453</v>
      </c>
      <c r="D2174" s="81" t="str">
        <f>HYPERLINK("https://youtube.com/watch?v=y2UAmYKGFiI", "[溝女] 佢唔覆你whatsapp點算? (上) - What To Do When She Stops Texting You? (Part 1)")</f>
        <v>[溝女] 佢唔覆你whatsapp點算? (上) - What To Do When She Stops Texting You? (Part 1)</v>
      </c>
      <c r="E2174" s="82">
        <v>42748.0</v>
      </c>
      <c r="F2174" s="80">
        <v>321.0</v>
      </c>
      <c r="G2174" s="80" t="s">
        <v>63</v>
      </c>
      <c r="I2174" s="80" t="s">
        <v>63</v>
      </c>
      <c r="J2174" s="80">
        <v>1114.0</v>
      </c>
      <c r="K2174" s="80">
        <v>0.864235841737781</v>
      </c>
      <c r="L2174" s="80" t="s">
        <v>64</v>
      </c>
    </row>
    <row r="2175">
      <c r="A2175" s="80" t="s">
        <v>219</v>
      </c>
      <c r="B2175" s="81" t="str">
        <f>HYPERLINK("https://www.youtube.com/channel/UC9_PnptBIpNF0JXbJjd8TsQ", "Brown's Channel")</f>
        <v>Brown's Channel</v>
      </c>
      <c r="C2175" s="80" t="s">
        <v>2454</v>
      </c>
      <c r="D2175" s="81" t="str">
        <f>HYPERLINK("https://youtube.com/watch?v=yChCItT67J8", "【一隻熊仔去旅行@深圳】#11 － 蓮花山公園")</f>
        <v>【一隻熊仔去旅行@深圳】#11 － 蓮花山公園</v>
      </c>
      <c r="E2175" s="82">
        <v>43756.0</v>
      </c>
      <c r="F2175" s="80">
        <v>268.0</v>
      </c>
      <c r="G2175" s="80" t="s">
        <v>63</v>
      </c>
      <c r="I2175" s="80" t="s">
        <v>63</v>
      </c>
      <c r="J2175" s="80">
        <v>910.0</v>
      </c>
      <c r="K2175" s="80">
        <v>0.991285403050108</v>
      </c>
      <c r="L2175" s="80" t="s">
        <v>64</v>
      </c>
    </row>
    <row r="2176">
      <c r="A2176" s="80" t="s">
        <v>260</v>
      </c>
      <c r="B2176" s="81" t="str">
        <f>HYPERLINK("https://www.youtube.com/channel/UC-HXOikkLx7BGEfILGIpYOg", "港短 . 英移")</f>
        <v>港短 . 英移</v>
      </c>
      <c r="C2176" s="80" t="s">
        <v>2455</v>
      </c>
      <c r="D2176" s="81" t="str">
        <f>HYPERLINK("https://youtube.com/watch?v=yKXvAiDzWDw", "[一齊睇樓］今次又有咩問題? [英國地區搵樓攻略] | 港短.英移​ #HongKonger #英國租樓 #英國移民 #英國生活 #英國香港人")</f>
        <v>[一齊睇樓］今次又有咩問題? [英國地區搵樓攻略] | 港短.英移​ #HongKonger #英國租樓 #英國移民 #英國生活 #英國香港人</v>
      </c>
      <c r="E2176" s="82">
        <v>44440.0</v>
      </c>
      <c r="F2176" s="80">
        <v>486.0</v>
      </c>
      <c r="G2176" s="80" t="s">
        <v>63</v>
      </c>
      <c r="I2176" s="80" t="s">
        <v>63</v>
      </c>
      <c r="J2176" s="80">
        <v>1663.0</v>
      </c>
      <c r="K2176" s="80">
        <v>0.818405511811023</v>
      </c>
      <c r="L2176" s="80" t="s">
        <v>102</v>
      </c>
    </row>
    <row r="2177">
      <c r="A2177" s="80" t="s">
        <v>112</v>
      </c>
      <c r="B2177" s="81" t="str">
        <f>HYPERLINK("https://www.youtube.com/channel/UCW_n_gfIv4HhRqCk8EnRhJA", "Happy Kongner")</f>
        <v>Happy Kongner</v>
      </c>
      <c r="C2177" s="80" t="s">
        <v>2456</v>
      </c>
      <c r="D2177" s="81" t="str">
        <f>HYPERLINK("https://youtube.com/watch?v=yOGVFYUuiag", "爆谷片嘅模版！《極桿巨鯊》簡評  ""The Meg"" Review [𠝹櫈電影學會]")</f>
        <v>爆谷片嘅模版！《極桿巨鯊》簡評  "The Meg" Review [𠝹櫈電影學會]</v>
      </c>
      <c r="E2177" s="82">
        <v>43325.0</v>
      </c>
      <c r="F2177" s="80">
        <v>970.0</v>
      </c>
      <c r="G2177" s="80" t="s">
        <v>63</v>
      </c>
      <c r="I2177" s="80" t="s">
        <v>63</v>
      </c>
      <c r="J2177" s="80">
        <v>4585.0</v>
      </c>
      <c r="K2177" s="80">
        <v>0.892370572207084</v>
      </c>
      <c r="L2177" s="80" t="s">
        <v>64</v>
      </c>
    </row>
    <row r="2178">
      <c r="A2178" s="80" t="s">
        <v>74</v>
      </c>
      <c r="B2178" s="81" t="str">
        <f>HYPERLINK("https://www.youtube.com/channel/UCO_5XP-qd-udNxBlzzSzgvw", "Handline Fishing")</f>
        <v>Handline Fishing</v>
      </c>
      <c r="C2178" s="80" t="s">
        <v>2457</v>
      </c>
      <c r="D2178" s="81" t="str">
        <f>HYPERLINK("https://youtube.com/watch?v=yWXe2S1KT0Q", "#205 維港瓜衫之旅 |『香港釣魚 : 艇釣』維港 {粵語旁白+中英文字幕}")</f>
        <v>#205 維港瓜衫之旅 |『香港釣魚 : 艇釣』維港 {粵語旁白+中英文字幕}</v>
      </c>
      <c r="E2178" s="82">
        <v>44305.0</v>
      </c>
      <c r="F2178" s="80">
        <v>505.0</v>
      </c>
      <c r="G2178" s="80" t="s">
        <v>63</v>
      </c>
      <c r="H2178" s="80" t="s">
        <v>63</v>
      </c>
      <c r="I2178" s="80" t="s">
        <v>63</v>
      </c>
      <c r="J2178" s="80">
        <v>641.0</v>
      </c>
      <c r="K2178" s="80">
        <v>0.975862068965517</v>
      </c>
      <c r="L2178" s="80" t="s">
        <v>88</v>
      </c>
    </row>
    <row r="2179">
      <c r="A2179" s="80" t="s">
        <v>217</v>
      </c>
      <c r="B2179" s="81" t="str">
        <f>HYPERLINK("https://www.youtube.com/channel/UCXKg0qPRz32bs5Z4mTGF3TQ", "Stormtrooper白兵")</f>
        <v>Stormtrooper白兵</v>
      </c>
      <c r="C2179" s="80" t="s">
        <v>2458</v>
      </c>
      <c r="D2179" s="81" t="str">
        <f>HYPERLINK("https://youtube.com/watch?v=yX4nQujapMA", "藍絲KOL100背後陰謀，看中共如何滲透香港｜白兵帶你認識，中共滲透五大法寶｜破解方法早已出現！？")</f>
        <v>藍絲KOL100背後陰謀，看中共如何滲透香港｜白兵帶你認識，中共滲透五大法寶｜破解方法早已出現！？</v>
      </c>
      <c r="E2179" s="82">
        <v>43888.0</v>
      </c>
      <c r="F2179" s="80">
        <v>1121.0</v>
      </c>
      <c r="G2179" s="80" t="s">
        <v>63</v>
      </c>
      <c r="I2179" s="80" t="s">
        <v>63</v>
      </c>
      <c r="J2179" s="80">
        <v>5374.0</v>
      </c>
      <c r="K2179" s="80">
        <v>0.950477538026176</v>
      </c>
      <c r="L2179" s="80" t="s">
        <v>521</v>
      </c>
    </row>
    <row r="2180">
      <c r="A2180" s="80" t="s">
        <v>140</v>
      </c>
      <c r="B2180" s="81" t="str">
        <f>HYPERLINK("https://www.youtube.com/channel/UCHK0CZf9HEXs42qIO1GUouA", "TechiCardia")</f>
        <v>TechiCardia</v>
      </c>
      <c r="C2180" s="80" t="s">
        <v>2459</v>
      </c>
      <c r="D2180" s="81" t="str">
        <f>HYPERLINK("https://youtube.com/watch?v=yXzB1nJY27c", "搭載RTX 3070嘅超小型廠機電腦！！買唔到卡買廠機好嗎？激似INTEL NUC 9！ZOTAC MAGNUS ONE 開箱試玩 // 4K [CC 廣東話字幕] 【TechiCardia】")</f>
        <v>搭載RTX 3070嘅超小型廠機電腦！！買唔到卡買廠機好嗎？激似INTEL NUC 9！ZOTAC MAGNUS ONE 開箱試玩 // 4K [CC 廣東話字幕] 【TechiCardia】</v>
      </c>
      <c r="E2180" s="82">
        <v>44233.0</v>
      </c>
      <c r="F2180" s="80">
        <v>1151.0</v>
      </c>
      <c r="G2180" s="80" t="s">
        <v>63</v>
      </c>
      <c r="I2180" s="80" t="s">
        <v>63</v>
      </c>
      <c r="J2180" s="80">
        <v>3662.0</v>
      </c>
      <c r="K2180" s="80">
        <v>0.703014014206181</v>
      </c>
      <c r="L2180" s="80" t="s">
        <v>102</v>
      </c>
    </row>
    <row r="2181">
      <c r="A2181" s="80" t="s">
        <v>274</v>
      </c>
      <c r="B2181" s="81" t="str">
        <f>HYPERLINK("https://www.youtube.com/channel/UC2oB9QCXs-RKtaKChrz4dKg", "MtzCherry")</f>
        <v>MtzCherry</v>
      </c>
      <c r="C2181" s="80" t="s">
        <v>2460</v>
      </c>
      <c r="D2181" s="81" t="str">
        <f>HYPERLINK("https://youtube.com/watch?v=yYlDE6BGo3Q", "Mini Adventure at Fleet Arcade &amp; Fenwick Pier 去分域碼頭同海軍商場嘅小冒險! || LIVING IN HONG KONG")</f>
        <v>Mini Adventure at Fleet Arcade &amp; Fenwick Pier 去分域碼頭同海軍商場嘅小冒險! || LIVING IN HONG KONG</v>
      </c>
      <c r="E2181" s="82">
        <v>44239.0</v>
      </c>
      <c r="F2181" s="80">
        <v>332.0</v>
      </c>
      <c r="G2181" s="80" t="s">
        <v>63</v>
      </c>
      <c r="I2181" s="80" t="s">
        <v>63</v>
      </c>
      <c r="J2181" s="80">
        <v>1020.0</v>
      </c>
      <c r="K2181" s="80">
        <v>0.888501742160278</v>
      </c>
      <c r="L2181" s="80" t="s">
        <v>287</v>
      </c>
    </row>
    <row r="2182">
      <c r="A2182" s="80" t="s">
        <v>129</v>
      </c>
      <c r="B2182" s="81" t="str">
        <f>HYPERLINK("https://www.youtube.com/channel/UCBbTnorwzva0ZIMGW0ttwVA", "阿豬 Ah Ju")</f>
        <v>阿豬 Ah Ju</v>
      </c>
      <c r="C2182" s="80" t="s">
        <v>2461</v>
      </c>
      <c r="D2182" s="81" t="str">
        <f>HYPERLINK("https://youtube.com/watch?v=y_1X2HnL5YE", "英國加拿大高息ETF退休之選 💸收7厘股息💸")</f>
        <v>英國加拿大高息ETF退休之選 💸收7厘股息💸</v>
      </c>
      <c r="E2182" s="82">
        <v>44364.0</v>
      </c>
      <c r="F2182" s="80">
        <v>1305.0</v>
      </c>
      <c r="G2182" s="80" t="s">
        <v>63</v>
      </c>
      <c r="I2182" s="80" t="s">
        <v>63</v>
      </c>
      <c r="J2182" s="80">
        <v>3995.0</v>
      </c>
      <c r="K2182" s="80">
        <v>0.638791173648864</v>
      </c>
      <c r="L2182" s="80" t="s">
        <v>751</v>
      </c>
    </row>
    <row r="2183">
      <c r="A2183" s="80" t="s">
        <v>112</v>
      </c>
      <c r="B2183" s="81" t="str">
        <f>HYPERLINK("https://www.youtube.com/channel/UCW_n_gfIv4HhRqCk8EnRhJA", "Happy Kongner")</f>
        <v>Happy Kongner</v>
      </c>
      <c r="C2183" s="80" t="s">
        <v>2462</v>
      </c>
      <c r="D2183" s="81" t="str">
        <f>HYPERLINK("https://youtube.com/watch?v=ybgbnonn6kU", "點解俾人鬧垃圾？Gundam Build Divers 簡評 [公仔書與卡通片 EP17]")</f>
        <v>點解俾人鬧垃圾？Gundam Build Divers 簡評 [公仔書與卡通片 EP17]</v>
      </c>
      <c r="E2183" s="82">
        <v>43480.0</v>
      </c>
      <c r="F2183" s="80">
        <v>745.0</v>
      </c>
      <c r="G2183" s="80" t="s">
        <v>63</v>
      </c>
      <c r="I2183" s="80" t="s">
        <v>63</v>
      </c>
      <c r="J2183" s="80">
        <v>3840.0</v>
      </c>
      <c r="K2183" s="80">
        <v>0.88235294117647</v>
      </c>
      <c r="L2183" s="80" t="s">
        <v>64</v>
      </c>
    </row>
    <row r="2184">
      <c r="A2184" s="80" t="s">
        <v>217</v>
      </c>
      <c r="B2184" s="81" t="str">
        <f>HYPERLINK("https://www.youtube.com/channel/UCXKg0qPRz32bs5Z4mTGF3TQ", "Stormtrooper白兵")</f>
        <v>Stormtrooper白兵</v>
      </c>
      <c r="C2184" s="80" t="s">
        <v>2463</v>
      </c>
      <c r="D2184" s="81" t="str">
        <f>HYPERLINK("https://youtube.com/watch?v=ykTdNBZz1Lk", "[獨裁者系列-史太林終章]慘勝小國芬蘭＋人類戰爭史上最大的殲滅戰的受害者，如何扭轉劣勢？｜英美蘇三巨頭會面，瓜分德國，蘇聯佔盡上風？｜死後如何造成人踩人慘劇，仲要即被除名？｜粵語中字")</f>
        <v>[獨裁者系列-史太林終章]慘勝小國芬蘭＋人類戰爭史上最大的殲滅戰的受害者，如何扭轉劣勢？｜英美蘇三巨頭會面，瓜分德國，蘇聯佔盡上風？｜死後如何造成人踩人慘劇，仲要即被除名？｜粵語中字</v>
      </c>
      <c r="E2184" s="82">
        <v>44427.0</v>
      </c>
      <c r="F2184" s="80">
        <v>1203.0</v>
      </c>
      <c r="G2184" s="80" t="s">
        <v>63</v>
      </c>
      <c r="I2184" s="80" t="s">
        <v>63</v>
      </c>
      <c r="J2184" s="80">
        <v>5189.0</v>
      </c>
      <c r="K2184" s="80">
        <v>0.979426198565496</v>
      </c>
      <c r="L2184" s="80" t="s">
        <v>64</v>
      </c>
    </row>
    <row r="2185">
      <c r="A2185" s="80" t="s">
        <v>1987</v>
      </c>
      <c r="B2185" s="81" t="str">
        <f>HYPERLINK("https://www.youtube.com/channel/UCgGUmm04nVyj-ftaCxVcyBg", "MangoHK大馬獅家")</f>
        <v>MangoHK大馬獅家</v>
      </c>
      <c r="C2185" s="80" t="s">
        <v>2464</v>
      </c>
      <c r="D2185" s="81" t="str">
        <f>HYPERLINK("https://youtube.com/watch?v=6u1K1uV6-zM", "【27】🏸學習大馬國粹❤️李宗偉教羽毛球？{中英字幕}  Subtitled | Malaysia badminton | Malaysia Vlog | mm2h")</f>
        <v>【27】🏸學習大馬國粹❤️李宗偉教羽毛球？{中英字幕}  Subtitled | Malaysia badminton | Malaysia Vlog | mm2h</v>
      </c>
      <c r="E2185" s="82">
        <v>44458.0</v>
      </c>
      <c r="F2185" s="80">
        <v>570.0</v>
      </c>
      <c r="G2185" s="80" t="s">
        <v>63</v>
      </c>
      <c r="I2185" s="80" t="s">
        <v>63</v>
      </c>
      <c r="J2185" s="80">
        <v>1252.0</v>
      </c>
      <c r="K2185" s="80">
        <v>0.90658942795076</v>
      </c>
      <c r="L2185" s="80" t="s">
        <v>896</v>
      </c>
    </row>
    <row r="2186">
      <c r="A2186" s="80" t="s">
        <v>112</v>
      </c>
      <c r="B2186" s="81" t="str">
        <f>HYPERLINK("https://www.youtube.com/channel/UCW_n_gfIv4HhRqCk8EnRhJA", "Happy Kongner")</f>
        <v>Happy Kongner</v>
      </c>
      <c r="C2186" s="80" t="s">
        <v>2465</v>
      </c>
      <c r="D2186" s="81" t="str">
        <f>HYPERLINK("https://youtube.com/watch?v=ynmKN3QQ_b8", "(少量劇透) Rainbow Six嘅體驗：《轟天暴隊》究竟值唔值得睇？ [𠝹櫈電影學會]")</f>
        <v>(少量劇透) Rainbow Six嘅體驗：《轟天暴隊》究竟值唔值得睇？ [𠝹櫈電影學會]</v>
      </c>
      <c r="E2186" s="82">
        <v>43486.0</v>
      </c>
      <c r="F2186" s="80">
        <v>730.0</v>
      </c>
      <c r="G2186" s="80" t="s">
        <v>63</v>
      </c>
      <c r="I2186" s="80" t="s">
        <v>63</v>
      </c>
      <c r="J2186" s="80">
        <v>3688.0</v>
      </c>
      <c r="K2186" s="80">
        <v>0.91536361379995</v>
      </c>
      <c r="L2186" s="80" t="s">
        <v>64</v>
      </c>
    </row>
    <row r="2187">
      <c r="A2187" s="80" t="s">
        <v>217</v>
      </c>
      <c r="B2187" s="81" t="str">
        <f>HYPERLINK("https://www.youtube.com/channel/UCXKg0qPRz32bs5Z4mTGF3TQ", "Stormtrooper白兵")</f>
        <v>Stormtrooper白兵</v>
      </c>
      <c r="C2187" s="80" t="s">
        <v>2466</v>
      </c>
      <c r="D2187" s="81" t="str">
        <f>HYPERLINK("https://youtube.com/watch?v=z2509qnSrI4", "[毛澤東9月9日死忌] 文化大革命懶人包(毛澤東視角)｜歷史不斷重演，從文革解讀習近平的共同富裕｜分析毛澤東的權鬥藝術，即使令中國天翻地覆也在所不計！｜粵語中字")</f>
        <v>[毛澤東9月9日死忌] 文化大革命懶人包(毛澤東視角)｜歷史不斷重演，從文革解讀習近平的共同富裕｜分析毛澤東的權鬥藝術，即使令中國天翻地覆也在所不計！｜粵語中字</v>
      </c>
      <c r="E2187" s="82">
        <v>44448.0</v>
      </c>
      <c r="F2187" s="80">
        <v>895.0</v>
      </c>
      <c r="G2187" s="80" t="s">
        <v>63</v>
      </c>
      <c r="I2187" s="80" t="s">
        <v>63</v>
      </c>
      <c r="J2187" s="80">
        <v>3576.0</v>
      </c>
      <c r="K2187" s="80">
        <v>0.972531955398422</v>
      </c>
      <c r="L2187" s="80" t="s">
        <v>64</v>
      </c>
    </row>
    <row r="2188">
      <c r="A2188" s="80" t="s">
        <v>112</v>
      </c>
      <c r="B2188" s="81" t="str">
        <f>HYPERLINK("https://www.youtube.com/channel/UCW_n_gfIv4HhRqCk8EnRhJA", "Happy Kongner")</f>
        <v>Happy Kongner</v>
      </c>
      <c r="C2188" s="80" t="s">
        <v>2467</v>
      </c>
      <c r="D2188" s="81" t="str">
        <f>HYPERLINK("https://youtube.com/watch?v=z8-k-qsPUnA", "智力型鉅著！簡評《侏羅記世界：迷失國度》[𠝹櫈電影學會]")</f>
        <v>智力型鉅著！簡評《侏羅記世界：迷失國度》[𠝹櫈電影學會]</v>
      </c>
      <c r="E2188" s="82">
        <v>43262.0</v>
      </c>
      <c r="F2188" s="80">
        <v>900.0</v>
      </c>
      <c r="G2188" s="80" t="s">
        <v>63</v>
      </c>
      <c r="I2188" s="80" t="s">
        <v>63</v>
      </c>
      <c r="J2188" s="80">
        <v>4470.0</v>
      </c>
      <c r="K2188" s="80">
        <v>0.918430244503801</v>
      </c>
      <c r="L2188" s="80" t="s">
        <v>64</v>
      </c>
    </row>
    <row r="2189">
      <c r="A2189" s="80" t="s">
        <v>1183</v>
      </c>
      <c r="B2189" s="81" t="str">
        <f>HYPERLINK("https://www.youtube.com/channel/UCPBBbFYG51QpjuptQtYfCDA", "siuwaiboy")</f>
        <v>siuwaiboy</v>
      </c>
      <c r="C2189" s="80" t="s">
        <v>2468</v>
      </c>
      <c r="D2189" s="81" t="str">
        <f>HYPERLINK("https://youtube.com/watch?v=zBKeKKbpbE0", "讓你你就坐啦仆......")</f>
        <v>讓你你就坐啦仆......</v>
      </c>
      <c r="E2189" s="82">
        <v>42957.0</v>
      </c>
      <c r="F2189" s="80">
        <v>122.0</v>
      </c>
      <c r="G2189" s="80" t="s">
        <v>63</v>
      </c>
      <c r="I2189" s="80" t="s">
        <v>63</v>
      </c>
      <c r="J2189" s="80">
        <v>430.0</v>
      </c>
      <c r="K2189" s="80">
        <v>0.951327433628318</v>
      </c>
      <c r="L2189" s="80" t="s">
        <v>64</v>
      </c>
    </row>
    <row r="2190">
      <c r="A2190" s="80" t="s">
        <v>278</v>
      </c>
      <c r="B2190" s="81" t="str">
        <f>HYPERLINK("https://www.youtube.com/channel/UCDoEdJo-PI-EKGNKomwLroQ", "mingjai14")</f>
        <v>mingjai14</v>
      </c>
      <c r="C2190" s="80" t="s">
        <v>2469</v>
      </c>
      <c r="D2190" s="81" t="str">
        <f>HYPERLINK("https://youtube.com/watch?v=zCKs0nM1wQ4", "試食鱷魚、駝鳥、羚羊野獸大餐｜非南非旅2｜Ep 2")</f>
        <v>試食鱷魚、駝鳥、羚羊野獸大餐｜非南非旅2｜Ep 2</v>
      </c>
      <c r="E2190" s="82">
        <v>42886.0</v>
      </c>
      <c r="F2190" s="80">
        <v>656.0</v>
      </c>
      <c r="G2190" s="80" t="s">
        <v>63</v>
      </c>
      <c r="H2190" s="80" t="s">
        <v>63</v>
      </c>
      <c r="I2190" s="80" t="s">
        <v>63</v>
      </c>
      <c r="J2190" s="80">
        <v>1601.0</v>
      </c>
      <c r="K2190" s="80">
        <v>0.944353518821603</v>
      </c>
      <c r="L2190" s="80" t="s">
        <v>2470</v>
      </c>
    </row>
    <row r="2191">
      <c r="A2191" s="80" t="s">
        <v>1039</v>
      </c>
      <c r="B2191" s="81" t="str">
        <f>HYPERLINK("https://www.youtube.com/channel/UCiKEIxbv4RTzyLCKG17N-AA", "Hunting Archer")</f>
        <v>Hunting Archer</v>
      </c>
      <c r="C2191" s="80" t="s">
        <v>2471</v>
      </c>
      <c r="D2191" s="81" t="str">
        <f>HYPERLINK("https://youtube.com/watch?v=zF4K4Bm3vaI", "【广州漫步】西华路的美食-珍珍小食店 【Walk in GuangZhou】")</f>
        <v>【广州漫步】西华路的美食-珍珍小食店 【Walk in GuangZhou】</v>
      </c>
      <c r="E2191" s="82">
        <v>44377.0</v>
      </c>
      <c r="F2191" s="80">
        <v>921.0</v>
      </c>
      <c r="G2191" s="80" t="s">
        <v>63</v>
      </c>
      <c r="I2191" s="80" t="s">
        <v>63</v>
      </c>
      <c r="J2191" s="80">
        <v>2861.0</v>
      </c>
      <c r="K2191" s="80">
        <v>0.992369060006937</v>
      </c>
      <c r="L2191" s="80" t="s">
        <v>757</v>
      </c>
    </row>
    <row r="2192">
      <c r="A2192" s="80" t="s">
        <v>71</v>
      </c>
      <c r="B2192" s="81" t="str">
        <f>HYPERLINK("https://www.youtube.com/channel/UCXTE-gQCetfrx_lC9yFM2aw", "arhoTV")</f>
        <v>arhoTV</v>
      </c>
      <c r="C2192" s="80" t="s">
        <v>2472</v>
      </c>
      <c r="D2192" s="81" t="str">
        <f>HYPERLINK("https://youtube.com/watch?v=zH5hP-idyic", "【日常】明明想拍打機片竟然要去買手信？！【片尾送禮】")</f>
        <v>【日常】明明想拍打機片竟然要去買手信？！【片尾送禮】</v>
      </c>
      <c r="E2192" s="82">
        <v>42707.0</v>
      </c>
      <c r="F2192" s="80">
        <v>176.0</v>
      </c>
      <c r="G2192" s="80" t="s">
        <v>63</v>
      </c>
      <c r="H2192" s="80" t="s">
        <v>63</v>
      </c>
      <c r="I2192" s="80" t="s">
        <v>63</v>
      </c>
      <c r="J2192" s="80">
        <v>767.0</v>
      </c>
      <c r="K2192" s="80">
        <v>0.853403141361256</v>
      </c>
      <c r="L2192" s="80" t="s">
        <v>86</v>
      </c>
    </row>
    <row r="2193">
      <c r="A2193" s="80" t="s">
        <v>61</v>
      </c>
      <c r="B2193" s="81" t="str">
        <f>HYPERLINK("https://www.youtube.com/channel/UCJ4XVrJuqKHbc9yF9oUFseg", "MEeeep More")</f>
        <v>MEeeep More</v>
      </c>
      <c r="C2193" s="80" t="s">
        <v>2473</v>
      </c>
      <c r="D2193" s="81" t="str">
        <f>HYPERLINK("https://youtube.com/watch?v=zLapayIuUD0", "小米11 Mi11 壓軸登場！Snapdragon 888 首發 一億像素鏡頭 5G配Wifi6加強版 2021旗艦 | Xiaomi 11 Mi 11 Wifi-6 5G手機 香港5G 新機開箱")</f>
        <v>小米11 Mi11 壓軸登場！Snapdragon 888 首發 一億像素鏡頭 5G配Wifi6加強版 2021旗艦 | Xiaomi 11 Mi 11 Wifi-6 5G手機 香港5G 新機開箱</v>
      </c>
      <c r="E2193" s="82">
        <v>44194.0</v>
      </c>
      <c r="F2193" s="80">
        <v>223.0</v>
      </c>
      <c r="G2193" s="80" t="s">
        <v>63</v>
      </c>
      <c r="I2193" s="80" t="s">
        <v>63</v>
      </c>
      <c r="J2193" s="80">
        <v>599.0</v>
      </c>
      <c r="K2193" s="80">
        <v>0.790237467018469</v>
      </c>
      <c r="L2193" s="80" t="s">
        <v>64</v>
      </c>
    </row>
    <row r="2194">
      <c r="A2194" s="80" t="s">
        <v>96</v>
      </c>
      <c r="B2194" s="81" t="str">
        <f>HYPERLINK("https://www.youtube.com/channel/UCGtyHJ-L_4RDIHe3XaLofQQ", "Anson Cheung")</f>
        <v>Anson Cheung</v>
      </c>
      <c r="C2194" s="80" t="s">
        <v>2474</v>
      </c>
      <c r="D2194" s="81" t="str">
        <f>HYPERLINK("https://youtube.com/watch?v=zOiPW0zoZxk", "Samsung 賭很大！摺機到底可唔可以變成主流？就取決於呢部機！｜Samsung Galaxy Z Fold 3 評測｜Samsung Galaxy Z Fold 3 Review")</f>
        <v>Samsung 賭很大！摺機到底可唔可以變成主流？就取決於呢部機！｜Samsung Galaxy Z Fold 3 評測｜Samsung Galaxy Z Fold 3 Review</v>
      </c>
      <c r="E2194" s="82">
        <v>44455.0</v>
      </c>
      <c r="F2194" s="80">
        <v>712.0</v>
      </c>
      <c r="G2194" s="80" t="s">
        <v>63</v>
      </c>
      <c r="I2194" s="80" t="s">
        <v>63</v>
      </c>
      <c r="J2194" s="80">
        <v>2872.0</v>
      </c>
      <c r="K2194" s="80">
        <v>0.655258955053616</v>
      </c>
      <c r="L2194" s="80" t="s">
        <v>64</v>
      </c>
    </row>
    <row r="2195">
      <c r="A2195" s="80" t="s">
        <v>71</v>
      </c>
      <c r="B2195" s="81" t="str">
        <f>HYPERLINK("https://www.youtube.com/channel/UCXTE-gQCetfrx_lC9yFM2aw", "arhoTV")</f>
        <v>arhoTV</v>
      </c>
      <c r="C2195" s="80" t="s">
        <v>2475</v>
      </c>
      <c r="D2195" s="81" t="str">
        <f>HYPERLINK("https://youtube.com/watch?v=zTBJo2K-yw4", "【情人節】單身狗自製朱古力！")</f>
        <v>【情人節】單身狗自製朱古力！</v>
      </c>
      <c r="E2195" s="82">
        <v>42780.0</v>
      </c>
      <c r="F2195" s="80">
        <v>255.0</v>
      </c>
      <c r="G2195" s="80" t="s">
        <v>63</v>
      </c>
      <c r="H2195" s="80" t="s">
        <v>63</v>
      </c>
      <c r="I2195" s="80" t="s">
        <v>63</v>
      </c>
      <c r="J2195" s="80">
        <v>1339.0</v>
      </c>
      <c r="K2195" s="80">
        <v>0.91413612565445</v>
      </c>
      <c r="L2195" s="80" t="s">
        <v>413</v>
      </c>
    </row>
    <row r="2196">
      <c r="A2196" s="80" t="s">
        <v>74</v>
      </c>
      <c r="B2196" s="81" t="str">
        <f>HYPERLINK("https://www.youtube.com/channel/UCO_5XP-qd-udNxBlzzSzgvw", "Handline Fishing")</f>
        <v>Handline Fishing</v>
      </c>
      <c r="C2196" s="80" t="s">
        <v>2476</v>
      </c>
      <c r="D2196" s="81" t="str">
        <f>HYPERLINK("https://youtube.com/watch?v=zW2H20G04H8", "#92 峰迴路轉 乾坤扭轉『香港釣魚 : 艇釣』維港 {粵語旁白+中英文字幕}")</f>
        <v>#92 峰迴路轉 乾坤扭轉『香港釣魚 : 艇釣』維港 {粵語旁白+中英文字幕}</v>
      </c>
      <c r="E2196" s="82">
        <v>43905.0</v>
      </c>
      <c r="F2196" s="80">
        <v>303.0</v>
      </c>
      <c r="G2196" s="80" t="s">
        <v>63</v>
      </c>
      <c r="I2196" s="80" t="s">
        <v>63</v>
      </c>
      <c r="J2196" s="80">
        <v>1467.0</v>
      </c>
      <c r="K2196" s="80">
        <v>0.979959919839679</v>
      </c>
      <c r="L2196" s="80" t="s">
        <v>76</v>
      </c>
    </row>
    <row r="2197">
      <c r="A2197" s="80" t="s">
        <v>61</v>
      </c>
      <c r="B2197" s="81" t="str">
        <f>HYPERLINK("https://www.youtube.com/channel/UCJ4XVrJuqKHbc9yF9oUFseg", "MEeeep More")</f>
        <v>MEeeep More</v>
      </c>
      <c r="C2197" s="80" t="s">
        <v>2477</v>
      </c>
      <c r="D2197" s="81" t="str">
        <f>HYPERLINK("https://youtube.com/watch?v=zYirtuU1Wn4", "唔洗簽約 $7.3/月 養號碼 / 低用量一流！IMC Networks 幾十蚊用足一年！ ［附測速］自由鳥 ClubSIM MO")</f>
        <v>唔洗簽約 $7.3/月 養號碼 / 低用量一流！IMC Networks 幾十蚊用足一年！ ［附測速］自由鳥 ClubSIM MO</v>
      </c>
      <c r="E2197" s="82">
        <v>43945.0</v>
      </c>
      <c r="F2197" s="80">
        <v>167.0</v>
      </c>
      <c r="G2197" s="80" t="s">
        <v>63</v>
      </c>
      <c r="I2197" s="80" t="s">
        <v>63</v>
      </c>
      <c r="J2197" s="80">
        <v>510.0</v>
      </c>
      <c r="K2197" s="80">
        <v>0.823909531502423</v>
      </c>
      <c r="L2197" s="80" t="s">
        <v>64</v>
      </c>
    </row>
    <row r="2198">
      <c r="A2198" s="80" t="s">
        <v>127</v>
      </c>
      <c r="B2198" s="81" t="str">
        <f>HYPERLINK("https://www.youtube.com/channel/UC97oYK3XMf9RLtkc0lO8C-Q", "健康旦 HiEggo")</f>
        <v>健康旦 HiEggo</v>
      </c>
      <c r="C2198" s="80" t="s">
        <v>2478</v>
      </c>
      <c r="D2198" s="81" t="str">
        <f>HYPERLINK("https://youtube.com/watch?v=6vOy8BhOBRU", "沙士醫生復康之路 親述類固醇對身體變化 初嚐康復者血清逐漸見效  食醫院飯食到驚 重嚐魚柳包、牛腩河倍感滿足 - 鄭丹瑞《健康旦》盧浩然醫生 PART 3 (CC中文字幕)")</f>
        <v>沙士醫生復康之路 親述類固醇對身體變化 初嚐康復者血清逐漸見效  食醫院飯食到驚 重嚐魚柳包、牛腩河倍感滿足 - 鄭丹瑞《健康旦》盧浩然醫生 PART 3 (CC中文字幕)</v>
      </c>
      <c r="E2198" s="82">
        <v>43873.0</v>
      </c>
      <c r="F2198" s="80">
        <v>714.0</v>
      </c>
      <c r="G2198" s="80" t="s">
        <v>63</v>
      </c>
      <c r="I2198" s="80" t="s">
        <v>63</v>
      </c>
      <c r="J2198" s="80">
        <v>2951.0</v>
      </c>
      <c r="K2198" s="80">
        <v>0.98432288192128</v>
      </c>
      <c r="L2198" s="80" t="s">
        <v>102</v>
      </c>
    </row>
    <row r="2199">
      <c r="A2199" s="80" t="s">
        <v>2479</v>
      </c>
      <c r="B2199" s="81" t="str">
        <f>HYPERLINK("https://www.youtube.com/channel/UC0Da4Jp5vYSPa6hCI6MOrCQ", "Cussion Reve")</f>
        <v>Cussion Reve</v>
      </c>
      <c r="C2199" s="80" t="s">
        <v>2480</v>
      </c>
      <c r="D2199" s="81" t="str">
        <f>HYPERLINK("https://youtube.com/watch?v=6wj8YBzDiU0", "Best side dish :Roasted potatoes paring up with your Sunday roast")</f>
        <v>Best side dish :Roasted potatoes paring up with your Sunday roast</v>
      </c>
      <c r="E2199" s="82">
        <v>44075.0</v>
      </c>
      <c r="F2199" s="80">
        <v>400.0</v>
      </c>
      <c r="G2199" s="80" t="s">
        <v>63</v>
      </c>
      <c r="I2199" s="80" t="s">
        <v>63</v>
      </c>
      <c r="J2199" s="80">
        <v>536.0</v>
      </c>
      <c r="K2199" s="80">
        <v>0.957142857142857</v>
      </c>
      <c r="L2199" s="80" t="s">
        <v>582</v>
      </c>
    </row>
    <row r="2200">
      <c r="A2200" s="80" t="s">
        <v>2481</v>
      </c>
      <c r="B2200" s="81" t="str">
        <f>HYPERLINK("https://www.youtube.com/channel/UCFT-PtLfmdMIShkQMynOEMQ", "一男一旅 HowFarGo")</f>
        <v>一男一旅 HowFarGo</v>
      </c>
      <c r="C2200" s="80" t="s">
        <v>2482</v>
      </c>
      <c r="D2200" s="81" t="str">
        <f>HYPERLINK("https://youtube.com/watch?v=6zolEexlUCY", "伯利茲/貝里斯人民水深火熱?  (粤語/有字幕)  A self-guided trip to Belize City on Carnival Glory, w/English subtitles.")</f>
        <v>伯利茲/貝里斯人民水深火熱?  (粤語/有字幕)  A self-guided trip to Belize City on Carnival Glory, w/English subtitles.</v>
      </c>
      <c r="E2200" s="82">
        <v>44508.0</v>
      </c>
      <c r="F2200" s="80">
        <v>1403.0</v>
      </c>
      <c r="G2200" s="80" t="s">
        <v>63</v>
      </c>
      <c r="I2200" s="80" t="s">
        <v>63</v>
      </c>
      <c r="J2200" s="80">
        <v>812.0</v>
      </c>
      <c r="K2200" s="80">
        <v>0.933333333333333</v>
      </c>
      <c r="L2200" s="80" t="s">
        <v>102</v>
      </c>
    </row>
    <row r="2201">
      <c r="A2201" s="80" t="s">
        <v>1987</v>
      </c>
      <c r="B2201" s="81" t="str">
        <f>HYPERLINK("https://www.youtube.com/channel/UCgGUmm04nVyj-ftaCxVcyBg", "MangoHK大馬獅家")</f>
        <v>MangoHK大馬獅家</v>
      </c>
      <c r="C2201" s="80" t="s">
        <v>2483</v>
      </c>
      <c r="D2201" s="81" t="str">
        <f>HYPERLINK("https://youtube.com/watch?v=7-OwFmKd1ak", "【12】🐊馬來西亞水怪, 🌺公園大到嚇親人! {中英字幕}  Subtitled | Malaysia Varanus salvator | Malaysia Vlog | mm2h")</f>
        <v>【12】🐊馬來西亞水怪, 🌺公園大到嚇親人! {中英字幕}  Subtitled | Malaysia Varanus salvator | Malaysia Vlog | mm2h</v>
      </c>
      <c r="E2201" s="82">
        <v>44450.0</v>
      </c>
      <c r="F2201" s="80">
        <v>165.0</v>
      </c>
      <c r="G2201" s="80" t="s">
        <v>63</v>
      </c>
      <c r="I2201" s="80" t="s">
        <v>63</v>
      </c>
      <c r="J2201" s="80">
        <v>422.0</v>
      </c>
      <c r="K2201" s="80">
        <v>0.981395348837209</v>
      </c>
      <c r="L2201" s="80" t="s">
        <v>896</v>
      </c>
    </row>
    <row r="2202">
      <c r="A2202" s="80" t="s">
        <v>242</v>
      </c>
      <c r="B2202" s="81" t="str">
        <f t="shared" ref="B2202:B2203" si="100">HYPERLINK("https://www.youtube.com/channel/UCZGVB6g74LXWtkR3fX50ykg", "Edwin H.")</f>
        <v>Edwin H.</v>
      </c>
      <c r="C2202" s="80" t="s">
        <v>2484</v>
      </c>
      <c r="D2202" s="81" t="str">
        <f>HYPERLINK("https://youtube.com/watch?v=2NrHf-b5-jE", "唔睇唔知你需要的秘技#3：睇片自動暫停音樂🎶 睇完 自動續播🎵🎶")</f>
        <v>唔睇唔知你需要的秘技#3：睇片自動暫停音樂🎶 睇完 自動續播🎵🎶</v>
      </c>
      <c r="E2202" s="82">
        <v>43614.0</v>
      </c>
      <c r="F2202" s="80">
        <v>433.0</v>
      </c>
      <c r="G2202" s="80" t="s">
        <v>63</v>
      </c>
      <c r="I2202" s="80" t="s">
        <v>63</v>
      </c>
      <c r="J2202" s="80">
        <v>1127.0</v>
      </c>
      <c r="K2202" s="80">
        <v>0.621964679911699</v>
      </c>
      <c r="L2202" s="80" t="s">
        <v>64</v>
      </c>
    </row>
    <row r="2203">
      <c r="A2203" s="80" t="s">
        <v>242</v>
      </c>
      <c r="B2203" s="81" t="str">
        <f t="shared" si="100"/>
        <v>Edwin H.</v>
      </c>
      <c r="C2203" s="80" t="s">
        <v>2485</v>
      </c>
      <c r="D2203" s="81" t="str">
        <f>HYPERLINK("https://youtube.com/watch?v=--D1NmeF6Xk", "14個你要留意的科技新品！11月2018")</f>
        <v>14個你要留意的科技新品！11月2018</v>
      </c>
      <c r="E2203" s="82">
        <v>43426.0</v>
      </c>
      <c r="F2203" s="80">
        <v>608.0</v>
      </c>
      <c r="G2203" s="80" t="s">
        <v>63</v>
      </c>
      <c r="I2203" s="80" t="s">
        <v>63</v>
      </c>
      <c r="J2203" s="80">
        <v>2338.0</v>
      </c>
      <c r="K2203" s="80">
        <v>0.76255707762557</v>
      </c>
      <c r="L2203" s="80" t="s">
        <v>64</v>
      </c>
    </row>
    <row r="2204">
      <c r="A2204" s="80" t="s">
        <v>978</v>
      </c>
      <c r="B2204" s="81" t="str">
        <f>HYPERLINK("https://www.youtube.com/channel/UCDMd6CHdLs8FoqZJoRHkJGQ", "Ray Ho")</f>
        <v>Ray Ho</v>
      </c>
      <c r="C2204" s="80" t="s">
        <v>2486</v>
      </c>
      <c r="D2204" s="81" t="str">
        <f>HYPERLINK("https://youtube.com/watch?v=-06fNRmFHYw", "【Vlog】香港黃色經濟圈💫一日遊🎗試盡黃色小店！懲罰！| CC中文字幕")</f>
        <v>【Vlog】香港黃色經濟圈💫一日遊🎗試盡黃色小店！懲罰！| CC中文字幕</v>
      </c>
      <c r="E2204" s="82">
        <v>43867.0</v>
      </c>
      <c r="F2204" s="80">
        <v>872.0</v>
      </c>
      <c r="G2204" s="80" t="s">
        <v>63</v>
      </c>
      <c r="I2204" s="80" t="s">
        <v>63</v>
      </c>
      <c r="J2204" s="80">
        <v>2375.0</v>
      </c>
      <c r="K2204" s="80">
        <v>0.85155969881678</v>
      </c>
      <c r="L2204" s="80" t="s">
        <v>64</v>
      </c>
    </row>
    <row r="2205">
      <c r="A2205" s="80" t="s">
        <v>962</v>
      </c>
      <c r="B2205" s="81" t="str">
        <f>HYPERLINK("https://www.youtube.com/channel/UCmdnX8KiF_5ZVmJXNhOXUtw", "foursonproduction")</f>
        <v>foursonproduction</v>
      </c>
      <c r="C2205" s="80" t="s">
        <v>2487</v>
      </c>
      <c r="D2205" s="81" t="str">
        <f>HYPERLINK("https://youtube.com/watch?v=-Xg24v7_MgA", "《我的HEHE室友》S2E6：「還真的給你們請到大波文青Serrini當評判啊？」 ft. @Serrini")</f>
        <v>《我的HEHE室友》S2E6：「還真的給你們請到大波文青Serrini當評判啊？」 ft. @Serrini</v>
      </c>
      <c r="E2205" s="82">
        <v>44071.0</v>
      </c>
      <c r="F2205" s="80">
        <v>1034.0</v>
      </c>
      <c r="G2205" s="80" t="s">
        <v>63</v>
      </c>
      <c r="I2205" s="80" t="s">
        <v>63</v>
      </c>
      <c r="J2205" s="80">
        <v>2201.0</v>
      </c>
      <c r="K2205" s="80">
        <v>0.882872041716807</v>
      </c>
      <c r="L2205" s="80" t="s">
        <v>64</v>
      </c>
    </row>
    <row r="2206">
      <c r="A2206" s="80" t="s">
        <v>140</v>
      </c>
      <c r="B2206" s="81" t="str">
        <f>HYPERLINK("https://www.youtube.com/channel/UCHK0CZf9HEXs42qIO1GUouA", "TechiCardia")</f>
        <v>TechiCardia</v>
      </c>
      <c r="C2206" s="80" t="s">
        <v>2488</v>
      </c>
      <c r="D2206" s="81" t="str">
        <f>HYPERLINK("https://youtube.com/watch?v=-ajuM8NVcME", "新年GIVEAWAY🎁 收音勁、極全能嘅 Jabra Elite 7 Pro、Elite 7 Active 一個月詳細用後感+實測！真無線降噪耳機 | [CC廣東話字幕]【TechiCardia】")</f>
        <v>新年GIVEAWAY🎁 收音勁、極全能嘅 Jabra Elite 7 Pro、Elite 7 Active 一個月詳細用後感+實測！真無線降噪耳機 | [CC廣東話字幕]【TechiCardia】</v>
      </c>
      <c r="E2206" s="82">
        <v>44568.0</v>
      </c>
      <c r="F2206" s="80">
        <v>1029.0</v>
      </c>
      <c r="G2206" s="80" t="s">
        <v>63</v>
      </c>
      <c r="I2206" s="80" t="s">
        <v>63</v>
      </c>
      <c r="J2206" s="80">
        <v>3498.0</v>
      </c>
      <c r="K2206" s="80">
        <v>0.774579273693534</v>
      </c>
      <c r="L2206" s="80" t="s">
        <v>102</v>
      </c>
    </row>
    <row r="2207">
      <c r="A2207" s="80" t="s">
        <v>242</v>
      </c>
      <c r="B2207" s="81" t="str">
        <f>HYPERLINK("https://www.youtube.com/channel/UCZGVB6g74LXWtkR3fX50ykg", "Edwin H.")</f>
        <v>Edwin H.</v>
      </c>
      <c r="C2207" s="80" t="s">
        <v>2489</v>
      </c>
      <c r="D2207" s="81" t="str">
        <f>HYPERLINK("https://youtube.com/watch?v=-s7OEkSxGEM", "透明咖啡 與 透明桃茶 feat. 鰻魚骨 | 東京近郊 - 番外篇 | 日本")</f>
        <v>透明咖啡 與 透明桃茶 feat. 鰻魚骨 | 東京近郊 - 番外篇 | 日本</v>
      </c>
      <c r="E2207" s="82">
        <v>43252.0</v>
      </c>
      <c r="F2207" s="80">
        <v>240.0</v>
      </c>
      <c r="G2207" s="80" t="s">
        <v>63</v>
      </c>
      <c r="I2207" s="80" t="s">
        <v>63</v>
      </c>
      <c r="J2207" s="80">
        <v>485.0</v>
      </c>
      <c r="K2207" s="80">
        <v>0.811036789297658</v>
      </c>
      <c r="L2207" s="80" t="s">
        <v>64</v>
      </c>
    </row>
    <row r="2208">
      <c r="A2208" s="80" t="s">
        <v>2490</v>
      </c>
      <c r="B2208" s="81" t="str">
        <f>HYPERLINK("https://www.youtube.com/channel/UCxtXeFNKwTorEUE-vzRqj6w", "網上學習平台Beginneros")</f>
        <v>網上學習平台Beginneros</v>
      </c>
      <c r="C2208" s="80" t="s">
        <v>2491</v>
      </c>
      <c r="D2208" s="81" t="str">
        <f>HYPERLINK("https://youtube.com/watch?v=0Ab00qDvmlA", "【雜耍教學】新手必學的雜耍技巧：3顆球 拋絲巾 轉碟｜Beginneros")</f>
        <v>【雜耍教學】新手必學的雜耍技巧：3顆球 拋絲巾 轉碟｜Beginneros</v>
      </c>
      <c r="E2208" s="82">
        <v>43281.0</v>
      </c>
      <c r="F2208" s="80">
        <v>822.0</v>
      </c>
      <c r="G2208" s="80" t="s">
        <v>63</v>
      </c>
      <c r="H2208" s="80" t="s">
        <v>63</v>
      </c>
      <c r="I2208" s="80" t="s">
        <v>63</v>
      </c>
      <c r="J2208" s="80">
        <v>2079.0</v>
      </c>
      <c r="K2208" s="80">
        <v>0.991416309012875</v>
      </c>
      <c r="L2208" s="80" t="s">
        <v>86</v>
      </c>
    </row>
    <row r="2209">
      <c r="A2209" s="80" t="s">
        <v>1007</v>
      </c>
      <c r="B2209" s="81" t="str">
        <f>HYPERLINK("https://www.youtube.com/channel/UCCzgNTkFyDel0FDJtVNgEtQ", "香港人. 德國讀書之【真.洗濕左個頭.無得返轉頭】Miss Chan Life in Germany")</f>
        <v>香港人. 德國讀書之【真.洗濕左個頭.無得返轉頭】Miss Chan Life in Germany</v>
      </c>
      <c r="C2209" s="80" t="s">
        <v>2492</v>
      </c>
      <c r="D2209" s="81" t="str">
        <f>HYPERLINK("https://youtube.com/watch?v=0WZQrLAUDi4", "【德國無菌旅行團 】科隆地道啤酒館 | 百佳都有得買Kölsch | Halve Hahn 半隻雞真身 | 大叔的愛般既待應 (香港人製作. 廣東話. 中文字幕)")</f>
        <v>【德國無菌旅行團 】科隆地道啤酒館 | 百佳都有得買Kölsch | Halve Hahn 半隻雞真身 | 大叔的愛般既待應 (香港人製作. 廣東話. 中文字幕)</v>
      </c>
      <c r="E2209" s="82">
        <v>44570.0</v>
      </c>
      <c r="F2209" s="80">
        <v>414.0</v>
      </c>
      <c r="G2209" s="80" t="s">
        <v>63</v>
      </c>
      <c r="I2209" s="80" t="s">
        <v>63</v>
      </c>
      <c r="J2209" s="80">
        <v>1552.0</v>
      </c>
      <c r="K2209" s="80">
        <v>0.887364208118925</v>
      </c>
      <c r="L2209" s="80" t="s">
        <v>64</v>
      </c>
    </row>
    <row r="2210">
      <c r="A2210" s="80" t="s">
        <v>2493</v>
      </c>
      <c r="B2210" s="81" t="str">
        <f>HYPERLINK("https://www.youtube.com/channel/UC1WLQD_3Lblql-PFN6Qgcqw", "歡樂馬介休Bacalhau")</f>
        <v>歡樂馬介休Bacalhau</v>
      </c>
      <c r="C2210" s="80" t="s">
        <v>2494</v>
      </c>
      <c r="D2210" s="81" t="str">
        <f>HYPERLINK("https://youtube.com/watch?v=0cTxamM04cA", "【倒數】馬介休 又驚又喜 2020網上除夕倒數｜馬介休｜Bacalhau Scary&amp;Happy 2020 Countdown #歡樂馬介休Bacalhau")</f>
        <v>【倒數】馬介休 又驚又喜 2020網上除夕倒數｜馬介休｜Bacalhau Scary&amp;Happy 2020 Countdown #歡樂馬介休Bacalhau</v>
      </c>
      <c r="E2210" s="82">
        <v>44196.0</v>
      </c>
      <c r="F2210" s="80">
        <v>4747.0</v>
      </c>
      <c r="G2210" s="80" t="s">
        <v>63</v>
      </c>
      <c r="I2210" s="80" t="s">
        <v>63</v>
      </c>
      <c r="J2210" s="80">
        <v>730.0</v>
      </c>
      <c r="K2210" s="80">
        <v>0.829545454545454</v>
      </c>
      <c r="L2210" s="80" t="s">
        <v>64</v>
      </c>
    </row>
    <row r="2211">
      <c r="A2211" s="80" t="s">
        <v>960</v>
      </c>
      <c r="B2211" s="81" t="str">
        <f>HYPERLINK("https://www.youtube.com/channel/UCXf8jlTSP9kp6g4ROCfgvbQ", "堅離地球・沈旭暉・馮智政")</f>
        <v>堅離地球・沈旭暉・馮智政</v>
      </c>
      <c r="C2211" s="80" t="s">
        <v>2495</v>
      </c>
      <c r="D2211" s="81" t="str">
        <f>HYPERLINK("https://youtube.com/watch?v=39J-zgGp0Gk", "【回到未來．沈旭暉 007】「香港文革2.0」批鬥歷史試題，與「中國文革1.0」批鬥海瑞罷官")</f>
        <v>【回到未來．沈旭暉 007】「香港文革2.0」批鬥歷史試題，與「中國文革1.0」批鬥海瑞罷官</v>
      </c>
      <c r="E2211" s="82">
        <v>43965.0</v>
      </c>
      <c r="F2211" s="80">
        <v>1303.0</v>
      </c>
      <c r="G2211" s="80" t="s">
        <v>63</v>
      </c>
      <c r="I2211" s="80" t="s">
        <v>63</v>
      </c>
      <c r="J2211" s="80">
        <v>6089.0</v>
      </c>
      <c r="K2211" s="80">
        <v>0.913852618940417</v>
      </c>
      <c r="L2211" s="80" t="s">
        <v>64</v>
      </c>
    </row>
    <row r="2212">
      <c r="A2212" s="80" t="s">
        <v>971</v>
      </c>
      <c r="B2212" s="81" t="str">
        <f>HYPERLINK("https://www.youtube.com/channel/UC4nsi0oM9WBNFv1RdLh3c2g", "JASON")</f>
        <v>JASON</v>
      </c>
      <c r="C2212" s="80" t="s">
        <v>2496</v>
      </c>
      <c r="D2212" s="81" t="str">
        <f>HYPERLINK("https://youtube.com/watch?v=39qkixCs3t0", "這，就是7。iPhone 7。")</f>
        <v>這，就是7。iPhone 7。</v>
      </c>
      <c r="E2212" s="82">
        <v>42629.0</v>
      </c>
      <c r="F2212" s="80">
        <v>457.0</v>
      </c>
      <c r="G2212" s="80" t="s">
        <v>63</v>
      </c>
      <c r="H2212" s="80" t="s">
        <v>63</v>
      </c>
      <c r="I2212" s="80" t="s">
        <v>63</v>
      </c>
      <c r="J2212" s="80">
        <v>1741.0</v>
      </c>
      <c r="K2212" s="80">
        <v>0.797526339899221</v>
      </c>
      <c r="L2212" s="80" t="s">
        <v>236</v>
      </c>
    </row>
    <row r="2213">
      <c r="A2213" s="80" t="s">
        <v>2490</v>
      </c>
      <c r="B2213" s="81" t="str">
        <f>HYPERLINK("https://www.youtube.com/channel/UCxtXeFNKwTorEUE-vzRqj6w", "網上學習平台Beginneros")</f>
        <v>網上學習平台Beginneros</v>
      </c>
      <c r="C2213" s="80" t="s">
        <v>2497</v>
      </c>
      <c r="D2213" s="81" t="str">
        <f>HYPERLINK("https://youtube.com/watch?v=3Yspv6TgNWk", "【氣球教學】扭出卡通造型氣球：蛋黃哥 Gudetama｜Beginneros")</f>
        <v>【氣球教學】扭出卡通造型氣球：蛋黃哥 Gudetama｜Beginneros</v>
      </c>
      <c r="E2213" s="82">
        <v>43183.0</v>
      </c>
      <c r="F2213" s="80">
        <v>256.0</v>
      </c>
      <c r="G2213" s="80" t="s">
        <v>63</v>
      </c>
      <c r="H2213" s="80" t="s">
        <v>63</v>
      </c>
      <c r="I2213" s="80" t="s">
        <v>63</v>
      </c>
      <c r="J2213" s="80">
        <v>408.0</v>
      </c>
      <c r="K2213" s="80">
        <v>1.0</v>
      </c>
      <c r="L2213" s="80" t="s">
        <v>86</v>
      </c>
    </row>
    <row r="2214">
      <c r="A2214" s="80" t="s">
        <v>2498</v>
      </c>
      <c r="B2214" s="81" t="str">
        <f>HYPERLINK("https://www.youtube.com/channel/UCd-qu6Ke0IfUTsaAQPUBFRA", "Alice Ha")</f>
        <v>Alice Ha</v>
      </c>
      <c r="C2214" s="80" t="s">
        <v>2499</v>
      </c>
      <c r="D2214" s="81" t="str">
        <f>HYPERLINK("https://youtube.com/watch?v=3g611yGFrj8", "Mix n Match Lookbook｜12件單品 6個造型｜Alice Ha X Cluse")</f>
        <v>Mix n Match Lookbook｜12件單品 6個造型｜Alice Ha X Cluse</v>
      </c>
      <c r="E2214" s="82">
        <v>43143.0</v>
      </c>
      <c r="F2214" s="80">
        <v>279.0</v>
      </c>
      <c r="G2214" s="80" t="s">
        <v>63</v>
      </c>
      <c r="I2214" s="80" t="s">
        <v>63</v>
      </c>
      <c r="J2214" s="80">
        <v>959.0</v>
      </c>
      <c r="K2214" s="80">
        <v>0.89626168224299</v>
      </c>
      <c r="L2214" s="80" t="s">
        <v>64</v>
      </c>
    </row>
    <row r="2215">
      <c r="A2215" s="80" t="s">
        <v>962</v>
      </c>
      <c r="B2215" s="81" t="str">
        <f>HYPERLINK("https://www.youtube.com/channel/UCmdnX8KiF_5ZVmJXNhOXUtw", "foursonproduction")</f>
        <v>foursonproduction</v>
      </c>
      <c r="C2215" s="80" t="s">
        <v>2500</v>
      </c>
      <c r="D2215" s="81" t="str">
        <f>HYPERLINK("https://youtube.com/watch?v=4H8XVpfS6Ns", "短篇處境喜劇《我的HEHE室友》 S1E10 ：「新年流流唔好講粗口！」")</f>
        <v>短篇處境喜劇《我的HEHE室友》 S1E10 ：「新年流流唔好講粗口！」</v>
      </c>
      <c r="E2215" s="82">
        <v>43500.0</v>
      </c>
      <c r="F2215" s="80">
        <v>535.0</v>
      </c>
      <c r="G2215" s="80" t="s">
        <v>63</v>
      </c>
      <c r="I2215" s="80" t="s">
        <v>63</v>
      </c>
      <c r="J2215" s="80">
        <v>1582.0</v>
      </c>
      <c r="K2215" s="80">
        <v>0.949010197960407</v>
      </c>
      <c r="L2215" s="80" t="s">
        <v>64</v>
      </c>
    </row>
    <row r="2216">
      <c r="A2216" s="80" t="s">
        <v>242</v>
      </c>
      <c r="B2216" s="81" t="str">
        <f t="shared" ref="B2216:B2217" si="101">HYPERLINK("https://www.youtube.com/channel/UCZGVB6g74LXWtkR3fX50ykg", "Edwin H.")</f>
        <v>Edwin H.</v>
      </c>
      <c r="C2216" s="80" t="s">
        <v>2501</v>
      </c>
      <c r="D2216" s="81" t="str">
        <f>HYPERLINK("https://youtube.com/watch?v=4J3NtRZSqzg", "頂級！Bose 700 主動降噪無線藍牙耳機 終極評測 | Edwin送大禮第1彈")</f>
        <v>頂級！Bose 700 主動降噪無線藍牙耳機 終極評測 | Edwin送大禮第1彈</v>
      </c>
      <c r="E2216" s="82">
        <v>44195.0</v>
      </c>
      <c r="F2216" s="80">
        <v>625.0</v>
      </c>
      <c r="G2216" s="80" t="s">
        <v>63</v>
      </c>
      <c r="I2216" s="80" t="s">
        <v>63</v>
      </c>
      <c r="J2216" s="80">
        <v>2297.0</v>
      </c>
      <c r="K2216" s="80">
        <v>0.790977961432506</v>
      </c>
      <c r="L2216" s="80" t="s">
        <v>64</v>
      </c>
    </row>
    <row r="2217">
      <c r="A2217" s="80" t="s">
        <v>242</v>
      </c>
      <c r="B2217" s="81" t="str">
        <f t="shared" si="101"/>
        <v>Edwin H.</v>
      </c>
      <c r="C2217" s="80" t="s">
        <v>2502</v>
      </c>
      <c r="D2217" s="81" t="str">
        <f>HYPERLINK("https://youtube.com/watch?v=4LX5uMb7GRU", "【偽開箱】Galaxy Note 10+ 試玩評測")</f>
        <v>【偽開箱】Galaxy Note 10+ 試玩評測</v>
      </c>
      <c r="E2217" s="82">
        <v>43703.0</v>
      </c>
      <c r="F2217" s="80">
        <v>445.0</v>
      </c>
      <c r="G2217" s="80" t="s">
        <v>63</v>
      </c>
      <c r="H2217" s="80" t="s">
        <v>63</v>
      </c>
      <c r="I2217" s="80" t="s">
        <v>63</v>
      </c>
      <c r="J2217" s="80">
        <v>1494.0</v>
      </c>
      <c r="K2217" s="80">
        <v>0.830923248053392</v>
      </c>
      <c r="L2217" s="80" t="s">
        <v>86</v>
      </c>
    </row>
    <row r="2218">
      <c r="A2218" s="80" t="s">
        <v>748</v>
      </c>
      <c r="B2218" s="81" t="str">
        <f>HYPERLINK("https://www.youtube.com/channel/UC_ZT2UjRiNSy1I33LEiflJQ", "撒野作風 WILDSTYLE RECORDS")</f>
        <v>撒野作風 WILDSTYLE RECORDS</v>
      </c>
      <c r="C2218" s="80" t="s">
        <v>2503</v>
      </c>
      <c r="D2218" s="81" t="str">
        <f>HYPERLINK("https://youtube.com/watch?v=4M7ihXSwlLg", "YoungQueenz, N.O.L.Y, Floyd Cheung -  翡翠 Fay Chui (白玉) [Audio]")</f>
        <v>YoungQueenz, N.O.L.Y, Floyd Cheung -  翡翠 Fay Chui (白玉) [Audio]</v>
      </c>
      <c r="E2218" s="82">
        <v>43169.0</v>
      </c>
      <c r="F2218" s="80">
        <v>232.0</v>
      </c>
      <c r="G2218" s="80" t="s">
        <v>63</v>
      </c>
      <c r="I2218" s="80" t="s">
        <v>63</v>
      </c>
      <c r="J2218" s="80">
        <v>315.0</v>
      </c>
      <c r="K2218" s="80">
        <v>0.31979695431472</v>
      </c>
      <c r="L2218" s="80" t="s">
        <v>64</v>
      </c>
    </row>
    <row r="2219">
      <c r="A2219" s="80" t="s">
        <v>2490</v>
      </c>
      <c r="B2219" s="81" t="str">
        <f>HYPERLINK("https://www.youtube.com/channel/UCxtXeFNKwTorEUE-vzRqj6w", "網上學習平台Beginneros")</f>
        <v>網上學習平台Beginneros</v>
      </c>
      <c r="C2219" s="80" t="s">
        <v>2504</v>
      </c>
      <c r="D2219" s="81" t="str">
        <f>HYPERLINK("https://youtube.com/watch?v=4e4gY1xi0fs", "【氣球教學】扭出卡通造型氣球：粉紅豬小妹 Peppa Pig｜Beginneros")</f>
        <v>【氣球教學】扭出卡通造型氣球：粉紅豬小妹 Peppa Pig｜Beginneros</v>
      </c>
      <c r="E2219" s="82">
        <v>43183.0</v>
      </c>
      <c r="F2219" s="80">
        <v>387.0</v>
      </c>
      <c r="G2219" s="80" t="s">
        <v>63</v>
      </c>
      <c r="H2219" s="80" t="s">
        <v>63</v>
      </c>
      <c r="I2219" s="80" t="s">
        <v>63</v>
      </c>
      <c r="J2219" s="80">
        <v>761.0</v>
      </c>
      <c r="K2219" s="80">
        <v>0.978149100257069</v>
      </c>
      <c r="L2219" s="80" t="s">
        <v>86</v>
      </c>
    </row>
    <row r="2220">
      <c r="A2220" s="80" t="s">
        <v>962</v>
      </c>
      <c r="B2220" s="81" t="str">
        <f t="shared" ref="B2220:B2221" si="102">HYPERLINK("https://www.youtube.com/channel/UCmdnX8KiF_5ZVmJXNhOXUtw", "foursonproduction")</f>
        <v>foursonproduction</v>
      </c>
      <c r="C2220" s="80" t="s">
        <v>2505</v>
      </c>
      <c r="D2220" s="81" t="str">
        <f>HYPERLINK("https://youtube.com/watch?v=4jr_pFIGXlM", "《我的HEHE室友》 S2E2 ：「很明顯你沒有跟男人做過吧！」")</f>
        <v>《我的HEHE室友》 S2E2 ：「很明顯你沒有跟男人做過吧！」</v>
      </c>
      <c r="E2220" s="82">
        <v>43980.0</v>
      </c>
      <c r="F2220" s="80">
        <v>794.0</v>
      </c>
      <c r="G2220" s="80" t="s">
        <v>63</v>
      </c>
      <c r="I2220" s="80" t="s">
        <v>63</v>
      </c>
      <c r="J2220" s="80">
        <v>2018.0</v>
      </c>
      <c r="K2220" s="80">
        <v>0.887032967032967</v>
      </c>
      <c r="L2220" s="80" t="s">
        <v>64</v>
      </c>
    </row>
    <row r="2221">
      <c r="A2221" s="80" t="s">
        <v>962</v>
      </c>
      <c r="B2221" s="81" t="str">
        <f t="shared" si="102"/>
        <v>foursonproduction</v>
      </c>
      <c r="C2221" s="80" t="s">
        <v>2506</v>
      </c>
      <c r="D2221" s="81" t="str">
        <f>HYPERLINK("https://youtube.com/watch?v=5PDvWu2hu9M", "我的HEHE室友 第一季番外 S1SP1《我係同你個仔打友誼波呀！》")</f>
        <v>我的HEHE室友 第一季番外 S1SP1《我係同你個仔打友誼波呀！》</v>
      </c>
      <c r="E2221" s="82">
        <v>43854.0</v>
      </c>
      <c r="F2221" s="80">
        <v>997.0</v>
      </c>
      <c r="G2221" s="80" t="s">
        <v>63</v>
      </c>
      <c r="I2221" s="80" t="s">
        <v>63</v>
      </c>
      <c r="J2221" s="80">
        <v>2516.0</v>
      </c>
      <c r="K2221" s="80">
        <v>0.942675159235668</v>
      </c>
      <c r="L2221" s="80" t="s">
        <v>521</v>
      </c>
    </row>
    <row r="2222">
      <c r="A2222" s="80" t="s">
        <v>971</v>
      </c>
      <c r="B2222" s="81" t="str">
        <f>HYPERLINK("https://www.youtube.com/channel/UC4nsi0oM9WBNFv1RdLh3c2g", "JASON")</f>
        <v>JASON</v>
      </c>
      <c r="C2222" s="80" t="s">
        <v>2507</v>
      </c>
      <c r="D2222" s="81" t="str">
        <f>HYPERLINK("https://youtube.com/watch?v=5X80Lrv2Zg4", "Netflix晚餐活動~ 一衆YouTuber撐枱脚？")</f>
        <v>Netflix晚餐活動~ 一衆YouTuber撐枱脚？</v>
      </c>
      <c r="E2222" s="82">
        <v>42788.0</v>
      </c>
      <c r="F2222" s="80">
        <v>329.0</v>
      </c>
      <c r="G2222" s="80" t="s">
        <v>63</v>
      </c>
      <c r="H2222" s="80" t="s">
        <v>63</v>
      </c>
      <c r="I2222" s="80" t="s">
        <v>63</v>
      </c>
      <c r="J2222" s="80">
        <v>934.0</v>
      </c>
      <c r="K2222" s="80">
        <v>0.885308056872038</v>
      </c>
      <c r="L2222" s="80" t="s">
        <v>1206</v>
      </c>
    </row>
    <row r="2223">
      <c r="A2223" s="80" t="s">
        <v>2508</v>
      </c>
      <c r="B2223" s="81" t="str">
        <f>HYPERLINK("https://www.youtube.com/channel/UC0eKbQhA3WQMYatHo36y1Fg", "DS")</f>
        <v>DS</v>
      </c>
      <c r="C2223" s="80" t="s">
        <v>2509</v>
      </c>
      <c r="D2223" s="81" t="str">
        <f>HYPERLINK("https://youtube.com/watch?v=5aIvuWU5mLo", "【新的世界】粵語翻唱『A Whole New World』【DS x 雪瑩】")</f>
        <v>【新的世界】粵語翻唱『A Whole New World』【DS x 雪瑩】</v>
      </c>
      <c r="E2223" s="82">
        <v>43428.0</v>
      </c>
      <c r="F2223" s="80">
        <v>191.0</v>
      </c>
      <c r="G2223" s="80" t="s">
        <v>63</v>
      </c>
      <c r="H2223" s="80" t="s">
        <v>63</v>
      </c>
      <c r="I2223" s="80" t="s">
        <v>63</v>
      </c>
      <c r="J2223" s="80">
        <v>331.0</v>
      </c>
      <c r="K2223" s="80">
        <v>1.0</v>
      </c>
      <c r="L2223" s="80" t="s">
        <v>2510</v>
      </c>
    </row>
    <row r="2224">
      <c r="A2224" s="80" t="s">
        <v>242</v>
      </c>
      <c r="B2224" s="81" t="str">
        <f>HYPERLINK("https://www.youtube.com/channel/UCZGVB6g74LXWtkR3fX50ykg", "Edwin H.")</f>
        <v>Edwin H.</v>
      </c>
      <c r="C2224" s="80" t="s">
        <v>2511</v>
      </c>
      <c r="D2224" s="81" t="str">
        <f>HYPERLINK("https://youtube.com/watch?v=IOdJ7jPbfEI", "23款必睇科技新品 🤪🤪 | CES 2019 Part 1")</f>
        <v>23款必睇科技新品 🤪🤪 | CES 2019 Part 1</v>
      </c>
      <c r="E2224" s="82">
        <v>43485.0</v>
      </c>
      <c r="F2224" s="80">
        <v>689.0</v>
      </c>
      <c r="G2224" s="80" t="s">
        <v>63</v>
      </c>
      <c r="I2224" s="80" t="s">
        <v>63</v>
      </c>
      <c r="J2224" s="80">
        <v>2747.0</v>
      </c>
      <c r="K2224" s="80">
        <v>0.81975529692629</v>
      </c>
      <c r="L2224" s="80" t="s">
        <v>86</v>
      </c>
    </row>
    <row r="2225">
      <c r="A2225" s="80" t="s">
        <v>2512</v>
      </c>
      <c r="B2225" s="81" t="str">
        <f>HYPERLINK("https://www.youtube.com/channel/UC5zsYYGsHjv4GK20FjPDjkg", "Ling Cheng")</f>
        <v>Ling Cheng</v>
      </c>
      <c r="C2225" s="80" t="s">
        <v>2513</v>
      </c>
      <c r="D2225" s="81" t="str">
        <f>HYPERLINK("https://youtube.com/watch?v=6F6ri3YjEo4", "找韓國攝影師影戶外相 + kakao friends買禮物給大家 우정스냅찍기 | Ling Cheng")</f>
        <v>找韓國攝影師影戶外相 + kakao friends買禮物給大家 우정스냅찍기 | Ling Cheng</v>
      </c>
      <c r="E2225" s="82">
        <v>42733.0</v>
      </c>
      <c r="F2225" s="80">
        <v>626.0</v>
      </c>
      <c r="G2225" s="80" t="s">
        <v>63</v>
      </c>
      <c r="H2225" s="80" t="s">
        <v>63</v>
      </c>
      <c r="I2225" s="80" t="s">
        <v>63</v>
      </c>
      <c r="J2225" s="80">
        <v>1450.0</v>
      </c>
      <c r="K2225" s="80">
        <v>0.973249409913454</v>
      </c>
      <c r="L2225" s="80" t="s">
        <v>2514</v>
      </c>
    </row>
    <row r="2226">
      <c r="A2226" s="80" t="s">
        <v>242</v>
      </c>
      <c r="B2226" s="81" t="str">
        <f>HYPERLINK("https://www.youtube.com/channel/UCZGVB6g74LXWtkR3fX50ykg", "Edwin H.")</f>
        <v>Edwin H.</v>
      </c>
      <c r="C2226" s="80" t="s">
        <v>2515</v>
      </c>
      <c r="D2226" s="81" t="str">
        <f>HYPERLINK("https://youtube.com/watch?v=6OjanobA9bM", "25件必睇科技新品 😎🕹🏹 Ep.33 | 3月4月2021")</f>
        <v>25件必睇科技新品 😎🕹🏹 Ep.33 | 3月4月2021</v>
      </c>
      <c r="E2226" s="82">
        <v>44294.0</v>
      </c>
      <c r="F2226" s="80">
        <v>854.0</v>
      </c>
      <c r="G2226" s="80" t="s">
        <v>63</v>
      </c>
      <c r="I2226" s="80" t="s">
        <v>63</v>
      </c>
      <c r="J2226" s="80">
        <v>3062.0</v>
      </c>
      <c r="K2226" s="80">
        <v>0.718948109884949</v>
      </c>
      <c r="L2226" s="80" t="s">
        <v>64</v>
      </c>
    </row>
    <row r="2227">
      <c r="A2227" s="80" t="s">
        <v>2516</v>
      </c>
      <c r="B2227" s="81" t="str">
        <f>HYPERLINK("https://www.youtube.com/channel/UCycdIv0INFmRwGf1UgluUmw", "Mira's Garden")</f>
        <v>Mira's Garden</v>
      </c>
      <c r="C2227" s="80" t="s">
        <v>2517</v>
      </c>
      <c r="D2227" s="81" t="str">
        <f>HYPERLINK("https://youtube.com/watch?v=6_wG9lkvNbA", "[韓國Vlog] 聽說浣熊原來超好色？去浣熊cafe不能穿裙子的原因?｜Mira")</f>
        <v>[韓國Vlog] 聽說浣熊原來超好色？去浣熊cafe不能穿裙子的原因?｜Mira</v>
      </c>
      <c r="E2227" s="82">
        <v>42842.0</v>
      </c>
      <c r="F2227" s="80">
        <v>460.0</v>
      </c>
      <c r="G2227" s="80" t="s">
        <v>63</v>
      </c>
      <c r="H2227" s="80" t="s">
        <v>63</v>
      </c>
      <c r="I2227" s="80" t="s">
        <v>63</v>
      </c>
      <c r="J2227" s="80">
        <v>1292.0</v>
      </c>
      <c r="K2227" s="80">
        <v>0.953795379537953</v>
      </c>
      <c r="L2227" s="80" t="s">
        <v>2518</v>
      </c>
    </row>
    <row r="2228">
      <c r="A2228" s="80" t="s">
        <v>2519</v>
      </c>
      <c r="B2228" s="81" t="str">
        <f>HYPERLINK("https://www.youtube.com/channel/UCRaC6ToPRzGZT5nGgz9vzGw", "C90s 港仔音樂")</f>
        <v>C90s 港仔音樂</v>
      </c>
      <c r="C2228" s="80" t="s">
        <v>2520</v>
      </c>
      <c r="D2228" s="81" t="str">
        <f>HYPERLINK("https://youtube.com/watch?v=6kxMa8aeN4Q", "Twins - 眼紅紅 [歌詞同步/粵拼字幕]")</f>
        <v>Twins - 眼紅紅 [歌詞同步/粵拼字幕]</v>
      </c>
      <c r="E2228" s="82">
        <v>44270.0</v>
      </c>
      <c r="F2228" s="80">
        <v>194.0</v>
      </c>
      <c r="G2228" s="80" t="s">
        <v>63</v>
      </c>
      <c r="I2228" s="80" t="s">
        <v>63</v>
      </c>
      <c r="J2228" s="80">
        <v>387.0</v>
      </c>
      <c r="K2228" s="80">
        <v>0.23145933014354</v>
      </c>
      <c r="L2228" s="80" t="s">
        <v>64</v>
      </c>
    </row>
    <row r="2229">
      <c r="A2229" s="80" t="s">
        <v>242</v>
      </c>
      <c r="B2229" s="81" t="str">
        <f>HYPERLINK("https://www.youtube.com/channel/UCZGVB6g74LXWtkR3fX50ykg", "Edwin H.")</f>
        <v>Edwin H.</v>
      </c>
      <c r="C2229" s="80" t="s">
        <v>2521</v>
      </c>
      <c r="D2229" s="81" t="str">
        <f>HYPERLINK("https://youtube.com/watch?v=7L7c7stz9FU", "7個YouTube配樂心得｜在哪找免費音樂？")</f>
        <v>7個YouTube配樂心得｜在哪找免費音樂？</v>
      </c>
      <c r="E2229" s="82">
        <v>43419.0</v>
      </c>
      <c r="F2229" s="80">
        <v>629.0</v>
      </c>
      <c r="G2229" s="80" t="s">
        <v>63</v>
      </c>
      <c r="I2229" s="80" t="s">
        <v>63</v>
      </c>
      <c r="J2229" s="80">
        <v>1933.0</v>
      </c>
      <c r="K2229" s="80">
        <v>0.829969944182052</v>
      </c>
      <c r="L2229" s="80" t="s">
        <v>64</v>
      </c>
    </row>
    <row r="2230">
      <c r="A2230" s="80" t="s">
        <v>593</v>
      </c>
      <c r="B2230" s="81" t="str">
        <f>HYPERLINK("https://www.youtube.com/channel/UCsSO44XVYhs_fQU2zDR82CA", "餓底男女")</f>
        <v>餓底男女</v>
      </c>
      <c r="C2230" s="80" t="s">
        <v>2522</v>
      </c>
      <c r="D2230" s="81" t="str">
        <f>HYPERLINK("https://youtube.com/watch?v=7bbqeEVznnE", "童年回憶英國菜 芝士控必試爆漿漢堡 | 餓遊･香港 #84 [4K]")</f>
        <v>童年回憶英國菜 芝士控必試爆漿漢堡 | 餓遊･香港 #84 [4K]</v>
      </c>
      <c r="E2230" s="82">
        <v>44564.0</v>
      </c>
      <c r="F2230" s="80">
        <v>206.0</v>
      </c>
      <c r="G2230" s="80" t="s">
        <v>63</v>
      </c>
      <c r="I2230" s="80" t="s">
        <v>63</v>
      </c>
      <c r="J2230" s="80">
        <v>740.0</v>
      </c>
      <c r="K2230" s="80">
        <v>0.946291560102301</v>
      </c>
      <c r="L2230" s="80" t="s">
        <v>102</v>
      </c>
    </row>
    <row r="2231">
      <c r="A2231" s="80" t="s">
        <v>242</v>
      </c>
      <c r="B2231" s="81" t="str">
        <f>HYPERLINK("https://www.youtube.com/channel/UCZGVB6g74LXWtkR3fX50ykg", "Edwin H.")</f>
        <v>Edwin H.</v>
      </c>
      <c r="C2231" s="80" t="s">
        <v>2523</v>
      </c>
      <c r="D2231" s="81" t="str">
        <f>HYPERLINK("https://youtube.com/watch?v=8pVpq99f0E0", "Vivo Nex | Oppo Find X | 辣殺！睇下我搵到啲乜！全螢幕冇M字額電話 |")</f>
        <v>Vivo Nex | Oppo Find X | 辣殺！睇下我搵到啲乜！全螢幕冇M字額電話 |</v>
      </c>
      <c r="E2231" s="82">
        <v>43274.0</v>
      </c>
      <c r="F2231" s="80">
        <v>252.0</v>
      </c>
      <c r="G2231" s="80" t="s">
        <v>63</v>
      </c>
      <c r="I2231" s="80" t="s">
        <v>63</v>
      </c>
      <c r="J2231" s="80">
        <v>747.0</v>
      </c>
      <c r="K2231" s="80">
        <v>0.817286652078774</v>
      </c>
      <c r="L2231" s="80" t="s">
        <v>64</v>
      </c>
    </row>
    <row r="2232">
      <c r="A2232" s="80" t="s">
        <v>61</v>
      </c>
      <c r="B2232" s="81" t="str">
        <f>HYPERLINK("https://www.youtube.com/channel/UCJ4XVrJuqKHbc9yF9oUFseg", "MEeeep More")</f>
        <v>MEeeep More</v>
      </c>
      <c r="C2232" s="80" t="s">
        <v>2524</v>
      </c>
      <c r="D2232" s="81" t="str">
        <f>HYPERLINK("https://youtube.com/watch?v=8v0huese3tA", "Nokia T20 開箱評測 | 唔使$2000 高性價比2K螢幕平版電腦 | nokia t20 平板推薦 2022煲劇平板  zoom netflix 平板 disney+")</f>
        <v>Nokia T20 開箱評測 | 唔使$2000 高性價比2K螢幕平版電腦 | nokia t20 平板推薦 2022煲劇平板  zoom netflix 平板 disney+</v>
      </c>
      <c r="E2232" s="82">
        <v>44566.0</v>
      </c>
      <c r="F2232" s="80">
        <v>172.0</v>
      </c>
      <c r="G2232" s="80" t="s">
        <v>63</v>
      </c>
      <c r="I2232" s="80" t="s">
        <v>63</v>
      </c>
      <c r="J2232" s="80">
        <v>427.0</v>
      </c>
      <c r="K2232" s="80">
        <v>0.6671875</v>
      </c>
      <c r="L2232" s="80" t="s">
        <v>64</v>
      </c>
    </row>
    <row r="2233">
      <c r="A2233" s="80" t="s">
        <v>971</v>
      </c>
      <c r="B2233" s="81" t="str">
        <f>HYPERLINK("https://www.youtube.com/channel/UC4nsi0oM9WBNFv1RdLh3c2g", "JASON")</f>
        <v>JASON</v>
      </c>
      <c r="C2233" s="80" t="s">
        <v>2525</v>
      </c>
      <c r="D2233" s="81" t="str">
        <f>HYPERLINK("https://youtube.com/watch?v=9HveXPpqJdM", "我是神槍手？！百發百中例不虛發！")</f>
        <v>我是神槍手？！百發百中例不虛發！</v>
      </c>
      <c r="E2233" s="82">
        <v>42777.0</v>
      </c>
      <c r="F2233" s="80">
        <v>219.0</v>
      </c>
      <c r="G2233" s="80" t="s">
        <v>63</v>
      </c>
      <c r="H2233" s="80" t="s">
        <v>63</v>
      </c>
      <c r="I2233" s="80" t="s">
        <v>63</v>
      </c>
      <c r="J2233" s="80">
        <v>1077.0</v>
      </c>
      <c r="K2233" s="80">
        <v>0.934463276836158</v>
      </c>
      <c r="L2233" s="80" t="s">
        <v>2526</v>
      </c>
    </row>
    <row r="2234">
      <c r="A2234" s="80" t="s">
        <v>2490</v>
      </c>
      <c r="B2234" s="81" t="str">
        <f>HYPERLINK("https://www.youtube.com/channel/UCxtXeFNKwTorEUE-vzRqj6w", "網上學習平台Beginneros")</f>
        <v>網上學習平台Beginneros</v>
      </c>
      <c r="C2234" s="80" t="s">
        <v>2527</v>
      </c>
      <c r="D2234" s="81" t="str">
        <f>HYPERLINK("https://youtube.com/watch?v=9X-SygqMnJs", "【冷知識】上下班大塞車？3分鐘了解香港交通使用量 | Beginneros")</f>
        <v>【冷知識】上下班大塞車？3分鐘了解香港交通使用量 | Beginneros</v>
      </c>
      <c r="E2234" s="82">
        <v>43092.0</v>
      </c>
      <c r="F2234" s="80">
        <v>167.0</v>
      </c>
      <c r="G2234" s="80" t="s">
        <v>63</v>
      </c>
      <c r="H2234" s="80" t="s">
        <v>63</v>
      </c>
      <c r="I2234" s="80" t="s">
        <v>63</v>
      </c>
      <c r="J2234" s="80">
        <v>568.0</v>
      </c>
      <c r="K2234" s="80">
        <v>1.0</v>
      </c>
      <c r="L2234" s="80" t="s">
        <v>86</v>
      </c>
    </row>
    <row r="2235">
      <c r="A2235" s="80" t="s">
        <v>748</v>
      </c>
      <c r="B2235" s="81" t="str">
        <f t="shared" ref="B2235:B2236" si="103">HYPERLINK("https://www.youtube.com/channel/UC_ZT2UjRiNSy1I33LEiflJQ", "撒野作風 WILDSTYLE RECORDS")</f>
        <v>撒野作風 WILDSTYLE RECORDS</v>
      </c>
      <c r="C2235" s="80" t="s">
        <v>2528</v>
      </c>
      <c r="D2235" s="81" t="str">
        <f>HYPERLINK("https://youtube.com/watch?v=AMEEaABdfuE", "Matt Force - ""告別"" [Audio]")</f>
        <v>Matt Force - "告別" [Audio]</v>
      </c>
      <c r="E2235" s="82">
        <v>43583.0</v>
      </c>
      <c r="F2235" s="80">
        <v>208.0</v>
      </c>
      <c r="G2235" s="80" t="s">
        <v>63</v>
      </c>
      <c r="I2235" s="80" t="s">
        <v>63</v>
      </c>
      <c r="J2235" s="80">
        <v>696.0</v>
      </c>
      <c r="K2235" s="80">
        <v>0.743589743589743</v>
      </c>
      <c r="L2235" s="80" t="s">
        <v>64</v>
      </c>
    </row>
    <row r="2236">
      <c r="A2236" s="80" t="s">
        <v>748</v>
      </c>
      <c r="B2236" s="81" t="str">
        <f t="shared" si="103"/>
        <v>撒野作風 WILDSTYLE RECORDS</v>
      </c>
      <c r="C2236" s="80" t="s">
        <v>2529</v>
      </c>
      <c r="D2236" s="81" t="str">
        <f>HYPERLINK("https://youtube.com/watch?v=AmO7rAoKaBY", "Triple G - 火花 (Prod. by Canvas) [Official Video]")</f>
        <v>Triple G - 火花 (Prod. by Canvas) [Official Video]</v>
      </c>
      <c r="E2236" s="82">
        <v>42758.0</v>
      </c>
      <c r="F2236" s="80">
        <v>186.0</v>
      </c>
      <c r="G2236" s="80" t="s">
        <v>63</v>
      </c>
      <c r="I2236" s="80" t="s">
        <v>63</v>
      </c>
      <c r="J2236" s="80">
        <v>384.0</v>
      </c>
      <c r="K2236" s="80">
        <v>1.0</v>
      </c>
      <c r="L2236" s="80" t="s">
        <v>64</v>
      </c>
    </row>
    <row r="2237">
      <c r="A2237" s="80" t="s">
        <v>2530</v>
      </c>
      <c r="B2237" s="81" t="str">
        <f>HYPERLINK("https://www.youtube.com/channel/UClMVl1_PFbycHqKVCI70H5g", "CinCandy Sisters")</f>
        <v>CinCandy Sisters</v>
      </c>
      <c r="C2237" s="80" t="s">
        <v>2531</v>
      </c>
      <c r="D2237" s="81" t="str">
        <f>HYPERLINK("https://youtube.com/watch?v=BIb4RS1LQY8", "[ZICO] Any Song Challenge💃🏻 挽到起起飛腳?!🦶🏼抖音 TIKTOK? | CinCandy Sisters")</f>
        <v>[ZICO] Any Song Challenge💃🏻 挽到起起飛腳?!🦶🏼抖音 TIKTOK? | CinCandy Sisters</v>
      </c>
      <c r="E2237" s="82">
        <v>43873.0</v>
      </c>
      <c r="F2237" s="80">
        <v>378.0</v>
      </c>
      <c r="G2237" s="80" t="s">
        <v>63</v>
      </c>
      <c r="H2237" s="80" t="s">
        <v>63</v>
      </c>
      <c r="I2237" s="80" t="s">
        <v>63</v>
      </c>
      <c r="J2237" s="80">
        <v>449.0</v>
      </c>
      <c r="K2237" s="80">
        <v>0.809009009009009</v>
      </c>
      <c r="L2237" s="80" t="s">
        <v>86</v>
      </c>
    </row>
    <row r="2238">
      <c r="A2238" s="80" t="s">
        <v>2490</v>
      </c>
      <c r="B2238" s="81" t="str">
        <f>HYPERLINK("https://www.youtube.com/channel/UCxtXeFNKwTorEUE-vzRqj6w", "網上學習平台Beginneros")</f>
        <v>網上學習平台Beginneros</v>
      </c>
      <c r="C2238" s="80" t="s">
        <v>2532</v>
      </c>
      <c r="D2238" s="81" t="str">
        <f>HYPERLINK("https://youtube.com/watch?v=BK8y1dQeKJA", "【西裝教學】超實用的西裝知識：西裝的禮儀和穿搭｜Beginneros")</f>
        <v>【西裝教學】超實用的西裝知識：西裝的禮儀和穿搭｜Beginneros</v>
      </c>
      <c r="E2238" s="82">
        <v>43216.0</v>
      </c>
      <c r="F2238" s="80">
        <v>1041.0</v>
      </c>
      <c r="G2238" s="80" t="s">
        <v>63</v>
      </c>
      <c r="H2238" s="80" t="s">
        <v>63</v>
      </c>
      <c r="I2238" s="80" t="s">
        <v>63</v>
      </c>
      <c r="J2238" s="80">
        <v>2745.0</v>
      </c>
      <c r="K2238" s="80">
        <v>0.960329341317365</v>
      </c>
      <c r="L2238" s="80" t="s">
        <v>86</v>
      </c>
    </row>
    <row r="2239">
      <c r="A2239" s="80" t="s">
        <v>2516</v>
      </c>
      <c r="B2239" s="81" t="str">
        <f>HYPERLINK("https://www.youtube.com/channel/UCycdIv0INFmRwGf1UgluUmw", "Mira's Garden")</f>
        <v>Mira's Garden</v>
      </c>
      <c r="C2239" s="80" t="s">
        <v>2533</v>
      </c>
      <c r="D2239" s="81" t="str">
        <f>HYPERLINK("https://youtube.com/watch?v=BurOE0CaaiI", "【韓國生活Vlog#5】April出道1週年演唱會! April 本人好可愛! 에이프릴 데뷔 1년만에 단독 콘서트 | Mira")</f>
        <v>【韓國生活Vlog#5】April出道1週年演唱會! April 本人好可愛! 에이프릴 데뷔 1년만에 단독 콘서트 | Mira</v>
      </c>
      <c r="E2239" s="82">
        <v>42610.0</v>
      </c>
      <c r="F2239" s="80">
        <v>214.0</v>
      </c>
      <c r="G2239" s="80" t="s">
        <v>63</v>
      </c>
      <c r="H2239" s="80" t="s">
        <v>63</v>
      </c>
      <c r="I2239" s="80" t="s">
        <v>63</v>
      </c>
      <c r="J2239" s="80">
        <v>527.0</v>
      </c>
      <c r="K2239" s="80">
        <v>0.888888888888888</v>
      </c>
      <c r="L2239" s="80" t="s">
        <v>80</v>
      </c>
    </row>
    <row r="2240">
      <c r="A2240" s="80" t="s">
        <v>960</v>
      </c>
      <c r="B2240" s="81" t="str">
        <f>HYPERLINK("https://www.youtube.com/channel/UCXf8jlTSP9kp6g4ROCfgvbQ", "堅離地球・沈旭暉・馮智政")</f>
        <v>堅離地球・沈旭暉・馮智政</v>
      </c>
      <c r="C2240" s="80" t="s">
        <v>2534</v>
      </c>
      <c r="D2240" s="81" t="str">
        <f>HYPERLINK("https://youtube.com/watch?v=BxHbQmvD0L8", "【突發時空．沈旭暉 001】領袖不能亂說的話：譚德塞被台灣死亡恐嚇？")</f>
        <v>【突發時空．沈旭暉 001】領袖不能亂說的話：譚德塞被台灣死亡恐嚇？</v>
      </c>
      <c r="E2240" s="82">
        <v>43929.0</v>
      </c>
      <c r="F2240" s="80">
        <v>524.0</v>
      </c>
      <c r="G2240" s="80" t="s">
        <v>63</v>
      </c>
      <c r="H2240" s="80" t="s">
        <v>63</v>
      </c>
      <c r="I2240" s="80" t="s">
        <v>63</v>
      </c>
      <c r="J2240" s="80">
        <v>2482.0</v>
      </c>
      <c r="K2240" s="80">
        <v>0.997165800661313</v>
      </c>
      <c r="L2240" s="80" t="s">
        <v>2535</v>
      </c>
    </row>
    <row r="2241">
      <c r="A2241" s="80" t="s">
        <v>2536</v>
      </c>
      <c r="B2241" s="81" t="str">
        <f>HYPERLINK("https://www.youtube.com/channel/UCf1_EVN2qSOxiLZskBGsElA", "譚杏藍 Hana Tam")</f>
        <v>譚杏藍 Hana Tam</v>
      </c>
      <c r="C2241" s="80" t="s">
        <v>2537</v>
      </c>
      <c r="D2241" s="81" t="str">
        <f>HYPERLINK("https://youtube.com/watch?v=BxSBRdxe9NU", "【酒家成長日記】每日一小酒，醫生遠離我！(ENG SUB)")</f>
        <v>【酒家成長日記】每日一小酒，醫生遠離我！(ENG SUB)</v>
      </c>
      <c r="E2241" s="82">
        <v>42624.0</v>
      </c>
      <c r="F2241" s="80">
        <v>231.0</v>
      </c>
      <c r="G2241" s="80" t="s">
        <v>63</v>
      </c>
      <c r="H2241" s="80" t="s">
        <v>63</v>
      </c>
      <c r="I2241" s="80" t="s">
        <v>63</v>
      </c>
      <c r="J2241" s="80">
        <v>409.0</v>
      </c>
      <c r="K2241" s="80">
        <v>0.751838235294117</v>
      </c>
      <c r="L2241" s="80" t="s">
        <v>1889</v>
      </c>
    </row>
    <row r="2242">
      <c r="A2242" s="80" t="s">
        <v>971</v>
      </c>
      <c r="B2242" s="81" t="str">
        <f>HYPERLINK("https://www.youtube.com/channel/UC4nsi0oM9WBNFv1RdLh3c2g", "JASON")</f>
        <v>JASON</v>
      </c>
      <c r="C2242" s="80" t="s">
        <v>2538</v>
      </c>
      <c r="D2242" s="81" t="str">
        <f>HYPERLINK("https://youtube.com/watch?v=C57ha7w-M4Q", "【你問我答40Q】沙律好唔好食？全港邊個夠我多Hater？頭髮既野... 唔好再問啦~")</f>
        <v>【你問我答40Q】沙律好唔好食？全港邊個夠我多Hater？頭髮既野... 唔好再問啦~</v>
      </c>
      <c r="E2242" s="82">
        <v>43966.0</v>
      </c>
      <c r="F2242" s="80">
        <v>1217.0</v>
      </c>
      <c r="G2242" s="80" t="s">
        <v>63</v>
      </c>
      <c r="I2242" s="80" t="s">
        <v>63</v>
      </c>
      <c r="J2242" s="80">
        <v>6595.0</v>
      </c>
      <c r="K2242" s="80">
        <v>0.900095537054729</v>
      </c>
      <c r="L2242" s="80" t="s">
        <v>102</v>
      </c>
    </row>
    <row r="2243">
      <c r="A2243" s="80" t="s">
        <v>61</v>
      </c>
      <c r="B2243" s="81" t="str">
        <f>HYPERLINK("https://www.youtube.com/channel/UCJ4XVrJuqKHbc9yF9oUFseg", "MEeeep More")</f>
        <v>MEeeep More</v>
      </c>
      <c r="C2243" s="80" t="s">
        <v>2539</v>
      </c>
      <c r="D2243" s="81" t="str">
        <f>HYPERLINK("https://youtube.com/watch?v=CPQMm9x6qgc", "小米12 有高階Pro 入門X 當然仲有標準版 高性價比三機同堂 | 小米 12 香港xiaomi 12 hk")</f>
        <v>小米12 有高階Pro 入門X 當然仲有標準版 高性價比三機同堂 | 小米 12 香港xiaomi 12 hk</v>
      </c>
      <c r="E2243" s="82">
        <v>44564.0</v>
      </c>
      <c r="F2243" s="80">
        <v>157.0</v>
      </c>
      <c r="G2243" s="80" t="s">
        <v>63</v>
      </c>
      <c r="I2243" s="80" t="s">
        <v>63</v>
      </c>
      <c r="J2243" s="80">
        <v>376.0</v>
      </c>
      <c r="K2243" s="80">
        <v>0.732943469785575</v>
      </c>
      <c r="L2243" s="80" t="s">
        <v>64</v>
      </c>
    </row>
    <row r="2244">
      <c r="A2244" s="80" t="s">
        <v>242</v>
      </c>
      <c r="B2244" s="81" t="str">
        <f t="shared" ref="B2244:B2245" si="104">HYPERLINK("https://www.youtube.com/channel/UCZGVB6g74LXWtkR3fX50ykg", "Edwin H.")</f>
        <v>Edwin H.</v>
      </c>
      <c r="C2244" s="80" t="s">
        <v>2540</v>
      </c>
      <c r="D2244" s="81" t="str">
        <f>HYPERLINK("https://youtube.com/watch?v=CZdCea9nEqU", "佢話「我都想做YouTuber」| Edwin買乜野 Ep.2")</f>
        <v>佢話「我都想做YouTuber」| Edwin買乜野 Ep.2</v>
      </c>
      <c r="E2244" s="82">
        <v>43576.0</v>
      </c>
      <c r="F2244" s="80">
        <v>790.0</v>
      </c>
      <c r="G2244" s="80" t="s">
        <v>63</v>
      </c>
      <c r="I2244" s="80" t="s">
        <v>63</v>
      </c>
      <c r="J2244" s="80">
        <v>2774.0</v>
      </c>
      <c r="K2244" s="80">
        <v>0.865522620904836</v>
      </c>
      <c r="L2244" s="80" t="s">
        <v>64</v>
      </c>
    </row>
    <row r="2245">
      <c r="A2245" s="80" t="s">
        <v>242</v>
      </c>
      <c r="B2245" s="81" t="str">
        <f t="shared" si="104"/>
        <v>Edwin H.</v>
      </c>
      <c r="C2245" s="80" t="s">
        <v>2541</v>
      </c>
      <c r="D2245" s="81" t="str">
        <f>HYPERLINK("https://youtube.com/watch?v=CoCgPFtXHvc", "10個關於摺機你要知道的事 | Flip3 Fold3 [超深度評測] Samsung Galaxy Fold3 Flip3 終極評測 Flip 3 Fold 3")</f>
        <v>10個關於摺機你要知道的事 | Flip3 Fold3 [超深度評測] Samsung Galaxy Fold3 Flip3 終極評測 Flip 3 Fold 3</v>
      </c>
      <c r="E2245" s="82">
        <v>44449.0</v>
      </c>
      <c r="F2245" s="80">
        <v>1445.0</v>
      </c>
      <c r="G2245" s="80" t="s">
        <v>63</v>
      </c>
      <c r="I2245" s="80" t="s">
        <v>63</v>
      </c>
      <c r="J2245" s="80">
        <v>6866.0</v>
      </c>
      <c r="K2245" s="80">
        <v>0.877780618767578</v>
      </c>
      <c r="L2245" s="80" t="s">
        <v>64</v>
      </c>
    </row>
    <row r="2246">
      <c r="A2246" s="80" t="s">
        <v>2542</v>
      </c>
      <c r="B2246" s="81" t="str">
        <f>HYPERLINK("https://www.youtube.com/channel/UCdOPwpYEgZs3JP8_5NtStBw", "roundbunny")</f>
        <v>roundbunny</v>
      </c>
      <c r="C2246" s="80" t="s">
        <v>2543</v>
      </c>
      <c r="D2246" s="81" t="str">
        <f>HYPERLINK("https://youtube.com/watch?v=CwEGD2tgbA0", "Respectful parenting (feelings) in Cantonese 廣東話 粵語 translated from English")</f>
        <v>Respectful parenting (feelings) in Cantonese 廣東話 粵語 translated from English</v>
      </c>
      <c r="E2246" s="82">
        <v>44208.0</v>
      </c>
      <c r="F2246" s="80">
        <v>73.0</v>
      </c>
      <c r="G2246" s="80" t="s">
        <v>63</v>
      </c>
      <c r="I2246" s="80" t="s">
        <v>63</v>
      </c>
      <c r="J2246" s="80">
        <v>481.0</v>
      </c>
      <c r="K2246" s="80">
        <v>0.997925311203319</v>
      </c>
      <c r="L2246" s="80" t="s">
        <v>102</v>
      </c>
    </row>
    <row r="2247">
      <c r="A2247" s="80" t="s">
        <v>242</v>
      </c>
      <c r="B2247" s="81" t="str">
        <f>HYPERLINK("https://www.youtube.com/channel/UCZGVB6g74LXWtkR3fX50ykg", "Edwin H.")</f>
        <v>Edwin H.</v>
      </c>
      <c r="C2247" s="80" t="s">
        <v>2544</v>
      </c>
      <c r="D2247" s="81" t="str">
        <f>HYPERLINK("https://youtube.com/watch?v=DWW-jV0e2hM", "壽司？去這家就對了！盤點日本高性價比抵食壽司｜文青必去！東京國立新美術館")</f>
        <v>壽司？去這家就對了！盤點日本高性價比抵食壽司｜文青必去！東京國立新美術館</v>
      </c>
      <c r="E2247" s="82">
        <v>43433.0</v>
      </c>
      <c r="F2247" s="80">
        <v>538.0</v>
      </c>
      <c r="G2247" s="80" t="s">
        <v>63</v>
      </c>
      <c r="I2247" s="80" t="s">
        <v>63</v>
      </c>
      <c r="J2247" s="80">
        <v>1829.0</v>
      </c>
      <c r="K2247" s="80">
        <v>0.916332665330661</v>
      </c>
      <c r="L2247" s="80" t="s">
        <v>64</v>
      </c>
    </row>
    <row r="2248">
      <c r="A2248" s="80" t="s">
        <v>2512</v>
      </c>
      <c r="B2248" s="81" t="str">
        <f>HYPERLINK("https://www.youtube.com/channel/UC5zsYYGsHjv4GK20FjPDjkg", "Ling Cheng")</f>
        <v>Ling Cheng</v>
      </c>
      <c r="C2248" s="80" t="s">
        <v>2545</v>
      </c>
      <c r="D2248" s="81" t="str">
        <f>HYPERLINK("https://youtube.com/watch?v=DXDzmXsiv7U", "八號波的香港我來了!! What’s in my bag n luggage! ｜Ling Cheng")</f>
        <v>八號波的香港我來了!! What’s in my bag n luggage! ｜Ling Cheng</v>
      </c>
      <c r="E2248" s="82">
        <v>42898.0</v>
      </c>
      <c r="F2248" s="80">
        <v>223.0</v>
      </c>
      <c r="G2248" s="80" t="s">
        <v>63</v>
      </c>
      <c r="H2248" s="80" t="s">
        <v>63</v>
      </c>
      <c r="I2248" s="80" t="s">
        <v>63</v>
      </c>
      <c r="J2248" s="80">
        <v>1012.0</v>
      </c>
      <c r="K2248" s="80">
        <v>0.9005291005291</v>
      </c>
      <c r="L2248" s="80" t="s">
        <v>120</v>
      </c>
    </row>
    <row r="2249">
      <c r="A2249" s="80" t="s">
        <v>962</v>
      </c>
      <c r="B2249" s="81" t="str">
        <f>HYPERLINK("https://www.youtube.com/channel/UCmdnX8KiF_5ZVmJXNhOXUtw", "foursonproduction")</f>
        <v>foursonproduction</v>
      </c>
      <c r="C2249" s="80" t="s">
        <v>2546</v>
      </c>
      <c r="D2249" s="81" t="str">
        <f>HYPERLINK("https://youtube.com/watch?v=E_s6BiQXolU", "我的HEHE室友 第一季番外 S1SP2《或者我重申多一次，我真係嚟約炮架咋。》")</f>
        <v>我的HEHE室友 第一季番外 S1SP2《或者我重申多一次，我真係嚟約炮架咋。》</v>
      </c>
      <c r="E2249" s="82">
        <v>43931.0</v>
      </c>
      <c r="F2249" s="80">
        <v>1063.0</v>
      </c>
      <c r="G2249" s="80" t="s">
        <v>63</v>
      </c>
      <c r="I2249" s="80" t="s">
        <v>63</v>
      </c>
      <c r="J2249" s="80">
        <v>1941.0</v>
      </c>
      <c r="K2249" s="80">
        <v>0.949608610567514</v>
      </c>
      <c r="L2249" s="80" t="s">
        <v>64</v>
      </c>
    </row>
    <row r="2250">
      <c r="A2250" s="80" t="s">
        <v>242</v>
      </c>
      <c r="B2250" s="81" t="str">
        <f>HYPERLINK("https://www.youtube.com/channel/UCZGVB6g74LXWtkR3fX50ykg", "Edwin H.")</f>
        <v>Edwin H.</v>
      </c>
      <c r="C2250" s="80" t="s">
        <v>2547</v>
      </c>
      <c r="D2250" s="81" t="str">
        <f>HYPERLINK("https://youtube.com/watch?v=EghASSVOePY", "10個你要留意的科技新品📝📝！12月2018")</f>
        <v>10個你要留意的科技新品📝📝！12月2018</v>
      </c>
      <c r="E2250" s="82">
        <v>43474.0</v>
      </c>
      <c r="F2250" s="80">
        <v>440.0</v>
      </c>
      <c r="G2250" s="80" t="s">
        <v>63</v>
      </c>
      <c r="I2250" s="80" t="s">
        <v>63</v>
      </c>
      <c r="J2250" s="80">
        <v>1536.0</v>
      </c>
      <c r="K2250" s="80">
        <v>0.810982048574445</v>
      </c>
      <c r="L2250" s="80" t="s">
        <v>86</v>
      </c>
    </row>
    <row r="2251">
      <c r="A2251" s="80" t="s">
        <v>748</v>
      </c>
      <c r="B2251" s="81" t="str">
        <f>HYPERLINK("https://www.youtube.com/channel/UC_ZT2UjRiNSy1I33LEiflJQ", "撒野作風 WILDSTYLE RECORDS")</f>
        <v>撒野作風 WILDSTYLE RECORDS</v>
      </c>
      <c r="C2251" s="80" t="s">
        <v>2548</v>
      </c>
      <c r="D2251" s="81" t="str">
        <f>HYPERLINK("https://youtube.com/watch?v=Ez2xuHR-bMg", "YoungQueenz - 777  (Prod. by Hyke) [Official Video]")</f>
        <v>YoungQueenz - 777  (Prod. by Hyke) [Official Video]</v>
      </c>
      <c r="E2251" s="82">
        <v>42334.0</v>
      </c>
      <c r="F2251" s="80">
        <v>137.0</v>
      </c>
      <c r="G2251" s="80" t="s">
        <v>63</v>
      </c>
      <c r="I2251" s="80" t="s">
        <v>63</v>
      </c>
      <c r="J2251" s="80">
        <v>250.0</v>
      </c>
      <c r="K2251" s="80">
        <v>0.501002004008016</v>
      </c>
      <c r="L2251" s="80" t="s">
        <v>896</v>
      </c>
    </row>
    <row r="2252">
      <c r="A2252" s="80" t="s">
        <v>971</v>
      </c>
      <c r="B2252" s="81" t="str">
        <f>HYPERLINK("https://www.youtube.com/channel/UC4nsi0oM9WBNFv1RdLh3c2g", "JASON")</f>
        <v>JASON</v>
      </c>
      <c r="C2252" s="80" t="s">
        <v>2549</v>
      </c>
      <c r="D2252" s="81" t="str">
        <f>HYPERLINK("https://youtube.com/watch?v=FJxHUuulCgQ", "【日常】怕蟲又要住村屋.... 4000幾人睇住我捉蟲...")</f>
        <v>【日常】怕蟲又要住村屋.... 4000幾人睇住我捉蟲...</v>
      </c>
      <c r="E2252" s="82">
        <v>43937.0</v>
      </c>
      <c r="F2252" s="80">
        <v>361.0</v>
      </c>
      <c r="G2252" s="80" t="s">
        <v>63</v>
      </c>
      <c r="I2252" s="80" t="s">
        <v>63</v>
      </c>
      <c r="J2252" s="80">
        <v>199.0</v>
      </c>
      <c r="K2252" s="80">
        <v>0.822314049586776</v>
      </c>
      <c r="L2252" s="80" t="s">
        <v>64</v>
      </c>
    </row>
    <row r="2253">
      <c r="A2253" s="80" t="s">
        <v>242</v>
      </c>
      <c r="B2253" s="81" t="str">
        <f>HYPERLINK("https://www.youtube.com/channel/UCZGVB6g74LXWtkR3fX50ykg", "Edwin H.")</f>
        <v>Edwin H.</v>
      </c>
      <c r="C2253" s="80" t="s">
        <v>2550</v>
      </c>
      <c r="D2253" s="81" t="str">
        <f>HYPERLINK("https://youtube.com/watch?v=FNZ2sG7cDbk", "10個升級iOS 15你必須知道的事 ")</f>
        <v>10個升級iOS 15你必須知道的事 </v>
      </c>
      <c r="E2253" s="82">
        <v>44460.0</v>
      </c>
      <c r="F2253" s="80">
        <v>880.0</v>
      </c>
      <c r="G2253" s="80" t="s">
        <v>63</v>
      </c>
      <c r="I2253" s="80" t="s">
        <v>63</v>
      </c>
      <c r="J2253" s="80">
        <v>3910.0</v>
      </c>
      <c r="K2253" s="80">
        <v>0.734824281150159</v>
      </c>
      <c r="L2253" s="80" t="s">
        <v>64</v>
      </c>
    </row>
    <row r="2254">
      <c r="A2254" s="80" t="s">
        <v>971</v>
      </c>
      <c r="B2254" s="81" t="str">
        <f>HYPERLINK("https://www.youtube.com/channel/UC4nsi0oM9WBNFv1RdLh3c2g", "JASON")</f>
        <v>JASON</v>
      </c>
      <c r="C2254" s="80" t="s">
        <v>2551</v>
      </c>
      <c r="D2254" s="81" t="str">
        <f>HYPERLINK("https://youtube.com/watch?v=GKK52cFahO8", "血拼韓國東大門，只買了這個？！")</f>
        <v>血拼韓國東大門，只買了這個？！</v>
      </c>
      <c r="E2254" s="82">
        <v>42705.0</v>
      </c>
      <c r="F2254" s="80">
        <v>203.0</v>
      </c>
      <c r="G2254" s="80" t="s">
        <v>63</v>
      </c>
      <c r="H2254" s="80" t="s">
        <v>63</v>
      </c>
      <c r="I2254" s="80" t="s">
        <v>63</v>
      </c>
      <c r="J2254" s="80">
        <v>959.0</v>
      </c>
      <c r="K2254" s="80">
        <v>0.87007874015748</v>
      </c>
      <c r="L2254" s="80" t="s">
        <v>2552</v>
      </c>
    </row>
    <row r="2255">
      <c r="A2255" s="80" t="s">
        <v>962</v>
      </c>
      <c r="B2255" s="81" t="str">
        <f>HYPERLINK("https://www.youtube.com/channel/UCmdnX8KiF_5ZVmJXNhOXUtw", "foursonproduction")</f>
        <v>foursonproduction</v>
      </c>
      <c r="C2255" s="80" t="s">
        <v>2553</v>
      </c>
      <c r="D2255" s="81" t="str">
        <f>HYPERLINK("https://youtube.com/watch?v=GRuBMmZEyRw", "短篇處境喜劇《我的HEHE室友》 S1E11 ：「我覺得我地都係唔適合發展落去！」")</f>
        <v>短篇處境喜劇《我的HEHE室友》 S1E11 ：「我覺得我地都係唔適合發展落去！」</v>
      </c>
      <c r="E2255" s="82">
        <v>43514.0</v>
      </c>
      <c r="F2255" s="80">
        <v>319.0</v>
      </c>
      <c r="G2255" s="80" t="s">
        <v>63</v>
      </c>
      <c r="I2255" s="80" t="s">
        <v>63</v>
      </c>
      <c r="J2255" s="80">
        <v>1111.0</v>
      </c>
      <c r="K2255" s="80">
        <v>0.794706723891273</v>
      </c>
      <c r="L2255" s="80" t="s">
        <v>64</v>
      </c>
    </row>
    <row r="2256">
      <c r="A2256" s="80" t="s">
        <v>2490</v>
      </c>
      <c r="B2256" s="81" t="str">
        <f>HYPERLINK("https://www.youtube.com/channel/UCxtXeFNKwTorEUE-vzRqj6w", "網上學習平台Beginneros")</f>
        <v>網上學習平台Beginneros</v>
      </c>
      <c r="C2256" s="80" t="s">
        <v>2554</v>
      </c>
      <c r="D2256" s="81" t="str">
        <f>HYPERLINK("https://youtube.com/watch?v=GcJf8lW__oQ", "【書法教學】用文字結緣：書法新手如何選擇文房四寶？｜Beginneros")</f>
        <v>【書法教學】用文字結緣：書法新手如何選擇文房四寶？｜Beginneros</v>
      </c>
      <c r="E2256" s="82">
        <v>43101.0</v>
      </c>
      <c r="F2256" s="80">
        <v>396.0</v>
      </c>
      <c r="G2256" s="80" t="s">
        <v>63</v>
      </c>
      <c r="H2256" s="80" t="s">
        <v>63</v>
      </c>
      <c r="I2256" s="80" t="s">
        <v>63</v>
      </c>
      <c r="J2256" s="80">
        <v>1159.0</v>
      </c>
      <c r="K2256" s="80">
        <v>1.0</v>
      </c>
      <c r="L2256" s="80" t="s">
        <v>86</v>
      </c>
    </row>
    <row r="2257">
      <c r="A2257" s="80" t="s">
        <v>2555</v>
      </c>
      <c r="B2257" s="81" t="str">
        <f>HYPERLINK("https://www.youtube.com/channel/UCEX0s8i81dVNy9fYQARifvw", "Edo Tsui")</f>
        <v>Edo Tsui</v>
      </c>
      <c r="C2257" s="80" t="s">
        <v>2556</v>
      </c>
      <c r="D2257" s="81" t="str">
        <f>HYPERLINK("https://youtube.com/watch?v=Gw-Al1CxgKg", "【荃灣意大利餐廳】Giovanni Pina 全球Top100最佳甜點大師 $298兩位超值Tea Set｜超過百年歷史進駐荃灣【中文字幕】")</f>
        <v>【荃灣意大利餐廳】Giovanni Pina 全球Top100最佳甜點大師 $298兩位超值Tea Set｜超過百年歷史進駐荃灣【中文字幕】</v>
      </c>
      <c r="E2257" s="82">
        <v>44327.0</v>
      </c>
      <c r="F2257" s="80">
        <v>376.0</v>
      </c>
      <c r="G2257" s="80" t="s">
        <v>63</v>
      </c>
      <c r="I2257" s="80" t="s">
        <v>63</v>
      </c>
      <c r="J2257" s="80">
        <v>1146.0</v>
      </c>
      <c r="K2257" s="80">
        <v>0.97531914893617</v>
      </c>
      <c r="L2257" s="80" t="s">
        <v>64</v>
      </c>
    </row>
    <row r="2258">
      <c r="A2258" s="80" t="s">
        <v>978</v>
      </c>
      <c r="B2258" s="81" t="str">
        <f>HYPERLINK("https://www.youtube.com/channel/UCDMd6CHdLs8FoqZJoRHkJGQ", "Ray Ho")</f>
        <v>Ray Ho</v>
      </c>
      <c r="C2258" s="80" t="s">
        <v>2557</v>
      </c>
      <c r="D2258" s="81" t="str">
        <f>HYPERLINK("https://youtube.com/watch?v=HF81URjKuYw", "【找數】被朋友決定我全日嘅飲食。。。")</f>
        <v>【找數】被朋友決定我全日嘅飲食。。。</v>
      </c>
      <c r="E2258" s="82">
        <v>44080.0</v>
      </c>
      <c r="F2258" s="80">
        <v>556.0</v>
      </c>
      <c r="G2258" s="80" t="s">
        <v>63</v>
      </c>
      <c r="I2258" s="80" t="s">
        <v>63</v>
      </c>
      <c r="J2258" s="80">
        <v>1260.0</v>
      </c>
      <c r="K2258" s="80">
        <v>0.948795180722891</v>
      </c>
      <c r="L2258" s="80" t="s">
        <v>64</v>
      </c>
    </row>
    <row r="2259">
      <c r="A2259" s="80" t="s">
        <v>971</v>
      </c>
      <c r="B2259" s="81" t="str">
        <f>HYPERLINK("https://www.youtube.com/channel/UC4nsi0oM9WBNFv1RdLh3c2g", "JASON")</f>
        <v>JASON</v>
      </c>
      <c r="C2259" s="80" t="s">
        <v>2558</v>
      </c>
      <c r="D2259" s="81" t="str">
        <f>HYPERLINK("https://youtube.com/watch?v=HLwtyaCf5dI", "VRの高潮... Playstation VR開箱！")</f>
        <v>VRの高潮... Playstation VR開箱！</v>
      </c>
      <c r="E2259" s="82">
        <v>42656.0</v>
      </c>
      <c r="F2259" s="80">
        <v>341.0</v>
      </c>
      <c r="G2259" s="80" t="s">
        <v>63</v>
      </c>
      <c r="I2259" s="80" t="s">
        <v>63</v>
      </c>
      <c r="J2259" s="80">
        <v>1709.0</v>
      </c>
      <c r="K2259" s="80">
        <v>0.789139225880993</v>
      </c>
      <c r="L2259" s="80" t="s">
        <v>240</v>
      </c>
    </row>
    <row r="2260">
      <c r="A2260" s="80" t="s">
        <v>2536</v>
      </c>
      <c r="B2260" s="81" t="str">
        <f>HYPERLINK("https://www.youtube.com/channel/UCf1_EVN2qSOxiLZskBGsElA", "譚杏藍 Hana Tam")</f>
        <v>譚杏藍 Hana Tam</v>
      </c>
      <c r="C2260" s="80" t="s">
        <v>2559</v>
      </c>
      <c r="D2260" s="81" t="str">
        <f>HYPERLINK("https://youtube.com/watch?v=HT4zDydB-BQ", "譚杏藍 Hana Tam - 男友幫我錄VO ! MY BOYFRIEND DOES MY VOICEOVER [ENG SUB]")</f>
        <v>譚杏藍 Hana Tam - 男友幫我錄VO ! MY BOYFRIEND DOES MY VOICEOVER [ENG SUB]</v>
      </c>
      <c r="E2260" s="82">
        <v>42739.0</v>
      </c>
      <c r="F2260" s="80">
        <v>273.0</v>
      </c>
      <c r="G2260" s="80" t="s">
        <v>63</v>
      </c>
      <c r="I2260" s="80" t="s">
        <v>63</v>
      </c>
      <c r="J2260" s="80">
        <v>907.0</v>
      </c>
      <c r="K2260" s="80">
        <v>0.88401559454191</v>
      </c>
      <c r="L2260" s="80" t="s">
        <v>521</v>
      </c>
    </row>
    <row r="2261">
      <c r="A2261" s="80" t="s">
        <v>2560</v>
      </c>
      <c r="B2261" s="81" t="str">
        <f>HYPERLINK("https://www.youtube.com/channel/UC-PjzWeAaYroDUGAuAVY6jA", "Frances Hui ")</f>
        <v>Frances Hui </v>
      </c>
      <c r="C2261" s="80" t="s">
        <v>2561</v>
      </c>
      <c r="D2261" s="81" t="str">
        <f>HYPERLINK("https://youtube.com/watch?v=HZ0smK720Jk", "舊電腦不行了😢 首看海外港人雜誌📖｜我們一起逐一開箱吧！📦｜Frances Hui 許穎婷")</f>
        <v>舊電腦不行了😢 首看海外港人雜誌📖｜我們一起逐一開箱吧！📦｜Frances Hui 許穎婷</v>
      </c>
      <c r="E2261" s="82">
        <v>44296.0</v>
      </c>
      <c r="F2261" s="80">
        <v>830.0</v>
      </c>
      <c r="G2261" s="80" t="s">
        <v>63</v>
      </c>
      <c r="H2261" s="80" t="s">
        <v>63</v>
      </c>
      <c r="I2261" s="80" t="s">
        <v>63</v>
      </c>
      <c r="J2261" s="80">
        <v>3403.0</v>
      </c>
      <c r="K2261" s="80">
        <v>0.888448321438012</v>
      </c>
      <c r="L2261" s="80" t="s">
        <v>434</v>
      </c>
    </row>
    <row r="2262">
      <c r="A2262" s="80" t="s">
        <v>748</v>
      </c>
      <c r="B2262" s="81" t="str">
        <f t="shared" ref="B2262:B2263" si="105">HYPERLINK("https://www.youtube.com/channel/UC_ZT2UjRiNSy1I33LEiflJQ", "撒野作風 WILDSTYLE RECORDS")</f>
        <v>撒野作風 WILDSTYLE RECORDS</v>
      </c>
      <c r="C2262" s="80" t="s">
        <v>2562</v>
      </c>
      <c r="D2262" s="81" t="str">
        <f>HYPERLINK("https://youtube.com/watch?v=HjC0WownLRM", "YoungQueenz, Matt Force, GrymeMan - '12 'TIL INFINITY (Official Video)")</f>
        <v>YoungQueenz, Matt Force, GrymeMan - '12 'TIL INFINITY (Official Video)</v>
      </c>
      <c r="E2262" s="82">
        <v>41271.0</v>
      </c>
      <c r="F2262" s="80">
        <v>234.0</v>
      </c>
      <c r="G2262" s="80" t="s">
        <v>63</v>
      </c>
      <c r="I2262" s="80" t="s">
        <v>63</v>
      </c>
      <c r="J2262" s="80">
        <v>725.0</v>
      </c>
      <c r="K2262" s="80">
        <v>0.591353996737357</v>
      </c>
      <c r="L2262" s="80" t="s">
        <v>91</v>
      </c>
    </row>
    <row r="2263">
      <c r="A2263" s="80" t="s">
        <v>748</v>
      </c>
      <c r="B2263" s="81" t="str">
        <f t="shared" si="105"/>
        <v>撒野作風 WILDSTYLE RECORDS</v>
      </c>
      <c r="C2263" s="80" t="s">
        <v>2563</v>
      </c>
      <c r="D2263" s="81" t="str">
        <f>HYPERLINK("https://youtube.com/watch?v=HjwuzOMVEQ4", "GrymeMan ft. Matt Force &amp; YoungQueenz - ""NINJA"" [Audio]")</f>
        <v>GrymeMan ft. Matt Force &amp; YoungQueenz - "NINJA" [Audio]</v>
      </c>
      <c r="E2263" s="82">
        <v>43683.0</v>
      </c>
      <c r="F2263" s="80">
        <v>187.0</v>
      </c>
      <c r="G2263" s="80" t="s">
        <v>63</v>
      </c>
      <c r="I2263" s="80" t="s">
        <v>63</v>
      </c>
      <c r="J2263" s="80">
        <v>659.0</v>
      </c>
      <c r="K2263" s="80">
        <v>0.644183773216031</v>
      </c>
      <c r="L2263" s="80" t="s">
        <v>64</v>
      </c>
    </row>
    <row r="2264">
      <c r="A2264" s="80" t="s">
        <v>242</v>
      </c>
      <c r="B2264" s="81" t="str">
        <f t="shared" ref="B2264:B2265" si="106">HYPERLINK("https://www.youtube.com/channel/UCZGVB6g74LXWtkR3fX50ykg", "Edwin H.")</f>
        <v>Edwin H.</v>
      </c>
      <c r="C2264" s="80" t="s">
        <v>2564</v>
      </c>
      <c r="D2264" s="81" t="str">
        <f>HYPERLINK("https://youtube.com/watch?v=Ihe2sauXOSs", "Apple不會跟你說這些｜10個不買iPad Pro的原因")</f>
        <v>Apple不會跟你說這些｜10個不買iPad Pro的原因</v>
      </c>
      <c r="E2264" s="82">
        <v>43420.0</v>
      </c>
      <c r="F2264" s="80">
        <v>730.0</v>
      </c>
      <c r="G2264" s="80" t="s">
        <v>63</v>
      </c>
      <c r="I2264" s="80" t="s">
        <v>63</v>
      </c>
      <c r="J2264" s="80">
        <v>2399.0</v>
      </c>
      <c r="K2264" s="80">
        <v>0.618139654728162</v>
      </c>
      <c r="L2264" s="80" t="s">
        <v>64</v>
      </c>
    </row>
    <row r="2265">
      <c r="A2265" s="80" t="s">
        <v>242</v>
      </c>
      <c r="B2265" s="81" t="str">
        <f t="shared" si="106"/>
        <v>Edwin H.</v>
      </c>
      <c r="C2265" s="80" t="s">
        <v>2565</v>
      </c>
      <c r="D2265" s="81" t="str">
        <f>HYPERLINK("https://youtube.com/watch?v=IjwqTfz_uII", "instax SHARE 打印機評測 | 評分1.8!?手機App全面睇 | 即影即有打印機 | Fujifilm SP-3 ft. Canon SELPHY")</f>
        <v>instax SHARE 打印機評測 | 評分1.8!?手機App全面睇 | 即影即有打印機 | Fujifilm SP-3 ft. Canon SELPHY</v>
      </c>
      <c r="E2265" s="82">
        <v>43439.0</v>
      </c>
      <c r="F2265" s="80">
        <v>860.0</v>
      </c>
      <c r="G2265" s="80" t="s">
        <v>63</v>
      </c>
      <c r="I2265" s="80" t="s">
        <v>63</v>
      </c>
      <c r="J2265" s="80">
        <v>3670.0</v>
      </c>
      <c r="K2265" s="80">
        <v>0.814288883958287</v>
      </c>
      <c r="L2265" s="80" t="s">
        <v>64</v>
      </c>
    </row>
    <row r="2266">
      <c r="A2266" s="80" t="s">
        <v>2530</v>
      </c>
      <c r="B2266" s="81" t="str">
        <f>HYPERLINK("https://www.youtube.com/channel/UClMVl1_PFbycHqKVCI70H5g", "CinCandy Sisters")</f>
        <v>CinCandy Sisters</v>
      </c>
      <c r="C2266" s="80" t="s">
        <v>2566</v>
      </c>
      <c r="D2266" s="81" t="str">
        <f>HYPERLINK("https://youtube.com/watch?v=IujEZH-GyfM", "Cindy出國讀書記・Switzerland🇨🇭 | 【Cindy特輯】")</f>
        <v>Cindy出國讀書記・Switzerland🇨🇭 | 【Cindy特輯】</v>
      </c>
      <c r="E2266" s="82">
        <v>43008.0</v>
      </c>
      <c r="F2266" s="80">
        <v>535.0</v>
      </c>
      <c r="G2266" s="80" t="s">
        <v>63</v>
      </c>
      <c r="I2266" s="80" t="s">
        <v>63</v>
      </c>
      <c r="J2266" s="80">
        <v>353.0</v>
      </c>
      <c r="K2266" s="80">
        <v>0.751063829787234</v>
      </c>
      <c r="L2266" s="80" t="s">
        <v>64</v>
      </c>
    </row>
    <row r="2267">
      <c r="A2267" s="80" t="s">
        <v>242</v>
      </c>
      <c r="B2267" s="81" t="str">
        <f t="shared" ref="B2267:B2268" si="107">HYPERLINK("https://www.youtube.com/channel/UCZGVB6g74LXWtkR3fX50ykg", "Edwin H.")</f>
        <v>Edwin H.</v>
      </c>
      <c r="C2267" s="80" t="s">
        <v>2567</v>
      </c>
      <c r="D2267" s="81" t="str">
        <f>HYPERLINK("https://youtube.com/watch?v=IuurypAt-Wk", "吃雞的秘密")</f>
        <v>吃雞的秘密</v>
      </c>
      <c r="E2267" s="82">
        <v>43281.0</v>
      </c>
      <c r="F2267" s="80">
        <v>450.0</v>
      </c>
      <c r="G2267" s="80" t="s">
        <v>63</v>
      </c>
      <c r="I2267" s="80" t="s">
        <v>63</v>
      </c>
      <c r="J2267" s="80">
        <v>1441.0</v>
      </c>
      <c r="K2267" s="80">
        <v>0.89005558987029</v>
      </c>
      <c r="L2267" s="80" t="s">
        <v>86</v>
      </c>
    </row>
    <row r="2268">
      <c r="A2268" s="80" t="s">
        <v>242</v>
      </c>
      <c r="B2268" s="81" t="str">
        <f t="shared" si="107"/>
        <v>Edwin H.</v>
      </c>
      <c r="C2268" s="80" t="s">
        <v>2568</v>
      </c>
      <c r="D2268" s="81" t="str">
        <f>HYPERLINK("https://youtube.com/watch?v=J7c1jtuKUXk", "靚到爆炸！箱根一日遊行程交通分享 | 必去必食推介 | 東京近郊 - 箱根篇")</f>
        <v>靚到爆炸！箱根一日遊行程交通分享 | 必去必食推介 | 東京近郊 - 箱根篇</v>
      </c>
      <c r="E2268" s="82">
        <v>43278.0</v>
      </c>
      <c r="F2268" s="80">
        <v>359.0</v>
      </c>
      <c r="G2268" s="80" t="s">
        <v>63</v>
      </c>
      <c r="I2268" s="80" t="s">
        <v>63</v>
      </c>
      <c r="J2268" s="80">
        <v>845.0</v>
      </c>
      <c r="K2268" s="80">
        <v>0.893234672304439</v>
      </c>
      <c r="L2268" s="80" t="s">
        <v>86</v>
      </c>
    </row>
    <row r="2269">
      <c r="A2269" s="80" t="s">
        <v>2536</v>
      </c>
      <c r="B2269" s="81" t="str">
        <f>HYPERLINK("https://www.youtube.com/channel/UCf1_EVN2qSOxiLZskBGsElA", "譚杏藍 Hana Tam")</f>
        <v>譚杏藍 Hana Tam</v>
      </c>
      <c r="C2269" s="80" t="s">
        <v>2569</v>
      </c>
      <c r="D2269" s="81" t="str">
        <f>HYPERLINK("https://youtube.com/watch?v=J9nswdZ2V1g", "【身恆花錢去旅行】東京另一面 TOKYO TRAVEL VLOG")</f>
        <v>【身恆花錢去旅行】東京另一面 TOKYO TRAVEL VLOG</v>
      </c>
      <c r="E2269" s="82">
        <v>42714.0</v>
      </c>
      <c r="F2269" s="80">
        <v>364.0</v>
      </c>
      <c r="G2269" s="80" t="s">
        <v>63</v>
      </c>
      <c r="H2269" s="80" t="s">
        <v>63</v>
      </c>
      <c r="I2269" s="80" t="s">
        <v>63</v>
      </c>
      <c r="J2269" s="80">
        <v>907.0</v>
      </c>
      <c r="K2269" s="80">
        <v>0.959349593495935</v>
      </c>
      <c r="L2269" s="80" t="s">
        <v>271</v>
      </c>
    </row>
    <row r="2270">
      <c r="A2270" s="80" t="s">
        <v>2490</v>
      </c>
      <c r="B2270" s="81" t="str">
        <f t="shared" ref="B2270:B2271" si="108">HYPERLINK("https://www.youtube.com/channel/UCxtXeFNKwTorEUE-vzRqj6w", "網上學習平台Beginneros")</f>
        <v>網上學習平台Beginneros</v>
      </c>
      <c r="C2270" s="80" t="s">
        <v>2570</v>
      </c>
      <c r="D2270" s="81" t="str">
        <f>HYPERLINK("https://youtube.com/watch?v=JgXn_ykJOaE", "【粵語教學】解構粵語：粵語文化的演變｜Beginneros")</f>
        <v>【粵語教學】解構粵語：粵語文化的演變｜Beginneros</v>
      </c>
      <c r="E2270" s="82">
        <v>43230.0</v>
      </c>
      <c r="F2270" s="80">
        <v>1056.0</v>
      </c>
      <c r="G2270" s="80" t="s">
        <v>63</v>
      </c>
      <c r="H2270" s="80" t="s">
        <v>63</v>
      </c>
      <c r="I2270" s="80" t="s">
        <v>63</v>
      </c>
      <c r="J2270" s="80">
        <v>3355.0</v>
      </c>
      <c r="K2270" s="80">
        <v>0.974306569343065</v>
      </c>
      <c r="L2270" s="80" t="s">
        <v>86</v>
      </c>
    </row>
    <row r="2271">
      <c r="A2271" s="80" t="s">
        <v>2490</v>
      </c>
      <c r="B2271" s="81" t="str">
        <f t="shared" si="108"/>
        <v>網上學習平台Beginneros</v>
      </c>
      <c r="C2271" s="80" t="s">
        <v>2571</v>
      </c>
      <c r="D2271" s="81" t="str">
        <f>HYPERLINK("https://youtube.com/watch?v=KZ0AXKAZRDM", "【攝影教學】曝光三角之光圈、快門、ISO：簡單學懂攝影的基礎入門｜Beginneros")</f>
        <v>【攝影教學】曝光三角之光圈、快門、ISO：簡單學懂攝影的基礎入門｜Beginneros</v>
      </c>
      <c r="E2271" s="82">
        <v>43159.0</v>
      </c>
      <c r="F2271" s="80">
        <v>549.0</v>
      </c>
      <c r="G2271" s="80" t="s">
        <v>63</v>
      </c>
      <c r="H2271" s="80" t="s">
        <v>63</v>
      </c>
      <c r="I2271" s="80" t="s">
        <v>63</v>
      </c>
      <c r="J2271" s="80">
        <v>1915.0</v>
      </c>
      <c r="K2271" s="80">
        <v>0.943661971830985</v>
      </c>
      <c r="L2271" s="80" t="s">
        <v>86</v>
      </c>
    </row>
    <row r="2272">
      <c r="A2272" s="80" t="s">
        <v>242</v>
      </c>
      <c r="B2272" s="81" t="str">
        <f>HYPERLINK("https://www.youtube.com/channel/UCZGVB6g74LXWtkR3fX50ykg", "Edwin H.")</f>
        <v>Edwin H.</v>
      </c>
      <c r="C2272" s="80" t="s">
        <v>2572</v>
      </c>
      <c r="D2272" s="81" t="str">
        <f>HYPERLINK("https://youtube.com/watch?v=Kts5adtnFCQ", "渋谷萬聖節＋大波美女餐廳HOOTERS")</f>
        <v>渋谷萬聖節＋大波美女餐廳HOOTERS</v>
      </c>
      <c r="E2272" s="82">
        <v>43404.0</v>
      </c>
      <c r="F2272" s="80">
        <v>163.0</v>
      </c>
      <c r="G2272" s="80" t="s">
        <v>63</v>
      </c>
      <c r="I2272" s="80" t="s">
        <v>63</v>
      </c>
      <c r="J2272" s="80">
        <v>373.0</v>
      </c>
      <c r="K2272" s="80">
        <v>0.907542579075425</v>
      </c>
      <c r="L2272" s="80" t="s">
        <v>64</v>
      </c>
    </row>
    <row r="2273">
      <c r="A2273" s="80" t="s">
        <v>2519</v>
      </c>
      <c r="B2273" s="81" t="str">
        <f>HYPERLINK("https://www.youtube.com/channel/UCRaC6ToPRzGZT5nGgz9vzGw", "C90s 港仔音樂")</f>
        <v>C90s 港仔音樂</v>
      </c>
      <c r="C2273" s="80" t="s">
        <v>2573</v>
      </c>
      <c r="D2273" s="81" t="str">
        <f>HYPERLINK("https://youtube.com/watch?v=L7xS9MFQCMw", "陳冠希 Edison Chen - 香港地 [歌詞同步/粵拼字幕]")</f>
        <v>陳冠希 Edison Chen - 香港地 [歌詞同步/粵拼字幕]</v>
      </c>
      <c r="E2273" s="82">
        <v>44196.0</v>
      </c>
      <c r="F2273" s="80">
        <v>253.0</v>
      </c>
      <c r="G2273" s="80" t="s">
        <v>63</v>
      </c>
      <c r="I2273" s="80" t="s">
        <v>63</v>
      </c>
      <c r="J2273" s="80">
        <v>947.0</v>
      </c>
      <c r="K2273" s="80">
        <v>0.233366190241498</v>
      </c>
      <c r="L2273" s="80" t="s">
        <v>64</v>
      </c>
    </row>
    <row r="2274">
      <c r="A2274" s="80" t="s">
        <v>748</v>
      </c>
      <c r="B2274" s="81" t="str">
        <f>HYPERLINK("https://www.youtube.com/channel/UC_ZT2UjRiNSy1I33LEiflJQ", "撒野作風 WILDSTYLE RECORDS")</f>
        <v>撒野作風 WILDSTYLE RECORDS</v>
      </c>
      <c r="C2274" s="80" t="s">
        <v>2574</v>
      </c>
      <c r="D2274" s="81" t="str">
        <f>HYPERLINK("https://youtube.com/watch?v=L8N0vHwP72k", "YoungQueenz , N.O.L.Y - Ain't Bout That Life (Prod. by Floyd Cheung) [Official Video]")</f>
        <v>YoungQueenz , N.O.L.Y - Ain't Bout That Life (Prod. by Floyd Cheung) [Official Video]</v>
      </c>
      <c r="E2274" s="82">
        <v>42183.0</v>
      </c>
      <c r="F2274" s="80">
        <v>192.0</v>
      </c>
      <c r="G2274" s="80" t="s">
        <v>63</v>
      </c>
      <c r="I2274" s="80" t="s">
        <v>63</v>
      </c>
      <c r="J2274" s="80">
        <v>333.0</v>
      </c>
      <c r="K2274" s="80">
        <v>0.273174733388022</v>
      </c>
      <c r="L2274" s="80" t="s">
        <v>582</v>
      </c>
    </row>
    <row r="2275">
      <c r="A2275" s="80" t="s">
        <v>2575</v>
      </c>
      <c r="B2275" s="81" t="str">
        <f>HYPERLINK("https://www.youtube.com/channel/UC_HW6aVLpyvPIhc7w8YA8Ag", "Kevin in Shanghai")</f>
        <v>Kevin in Shanghai</v>
      </c>
      <c r="C2275" s="80" t="s">
        <v>2576</v>
      </c>
      <c r="D2275" s="81" t="str">
        <f>HYPERLINK("https://youtube.com/watch?v=LDWcQndR8T0", "普通话式的粤语，你听得懂吗？ Mandarin Speaker Trying Cantonese Without Training")</f>
        <v>普通话式的粤语，你听得懂吗？ Mandarin Speaker Trying Cantonese Without Training</v>
      </c>
      <c r="E2275" s="82">
        <v>43379.0</v>
      </c>
      <c r="F2275" s="80">
        <v>243.0</v>
      </c>
      <c r="G2275" s="80" t="s">
        <v>63</v>
      </c>
      <c r="I2275" s="80" t="s">
        <v>63</v>
      </c>
      <c r="J2275" s="80">
        <v>1380.0</v>
      </c>
      <c r="K2275" s="80">
        <v>0.934326337169939</v>
      </c>
      <c r="L2275" s="80" t="s">
        <v>64</v>
      </c>
    </row>
    <row r="2276">
      <c r="A2276" s="80" t="s">
        <v>242</v>
      </c>
      <c r="B2276" s="81" t="str">
        <f>HYPERLINK("https://www.youtube.com/channel/UCZGVB6g74LXWtkR3fX50ykg", "Edwin H.")</f>
        <v>Edwin H.</v>
      </c>
      <c r="C2276" s="80" t="s">
        <v>2577</v>
      </c>
      <c r="D2276" s="81" t="str">
        <f>HYPERLINK("https://youtube.com/watch?v=La9t0S22pMg", "不斷收到私穩條款的電郵是什麼回事？GDPR三分鐘快速解釋中文懶人包")</f>
        <v>不斷收到私穩條款的電郵是什麼回事？GDPR三分鐘快速解釋中文懶人包</v>
      </c>
      <c r="E2276" s="82">
        <v>43248.0</v>
      </c>
      <c r="F2276" s="80">
        <v>232.0</v>
      </c>
      <c r="G2276" s="80" t="s">
        <v>63</v>
      </c>
      <c r="I2276" s="80" t="s">
        <v>63</v>
      </c>
      <c r="J2276" s="80">
        <v>702.0</v>
      </c>
      <c r="K2276" s="80">
        <v>0.828807556080283</v>
      </c>
      <c r="L2276" s="80" t="s">
        <v>64</v>
      </c>
    </row>
    <row r="2277">
      <c r="A2277" s="80" t="s">
        <v>2578</v>
      </c>
      <c r="B2277" s="81" t="str">
        <f>HYPERLINK("https://www.youtube.com/channel/UC1wI6SR8g6dsx3FB_O-NB0w", "adornAddiction")</f>
        <v>adornAddiction</v>
      </c>
      <c r="C2277" s="80" t="s">
        <v>2579</v>
      </c>
      <c r="D2277" s="81" t="str">
        <f>HYPERLINK("https://youtube.com/watch?v=LaKwhF7Kan4", "【免費下載 + GIVEAWAY】學生手帳DIY - back to school 系列 | adornDIY")</f>
        <v>【免費下載 + GIVEAWAY】學生手帳DIY - back to school 系列 | adornDIY</v>
      </c>
      <c r="E2277" s="82">
        <v>42974.0</v>
      </c>
      <c r="F2277" s="80">
        <v>532.0</v>
      </c>
      <c r="G2277" s="80" t="s">
        <v>63</v>
      </c>
      <c r="H2277" s="80" t="s">
        <v>63</v>
      </c>
      <c r="I2277" s="80" t="s">
        <v>63</v>
      </c>
      <c r="J2277" s="80">
        <v>1698.0</v>
      </c>
      <c r="K2277" s="80">
        <v>0.742132867132867</v>
      </c>
      <c r="L2277" s="80" t="s">
        <v>2580</v>
      </c>
    </row>
    <row r="2278">
      <c r="A2278" s="80" t="s">
        <v>971</v>
      </c>
      <c r="B2278" s="81" t="str">
        <f>HYPERLINK("https://www.youtube.com/channel/UC4nsi0oM9WBNFv1RdLh3c2g", "JASON")</f>
        <v>JASON</v>
      </c>
      <c r="C2278" s="80" t="s">
        <v>2581</v>
      </c>
      <c r="D2278" s="81" t="str">
        <f>HYPERLINK("https://youtube.com/watch?v=LhZxDtm_MTo", "教外父用iPhone")</f>
        <v>教外父用iPhone</v>
      </c>
      <c r="E2278" s="82">
        <v>42645.0</v>
      </c>
      <c r="F2278" s="80">
        <v>201.0</v>
      </c>
      <c r="G2278" s="80" t="s">
        <v>63</v>
      </c>
      <c r="H2278" s="80" t="s">
        <v>63</v>
      </c>
      <c r="I2278" s="80" t="s">
        <v>63</v>
      </c>
      <c r="J2278" s="80">
        <v>547.0</v>
      </c>
      <c r="K2278" s="80">
        <v>0.929347826086956</v>
      </c>
      <c r="L2278" s="80" t="s">
        <v>240</v>
      </c>
    </row>
    <row r="2279">
      <c r="A2279" s="80" t="s">
        <v>242</v>
      </c>
      <c r="B2279" s="81" t="str">
        <f>HYPERLINK("https://www.youtube.com/channel/UCZGVB6g74LXWtkR3fX50ykg", "Edwin H.")</f>
        <v>Edwin H.</v>
      </c>
      <c r="C2279" s="80" t="s">
        <v>2582</v>
      </c>
      <c r="D2279" s="81" t="str">
        <f>HYPERLINK("https://youtube.com/watch?v=MfP819DP420", "12個你要留意的科技新品！10月2018 - Part 1")</f>
        <v>12個你要留意的科技新品！10月2018 - Part 1</v>
      </c>
      <c r="E2279" s="82">
        <v>43389.0</v>
      </c>
      <c r="F2279" s="80">
        <v>737.0</v>
      </c>
      <c r="G2279" s="80" t="s">
        <v>63</v>
      </c>
      <c r="I2279" s="80" t="s">
        <v>63</v>
      </c>
      <c r="J2279" s="80">
        <v>2332.0</v>
      </c>
      <c r="K2279" s="80">
        <v>0.704106280193236</v>
      </c>
      <c r="L2279" s="80" t="s">
        <v>64</v>
      </c>
    </row>
    <row r="2280">
      <c r="A2280" s="80" t="s">
        <v>748</v>
      </c>
      <c r="B2280" s="81" t="str">
        <f t="shared" ref="B2280:B2281" si="109">HYPERLINK("https://www.youtube.com/channel/UC_ZT2UjRiNSy1I33LEiflJQ", "撒野作風 WILDSTYLE RECORDS")</f>
        <v>撒野作風 WILDSTYLE RECORDS</v>
      </c>
      <c r="C2280" s="80" t="s">
        <v>2583</v>
      </c>
      <c r="D2280" s="81" t="str">
        <f>HYPERLINK("https://youtube.com/watch?v=Mm5jr_OvN_k", "Triple G - ""列車""（Audio）")</f>
        <v>Triple G - "列車"（Audio）</v>
      </c>
      <c r="E2280" s="82">
        <v>44322.0</v>
      </c>
      <c r="F2280" s="80">
        <v>280.0</v>
      </c>
      <c r="G2280" s="80" t="s">
        <v>63</v>
      </c>
      <c r="I2280" s="80" t="s">
        <v>63</v>
      </c>
      <c r="J2280" s="80">
        <v>378.0</v>
      </c>
      <c r="K2280" s="80">
        <v>1.0</v>
      </c>
      <c r="L2280" s="80" t="s">
        <v>820</v>
      </c>
    </row>
    <row r="2281">
      <c r="A2281" s="80" t="s">
        <v>748</v>
      </c>
      <c r="B2281" s="81" t="str">
        <f t="shared" si="109"/>
        <v>撒野作風 WILDSTYLE RECORDS</v>
      </c>
      <c r="C2281" s="80" t="s">
        <v>2584</v>
      </c>
      <c r="D2281" s="81" t="str">
        <f>HYPERLINK("https://youtube.com/watch?v=Myy5xFXMYIA", "GrymeMan - ""血債 (Take it in blood)"" [Audio]")</f>
        <v>GrymeMan - "血債 (Take it in blood)" [Audio]</v>
      </c>
      <c r="E2281" s="82">
        <v>43519.0</v>
      </c>
      <c r="F2281" s="80">
        <v>130.0</v>
      </c>
      <c r="G2281" s="80" t="s">
        <v>63</v>
      </c>
      <c r="I2281" s="80" t="s">
        <v>63</v>
      </c>
      <c r="J2281" s="80">
        <v>299.0</v>
      </c>
      <c r="K2281" s="80">
        <v>0.546617915904936</v>
      </c>
      <c r="L2281" s="80" t="s">
        <v>64</v>
      </c>
    </row>
    <row r="2282">
      <c r="A2282" s="80" t="s">
        <v>2585</v>
      </c>
      <c r="B2282" s="81" t="str">
        <f>HYPERLINK("https://www.youtube.com/channel/UCyyruuN0VecuYxPNR4un88Q", "混血肥仔")</f>
        <v>混血肥仔</v>
      </c>
      <c r="C2282" s="80" t="s">
        <v>2586</v>
      </c>
      <c r="D2282" s="81" t="str">
        <f>HYPERLINK("https://youtube.com/watch?v=Njl6DC1PRhc", "【廣東話】BEST XI IN 2021 ⚽ | 本年度最佳11人")</f>
        <v>【廣東話】BEST XI IN 2021 ⚽ | 本年度最佳11人</v>
      </c>
      <c r="E2282" s="82">
        <v>44562.0</v>
      </c>
      <c r="F2282" s="80">
        <v>222.0</v>
      </c>
      <c r="G2282" s="80" t="s">
        <v>63</v>
      </c>
      <c r="I2282" s="80" t="s">
        <v>63</v>
      </c>
      <c r="J2282" s="80">
        <v>458.0</v>
      </c>
      <c r="K2282" s="80">
        <v>0.968287526427061</v>
      </c>
      <c r="L2282" s="80" t="s">
        <v>64</v>
      </c>
    </row>
    <row r="2283">
      <c r="A2283" s="80" t="s">
        <v>748</v>
      </c>
      <c r="B2283" s="81" t="str">
        <f t="shared" ref="B2283:B2284" si="110">HYPERLINK("https://www.youtube.com/channel/UC_ZT2UjRiNSy1I33LEiflJQ", "撒野作風 WILDSTYLE RECORDS")</f>
        <v>撒野作風 WILDSTYLE RECORDS</v>
      </c>
      <c r="C2283" s="80" t="s">
        <v>2587</v>
      </c>
      <c r="D2283" s="81" t="str">
        <f>HYPERLINK("https://youtube.com/watch?v=NrEc3AuW68I", "YoungQueenz, N.O.L.Y, Floyd Cheung - 公廁 Gungchi (Official Video)")</f>
        <v>YoungQueenz, N.O.L.Y, Floyd Cheung - 公廁 Gungchi (Official Video)</v>
      </c>
      <c r="E2283" s="82">
        <v>42836.0</v>
      </c>
      <c r="F2283" s="80">
        <v>195.0</v>
      </c>
      <c r="G2283" s="80" t="s">
        <v>63</v>
      </c>
      <c r="I2283" s="80" t="s">
        <v>63</v>
      </c>
      <c r="J2283" s="80">
        <v>296.0</v>
      </c>
      <c r="K2283" s="80">
        <v>0.260334212840809</v>
      </c>
      <c r="L2283" s="80" t="s">
        <v>521</v>
      </c>
    </row>
    <row r="2284">
      <c r="A2284" s="80" t="s">
        <v>748</v>
      </c>
      <c r="B2284" s="81" t="str">
        <f t="shared" si="110"/>
        <v>撒野作風 WILDSTYLE RECORDS</v>
      </c>
      <c r="C2284" s="80" t="s">
        <v>2588</v>
      </c>
      <c r="D2284" s="81" t="str">
        <f>HYPERLINK("https://youtube.com/watch?v=Nwku6eye6ak", "YoungQueenz , N.O.L.Y, Floyd ft. YZ 于耀智 - ""翡翠 Fay Chui / Jade (青玉)""  [Audio]")</f>
        <v>YoungQueenz , N.O.L.Y, Floyd ft. YZ 于耀智 - "翡翠 Fay Chui / Jade (青玉)"  [Audio]</v>
      </c>
      <c r="E2284" s="82">
        <v>43118.0</v>
      </c>
      <c r="F2284" s="80">
        <v>296.0</v>
      </c>
      <c r="G2284" s="80" t="s">
        <v>63</v>
      </c>
      <c r="I2284" s="80" t="s">
        <v>63</v>
      </c>
      <c r="J2284" s="80">
        <v>450.0</v>
      </c>
      <c r="K2284" s="80">
        <v>0.314245810055865</v>
      </c>
      <c r="L2284" s="80" t="s">
        <v>86</v>
      </c>
    </row>
    <row r="2285">
      <c r="A2285" s="80" t="s">
        <v>2512</v>
      </c>
      <c r="B2285" s="81" t="str">
        <f>HYPERLINK("https://www.youtube.com/channel/UC5zsYYGsHjv4GK20FjPDjkg", "Ling Cheng")</f>
        <v>Ling Cheng</v>
      </c>
      <c r="C2285" s="80" t="s">
        <v>2589</v>
      </c>
      <c r="D2285" s="81" t="str">
        <f>HYPERLINK("https://youtube.com/watch?v=O1uLY1017Hc", "【韓國生活】我不夾娃娃我夾萬樂珠 ＠明知大學附近ㅠㅠ｜Ling Cheng")</f>
        <v>【韓國生活】我不夾娃娃我夾萬樂珠 ＠明知大學附近ㅠㅠ｜Ling Cheng</v>
      </c>
      <c r="E2285" s="82">
        <v>42804.0</v>
      </c>
      <c r="F2285" s="80">
        <v>313.0</v>
      </c>
      <c r="G2285" s="80" t="s">
        <v>63</v>
      </c>
      <c r="H2285" s="80" t="s">
        <v>63</v>
      </c>
      <c r="I2285" s="80" t="s">
        <v>63</v>
      </c>
      <c r="J2285" s="80">
        <v>474.0</v>
      </c>
      <c r="K2285" s="80">
        <v>0.989769820971867</v>
      </c>
      <c r="L2285" s="80" t="s">
        <v>973</v>
      </c>
    </row>
    <row r="2286">
      <c r="A2286" s="80" t="s">
        <v>242</v>
      </c>
      <c r="B2286" s="81" t="str">
        <f>HYPERLINK("https://www.youtube.com/channel/UCZGVB6g74LXWtkR3fX50ykg", "Edwin H.")</f>
        <v>Edwin H.</v>
      </c>
      <c r="C2286" s="80" t="s">
        <v>2590</v>
      </c>
      <c r="D2286" s="81" t="str">
        <f>HYPERLINK("https://youtube.com/watch?v=O6Djj_lfZZo", "晒冷🔥43款必睇科技新品‼️ | CES 2019 Part 2")</f>
        <v>晒冷🔥43款必睇科技新品‼️ | CES 2019 Part 2</v>
      </c>
      <c r="E2286" s="82">
        <v>43492.0</v>
      </c>
      <c r="F2286" s="80">
        <v>1144.0</v>
      </c>
      <c r="G2286" s="80" t="s">
        <v>63</v>
      </c>
      <c r="I2286" s="80" t="s">
        <v>63</v>
      </c>
      <c r="J2286" s="80">
        <v>4541.0</v>
      </c>
      <c r="K2286" s="80">
        <v>0.78905299739357</v>
      </c>
      <c r="L2286" s="80" t="s">
        <v>86</v>
      </c>
    </row>
    <row r="2287">
      <c r="A2287" s="80" t="s">
        <v>971</v>
      </c>
      <c r="B2287" s="81" t="str">
        <f t="shared" ref="B2287:B2289" si="111">HYPERLINK("https://www.youtube.com/channel/UC4nsi0oM9WBNFv1RdLh3c2g", "JASON")</f>
        <v>JASON</v>
      </c>
      <c r="C2287" s="80" t="s">
        <v>2591</v>
      </c>
      <c r="D2287" s="81" t="str">
        <f>HYPERLINK("https://youtube.com/watch?v=O6wRCjS0AXk", "重量級來港！「頑固壽司」香港開業！")</f>
        <v>重量級來港！「頑固壽司」香港開業！</v>
      </c>
      <c r="E2287" s="82">
        <v>43805.0</v>
      </c>
      <c r="F2287" s="80">
        <v>781.0</v>
      </c>
      <c r="G2287" s="80" t="s">
        <v>63</v>
      </c>
      <c r="H2287" s="80" t="s">
        <v>63</v>
      </c>
      <c r="I2287" s="80" t="s">
        <v>63</v>
      </c>
      <c r="J2287" s="80">
        <v>1893.0</v>
      </c>
      <c r="K2287" s="80">
        <v>0.971898197242842</v>
      </c>
      <c r="L2287" s="80" t="s">
        <v>2592</v>
      </c>
    </row>
    <row r="2288">
      <c r="A2288" s="80" t="s">
        <v>971</v>
      </c>
      <c r="B2288" s="81" t="str">
        <f t="shared" si="111"/>
        <v>JASON</v>
      </c>
      <c r="C2288" s="80" t="s">
        <v>2593</v>
      </c>
      <c r="D2288" s="81" t="str">
        <f>HYPERLINK("https://youtube.com/watch?v=OECe7w9Db7c", "4K美腿又點姐... 我係讀書人...")</f>
        <v>4K美腿又點姐... 我係讀書人...</v>
      </c>
      <c r="E2288" s="82">
        <v>42664.0</v>
      </c>
      <c r="F2288" s="80">
        <v>372.0</v>
      </c>
      <c r="G2288" s="80" t="s">
        <v>63</v>
      </c>
      <c r="I2288" s="80" t="s">
        <v>63</v>
      </c>
      <c r="J2288" s="80">
        <v>1922.0</v>
      </c>
      <c r="K2288" s="80">
        <v>0.875626423690205</v>
      </c>
      <c r="L2288" s="80" t="s">
        <v>1889</v>
      </c>
    </row>
    <row r="2289">
      <c r="A2289" s="80" t="s">
        <v>971</v>
      </c>
      <c r="B2289" s="81" t="str">
        <f t="shared" si="111"/>
        <v>JASON</v>
      </c>
      <c r="C2289" s="80" t="s">
        <v>2594</v>
      </c>
      <c r="D2289" s="81" t="str">
        <f>HYPERLINK("https://youtube.com/watch?v=OKHOcFUMXak", "雞内臟味的糖果...？！")</f>
        <v>雞内臟味的糖果...？！</v>
      </c>
      <c r="E2289" s="82">
        <v>42692.0</v>
      </c>
      <c r="F2289" s="80">
        <v>162.0</v>
      </c>
      <c r="G2289" s="80" t="s">
        <v>63</v>
      </c>
      <c r="I2289" s="80" t="s">
        <v>63</v>
      </c>
      <c r="J2289" s="80">
        <v>705.0</v>
      </c>
      <c r="K2289" s="80">
        <v>0.965753424657534</v>
      </c>
      <c r="L2289" s="80" t="s">
        <v>64</v>
      </c>
    </row>
    <row r="2290">
      <c r="A2290" s="80" t="s">
        <v>242</v>
      </c>
      <c r="B2290" s="81" t="str">
        <f>HYPERLINK("https://www.youtube.com/channel/UCZGVB6g74LXWtkR3fX50ykg", "Edwin H.")</f>
        <v>Edwin H.</v>
      </c>
      <c r="C2290" s="80" t="s">
        <v>2595</v>
      </c>
      <c r="D2290" s="81" t="str">
        <f>HYPERLINK("https://youtube.com/watch?v=OhsznhZmT1E", "點解新電話要充電八個鐘？傳言的歷史與起源")</f>
        <v>點解新電話要充電八個鐘？傳言的歷史與起源</v>
      </c>
      <c r="E2290" s="82">
        <v>43262.0</v>
      </c>
      <c r="F2290" s="80">
        <v>245.0</v>
      </c>
      <c r="G2290" s="80" t="s">
        <v>63</v>
      </c>
      <c r="I2290" s="80" t="s">
        <v>63</v>
      </c>
      <c r="J2290" s="80">
        <v>629.0</v>
      </c>
      <c r="K2290" s="80">
        <v>0.905035971223021</v>
      </c>
      <c r="L2290" s="80" t="s">
        <v>64</v>
      </c>
    </row>
    <row r="2291">
      <c r="A2291" s="80" t="s">
        <v>2585</v>
      </c>
      <c r="B2291" s="81" t="str">
        <f>HYPERLINK("https://www.youtube.com/channel/UCyyruuN0VecuYxPNR4un88Q", "混血肥仔")</f>
        <v>混血肥仔</v>
      </c>
      <c r="C2291" s="80" t="s">
        <v>2596</v>
      </c>
      <c r="D2291" s="81" t="str">
        <f>HYPERLINK("https://youtube.com/watch?v=OnnFcGjTT6c", "Lingoda特約：我在英國識鬼妹😎 一路向北識女仔 #04")</f>
        <v>Lingoda特約：我在英國識鬼妹😎 一路向北識女仔 #04</v>
      </c>
      <c r="E2291" s="82">
        <v>44571.0</v>
      </c>
      <c r="F2291" s="80">
        <v>644.0</v>
      </c>
      <c r="G2291" s="80" t="s">
        <v>63</v>
      </c>
      <c r="I2291" s="80" t="s">
        <v>63</v>
      </c>
      <c r="J2291" s="80">
        <v>1675.0</v>
      </c>
      <c r="K2291" s="80">
        <v>0.876504447933019</v>
      </c>
      <c r="L2291" s="80" t="s">
        <v>64</v>
      </c>
    </row>
    <row r="2292">
      <c r="A2292" s="80" t="s">
        <v>2490</v>
      </c>
      <c r="B2292" s="81" t="str">
        <f>HYPERLINK("https://www.youtube.com/channel/UCxtXeFNKwTorEUE-vzRqj6w", "網上學習平台Beginneros")</f>
        <v>網上學習平台Beginneros</v>
      </c>
      <c r="C2292" s="80" t="s">
        <v>2597</v>
      </c>
      <c r="D2292" s="81" t="str">
        <f>HYPERLINK("https://youtube.com/watch?v=PEsyx77zyGA", "【生活教學】超省空間折衣技巧：簡易服裝收納教學｜Beginneros")</f>
        <v>【生活教學】超省空間折衣技巧：簡易服裝收納教學｜Beginneros</v>
      </c>
      <c r="E2292" s="82">
        <v>43334.0</v>
      </c>
      <c r="F2292" s="80">
        <v>476.0</v>
      </c>
      <c r="G2292" s="80" t="s">
        <v>63</v>
      </c>
      <c r="H2292" s="80" t="s">
        <v>63</v>
      </c>
      <c r="I2292" s="80" t="s">
        <v>63</v>
      </c>
      <c r="J2292" s="80">
        <v>1135.0</v>
      </c>
      <c r="K2292" s="80">
        <v>0.979130434782608</v>
      </c>
      <c r="L2292" s="80" t="s">
        <v>86</v>
      </c>
    </row>
    <row r="2293">
      <c r="A2293" s="80" t="s">
        <v>242</v>
      </c>
      <c r="B2293" s="81" t="str">
        <f>HYPERLINK("https://www.youtube.com/channel/UCZGVB6g74LXWtkR3fX50ykg", "Edwin H.")</f>
        <v>Edwin H.</v>
      </c>
      <c r="C2293" s="80" t="s">
        <v>2598</v>
      </c>
      <c r="D2293" s="81" t="str">
        <f>HYPERLINK("https://youtube.com/watch?v=PGZPgMd_ruc", "23件必睇科技新品 📳🕹🔋📷Ep.32 | 2月3月2021")</f>
        <v>23件必睇科技新品 📳🕹🔋📷Ep.32 | 2月3月2021</v>
      </c>
      <c r="E2293" s="82">
        <v>44258.0</v>
      </c>
      <c r="F2293" s="80">
        <v>743.0</v>
      </c>
      <c r="G2293" s="80" t="s">
        <v>63</v>
      </c>
      <c r="I2293" s="80" t="s">
        <v>63</v>
      </c>
      <c r="J2293" s="80">
        <v>2475.0</v>
      </c>
      <c r="K2293" s="80">
        <v>0.710390355912744</v>
      </c>
      <c r="L2293" s="80" t="s">
        <v>64</v>
      </c>
    </row>
    <row r="2294">
      <c r="A2294" s="80" t="s">
        <v>748</v>
      </c>
      <c r="B2294" s="81" t="str">
        <f>HYPERLINK("https://www.youtube.com/channel/UC_ZT2UjRiNSy1I33LEiflJQ", "撒野作風 WILDSTYLE RECORDS")</f>
        <v>撒野作風 WILDSTYLE RECORDS</v>
      </c>
      <c r="C2294" s="80" t="s">
        <v>2599</v>
      </c>
      <c r="D2294" s="81" t="str">
        <f>HYPERLINK("https://youtube.com/watch?v=Pi0MgVRjIsc", "Triple G - ""Cozy City""（Audio）")</f>
        <v>Triple G - "Cozy City"（Audio）</v>
      </c>
      <c r="E2294" s="82">
        <v>44322.0</v>
      </c>
      <c r="F2294" s="80">
        <v>179.0</v>
      </c>
      <c r="G2294" s="80" t="s">
        <v>63</v>
      </c>
      <c r="I2294" s="80" t="s">
        <v>63</v>
      </c>
      <c r="J2294" s="80">
        <v>269.0</v>
      </c>
      <c r="K2294" s="80">
        <v>0.399109792284866</v>
      </c>
      <c r="L2294" s="80" t="s">
        <v>820</v>
      </c>
    </row>
    <row r="2295">
      <c r="A2295" s="80" t="s">
        <v>2530</v>
      </c>
      <c r="B2295" s="81" t="str">
        <f>HYPERLINK("https://www.youtube.com/channel/UClMVl1_PFbycHqKVCI70H5g", "CinCandy Sisters")</f>
        <v>CinCandy Sisters</v>
      </c>
      <c r="C2295" s="80" t="s">
        <v>2600</v>
      </c>
      <c r="D2295" s="81" t="str">
        <f>HYPERLINK("https://youtube.com/watch?v=QX2qs4-BMKY", "戀愛了💗 終於揭露我的情人 Dating?! Finally reveal My Valentine 💜 | 🍬")</f>
        <v>戀愛了💗 終於揭露我的情人 Dating?! Finally reveal My Valentine 💜 | 🍬</v>
      </c>
      <c r="E2295" s="82">
        <v>43884.0</v>
      </c>
      <c r="F2295" s="80">
        <v>370.0</v>
      </c>
      <c r="G2295" s="80" t="s">
        <v>63</v>
      </c>
      <c r="H2295" s="80" t="s">
        <v>63</v>
      </c>
      <c r="I2295" s="80" t="s">
        <v>63</v>
      </c>
      <c r="J2295" s="80">
        <v>780.0</v>
      </c>
      <c r="K2295" s="80">
        <v>0.929678188319428</v>
      </c>
      <c r="L2295" s="80" t="s">
        <v>86</v>
      </c>
    </row>
    <row r="2296">
      <c r="A2296" s="80" t="s">
        <v>2490</v>
      </c>
      <c r="B2296" s="81" t="str">
        <f>HYPERLINK("https://www.youtube.com/channel/UCxtXeFNKwTorEUE-vzRqj6w", "網上學習平台Beginneros")</f>
        <v>網上學習平台Beginneros</v>
      </c>
      <c r="C2296" s="80" t="s">
        <v>2601</v>
      </c>
      <c r="D2296" s="81" t="str">
        <f>HYPERLINK("https://youtube.com/watch?v=QaPZgcBYVss", "【魔術教學】10分鐘學簡單魔術：4個道具魔術教學｜Beginneros")</f>
        <v>【魔術教學】10分鐘學簡單魔術：4個道具魔術教學｜Beginneros</v>
      </c>
      <c r="E2296" s="82">
        <v>43115.0</v>
      </c>
      <c r="F2296" s="80">
        <v>561.0</v>
      </c>
      <c r="G2296" s="80" t="s">
        <v>63</v>
      </c>
      <c r="H2296" s="80" t="s">
        <v>63</v>
      </c>
      <c r="I2296" s="80" t="s">
        <v>63</v>
      </c>
      <c r="J2296" s="80">
        <v>1492.0</v>
      </c>
      <c r="K2296" s="80">
        <v>0.993342210386151</v>
      </c>
      <c r="L2296" s="80" t="s">
        <v>86</v>
      </c>
    </row>
    <row r="2297">
      <c r="A2297" s="80" t="s">
        <v>748</v>
      </c>
      <c r="B2297" s="81" t="str">
        <f>HYPERLINK("https://www.youtube.com/channel/UC_ZT2UjRiNSy1I33LEiflJQ", "撒野作風 WILDSTYLE RECORDS")</f>
        <v>撒野作風 WILDSTYLE RECORDS</v>
      </c>
      <c r="C2297" s="80" t="s">
        <v>2602</v>
      </c>
      <c r="D2297" s="81" t="str">
        <f>HYPERLINK("https://youtube.com/watch?v=Qz2Wzl24Q8A", "YoungQueenz / OTAKU MOBB - “ 水原希子 Kiko Mizuhara ” (Official Video)")</f>
        <v>YoungQueenz / OTAKU MOBB - “ 水原希子 Kiko Mizuhara ” (Official Video)</v>
      </c>
      <c r="E2297" s="82">
        <v>42374.0</v>
      </c>
      <c r="F2297" s="80">
        <v>216.0</v>
      </c>
      <c r="G2297" s="80" t="s">
        <v>63</v>
      </c>
      <c r="I2297" s="80" t="s">
        <v>63</v>
      </c>
      <c r="J2297" s="80">
        <v>264.0</v>
      </c>
      <c r="K2297" s="80">
        <v>0.294642857142857</v>
      </c>
      <c r="L2297" s="80" t="s">
        <v>521</v>
      </c>
    </row>
    <row r="2298">
      <c r="A2298" s="80" t="s">
        <v>2519</v>
      </c>
      <c r="B2298" s="81" t="str">
        <f>HYPERLINK("https://www.youtube.com/channel/UCRaC6ToPRzGZT5nGgz9vzGw", "C90s 港仔音樂")</f>
        <v>C90s 港仔音樂</v>
      </c>
      <c r="C2298" s="80" t="s">
        <v>2603</v>
      </c>
      <c r="D2298" s="81" t="str">
        <f>HYPERLINK("https://youtube.com/watch?v=RESKexG7VS8", "農夫 Fama - 返老還童 [歌詞同步/粵拼字幕]")</f>
        <v>農夫 Fama - 返老還童 [歌詞同步/粵拼字幕]</v>
      </c>
      <c r="E2298" s="82">
        <v>44296.0</v>
      </c>
      <c r="F2298" s="80">
        <v>215.0</v>
      </c>
      <c r="G2298" s="80" t="s">
        <v>63</v>
      </c>
      <c r="I2298" s="80" t="s">
        <v>63</v>
      </c>
      <c r="J2298" s="80">
        <v>872.0</v>
      </c>
      <c r="K2298" s="80">
        <v>0.232161874334398</v>
      </c>
      <c r="L2298" s="80" t="s">
        <v>64</v>
      </c>
    </row>
    <row r="2299">
      <c r="A2299" s="80" t="s">
        <v>242</v>
      </c>
      <c r="B2299" s="81" t="str">
        <f>HYPERLINK("https://www.youtube.com/channel/UCZGVB6g74LXWtkR3fX50ykg", "Edwin H.")</f>
        <v>Edwin H.</v>
      </c>
      <c r="C2299" s="80" t="s">
        <v>2604</v>
      </c>
      <c r="D2299" s="81" t="str">
        <f>HYPERLINK("https://youtube.com/watch?v=RLFd-95bz3c", "38款必睇科技新品🌊+洩密💦 | 1月+2月+MWC熱身2019")</f>
        <v>38款必睇科技新品🌊+洩密💦 | 1月+2月+MWC熱身2019</v>
      </c>
      <c r="E2299" s="82">
        <v>43516.0</v>
      </c>
      <c r="F2299" s="80">
        <v>905.0</v>
      </c>
      <c r="G2299" s="80" t="s">
        <v>63</v>
      </c>
      <c r="I2299" s="80" t="s">
        <v>63</v>
      </c>
      <c r="J2299" s="80">
        <v>3308.0</v>
      </c>
      <c r="K2299" s="80">
        <v>0.760984587071543</v>
      </c>
      <c r="L2299" s="80" t="s">
        <v>86</v>
      </c>
    </row>
    <row r="2300">
      <c r="A2300" s="80" t="s">
        <v>748</v>
      </c>
      <c r="B2300" s="81" t="str">
        <f>HYPERLINK("https://www.youtube.com/channel/UC_ZT2UjRiNSy1I33LEiflJQ", "撒野作風 WILDSTYLE RECORDS")</f>
        <v>撒野作風 WILDSTYLE RECORDS</v>
      </c>
      <c r="C2300" s="80" t="s">
        <v>2605</v>
      </c>
      <c r="D2300" s="81" t="str">
        <f>HYPERLINK("https://youtube.com/watch?v=RxzN3oKm79Q", "Triple G - “碎碎念""（Audio）")</f>
        <v>Triple G - “碎碎念"（Audio）</v>
      </c>
      <c r="E2300" s="82">
        <v>44322.0</v>
      </c>
      <c r="F2300" s="80">
        <v>197.0</v>
      </c>
      <c r="G2300" s="80" t="s">
        <v>63</v>
      </c>
      <c r="I2300" s="80" t="s">
        <v>63</v>
      </c>
      <c r="J2300" s="80">
        <v>310.0</v>
      </c>
      <c r="K2300" s="80">
        <v>1.0</v>
      </c>
      <c r="L2300" s="80" t="s">
        <v>820</v>
      </c>
    </row>
    <row r="2301">
      <c r="A2301" s="80" t="s">
        <v>2585</v>
      </c>
      <c r="B2301" s="81" t="str">
        <f>HYPERLINK("https://www.youtube.com/channel/UCyyruuN0VecuYxPNR4un88Q", "混血肥仔")</f>
        <v>混血肥仔</v>
      </c>
      <c r="C2301" s="80" t="s">
        <v>2606</v>
      </c>
      <c r="D2301" s="81" t="str">
        <f>HYPERLINK("https://youtube.com/watch?v=S8cobY9mp64", "空姐一人去英國 🛫 | 一路向北識女仔#01")</f>
        <v>空姐一人去英國 🛫 | 一路向北識女仔#01</v>
      </c>
      <c r="E2301" s="82">
        <v>44543.0</v>
      </c>
      <c r="F2301" s="80">
        <v>763.0</v>
      </c>
      <c r="G2301" s="80" t="s">
        <v>63</v>
      </c>
      <c r="I2301" s="80" t="s">
        <v>63</v>
      </c>
      <c r="J2301" s="80">
        <v>2136.0</v>
      </c>
      <c r="K2301" s="80">
        <v>0.898233809924306</v>
      </c>
      <c r="L2301" s="80" t="s">
        <v>64</v>
      </c>
    </row>
    <row r="2302">
      <c r="A2302" s="80" t="s">
        <v>2490</v>
      </c>
      <c r="B2302" s="81" t="str">
        <f>HYPERLINK("https://www.youtube.com/channel/UCxtXeFNKwTorEUE-vzRqj6w", "網上學習平台Beginneros")</f>
        <v>網上學習平台Beginneros</v>
      </c>
      <c r="C2302" s="80" t="s">
        <v>2607</v>
      </c>
      <c r="D2302" s="81" t="str">
        <f>HYPERLINK("https://youtube.com/watch?v=T0Bzkk5moCI", "【手作教學】冬天必備的暖心手作：自製環保暖包｜Beginneros")</f>
        <v>【手作教學】冬天必備的暖心手作：自製環保暖包｜Beginneros</v>
      </c>
      <c r="E2302" s="82">
        <v>43086.0</v>
      </c>
      <c r="F2302" s="80">
        <v>243.0</v>
      </c>
      <c r="G2302" s="80" t="s">
        <v>63</v>
      </c>
      <c r="H2302" s="80" t="s">
        <v>63</v>
      </c>
      <c r="I2302" s="80" t="s">
        <v>63</v>
      </c>
      <c r="J2302" s="80">
        <v>601.0</v>
      </c>
      <c r="K2302" s="80">
        <v>1.0</v>
      </c>
      <c r="L2302" s="80" t="s">
        <v>86</v>
      </c>
    </row>
    <row r="2303">
      <c r="A2303" s="80" t="s">
        <v>748</v>
      </c>
      <c r="B2303" s="81" t="str">
        <f>HYPERLINK("https://www.youtube.com/channel/UC_ZT2UjRiNSy1I33LEiflJQ", "撒野作風 WILDSTYLE RECORDS")</f>
        <v>撒野作風 WILDSTYLE RECORDS</v>
      </c>
      <c r="C2303" s="80" t="s">
        <v>2608</v>
      </c>
      <c r="D2303" s="81" t="str">
        <f>HYPERLINK("https://youtube.com/watch?v=TX2fAVojLaU", "Triple G - ""列車""（Audio）")</f>
        <v>Triple G - "列車"（Audio）</v>
      </c>
      <c r="E2303" s="82">
        <v>43874.0</v>
      </c>
      <c r="F2303" s="80">
        <v>279.0</v>
      </c>
      <c r="G2303" s="80" t="s">
        <v>63</v>
      </c>
      <c r="I2303" s="80" t="s">
        <v>63</v>
      </c>
      <c r="J2303" s="80">
        <v>402.0</v>
      </c>
      <c r="K2303" s="80">
        <v>0.997518610421836</v>
      </c>
      <c r="L2303" s="80" t="s">
        <v>64</v>
      </c>
    </row>
    <row r="2304">
      <c r="A2304" s="80" t="s">
        <v>242</v>
      </c>
      <c r="B2304" s="81" t="str">
        <f>HYPERLINK("https://www.youtube.com/channel/UCZGVB6g74LXWtkR3fX50ykg", "Edwin H.")</f>
        <v>Edwin H.</v>
      </c>
      <c r="C2304" s="80" t="s">
        <v>2609</v>
      </c>
      <c r="D2304" s="81" t="str">
        <f>HYPERLINK("https://youtube.com/watch?v=TZpeITOYAI0", "大玩台中 PART 3 立體龍貓車站 必去動漫彩繪巷！必食牛肉麵在商場大堂唱K | 自由行景點分享")</f>
        <v>大玩台中 PART 3 立體龍貓車站 必去動漫彩繪巷！必食牛肉麵在商場大堂唱K | 自由行景點分享</v>
      </c>
      <c r="E2304" s="82">
        <v>43269.0</v>
      </c>
      <c r="F2304" s="80">
        <v>314.0</v>
      </c>
      <c r="G2304" s="80" t="s">
        <v>63</v>
      </c>
      <c r="I2304" s="80" t="s">
        <v>63</v>
      </c>
      <c r="J2304" s="80">
        <v>290.0</v>
      </c>
      <c r="K2304" s="80">
        <v>0.761154855643044</v>
      </c>
      <c r="L2304" s="80" t="s">
        <v>86</v>
      </c>
    </row>
    <row r="2305">
      <c r="A2305" s="80" t="s">
        <v>2585</v>
      </c>
      <c r="B2305" s="81" t="str">
        <f>HYPERLINK("https://www.youtube.com/channel/UCyyruuN0VecuYxPNR4un88Q", "混血肥仔")</f>
        <v>混血肥仔</v>
      </c>
      <c r="C2305" s="80" t="s">
        <v>2610</v>
      </c>
      <c r="D2305" s="81" t="str">
        <f>HYPERLINK("https://youtube.com/watch?v=TdOxhWB3AB0", "🍝 極輕鬆煮出正宗卡邦尼意粉 | Ft.10K訂閱Q&amp;A 😉")</f>
        <v>🍝 極輕鬆煮出正宗卡邦尼意粉 | Ft.10K訂閱Q&amp;A 😉</v>
      </c>
      <c r="E2305" s="82">
        <v>44448.0</v>
      </c>
      <c r="F2305" s="80">
        <v>411.0</v>
      </c>
      <c r="G2305" s="80" t="s">
        <v>63</v>
      </c>
      <c r="I2305" s="80" t="s">
        <v>63</v>
      </c>
      <c r="J2305" s="80">
        <v>1073.0</v>
      </c>
      <c r="K2305" s="80">
        <v>0.973684210526315</v>
      </c>
      <c r="L2305" s="80" t="s">
        <v>64</v>
      </c>
    </row>
    <row r="2306">
      <c r="A2306" s="80" t="s">
        <v>978</v>
      </c>
      <c r="B2306" s="81" t="str">
        <f>HYPERLINK("https://www.youtube.com/channel/UCDMd6CHdLs8FoqZJoRHkJGQ", "Ray Ho")</f>
        <v>Ray Ho</v>
      </c>
      <c r="C2306" s="80" t="s">
        <v>2611</v>
      </c>
      <c r="D2306" s="81" t="str">
        <f>HYPERLINK("https://youtube.com/watch?v=TpSW3XcMarE", "【笑死】速龍又仆親？！要逃離速龍嘅追捕！Be Water~【香港加油！】更新 (CC中字)")</f>
        <v>【笑死】速龍又仆親？！要逃離速龍嘅追捕！Be Water~【香港加油！】更新 (CC中字)</v>
      </c>
      <c r="E2306" s="82">
        <v>43747.0</v>
      </c>
      <c r="F2306" s="80">
        <v>298.0</v>
      </c>
      <c r="G2306" s="80" t="s">
        <v>63</v>
      </c>
      <c r="I2306" s="80" t="s">
        <v>63</v>
      </c>
      <c r="J2306" s="80">
        <v>37.0</v>
      </c>
      <c r="K2306" s="80">
        <v>0.552238805970149</v>
      </c>
      <c r="L2306" s="80" t="s">
        <v>64</v>
      </c>
    </row>
    <row r="2307">
      <c r="A2307" s="80" t="s">
        <v>2585</v>
      </c>
      <c r="B2307" s="81" t="str">
        <f>HYPERLINK("https://www.youtube.com/channel/UCyyruuN0VecuYxPNR4un88Q", "混血肥仔")</f>
        <v>混血肥仔</v>
      </c>
      <c r="C2307" s="80" t="s">
        <v>2612</v>
      </c>
      <c r="D2307" s="81" t="str">
        <f>HYPERLINK("https://youtube.com/watch?v=TttqEHGBEvg", "收埋老婆物品😲她會發現嗎？ | 玩命挑戰💀")</f>
        <v>收埋老婆物品😲她會發現嗎？ | 玩命挑戰💀</v>
      </c>
      <c r="E2307" s="82">
        <v>44559.0</v>
      </c>
      <c r="F2307" s="80">
        <v>639.0</v>
      </c>
      <c r="G2307" s="80" t="s">
        <v>63</v>
      </c>
      <c r="I2307" s="80" t="s">
        <v>63</v>
      </c>
      <c r="J2307" s="80">
        <v>1146.0</v>
      </c>
      <c r="K2307" s="80">
        <v>0.986230636833046</v>
      </c>
      <c r="L2307" s="80" t="s">
        <v>64</v>
      </c>
    </row>
    <row r="2308">
      <c r="A2308" s="80" t="s">
        <v>2490</v>
      </c>
      <c r="B2308" s="81" t="str">
        <f>HYPERLINK("https://www.youtube.com/channel/UCxtXeFNKwTorEUE-vzRqj6w", "網上學習平台Beginneros")</f>
        <v>網上學習平台Beginneros</v>
      </c>
      <c r="C2308" s="80" t="s">
        <v>2613</v>
      </c>
      <c r="D2308" s="81" t="str">
        <f>HYPERLINK("https://youtube.com/watch?v=TuI9J7V4T1w", "【街頭訪問】你知道甚麼是越位嗎：足球越位的解說｜Beginneros")</f>
        <v>【街頭訪問】你知道甚麼是越位嗎：足球越位的解說｜Beginneros</v>
      </c>
      <c r="E2308" s="82">
        <v>43263.0</v>
      </c>
      <c r="F2308" s="80">
        <v>219.0</v>
      </c>
      <c r="G2308" s="80" t="s">
        <v>63</v>
      </c>
      <c r="H2308" s="80" t="s">
        <v>63</v>
      </c>
      <c r="I2308" s="80" t="s">
        <v>63</v>
      </c>
      <c r="J2308" s="80">
        <v>782.0</v>
      </c>
      <c r="K2308" s="80">
        <v>0.982412060301507</v>
      </c>
      <c r="L2308" s="80" t="s">
        <v>86</v>
      </c>
    </row>
    <row r="2309">
      <c r="A2309" s="80" t="s">
        <v>74</v>
      </c>
      <c r="B2309" s="81" t="str">
        <f>HYPERLINK("https://www.youtube.com/channel/UCO_5XP-qd-udNxBlzzSzgvw", "Handline Fishing")</f>
        <v>Handline Fishing</v>
      </c>
      <c r="C2309" s="80" t="s">
        <v>2614</v>
      </c>
      <c r="D2309" s="81" t="str">
        <f>HYPERLINK("https://youtube.com/watch?v=ULa1CHt9cn4", "#264 我的新玩具 | 基哥 | 香港釣魚 | 艇釣 | 維港 {粵語旁白+中英文字幕}")</f>
        <v>#264 我的新玩具 | 基哥 | 香港釣魚 | 艇釣 | 維港 {粵語旁白+中英文字幕}</v>
      </c>
      <c r="E2309" s="82">
        <v>44565.0</v>
      </c>
      <c r="F2309" s="80">
        <v>429.0</v>
      </c>
      <c r="G2309" s="80" t="s">
        <v>63</v>
      </c>
      <c r="H2309" s="80" t="s">
        <v>63</v>
      </c>
      <c r="I2309" s="80" t="s">
        <v>63</v>
      </c>
      <c r="J2309" s="80">
        <v>276.0</v>
      </c>
      <c r="K2309" s="80">
        <v>0.935593220338983</v>
      </c>
      <c r="L2309" s="80" t="s">
        <v>88</v>
      </c>
    </row>
    <row r="2310">
      <c r="A2310" s="80" t="s">
        <v>2530</v>
      </c>
      <c r="B2310" s="81" t="str">
        <f>HYPERLINK("https://www.youtube.com/channel/UClMVl1_PFbycHqKVCI70H5g", "CinCandy Sisters")</f>
        <v>CinCandy Sisters</v>
      </c>
      <c r="C2310" s="80" t="s">
        <v>2615</v>
      </c>
      <c r="D2310" s="81" t="str">
        <f>HYPERLINK("https://youtube.com/watch?v=UPAlYqkhPm4", "【10 days🐶diary】Sleepover w/Ribbon?! |🍬 ft.🐶")</f>
        <v>【10 days🐶diary】Sleepover w/Ribbon?! |🍬 ft.🐶</v>
      </c>
      <c r="E2310" s="82">
        <v>43490.0</v>
      </c>
      <c r="F2310" s="80">
        <v>899.0</v>
      </c>
      <c r="G2310" s="80" t="s">
        <v>63</v>
      </c>
      <c r="H2310" s="80" t="s">
        <v>63</v>
      </c>
      <c r="I2310" s="80" t="s">
        <v>63</v>
      </c>
      <c r="J2310" s="80">
        <v>819.0</v>
      </c>
      <c r="K2310" s="80">
        <v>0.63296178343949</v>
      </c>
      <c r="L2310" s="80" t="s">
        <v>86</v>
      </c>
    </row>
    <row r="2311">
      <c r="A2311" s="80" t="s">
        <v>242</v>
      </c>
      <c r="B2311" s="81" t="str">
        <f>HYPERLINK("https://www.youtube.com/channel/UCZGVB6g74LXWtkR3fX50ykg", "Edwin H.")</f>
        <v>Edwin H.</v>
      </c>
      <c r="C2311" s="80" t="s">
        <v>2616</v>
      </c>
      <c r="D2311" s="81" t="str">
        <f>HYPERLINK("https://youtube.com/watch?v=UYJ4V8CSizc", "[直播] 俄羅斯世界盃2018 決賽網上直播方法 + 線上看Link 中文講解")</f>
        <v>[直播] 俄羅斯世界盃2018 決賽網上直播方法 + 線上看Link 中文講解</v>
      </c>
      <c r="E2311" s="82">
        <v>43276.0</v>
      </c>
      <c r="F2311" s="80">
        <v>300.0</v>
      </c>
      <c r="G2311" s="80" t="s">
        <v>63</v>
      </c>
      <c r="I2311" s="80" t="s">
        <v>63</v>
      </c>
      <c r="J2311" s="80">
        <v>693.0</v>
      </c>
      <c r="K2311" s="80">
        <v>0.627149321266968</v>
      </c>
      <c r="L2311" s="80" t="s">
        <v>86</v>
      </c>
    </row>
    <row r="2312">
      <c r="A2312" s="80" t="s">
        <v>2516</v>
      </c>
      <c r="B2312" s="81" t="str">
        <f>HYPERLINK("https://www.youtube.com/channel/UCycdIv0INFmRwGf1UgluUmw", "Mira's Garden")</f>
        <v>Mira's Garden</v>
      </c>
      <c r="C2312" s="80" t="s">
        <v>2617</v>
      </c>
      <c r="D2312" s="81" t="str">
        <f>HYPERLINK("https://youtube.com/watch?v=UcDRt-mo3kI", "【韓國必知#16】韓國人都用錯的韓文？ | Mira")</f>
        <v>【韓國必知#16】韓國人都用錯的韓文？ | Mira</v>
      </c>
      <c r="E2312" s="82">
        <v>42623.0</v>
      </c>
      <c r="F2312" s="80">
        <v>204.0</v>
      </c>
      <c r="G2312" s="80" t="s">
        <v>63</v>
      </c>
      <c r="H2312" s="80" t="s">
        <v>63</v>
      </c>
      <c r="I2312" s="80" t="s">
        <v>63</v>
      </c>
      <c r="J2312" s="80">
        <v>1204.0</v>
      </c>
      <c r="K2312" s="80">
        <v>0.979782270606531</v>
      </c>
      <c r="L2312" s="80" t="s">
        <v>2618</v>
      </c>
    </row>
    <row r="2313">
      <c r="A2313" s="80" t="s">
        <v>2536</v>
      </c>
      <c r="B2313" s="81" t="str">
        <f>HYPERLINK("https://www.youtube.com/channel/UCf1_EVN2qSOxiLZskBGsElA", "譚杏藍 Hana Tam")</f>
        <v>譚杏藍 Hana Tam</v>
      </c>
      <c r="C2313" s="80" t="s">
        <v>2619</v>
      </c>
      <c r="D2313" s="81" t="str">
        <f>HYPERLINK("https://youtube.com/watch?v=V-mI2MVG7NA", "譚杏藍 Hana Tam - 重温以前的片！ 衝擊的做作畫面！")</f>
        <v>譚杏藍 Hana Tam - 重温以前的片！ 衝擊的做作畫面！</v>
      </c>
      <c r="E2313" s="82">
        <v>42998.0</v>
      </c>
      <c r="F2313" s="80">
        <v>544.0</v>
      </c>
      <c r="G2313" s="80" t="s">
        <v>63</v>
      </c>
      <c r="I2313" s="80" t="s">
        <v>63</v>
      </c>
      <c r="J2313" s="80">
        <v>2021.0</v>
      </c>
      <c r="K2313" s="80">
        <v>0.786381322957198</v>
      </c>
      <c r="L2313" s="80" t="s">
        <v>236</v>
      </c>
    </row>
    <row r="2314">
      <c r="A2314" s="80" t="s">
        <v>962</v>
      </c>
      <c r="B2314" s="81" t="str">
        <f>HYPERLINK("https://www.youtube.com/channel/UCmdnX8KiF_5ZVmJXNhOXUtw", "foursonproduction")</f>
        <v>foursonproduction</v>
      </c>
      <c r="C2314" s="80" t="s">
        <v>2620</v>
      </c>
      <c r="D2314" s="81" t="str">
        <f>HYPERLINK("https://youtube.com/watch?v=VYvJY6aNPTM", "《我的HEHE室友》S2E3：「不行！你已經有男朋友了！")</f>
        <v>《我的HEHE室友》S2E3：「不行！你已經有男朋友了！</v>
      </c>
      <c r="E2314" s="82">
        <v>43993.0</v>
      </c>
      <c r="F2314" s="80">
        <v>866.0</v>
      </c>
      <c r="G2314" s="80" t="s">
        <v>63</v>
      </c>
      <c r="I2314" s="80" t="s">
        <v>63</v>
      </c>
      <c r="J2314" s="80">
        <v>1891.0</v>
      </c>
      <c r="K2314" s="80">
        <v>0.927870461236506</v>
      </c>
      <c r="L2314" s="80" t="s">
        <v>64</v>
      </c>
    </row>
    <row r="2315">
      <c r="A2315" s="80" t="s">
        <v>2621</v>
      </c>
      <c r="B2315" s="81" t="str">
        <f>HYPERLINK("https://www.youtube.com/channel/UCHSv3CokIaHLrvXMoVlxwwA", "寶欣 Po Yan")</f>
        <v>寶欣 Po Yan</v>
      </c>
      <c r="C2315" s="80" t="s">
        <v>2622</v>
      </c>
      <c r="D2315" s="81" t="str">
        <f>HYPERLINK("https://youtube.com/watch?v=VZN_gf4_vFQ", "【鼓Vlog. 2】第一次拍打鼓Cover! “We Will Rock you” (中文字幕)")</f>
        <v>【鼓Vlog. 2】第一次拍打鼓Cover! “We Will Rock you” (中文字幕)</v>
      </c>
      <c r="E2315" s="82">
        <v>44040.0</v>
      </c>
      <c r="F2315" s="80">
        <v>109.0</v>
      </c>
      <c r="G2315" s="80" t="s">
        <v>63</v>
      </c>
      <c r="I2315" s="80" t="s">
        <v>63</v>
      </c>
      <c r="J2315" s="80">
        <v>58.0</v>
      </c>
      <c r="K2315" s="80">
        <v>0.659090909090909</v>
      </c>
      <c r="L2315" s="80" t="s">
        <v>64</v>
      </c>
    </row>
    <row r="2316">
      <c r="A2316" s="80" t="s">
        <v>2623</v>
      </c>
      <c r="B2316" s="81" t="str">
        <f>HYPERLINK("https://www.youtube.com/channel/UC4QJZlYvqZ-Fv3A5GfSDSGQ", "Moving Socks")</f>
        <v>Moving Socks</v>
      </c>
      <c r="C2316" s="80" t="s">
        <v>2624</v>
      </c>
      <c r="D2316" s="81" t="str">
        <f>HYPERLINK("https://youtube.com/watch?v=V_YPWsdxbLg", "分享點解五年前我們決定不買一手樓")</f>
        <v>分享點解五年前我們決定不買一手樓</v>
      </c>
      <c r="E2316" s="82">
        <v>44211.0</v>
      </c>
      <c r="F2316" s="80">
        <v>1146.0</v>
      </c>
      <c r="G2316" s="80" t="s">
        <v>63</v>
      </c>
      <c r="I2316" s="80" t="s">
        <v>63</v>
      </c>
      <c r="J2316" s="80">
        <v>2955.0</v>
      </c>
      <c r="K2316" s="80">
        <v>0.700071073205401</v>
      </c>
      <c r="L2316" s="80" t="s">
        <v>102</v>
      </c>
    </row>
    <row r="2317">
      <c r="A2317" s="80" t="s">
        <v>2490</v>
      </c>
      <c r="B2317" s="81" t="str">
        <f>HYPERLINK("https://www.youtube.com/channel/UCxtXeFNKwTorEUE-vzRqj6w", "網上學習平台Beginneros")</f>
        <v>網上學習平台Beginneros</v>
      </c>
      <c r="C2317" s="80" t="s">
        <v>2625</v>
      </c>
      <c r="D2317" s="81" t="str">
        <f>HYPERLINK("https://youtube.com/watch?v=VnaLsAyNwY4", "【結他教學】結他基礎教學：Finger Style 指彈技巧｜Beginneros")</f>
        <v>【結他教學】結他基礎教學：Finger Style 指彈技巧｜Beginneros</v>
      </c>
      <c r="E2317" s="82">
        <v>43251.0</v>
      </c>
      <c r="F2317" s="80">
        <v>1450.0</v>
      </c>
      <c r="G2317" s="80" t="s">
        <v>63</v>
      </c>
      <c r="H2317" s="80" t="s">
        <v>63</v>
      </c>
      <c r="I2317" s="80" t="s">
        <v>63</v>
      </c>
      <c r="J2317" s="80">
        <v>3307.0</v>
      </c>
      <c r="K2317" s="80">
        <v>0.854301214156548</v>
      </c>
      <c r="L2317" s="80" t="s">
        <v>86</v>
      </c>
    </row>
    <row r="2318">
      <c r="A2318" s="80" t="s">
        <v>242</v>
      </c>
      <c r="B2318" s="81" t="str">
        <f>HYPERLINK("https://www.youtube.com/channel/UCZGVB6g74LXWtkR3fX50ykg", "Edwin H.")</f>
        <v>Edwin H.</v>
      </c>
      <c r="C2318" s="80" t="s">
        <v>2626</v>
      </c>
      <c r="D2318" s="81" t="str">
        <f>HYPERLINK("https://youtube.com/watch?v=W4jspoT-aqQ", "紫藤花物語 足利花卉公園 | 世界10大夢幻必去景點  | 東京近郊 - 紫藤篇 | 日本栃木縣足利市")</f>
        <v>紫藤花物語 足利花卉公園 | 世界10大夢幻必去景點  | 東京近郊 - 紫藤篇 | 日本栃木縣足利市</v>
      </c>
      <c r="E2318" s="82">
        <v>43254.0</v>
      </c>
      <c r="F2318" s="80">
        <v>248.0</v>
      </c>
      <c r="G2318" s="80" t="s">
        <v>63</v>
      </c>
      <c r="I2318" s="80" t="s">
        <v>63</v>
      </c>
      <c r="J2318" s="80">
        <v>466.0</v>
      </c>
      <c r="K2318" s="80">
        <v>0.911937377690802</v>
      </c>
      <c r="L2318" s="80" t="s">
        <v>64</v>
      </c>
    </row>
    <row r="2319">
      <c r="A2319" s="80" t="s">
        <v>2512</v>
      </c>
      <c r="B2319" s="81" t="str">
        <f>HYPERLINK("https://www.youtube.com/channel/UC5zsYYGsHjv4GK20FjPDjkg", "Ling Cheng")</f>
        <v>Ling Cheng</v>
      </c>
      <c r="C2319" s="80" t="s">
        <v>2627</v>
      </c>
      <c r="D2319" s="81" t="str">
        <f>HYPERLINK("https://youtube.com/watch?v=W6J-DiDbjuo", "韓國人要排一個多小時才能進的ikea 會有什麼好買？【警告：笑點高者切勿看】  ft.深夜笑話  ｜Ling Cheng")</f>
        <v>韓國人要排一個多小時才能進的ikea 會有什麼好買？【警告：笑點高者切勿看】  ft.深夜笑話  ｜Ling Cheng</v>
      </c>
      <c r="E2319" s="82">
        <v>43039.0</v>
      </c>
      <c r="F2319" s="80">
        <v>408.0</v>
      </c>
      <c r="G2319" s="80" t="s">
        <v>63</v>
      </c>
      <c r="I2319" s="80" t="s">
        <v>63</v>
      </c>
      <c r="J2319" s="80">
        <v>554.0</v>
      </c>
      <c r="K2319" s="80">
        <v>0.953528399311531</v>
      </c>
      <c r="L2319" s="80" t="s">
        <v>64</v>
      </c>
    </row>
    <row r="2320">
      <c r="A2320" s="80" t="s">
        <v>217</v>
      </c>
      <c r="B2320" s="81" t="str">
        <f>HYPERLINK("https://www.youtube.com/channel/UCXKg0qPRz32bs5Z4mTGF3TQ", "Stormtrooper白兵")</f>
        <v>Stormtrooper白兵</v>
      </c>
      <c r="C2320" s="80" t="s">
        <v>2628</v>
      </c>
      <c r="D2320" s="81" t="str">
        <f>HYPERLINK("https://youtube.com/watch?v=WRnC4OH1HoE", "[末日預告]當脫衣女郎都供緊5層樓的時候， 原來08年金融海嘯與今日有極高相似性！｜政府＋銀行＋評級機構＋媒體＋經紀人「貪婪」和「欺詐」，今天正在重覆｜《沽注一擲》The Big Short｜粵語中字")</f>
        <v>[末日預告]當脫衣女郎都供緊5層樓的時候， 原來08年金融海嘯與今日有極高相似性！｜政府＋銀行＋評級機構＋媒體＋經紀人「貪婪」和「欺詐」，今天正在重覆｜《沽注一擲》The Big Short｜粵語中字</v>
      </c>
      <c r="E2320" s="82">
        <v>44567.0</v>
      </c>
      <c r="F2320" s="80">
        <v>1006.0</v>
      </c>
      <c r="G2320" s="80" t="s">
        <v>63</v>
      </c>
      <c r="I2320" s="80" t="s">
        <v>63</v>
      </c>
      <c r="J2320" s="80">
        <v>4229.0</v>
      </c>
      <c r="K2320" s="80">
        <v>0.86873459326212</v>
      </c>
      <c r="L2320" s="80" t="s">
        <v>64</v>
      </c>
    </row>
    <row r="2321">
      <c r="A2321" s="80" t="s">
        <v>2530</v>
      </c>
      <c r="B2321" s="81" t="str">
        <f t="shared" ref="B2321:B2322" si="112">HYPERLINK("https://www.youtube.com/channel/UClMVl1_PFbycHqKVCI70H5g", "CinCandy Sisters")</f>
        <v>CinCandy Sisters</v>
      </c>
      <c r="C2321" s="80" t="s">
        <v>2629</v>
      </c>
      <c r="D2321" s="81" t="str">
        <f>HYPERLINK("https://youtube.com/watch?v=WfxZ4PtgI-8", "淘寶開箱(TAOBAO) 究竟可以有幾伏? 15樣齊齊拆 | Part 1 | CinCandy Sisters")</f>
        <v>淘寶開箱(TAOBAO) 究竟可以有幾伏? 15樣齊齊拆 | Part 1 | CinCandy Sisters</v>
      </c>
      <c r="E2321" s="82">
        <v>42893.0</v>
      </c>
      <c r="F2321" s="80">
        <v>983.0</v>
      </c>
      <c r="G2321" s="80" t="s">
        <v>63</v>
      </c>
      <c r="H2321" s="80" t="s">
        <v>63</v>
      </c>
      <c r="I2321" s="80" t="s">
        <v>63</v>
      </c>
      <c r="J2321" s="80">
        <v>3040.0</v>
      </c>
      <c r="K2321" s="80">
        <v>0.914010823812387</v>
      </c>
      <c r="L2321" s="80" t="s">
        <v>86</v>
      </c>
    </row>
    <row r="2322">
      <c r="A2322" s="80" t="s">
        <v>2530</v>
      </c>
      <c r="B2322" s="81" t="str">
        <f t="shared" si="112"/>
        <v>CinCandy Sisters</v>
      </c>
      <c r="C2322" s="80" t="s">
        <v>2630</v>
      </c>
      <c r="D2322" s="81" t="str">
        <f>HYPERLINK("https://youtube.com/watch?v=WrMW64JFeDE", "波子?!壽司難食到黑人問號都出埋?將水變魚子醬? | CinCandy Sisters")</f>
        <v>波子?!壽司難食到黑人問號都出埋?將水變魚子醬? | CinCandy Sisters</v>
      </c>
      <c r="E2322" s="82">
        <v>42977.0</v>
      </c>
      <c r="F2322" s="80">
        <v>371.0</v>
      </c>
      <c r="G2322" s="80" t="s">
        <v>63</v>
      </c>
      <c r="H2322" s="80" t="s">
        <v>63</v>
      </c>
      <c r="I2322" s="80" t="s">
        <v>63</v>
      </c>
      <c r="J2322" s="80">
        <v>1109.0</v>
      </c>
      <c r="K2322" s="80">
        <v>0.915772089182493</v>
      </c>
      <c r="L2322" s="80" t="s">
        <v>86</v>
      </c>
    </row>
    <row r="2323">
      <c r="A2323" s="80" t="s">
        <v>2585</v>
      </c>
      <c r="B2323" s="81" t="str">
        <f>HYPERLINK("https://www.youtube.com/channel/UCyyruuN0VecuYxPNR4un88Q", "混血肥仔")</f>
        <v>混血肥仔</v>
      </c>
      <c r="C2323" s="80" t="s">
        <v>2631</v>
      </c>
      <c r="D2323" s="81" t="str">
        <f>HYPERLINK("https://youtube.com/watch?v=XQTJ0F50vHo", "【啱channel倒閉危機？】做咩要搞ArmUBuy?")</f>
        <v>【啱channel倒閉危機？】做咩要搞ArmUBuy?</v>
      </c>
      <c r="E2323" s="82">
        <v>43925.0</v>
      </c>
      <c r="F2323" s="80">
        <v>333.0</v>
      </c>
      <c r="G2323" s="80" t="s">
        <v>63</v>
      </c>
      <c r="I2323" s="80" t="s">
        <v>63</v>
      </c>
      <c r="J2323" s="80">
        <v>1169.0</v>
      </c>
      <c r="K2323" s="80">
        <v>0.901310717039321</v>
      </c>
      <c r="L2323" s="80" t="s">
        <v>64</v>
      </c>
    </row>
    <row r="2324">
      <c r="A2324" s="80" t="s">
        <v>971</v>
      </c>
      <c r="B2324" s="81" t="str">
        <f>HYPERLINK("https://www.youtube.com/channel/UC4nsi0oM9WBNFv1RdLh3c2g", "JASON")</f>
        <v>JASON</v>
      </c>
      <c r="C2324" s="80" t="s">
        <v>2632</v>
      </c>
      <c r="D2324" s="81" t="str">
        <f>HYPERLINK("https://youtube.com/watch?v=XT1AnCRw9mM", "給貓星人的生日禮物")</f>
        <v>給貓星人的生日禮物</v>
      </c>
      <c r="E2324" s="82">
        <v>42632.0</v>
      </c>
      <c r="F2324" s="80">
        <v>294.0</v>
      </c>
      <c r="G2324" s="80" t="s">
        <v>63</v>
      </c>
      <c r="H2324" s="80" t="s">
        <v>63</v>
      </c>
      <c r="I2324" s="80" t="s">
        <v>63</v>
      </c>
      <c r="J2324" s="80">
        <v>778.0</v>
      </c>
      <c r="K2324" s="80">
        <v>0.898426323319027</v>
      </c>
      <c r="L2324" s="80" t="s">
        <v>973</v>
      </c>
    </row>
    <row r="2325">
      <c r="A2325" s="80" t="s">
        <v>2585</v>
      </c>
      <c r="B2325" s="81" t="str">
        <f>HYPERLINK("https://www.youtube.com/channel/UCyyruuN0VecuYxPNR4un88Q", "混血肥仔")</f>
        <v>混血肥仔</v>
      </c>
      <c r="C2325" s="80" t="s">
        <v>2633</v>
      </c>
      <c r="D2325" s="81" t="str">
        <f>HYPERLINK("https://youtube.com/watch?v=X_WC1UX6MaI", "🇭🇰 我與香港隊前鋒鬥射五球12碼 ⚽️  |  有冇機會贏？🙄")</f>
        <v>🇭🇰 我與香港隊前鋒鬥射五球12碼 ⚽️  |  有冇機會贏？🙄</v>
      </c>
      <c r="E2325" s="82">
        <v>44498.0</v>
      </c>
      <c r="F2325" s="80">
        <v>648.0</v>
      </c>
      <c r="G2325" s="80" t="s">
        <v>63</v>
      </c>
      <c r="I2325" s="80" t="s">
        <v>63</v>
      </c>
      <c r="J2325" s="80">
        <v>1402.0</v>
      </c>
      <c r="K2325" s="80">
        <v>0.985242445537596</v>
      </c>
      <c r="L2325" s="80" t="s">
        <v>64</v>
      </c>
    </row>
    <row r="2326">
      <c r="A2326" s="80" t="s">
        <v>971</v>
      </c>
      <c r="B2326" s="81" t="str">
        <f>HYPERLINK("https://www.youtube.com/channel/UC4nsi0oM9WBNFv1RdLh3c2g", "JASON")</f>
        <v>JASON</v>
      </c>
      <c r="C2326" s="80" t="s">
        <v>2634</v>
      </c>
      <c r="D2326" s="81" t="str">
        <f>HYPERLINK("https://youtube.com/watch?v=Xw53a8BDBIQ", "其實男士都應該要護膚...?")</f>
        <v>其實男士都應該要護膚...?</v>
      </c>
      <c r="E2326" s="82">
        <v>42636.0</v>
      </c>
      <c r="F2326" s="80">
        <v>293.0</v>
      </c>
      <c r="G2326" s="80" t="s">
        <v>63</v>
      </c>
      <c r="H2326" s="80" t="s">
        <v>63</v>
      </c>
      <c r="I2326" s="80" t="s">
        <v>63</v>
      </c>
      <c r="J2326" s="80">
        <v>1459.0</v>
      </c>
      <c r="K2326" s="80">
        <v>0.968349660889223</v>
      </c>
      <c r="L2326" s="80" t="s">
        <v>1105</v>
      </c>
    </row>
    <row r="2327">
      <c r="A2327" s="80" t="s">
        <v>748</v>
      </c>
      <c r="B2327" s="81" t="str">
        <f>HYPERLINK("https://www.youtube.com/channel/UC_ZT2UjRiNSy1I33LEiflJQ", "撒野作風 WILDSTYLE RECORDS")</f>
        <v>撒野作風 WILDSTYLE RECORDS</v>
      </c>
      <c r="C2327" s="80" t="s">
        <v>2635</v>
      </c>
      <c r="D2327" s="81" t="str">
        <f>HYPERLINK("https://youtube.com/watch?v=Y3m4Fx2u3-8", "Triple G - 棉花糖 [Official MV]")</f>
        <v>Triple G - 棉花糖 [Official MV]</v>
      </c>
      <c r="E2327" s="82">
        <v>42942.0</v>
      </c>
      <c r="F2327" s="80">
        <v>171.0</v>
      </c>
      <c r="G2327" s="80" t="s">
        <v>63</v>
      </c>
      <c r="I2327" s="80" t="s">
        <v>63</v>
      </c>
      <c r="J2327" s="80">
        <v>389.0</v>
      </c>
      <c r="K2327" s="80">
        <v>0.792260692464358</v>
      </c>
      <c r="L2327" s="80" t="s">
        <v>64</v>
      </c>
    </row>
    <row r="2328">
      <c r="A2328" s="80" t="s">
        <v>2585</v>
      </c>
      <c r="B2328" s="81" t="str">
        <f t="shared" ref="B2328:B2329" si="113">HYPERLINK("https://www.youtube.com/channel/UCyyruuN0VecuYxPNR4un88Q", "混血肥仔")</f>
        <v>混血肥仔</v>
      </c>
      <c r="C2328" s="80" t="s">
        <v>2636</v>
      </c>
      <c r="D2328" s="81" t="str">
        <f>HYPERLINK("https://youtube.com/watch?v=YlTbc2napFk", "我對咖啡的執著 | 小劇場#01")</f>
        <v>我對咖啡的執著 | 小劇場#01</v>
      </c>
      <c r="E2328" s="82">
        <v>44434.0</v>
      </c>
      <c r="F2328" s="80">
        <v>161.0</v>
      </c>
      <c r="G2328" s="80" t="s">
        <v>63</v>
      </c>
      <c r="I2328" s="80" t="s">
        <v>63</v>
      </c>
      <c r="J2328" s="80">
        <v>398.0</v>
      </c>
      <c r="K2328" s="80">
        <v>0.72495446265938</v>
      </c>
      <c r="L2328" s="80" t="s">
        <v>64</v>
      </c>
    </row>
    <row r="2329">
      <c r="A2329" s="80" t="s">
        <v>2585</v>
      </c>
      <c r="B2329" s="81" t="str">
        <f t="shared" si="113"/>
        <v>混血肥仔</v>
      </c>
      <c r="C2329" s="80" t="s">
        <v>2637</v>
      </c>
      <c r="D2329" s="81" t="str">
        <f>HYPERLINK("https://youtube.com/watch?v=Z1s-xp4esTA", "已回不去的香港 🛑  | 一路向北識女仔 #02")</f>
        <v>已回不去的香港 🛑  | 一路向北識女仔 #02</v>
      </c>
      <c r="E2329" s="82">
        <v>44553.0</v>
      </c>
      <c r="F2329" s="80">
        <v>591.0</v>
      </c>
      <c r="G2329" s="80" t="s">
        <v>63</v>
      </c>
      <c r="I2329" s="80" t="s">
        <v>63</v>
      </c>
      <c r="J2329" s="80">
        <v>1559.0</v>
      </c>
      <c r="K2329" s="80">
        <v>0.925222551928783</v>
      </c>
      <c r="L2329" s="80" t="s">
        <v>64</v>
      </c>
    </row>
    <row r="2330">
      <c r="A2330" s="80" t="s">
        <v>978</v>
      </c>
      <c r="B2330" s="81" t="str">
        <f>HYPERLINK("https://www.youtube.com/channel/UCDMd6CHdLs8FoqZJoRHkJGQ", "Ray Ho")</f>
        <v>Ray Ho</v>
      </c>
      <c r="C2330" s="80" t="s">
        <v>2638</v>
      </c>
      <c r="D2330" s="81" t="str">
        <f>HYPERLINK("https://youtube.com/watch?v=Z8qaH2dc6GM", "香港黃色年輕街頭表演者 - Ivan | 一日生活 (ft. Juggler Ivan)")</f>
        <v>香港黃色年輕街頭表演者 - Ivan | 一日生活 (ft. Juggler Ivan)</v>
      </c>
      <c r="E2330" s="82">
        <v>43884.0</v>
      </c>
      <c r="F2330" s="80">
        <v>796.0</v>
      </c>
      <c r="G2330" s="80" t="s">
        <v>63</v>
      </c>
      <c r="I2330" s="80" t="s">
        <v>63</v>
      </c>
      <c r="J2330" s="80">
        <v>1037.0</v>
      </c>
      <c r="K2330" s="80">
        <v>0.867056856187291</v>
      </c>
      <c r="L2330" s="80" t="s">
        <v>64</v>
      </c>
    </row>
    <row r="2331">
      <c r="A2331" s="80" t="s">
        <v>2542</v>
      </c>
      <c r="B2331" s="81" t="str">
        <f>HYPERLINK("https://www.youtube.com/channel/UCdOPwpYEgZs3JP8_5NtStBw", "roundbunny")</f>
        <v>roundbunny</v>
      </c>
      <c r="C2331" s="80" t="s">
        <v>2639</v>
      </c>
      <c r="D2331" s="81" t="str">
        <f>HYPERLINK("https://youtube.com/watch?v=ZVhWRImcoNM", "Repairs/Apologizing to your child (Dr. Becky Kennedy) English subtitles 向孩子道歉 親子關係 廣東話粵語")</f>
        <v>Repairs/Apologizing to your child (Dr. Becky Kennedy) English subtitles 向孩子道歉 親子關係 廣東話粵語</v>
      </c>
      <c r="E2331" s="82">
        <v>44224.0</v>
      </c>
      <c r="F2331" s="80">
        <v>77.0</v>
      </c>
      <c r="G2331" s="80" t="s">
        <v>63</v>
      </c>
      <c r="I2331" s="80" t="s">
        <v>63</v>
      </c>
      <c r="J2331" s="80">
        <v>236.0</v>
      </c>
      <c r="K2331" s="80">
        <v>0.255411255411255</v>
      </c>
      <c r="L2331" s="80" t="s">
        <v>102</v>
      </c>
    </row>
    <row r="2332">
      <c r="A2332" s="80" t="s">
        <v>2512</v>
      </c>
      <c r="B2332" s="81" t="str">
        <f>HYPERLINK("https://www.youtube.com/channel/UC5zsYYGsHjv4GK20FjPDjkg", "Ling Cheng")</f>
        <v>Ling Cheng</v>
      </c>
      <c r="C2332" s="80" t="s">
        <v>2640</v>
      </c>
      <c r="D2332" s="81" t="str">
        <f>HYPERLINK("https://youtube.com/watch?v=Zj1J7G2RsOY", "美國vlog#5 弱智兒童闖入古堡 ｜Ling Cheng")</f>
        <v>美國vlog#5 弱智兒童闖入古堡 ｜Ling Cheng</v>
      </c>
      <c r="E2332" s="82">
        <v>42639.0</v>
      </c>
      <c r="F2332" s="80">
        <v>768.0</v>
      </c>
      <c r="G2332" s="80" t="s">
        <v>63</v>
      </c>
      <c r="I2332" s="80" t="s">
        <v>63</v>
      </c>
      <c r="J2332" s="80">
        <v>2033.0</v>
      </c>
      <c r="K2332" s="80">
        <v>0.78373168851195</v>
      </c>
      <c r="L2332" s="80" t="s">
        <v>64</v>
      </c>
    </row>
    <row r="2333">
      <c r="A2333" s="80" t="s">
        <v>74</v>
      </c>
      <c r="B2333" s="81" t="str">
        <f>HYPERLINK("https://www.youtube.com/channel/UCO_5XP-qd-udNxBlzzSzgvw", "Handline Fishing")</f>
        <v>Handline Fishing</v>
      </c>
      <c r="C2333" s="80" t="s">
        <v>2641</v>
      </c>
      <c r="D2333" s="81" t="str">
        <f>HYPERLINK("https://youtube.com/watch?v=Zpe7aTxb5ho", "#265 鮮為人釣的淺水灣釣點 | 香港釣魚 | 岸釣 | 淺水灣 【Insta360 GO 2 ONE X2 R 新年優惠】")</f>
        <v>#265 鮮為人釣的淺水灣釣點 | 香港釣魚 | 岸釣 | 淺水灣 【Insta360 GO 2 ONE X2 R 新年優惠】</v>
      </c>
      <c r="E2333" s="82">
        <v>44567.0</v>
      </c>
      <c r="F2333" s="80">
        <v>481.0</v>
      </c>
      <c r="G2333" s="80" t="s">
        <v>63</v>
      </c>
      <c r="H2333" s="80" t="s">
        <v>63</v>
      </c>
      <c r="I2333" s="80" t="s">
        <v>63</v>
      </c>
      <c r="J2333" s="80">
        <v>568.0</v>
      </c>
      <c r="K2333" s="80">
        <v>0.974248927038626</v>
      </c>
      <c r="L2333" s="80" t="s">
        <v>88</v>
      </c>
    </row>
    <row r="2334">
      <c r="A2334" s="80" t="s">
        <v>962</v>
      </c>
      <c r="B2334" s="81" t="str">
        <f>HYPERLINK("https://www.youtube.com/channel/UCmdnX8KiF_5ZVmJXNhOXUtw", "foursonproduction")</f>
        <v>foursonproduction</v>
      </c>
      <c r="C2334" s="80" t="s">
        <v>2642</v>
      </c>
      <c r="D2334" s="81" t="str">
        <f>HYPERLINK("https://youtube.com/watch?v=_YcFdDnntUU", "短篇處境喜劇《我的HEHE室友》 S1E9 ：「我地呢楝樓有小朋友住架咩？」")</f>
        <v>短篇處境喜劇《我的HEHE室友》 S1E9 ：「我地呢楝樓有小朋友住架咩？」</v>
      </c>
      <c r="E2334" s="82">
        <v>43493.0</v>
      </c>
      <c r="F2334" s="80">
        <v>423.0</v>
      </c>
      <c r="G2334" s="80" t="s">
        <v>63</v>
      </c>
      <c r="I2334" s="80" t="s">
        <v>63</v>
      </c>
      <c r="J2334" s="80">
        <v>1040.0</v>
      </c>
      <c r="K2334" s="80">
        <v>0.924444444444444</v>
      </c>
      <c r="L2334" s="80" t="s">
        <v>64</v>
      </c>
    </row>
    <row r="2335">
      <c r="A2335" s="80" t="s">
        <v>2516</v>
      </c>
      <c r="B2335" s="81" t="str">
        <f>HYPERLINK("https://www.youtube.com/channel/UCycdIv0INFmRwGf1UgluUmw", "Mira's Garden")</f>
        <v>Mira's Garden</v>
      </c>
      <c r="C2335" s="80" t="s">
        <v>2643</v>
      </c>
      <c r="D2335" s="81" t="str">
        <f>HYPERLINK("https://youtube.com/watch?v=_pA3wLCczbk", "【自動販賣機】韓國乾花販賣機🌹以後再不用怕跟女朋友約會！| Mira")</f>
        <v>【自動販賣機】韓國乾花販賣機🌹以後再不用怕跟女朋友約會！| Mira</v>
      </c>
      <c r="E2335" s="82">
        <v>42729.0</v>
      </c>
      <c r="F2335" s="80">
        <v>222.0</v>
      </c>
      <c r="G2335" s="80" t="s">
        <v>63</v>
      </c>
      <c r="H2335" s="80" t="s">
        <v>63</v>
      </c>
      <c r="I2335" s="80" t="s">
        <v>63</v>
      </c>
      <c r="J2335" s="80">
        <v>675.0</v>
      </c>
      <c r="K2335" s="80">
        <v>0.917119565217391</v>
      </c>
      <c r="L2335" s="80" t="s">
        <v>2644</v>
      </c>
    </row>
    <row r="2336">
      <c r="A2336" s="80" t="s">
        <v>2530</v>
      </c>
      <c r="B2336" s="81" t="str">
        <f>HYPERLINK("https://www.youtube.com/channel/UClMVl1_PFbycHqKVCI70H5g", "CinCandy Sisters")</f>
        <v>CinCandy Sisters</v>
      </c>
      <c r="C2336" s="80" t="s">
        <v>2645</v>
      </c>
      <c r="D2336" s="81" t="str">
        <f>HYPERLINK("https://youtube.com/watch?v=_y-EwNJNpM4", "一齊玩《荒野亂鬥》🎮 Let's play Brawl Stars with us! 👾 | CinCandy Sisters")</f>
        <v>一齊玩《荒野亂鬥》🎮 Let's play Brawl Stars with us! 👾 | CinCandy Sisters</v>
      </c>
      <c r="E2336" s="82">
        <v>43858.0</v>
      </c>
      <c r="F2336" s="80">
        <v>716.0</v>
      </c>
      <c r="G2336" s="80" t="s">
        <v>63</v>
      </c>
      <c r="I2336" s="80" t="s">
        <v>63</v>
      </c>
      <c r="J2336" s="80">
        <v>1376.0</v>
      </c>
      <c r="K2336" s="80">
        <v>0.67883571780957</v>
      </c>
      <c r="L2336" s="80" t="s">
        <v>64</v>
      </c>
    </row>
    <row r="2337">
      <c r="A2337" s="80" t="s">
        <v>748</v>
      </c>
      <c r="B2337" s="81" t="str">
        <f>HYPERLINK("https://www.youtube.com/channel/UC_ZT2UjRiNSy1I33LEiflJQ", "撒野作風 WILDSTYLE RECORDS")</f>
        <v>撒野作風 WILDSTYLE RECORDS</v>
      </c>
      <c r="C2337" s="80" t="s">
        <v>2646</v>
      </c>
      <c r="D2337" s="81" t="str">
        <f>HYPERLINK("https://youtube.com/watch?v=_z7erRWcKBI", "YoungQueenz, GrymeMan, Simon - ""鴻門宴 The Vengeance"" (Official Video)")</f>
        <v>YoungQueenz, GrymeMan, Simon - "鴻門宴 The Vengeance" (Official Video)</v>
      </c>
      <c r="E2337" s="82">
        <v>41833.0</v>
      </c>
      <c r="F2337" s="80">
        <v>251.0</v>
      </c>
      <c r="G2337" s="80" t="s">
        <v>63</v>
      </c>
      <c r="I2337" s="80" t="s">
        <v>63</v>
      </c>
      <c r="J2337" s="80">
        <v>842.0</v>
      </c>
      <c r="K2337" s="80">
        <v>0.824681684622918</v>
      </c>
      <c r="L2337" s="80" t="s">
        <v>64</v>
      </c>
    </row>
    <row r="2338">
      <c r="A2338" s="80" t="s">
        <v>242</v>
      </c>
      <c r="B2338" s="81" t="str">
        <f>HYPERLINK("https://www.youtube.com/channel/UCZGVB6g74LXWtkR3fX50ykg", "Edwin H.")</f>
        <v>Edwin H.</v>
      </c>
      <c r="C2338" s="80" t="s">
        <v>2647</v>
      </c>
      <c r="D2338" s="81" t="str">
        <f>HYPERLINK("https://youtube.com/watch?v=a7cMpHnT5CQ", "1K宿舍 ROOM TOUR | 二人宿舍 | 日本留學生東京葛西")</f>
        <v>1K宿舍 ROOM TOUR | 二人宿舍 | 日本留學生東京葛西</v>
      </c>
      <c r="E2338" s="82">
        <v>43509.0</v>
      </c>
      <c r="F2338" s="80">
        <v>892.0</v>
      </c>
      <c r="G2338" s="80" t="s">
        <v>63</v>
      </c>
      <c r="I2338" s="80" t="s">
        <v>63</v>
      </c>
      <c r="J2338" s="80">
        <v>2268.0</v>
      </c>
      <c r="K2338" s="80">
        <v>0.97172236503856</v>
      </c>
      <c r="L2338" s="80" t="s">
        <v>64</v>
      </c>
    </row>
    <row r="2339">
      <c r="A2339" s="80" t="s">
        <v>971</v>
      </c>
      <c r="B2339" s="81" t="str">
        <f>HYPERLINK("https://www.youtube.com/channel/UC4nsi0oM9WBNFv1RdLh3c2g", "JASON")</f>
        <v>JASON</v>
      </c>
      <c r="C2339" s="80" t="s">
        <v>2648</v>
      </c>
      <c r="D2339" s="81" t="str">
        <f>HYPERLINK("https://youtube.com/watch?v=aYg54hZs8Fo", "禿了禿了... 講幾多次啊？！2019元朗大棠紅葉和你伏。")</f>
        <v>禿了禿了... 講幾多次啊？！2019元朗大棠紅葉和你伏。</v>
      </c>
      <c r="E2339" s="82">
        <v>43826.0</v>
      </c>
      <c r="F2339" s="80">
        <v>610.0</v>
      </c>
      <c r="G2339" s="80" t="s">
        <v>63</v>
      </c>
      <c r="I2339" s="80" t="s">
        <v>63</v>
      </c>
      <c r="J2339" s="80">
        <v>1266.0</v>
      </c>
      <c r="K2339" s="80">
        <v>0.887798036465638</v>
      </c>
      <c r="L2339" s="80" t="s">
        <v>102</v>
      </c>
    </row>
    <row r="2340">
      <c r="A2340" s="80" t="s">
        <v>242</v>
      </c>
      <c r="B2340" s="81" t="str">
        <f>HYPERLINK("https://www.youtube.com/channel/UCZGVB6g74LXWtkR3fX50ykg", "Edwin H.")</f>
        <v>Edwin H.</v>
      </c>
      <c r="C2340" s="80" t="s">
        <v>2649</v>
      </c>
      <c r="D2340" s="81" t="str">
        <f>HYPERLINK("https://youtube.com/watch?v=aziRZivYWTk", "Parrot ANAFI - 法國航拍機牌子加入戰場 | 人類暴行辨識系統")</f>
        <v>Parrot ANAFI - 法國航拍機牌子加入戰場 | 人類暴行辨識系統</v>
      </c>
      <c r="E2340" s="82">
        <v>43258.0</v>
      </c>
      <c r="F2340" s="80">
        <v>312.0</v>
      </c>
      <c r="G2340" s="80" t="s">
        <v>63</v>
      </c>
      <c r="I2340" s="80" t="s">
        <v>63</v>
      </c>
      <c r="J2340" s="80">
        <v>793.0</v>
      </c>
      <c r="K2340" s="80">
        <v>0.758851674641148</v>
      </c>
      <c r="L2340" s="80" t="s">
        <v>64</v>
      </c>
    </row>
    <row r="2341">
      <c r="A2341" s="80" t="s">
        <v>748</v>
      </c>
      <c r="B2341" s="81" t="str">
        <f t="shared" ref="B2341:B2342" si="114">HYPERLINK("https://www.youtube.com/channel/UC_ZT2UjRiNSy1I33LEiflJQ", "撒野作風 WILDSTYLE RECORDS")</f>
        <v>撒野作風 WILDSTYLE RECORDS</v>
      </c>
      <c r="C2341" s="80" t="s">
        <v>2650</v>
      </c>
      <c r="D2341" s="81" t="str">
        <f>HYPERLINK("https://youtube.com/watch?v=b1pqa1wr4HY", "YoungQueenz ft. Peatle - ""一生懸命"" (Official Video)")</f>
        <v>YoungQueenz ft. Peatle - "一生懸命" (Official Video)</v>
      </c>
      <c r="E2341" s="82">
        <v>42195.0</v>
      </c>
      <c r="F2341" s="80">
        <v>214.0</v>
      </c>
      <c r="G2341" s="80" t="s">
        <v>63</v>
      </c>
      <c r="I2341" s="80" t="s">
        <v>63</v>
      </c>
      <c r="J2341" s="80">
        <v>589.0</v>
      </c>
      <c r="K2341" s="80">
        <v>0.544362292051756</v>
      </c>
      <c r="L2341" s="80" t="s">
        <v>91</v>
      </c>
    </row>
    <row r="2342">
      <c r="A2342" s="80" t="s">
        <v>748</v>
      </c>
      <c r="B2342" s="81" t="str">
        <f t="shared" si="114"/>
        <v>撒野作風 WILDSTYLE RECORDS</v>
      </c>
      <c r="C2342" s="80" t="s">
        <v>2651</v>
      </c>
      <c r="D2342" s="81" t="str">
        <f>HYPERLINK("https://youtube.com/watch?v=b6Nk_vuKLtw", "N.O.L.Y, KLASSICK(HGLF Posse) ft. YoungQueenz - 40盎司 40oz [Official Video]")</f>
        <v>N.O.L.Y, KLASSICK(HGLF Posse) ft. YoungQueenz - 40盎司 40oz [Official Video]</v>
      </c>
      <c r="E2342" s="82">
        <v>41614.0</v>
      </c>
      <c r="F2342" s="80">
        <v>228.0</v>
      </c>
      <c r="G2342" s="80" t="s">
        <v>63</v>
      </c>
      <c r="I2342" s="80" t="s">
        <v>63</v>
      </c>
      <c r="J2342" s="80">
        <v>443.0</v>
      </c>
      <c r="K2342" s="80">
        <v>0.42150333016175</v>
      </c>
      <c r="L2342" s="80" t="s">
        <v>91</v>
      </c>
    </row>
    <row r="2343">
      <c r="A2343" s="80" t="s">
        <v>2585</v>
      </c>
      <c r="B2343" s="81" t="str">
        <f>HYPERLINK("https://www.youtube.com/channel/UCyyruuN0VecuYxPNR4un88Q", "混血肥仔")</f>
        <v>混血肥仔</v>
      </c>
      <c r="C2343" s="80" t="s">
        <v>2652</v>
      </c>
      <c r="D2343" s="81" t="str">
        <f>HYPERLINK("https://youtube.com/watch?v=bAiUBNewy74", "👀 離職後的胡思亂想 | 娛樂至死 | 混血肥仔 Vlog")</f>
        <v>👀 離職後的胡思亂想 | 娛樂至死 | 混血肥仔 Vlog</v>
      </c>
      <c r="E2343" s="82">
        <v>44427.0</v>
      </c>
      <c r="F2343" s="80">
        <v>367.0</v>
      </c>
      <c r="G2343" s="80" t="s">
        <v>63</v>
      </c>
      <c r="I2343" s="80" t="s">
        <v>63</v>
      </c>
      <c r="J2343" s="80">
        <v>888.0</v>
      </c>
      <c r="K2343" s="80">
        <v>0.91076923076923</v>
      </c>
      <c r="L2343" s="80" t="s">
        <v>64</v>
      </c>
    </row>
    <row r="2344">
      <c r="A2344" s="80" t="s">
        <v>242</v>
      </c>
      <c r="B2344" s="81" t="str">
        <f>HYPERLINK("https://www.youtube.com/channel/UCZGVB6g74LXWtkR3fX50ykg", "Edwin H.")</f>
        <v>Edwin H.</v>
      </c>
      <c r="C2344" s="80" t="s">
        <v>2653</v>
      </c>
      <c r="D2344" s="81" t="str">
        <f>HYPERLINK("https://youtube.com/watch?v=bCnuBBC2rWk", "7件你必須知道 2020年科技發展大事")</f>
        <v>7件你必須知道 2020年科技發展大事</v>
      </c>
      <c r="E2344" s="82">
        <v>43837.0</v>
      </c>
      <c r="F2344" s="80">
        <v>472.0</v>
      </c>
      <c r="G2344" s="80" t="s">
        <v>63</v>
      </c>
      <c r="I2344" s="80" t="s">
        <v>63</v>
      </c>
      <c r="J2344" s="80">
        <v>1438.0</v>
      </c>
      <c r="K2344" s="80">
        <v>0.785363189513926</v>
      </c>
      <c r="L2344" s="80" t="s">
        <v>745</v>
      </c>
    </row>
    <row r="2345">
      <c r="A2345" s="80" t="s">
        <v>962</v>
      </c>
      <c r="B2345" s="81" t="str">
        <f>HYPERLINK("https://www.youtube.com/channel/UCmdnX8KiF_5ZVmJXNhOXUtw", "foursonproduction")</f>
        <v>foursonproduction</v>
      </c>
      <c r="C2345" s="80" t="s">
        <v>2654</v>
      </c>
      <c r="D2345" s="81" t="str">
        <f>HYPERLINK("https://youtube.com/watch?v=bLUGwPLbEpM", "《我的HEHE室友》 S2E1 ：「我是全世界最沒用的男人⋯」")</f>
        <v>《我的HEHE室友》 S2E1 ：「我是全世界最沒用的男人⋯」</v>
      </c>
      <c r="E2345" s="82">
        <v>43964.0</v>
      </c>
      <c r="F2345" s="80">
        <v>942.0</v>
      </c>
      <c r="G2345" s="80" t="s">
        <v>63</v>
      </c>
      <c r="I2345" s="80" t="s">
        <v>63</v>
      </c>
      <c r="J2345" s="80">
        <v>1766.0</v>
      </c>
      <c r="K2345" s="80">
        <v>0.932910723718964</v>
      </c>
      <c r="L2345" s="80" t="s">
        <v>64</v>
      </c>
    </row>
    <row r="2346">
      <c r="A2346" s="80" t="s">
        <v>2512</v>
      </c>
      <c r="B2346" s="81" t="str">
        <f>HYPERLINK("https://www.youtube.com/channel/UC5zsYYGsHjv4GK20FjPDjkg", "Ling Cheng")</f>
        <v>Ling Cheng</v>
      </c>
      <c r="C2346" s="80" t="s">
        <v>2655</v>
      </c>
      <c r="D2346" s="81" t="str">
        <f>HYPERLINK("https://youtube.com/watch?v=bTQ6tVpPDes", "【韓國延南洞髮型屋】和我去韓國髮型屋做頭髮護理｜Ling Cheng")</f>
        <v>【韓國延南洞髮型屋】和我去韓國髮型屋做頭髮護理｜Ling Cheng</v>
      </c>
      <c r="E2346" s="82">
        <v>42711.0</v>
      </c>
      <c r="F2346" s="80">
        <v>213.0</v>
      </c>
      <c r="G2346" s="80" t="s">
        <v>63</v>
      </c>
      <c r="H2346" s="80" t="s">
        <v>63</v>
      </c>
      <c r="I2346" s="80" t="s">
        <v>63</v>
      </c>
      <c r="J2346" s="80">
        <v>550.0</v>
      </c>
      <c r="K2346" s="80">
        <v>0.897226753670473</v>
      </c>
      <c r="L2346" s="80" t="s">
        <v>1206</v>
      </c>
    </row>
    <row r="2347">
      <c r="A2347" s="80" t="s">
        <v>748</v>
      </c>
      <c r="B2347" s="81" t="str">
        <f>HYPERLINK("https://www.youtube.com/channel/UC_ZT2UjRiNSy1I33LEiflJQ", "撒野作風 WILDSTYLE RECORDS")</f>
        <v>撒野作風 WILDSTYLE RECORDS</v>
      </c>
      <c r="C2347" s="80" t="s">
        <v>2656</v>
      </c>
      <c r="D2347" s="81" t="str">
        <f>HYPERLINK("https://youtube.com/watch?v=beb8o5iPVXY", "VROSKIII (Jeremy Quest, Charity) ft. YoungQueenz - III (Official Video)")</f>
        <v>VROSKIII (Jeremy Quest, Charity) ft. YoungQueenz - III (Official Video)</v>
      </c>
      <c r="E2347" s="82">
        <v>42979.0</v>
      </c>
      <c r="F2347" s="80">
        <v>213.0</v>
      </c>
      <c r="G2347" s="80" t="s">
        <v>63</v>
      </c>
      <c r="I2347" s="80" t="s">
        <v>63</v>
      </c>
      <c r="J2347" s="80">
        <v>384.0</v>
      </c>
      <c r="K2347" s="80">
        <v>0.318672199170124</v>
      </c>
      <c r="L2347" s="80" t="s">
        <v>896</v>
      </c>
    </row>
    <row r="2348">
      <c r="A2348" s="80" t="s">
        <v>2536</v>
      </c>
      <c r="B2348" s="81" t="str">
        <f>HYPERLINK("https://www.youtube.com/channel/UCf1_EVN2qSOxiLZskBGsElA", "譚杏藍 Hana Tam")</f>
        <v>譚杏藍 Hana Tam</v>
      </c>
      <c r="C2348" s="80" t="s">
        <v>2657</v>
      </c>
      <c r="D2348" s="81" t="str">
        <f>HYPERLINK("https://youtube.com/watch?v=bzQgmhWEcSk", "［HANA VLOG] 同我過一日啦好無？")</f>
        <v>［HANA VLOG] 同我過一日啦好無？</v>
      </c>
      <c r="E2348" s="82">
        <v>42783.0</v>
      </c>
      <c r="F2348" s="80">
        <v>436.0</v>
      </c>
      <c r="G2348" s="80" t="s">
        <v>63</v>
      </c>
      <c r="I2348" s="80" t="s">
        <v>63</v>
      </c>
      <c r="J2348" s="80">
        <v>1243.0</v>
      </c>
      <c r="K2348" s="80">
        <v>0.856650585802894</v>
      </c>
      <c r="L2348" s="80" t="s">
        <v>64</v>
      </c>
    </row>
    <row r="2349">
      <c r="A2349" s="80" t="s">
        <v>2490</v>
      </c>
      <c r="B2349" s="81" t="str">
        <f>HYPERLINK("https://www.youtube.com/channel/UCxtXeFNKwTorEUE-vzRqj6w", "網上學習平台Beginneros")</f>
        <v>網上學習平台Beginneros</v>
      </c>
      <c r="C2349" s="80" t="s">
        <v>2658</v>
      </c>
      <c r="D2349" s="81" t="str">
        <f>HYPERLINK("https://youtube.com/watch?v=cR6BPJ2HKBM", "【寵物教學】新手養兔寶典：養兔的準備與護理｜Beginneros")</f>
        <v>【寵物教學】新手養兔寶典：養兔的準備與護理｜Beginneros</v>
      </c>
      <c r="E2349" s="82">
        <v>43304.0</v>
      </c>
      <c r="F2349" s="80">
        <v>554.0</v>
      </c>
      <c r="G2349" s="80" t="s">
        <v>63</v>
      </c>
      <c r="H2349" s="80" t="s">
        <v>63</v>
      </c>
      <c r="I2349" s="80" t="s">
        <v>63</v>
      </c>
      <c r="J2349" s="80">
        <v>1492.0</v>
      </c>
      <c r="K2349" s="80">
        <v>0.954574536148432</v>
      </c>
      <c r="L2349" s="80" t="s">
        <v>86</v>
      </c>
    </row>
    <row r="2350">
      <c r="A2350" s="80" t="s">
        <v>2519</v>
      </c>
      <c r="B2350" s="81" t="str">
        <f>HYPERLINK("https://www.youtube.com/channel/UCRaC6ToPRzGZT5nGgz9vzGw", "C90s 港仔音樂")</f>
        <v>C90s 港仔音樂</v>
      </c>
      <c r="C2350" s="80" t="s">
        <v>2659</v>
      </c>
      <c r="D2350" s="81" t="str">
        <f>HYPERLINK("https://youtube.com/watch?v=cWopKYXZp80", "林海峰 Jan Lamb - 男子組 [歌詞同步/粵拼字幕]")</f>
        <v>林海峰 Jan Lamb - 男子組 [歌詞同步/粵拼字幕]</v>
      </c>
      <c r="E2350" s="82">
        <v>44456.0</v>
      </c>
      <c r="F2350" s="80">
        <v>265.0</v>
      </c>
      <c r="G2350" s="80" t="s">
        <v>63</v>
      </c>
      <c r="I2350" s="80" t="s">
        <v>63</v>
      </c>
      <c r="J2350" s="80">
        <v>645.0</v>
      </c>
      <c r="K2350" s="80">
        <v>0.217611336032388</v>
      </c>
      <c r="L2350" s="80" t="s">
        <v>64</v>
      </c>
    </row>
    <row r="2351">
      <c r="A2351" s="80" t="s">
        <v>2530</v>
      </c>
      <c r="B2351" s="81" t="str">
        <f>HYPERLINK("https://www.youtube.com/channel/UClMVl1_PFbycHqKVCI70H5g", "CinCandy Sisters")</f>
        <v>CinCandy Sisters</v>
      </c>
      <c r="C2351" s="80" t="s">
        <v>2660</v>
      </c>
      <c r="D2351" s="81" t="str">
        <f>HYPERLINK("https://youtube.com/watch?v=ckX9iy3X1EQ", "Let's workout together!🏋🏽‍♀️ A MONTH workout challenge?! 一齊做運動!🏃🏽‍♀️ 一個月挑戰?! | 🍬")</f>
        <v>Let's workout together!🏋🏽‍♀️ A MONTH workout challenge?! 一齊做運動!🏃🏽‍♀️ 一個月挑戰?! | 🍬</v>
      </c>
      <c r="E2351" s="82">
        <v>43891.0</v>
      </c>
      <c r="F2351" s="80">
        <v>318.0</v>
      </c>
      <c r="G2351" s="80" t="s">
        <v>63</v>
      </c>
      <c r="H2351" s="80" t="s">
        <v>63</v>
      </c>
      <c r="I2351" s="80" t="s">
        <v>63</v>
      </c>
      <c r="J2351" s="80">
        <v>406.0</v>
      </c>
      <c r="K2351" s="80">
        <v>0.888402625820569</v>
      </c>
      <c r="L2351" s="80" t="s">
        <v>120</v>
      </c>
    </row>
    <row r="2352">
      <c r="A2352" s="80" t="s">
        <v>242</v>
      </c>
      <c r="B2352" s="81" t="str">
        <f>HYPERLINK("https://www.youtube.com/channel/UCZGVB6g74LXWtkR3fX50ykg", "Edwin H.")</f>
        <v>Edwin H.</v>
      </c>
      <c r="C2352" s="80" t="s">
        <v>2661</v>
      </c>
      <c r="D2352" s="81" t="str">
        <f>HYPERLINK("https://youtube.com/watch?v=cwKgYKuYAfI", "15件必睇科技新品🚮🖥🎮Ep.18 | 12月2019")</f>
        <v>15件必睇科技新品🚮🖥🎮Ep.18 | 12月2019</v>
      </c>
      <c r="E2352" s="82">
        <v>43830.0</v>
      </c>
      <c r="F2352" s="80">
        <v>848.0</v>
      </c>
      <c r="G2352" s="80" t="s">
        <v>63</v>
      </c>
      <c r="I2352" s="80" t="s">
        <v>63</v>
      </c>
      <c r="J2352" s="80">
        <v>2493.0</v>
      </c>
      <c r="K2352" s="80">
        <v>0.69115608538952</v>
      </c>
      <c r="L2352" s="80" t="s">
        <v>64</v>
      </c>
    </row>
    <row r="2353">
      <c r="A2353" s="80" t="s">
        <v>748</v>
      </c>
      <c r="B2353" s="81" t="str">
        <f>HYPERLINK("https://www.youtube.com/channel/UC_ZT2UjRiNSy1I33LEiflJQ", "撒野作風 WILDSTYLE RECORDS")</f>
        <v>撒野作風 WILDSTYLE RECORDS</v>
      </c>
      <c r="C2353" s="80" t="s">
        <v>2662</v>
      </c>
      <c r="D2353" s="81" t="str">
        <f>HYPERLINK("https://youtube.com/watch?v=czrZM98XlzA", "Mike Waves - G13 (Official Video)")</f>
        <v>Mike Waves - G13 (Official Video)</v>
      </c>
      <c r="E2353" s="82">
        <v>41633.0</v>
      </c>
      <c r="F2353" s="80">
        <v>154.0</v>
      </c>
      <c r="G2353" s="80" t="s">
        <v>63</v>
      </c>
      <c r="I2353" s="80" t="s">
        <v>63</v>
      </c>
      <c r="J2353" s="80">
        <v>345.0</v>
      </c>
      <c r="K2353" s="80">
        <v>0.751633986928104</v>
      </c>
      <c r="L2353" s="80" t="s">
        <v>91</v>
      </c>
    </row>
    <row r="2354">
      <c r="A2354" s="80" t="s">
        <v>2621</v>
      </c>
      <c r="B2354" s="81" t="str">
        <f>HYPERLINK("https://www.youtube.com/channel/UCHSv3CokIaHLrvXMoVlxwwA", "寶欣 Po Yan")</f>
        <v>寶欣 Po Yan</v>
      </c>
      <c r="C2354" s="80" t="s">
        <v>2663</v>
      </c>
      <c r="D2354" s="81" t="str">
        <f>HYPERLINK("https://youtube.com/watch?v=doeOQVZZIIE", "【元朗臭河畔🟡街頭小食】今年第一次掃街! (炸魚薯條/士多啤梨乳酪) (中文字幕)")</f>
        <v>【元朗臭河畔🟡街頭小食】今年第一次掃街! (炸魚薯條/士多啤梨乳酪) (中文字幕)</v>
      </c>
      <c r="E2354" s="82">
        <v>44120.0</v>
      </c>
      <c r="F2354" s="80">
        <v>622.0</v>
      </c>
      <c r="G2354" s="80" t="s">
        <v>63</v>
      </c>
      <c r="I2354" s="80" t="s">
        <v>63</v>
      </c>
      <c r="J2354" s="80">
        <v>1809.0</v>
      </c>
      <c r="K2354" s="80">
        <v>0.96583021890016</v>
      </c>
      <c r="L2354" s="80" t="s">
        <v>64</v>
      </c>
    </row>
    <row r="2355">
      <c r="A2355" s="80" t="s">
        <v>242</v>
      </c>
      <c r="B2355" s="81" t="str">
        <f>HYPERLINK("https://www.youtube.com/channel/UCZGVB6g74LXWtkR3fX50ykg", "Edwin H.")</f>
        <v>Edwin H.</v>
      </c>
      <c r="C2355" s="80" t="s">
        <v>2664</v>
      </c>
      <c r="D2355" s="81" t="str">
        <f>HYPERLINK("https://youtube.com/watch?v=dw9uKv7pHD8", "SD Card購買指南 | 上面寫乜L 啲標記符號咩意思？")</f>
        <v>SD Card購買指南 | 上面寫乜L 啲標記符號咩意思？</v>
      </c>
      <c r="E2355" s="82">
        <v>43818.0</v>
      </c>
      <c r="F2355" s="80">
        <v>606.0</v>
      </c>
      <c r="G2355" s="80" t="s">
        <v>63</v>
      </c>
      <c r="H2355" s="80" t="s">
        <v>63</v>
      </c>
      <c r="I2355" s="80" t="s">
        <v>63</v>
      </c>
      <c r="J2355" s="80">
        <v>1671.0</v>
      </c>
      <c r="K2355" s="80">
        <v>0.806467181467181</v>
      </c>
      <c r="L2355" s="80" t="s">
        <v>2452</v>
      </c>
    </row>
    <row r="2356">
      <c r="A2356" s="80" t="s">
        <v>2530</v>
      </c>
      <c r="B2356" s="81" t="str">
        <f>HYPERLINK("https://www.youtube.com/channel/UClMVl1_PFbycHqKVCI70H5g", "CinCandy Sisters")</f>
        <v>CinCandy Sisters</v>
      </c>
      <c r="C2356" s="80" t="s">
        <v>2665</v>
      </c>
      <c r="D2356" s="81" t="str">
        <f>HYPERLINK("https://youtube.com/watch?v=dyPUKNk3XzQ", "【vlog】兩個女仔去露營🏕?! 完全冇人?!😱 狂影相📸 煮咩好🥘?! 15kg背囊? // Weekend Camping vlog in HK🇭🇰 with my bestie👯‍♀️ | 🍬")</f>
        <v>【vlog】兩個女仔去露營🏕?! 完全冇人?!😱 狂影相📸 煮咩好🥘?! 15kg背囊? // Weekend Camping vlog in HK🇭🇰 with my bestie👯‍♀️ | 🍬</v>
      </c>
      <c r="E2356" s="82">
        <v>44383.0</v>
      </c>
      <c r="F2356" s="80">
        <v>230.0</v>
      </c>
      <c r="G2356" s="80" t="s">
        <v>63</v>
      </c>
      <c r="I2356" s="80" t="s">
        <v>63</v>
      </c>
      <c r="J2356" s="80">
        <v>133.0</v>
      </c>
      <c r="K2356" s="80">
        <v>0.841772151898734</v>
      </c>
      <c r="L2356" s="80" t="s">
        <v>64</v>
      </c>
    </row>
    <row r="2357">
      <c r="A2357" s="80" t="s">
        <v>2490</v>
      </c>
      <c r="B2357" s="81" t="str">
        <f>HYPERLINK("https://www.youtube.com/channel/UCxtXeFNKwTorEUE-vzRqj6w", "網上學習平台Beginneros")</f>
        <v>網上學習平台Beginneros</v>
      </c>
      <c r="C2357" s="80" t="s">
        <v>2666</v>
      </c>
      <c r="D2357" s="81" t="str">
        <f>HYPERLINK("https://youtube.com/watch?v=ebIpcrz4ctw", "【品酒教學】品酒新手必學：學會品嘗紅酒、白酒和香檳｜Beginneros")</f>
        <v>【品酒教學】品酒新手必學：學會品嘗紅酒、白酒和香檳｜Beginneros</v>
      </c>
      <c r="E2357" s="82">
        <v>43132.0</v>
      </c>
      <c r="F2357" s="80">
        <v>453.0</v>
      </c>
      <c r="G2357" s="80" t="s">
        <v>63</v>
      </c>
      <c r="H2357" s="80" t="s">
        <v>63</v>
      </c>
      <c r="I2357" s="80" t="s">
        <v>63</v>
      </c>
      <c r="J2357" s="80">
        <v>1281.0</v>
      </c>
      <c r="K2357" s="80">
        <v>1.0</v>
      </c>
      <c r="L2357" s="80" t="s">
        <v>86</v>
      </c>
    </row>
    <row r="2358">
      <c r="A2358" s="80" t="s">
        <v>748</v>
      </c>
      <c r="B2358" s="81" t="str">
        <f t="shared" ref="B2358:B2359" si="115">HYPERLINK("https://www.youtube.com/channel/UC_ZT2UjRiNSy1I33LEiflJQ", "撒野作風 WILDSTYLE RECORDS")</f>
        <v>撒野作風 WILDSTYLE RECORDS</v>
      </c>
      <c r="C2358" s="80" t="s">
        <v>2667</v>
      </c>
      <c r="D2358" s="81" t="str">
        <f>HYPERLINK("https://youtube.com/watch?v=ernLNvpGO44", "Matt Force ft. YoungQueenz, GrymeMan - ""死亡香"" [Audio]")</f>
        <v>Matt Force ft. YoungQueenz, GrymeMan - "死亡香" [Audio]</v>
      </c>
      <c r="E2358" s="82">
        <v>42998.0</v>
      </c>
      <c r="F2358" s="80">
        <v>248.0</v>
      </c>
      <c r="G2358" s="80" t="s">
        <v>63</v>
      </c>
      <c r="I2358" s="80" t="s">
        <v>63</v>
      </c>
      <c r="J2358" s="80">
        <v>760.0</v>
      </c>
      <c r="K2358" s="80">
        <v>0.732177263969171</v>
      </c>
      <c r="L2358" s="80" t="s">
        <v>64</v>
      </c>
    </row>
    <row r="2359">
      <c r="A2359" s="80" t="s">
        <v>748</v>
      </c>
      <c r="B2359" s="81" t="str">
        <f t="shared" si="115"/>
        <v>撒野作風 WILDSTYLE RECORDS</v>
      </c>
      <c r="C2359" s="80" t="s">
        <v>2668</v>
      </c>
      <c r="D2359" s="81" t="str">
        <f>HYPERLINK("https://youtube.com/watch?v=ew4VboR5WEE", "GrymeMan ft. Matt Force &amp; YoungQueenz - ""Omertà [Silence]"" (Audio)")</f>
        <v>GrymeMan ft. Matt Force &amp; YoungQueenz - "Omertà [Silence]" (Audio)</v>
      </c>
      <c r="E2359" s="82">
        <v>43721.0</v>
      </c>
      <c r="F2359" s="80">
        <v>193.0</v>
      </c>
      <c r="G2359" s="80" t="s">
        <v>63</v>
      </c>
      <c r="I2359" s="80" t="s">
        <v>63</v>
      </c>
      <c r="J2359" s="80">
        <v>420.0</v>
      </c>
      <c r="K2359" s="80">
        <v>0.517241379310344</v>
      </c>
      <c r="L2359" s="80" t="s">
        <v>64</v>
      </c>
    </row>
    <row r="2360">
      <c r="A2360" s="80" t="s">
        <v>2669</v>
      </c>
      <c r="B2360" s="81" t="str">
        <f>HYPERLINK("https://www.youtube.com/channel/UCzR28gUEv3vTNXxjFHh5gyQ", "港孩在加-HKCanadian")</f>
        <v>港孩在加-HKCanadian</v>
      </c>
      <c r="C2360" s="80" t="s">
        <v>2670</v>
      </c>
      <c r="D2360" s="81" t="str">
        <f>HYPERLINK("https://youtube.com/watch?v=exJBa8ZMAOY", "加拿大生活｜汽車戲院｜Drive-in Movie｜車中露營｜Car Camping｜回流｜卡加利｜港孩在加 Vlog#41")</f>
        <v>加拿大生活｜汽車戲院｜Drive-in Movie｜車中露營｜Car Camping｜回流｜卡加利｜港孩在加 Vlog#41</v>
      </c>
      <c r="E2360" s="82">
        <v>44368.0</v>
      </c>
      <c r="F2360" s="80">
        <v>464.0</v>
      </c>
      <c r="G2360" s="80" t="s">
        <v>63</v>
      </c>
      <c r="I2360" s="80" t="s">
        <v>63</v>
      </c>
      <c r="J2360" s="80">
        <v>17.0</v>
      </c>
      <c r="K2360" s="80">
        <v>0.772727272727272</v>
      </c>
      <c r="L2360" s="80" t="s">
        <v>102</v>
      </c>
    </row>
    <row r="2361">
      <c r="A2361" s="80" t="s">
        <v>755</v>
      </c>
      <c r="B2361" s="81" t="str">
        <f>HYPERLINK("https://www.youtube.com/channel/UCBiJDTc82IM68KVH873VeAw", "Live in Kwangsi廣西人·情·味")</f>
        <v>Live in Kwangsi廣西人·情·味</v>
      </c>
      <c r="C2361" s="80" t="s">
        <v>2671</v>
      </c>
      <c r="D2361" s="81" t="str">
        <f>HYPERLINK("https://youtube.com/watch?v=fJFG-A6xgfg", "2021年年尾喺桂林過 行桂林市區夜市  廟王街 東西巷 正陽步行街｜廣西vlog 20211231")</f>
        <v>2021年年尾喺桂林過 行桂林市區夜市  廟王街 東西巷 正陽步行街｜廣西vlog 20211231</v>
      </c>
      <c r="E2361" s="82">
        <v>44561.0</v>
      </c>
      <c r="F2361" s="80">
        <v>1030.0</v>
      </c>
      <c r="G2361" s="80" t="s">
        <v>63</v>
      </c>
      <c r="I2361" s="80" t="s">
        <v>63</v>
      </c>
      <c r="J2361" s="80">
        <v>1166.0</v>
      </c>
      <c r="K2361" s="80">
        <v>0.995730145175064</v>
      </c>
      <c r="L2361" s="80" t="s">
        <v>757</v>
      </c>
    </row>
    <row r="2362">
      <c r="A2362" s="80" t="s">
        <v>962</v>
      </c>
      <c r="B2362" s="81" t="str">
        <f>HYPERLINK("https://www.youtube.com/channel/UCmdnX8KiF_5ZVmJXNhOXUtw", "foursonproduction")</f>
        <v>foursonproduction</v>
      </c>
      <c r="C2362" s="80" t="s">
        <v>2672</v>
      </c>
      <c r="D2362" s="81" t="str">
        <f>HYPERLINK("https://youtube.com/watch?v=fTIp3STGSJE", "短篇處境喜劇《我的HEHE室友》 S1E7 ：「我要參加呢個攝影比賽！」")</f>
        <v>短篇處境喜劇《我的HEHE室友》 S1E7 ：「我要參加呢個攝影比賽！」</v>
      </c>
      <c r="E2362" s="82">
        <v>43464.0</v>
      </c>
      <c r="F2362" s="80">
        <v>404.0</v>
      </c>
      <c r="G2362" s="80" t="s">
        <v>63</v>
      </c>
      <c r="I2362" s="80" t="s">
        <v>63</v>
      </c>
      <c r="J2362" s="80">
        <v>985.0</v>
      </c>
      <c r="K2362" s="80">
        <v>0.870910698496905</v>
      </c>
      <c r="L2362" s="80" t="s">
        <v>64</v>
      </c>
    </row>
    <row r="2363">
      <c r="A2363" s="80" t="s">
        <v>2516</v>
      </c>
      <c r="B2363" s="81" t="str">
        <f t="shared" ref="B2363:B2364" si="116">HYPERLINK("https://www.youtube.com/channel/UCycdIv0INFmRwGf1UgluUmw", "Mira's Garden")</f>
        <v>Mira's Garden</v>
      </c>
      <c r="C2363" s="80" t="s">
        <v>2673</v>
      </c>
      <c r="D2363" s="81" t="str">
        <f>HYPERLINK("https://youtube.com/watch?v=g0ieQ2ttLUo", "Mira推薦必吃◆你知道吃醬油蟹時有一個食物是必須吃的嗎？| Mira 咪拉")</f>
        <v>Mira推薦必吃◆你知道吃醬油蟹時有一個食物是必須吃的嗎？| Mira 咪拉</v>
      </c>
      <c r="E2363" s="82">
        <v>43697.0</v>
      </c>
      <c r="F2363" s="80">
        <v>503.0</v>
      </c>
      <c r="G2363" s="80" t="s">
        <v>63</v>
      </c>
      <c r="I2363" s="80" t="s">
        <v>63</v>
      </c>
      <c r="J2363" s="80">
        <v>1835.0</v>
      </c>
      <c r="K2363" s="80">
        <v>0.929584599797365</v>
      </c>
      <c r="L2363" s="80" t="s">
        <v>102</v>
      </c>
    </row>
    <row r="2364">
      <c r="A2364" s="80" t="s">
        <v>2516</v>
      </c>
      <c r="B2364" s="81" t="str">
        <f t="shared" si="116"/>
        <v>Mira's Garden</v>
      </c>
      <c r="C2364" s="80" t="s">
        <v>2674</v>
      </c>
      <c r="D2364" s="81" t="str">
        <f>HYPERLINK("https://youtube.com/watch?v=gFTcbGTFZSE", "【韓國必去】 做夢也想不到 真人G Dragon對我唱情歌? 必去Klive | Mira")</f>
        <v>【韓國必去】 做夢也想不到 真人G Dragon對我唱情歌? 必去Klive | Mira</v>
      </c>
      <c r="E2364" s="82">
        <v>42640.0</v>
      </c>
      <c r="F2364" s="80">
        <v>336.0</v>
      </c>
      <c r="G2364" s="80" t="s">
        <v>63</v>
      </c>
      <c r="H2364" s="80" t="s">
        <v>63</v>
      </c>
      <c r="I2364" s="80" t="s">
        <v>63</v>
      </c>
      <c r="J2364" s="80">
        <v>1077.0</v>
      </c>
      <c r="K2364" s="80">
        <v>0.833969465648855</v>
      </c>
      <c r="L2364" s="80" t="s">
        <v>1410</v>
      </c>
    </row>
    <row r="2365">
      <c r="A2365" s="80" t="s">
        <v>2512</v>
      </c>
      <c r="B2365" s="81" t="str">
        <f>HYPERLINK("https://www.youtube.com/channel/UC5zsYYGsHjv4GK20FjPDjkg", "Ling Cheng")</f>
        <v>Ling Cheng</v>
      </c>
      <c r="C2365" s="80" t="s">
        <v>2675</v>
      </c>
      <c r="D2365" s="81" t="str">
        <f>HYPERLINK("https://youtube.com/watch?v=h4ATvsrN5AQ", "在韓國針灸 + 浣熊cafe多了一三隻狗｜Ling Cheng")</f>
        <v>在韓國針灸 + 浣熊cafe多了一三隻狗｜Ling Cheng</v>
      </c>
      <c r="E2365" s="82">
        <v>42734.0</v>
      </c>
      <c r="F2365" s="80">
        <v>565.0</v>
      </c>
      <c r="G2365" s="80" t="s">
        <v>63</v>
      </c>
      <c r="H2365" s="80" t="s">
        <v>63</v>
      </c>
      <c r="I2365" s="80" t="s">
        <v>63</v>
      </c>
      <c r="J2365" s="80">
        <v>621.0</v>
      </c>
      <c r="K2365" s="80">
        <v>0.976415094339622</v>
      </c>
      <c r="L2365" s="80" t="s">
        <v>1013</v>
      </c>
    </row>
    <row r="2366">
      <c r="A2366" s="80" t="s">
        <v>2676</v>
      </c>
      <c r="B2366" s="81" t="str">
        <f>HYPERLINK("https://www.youtube.com/channel/UCpI228_lftkv227eL7uEnhA", "MELO LO")</f>
        <v>MELO LO</v>
      </c>
      <c r="C2366" s="80" t="s">
        <v>2677</v>
      </c>
      <c r="D2366" s="81" t="str">
        <f>HYPERLINK("https://youtube.com/watch?v=i8CqAsyrmlI", "BLACKPINK Lisa 節日花火妝容✨ Lisa Inspired Festival Glitter Korean Makeup Look🎄 | MELO LO ft. M.A.C")</f>
        <v>BLACKPINK Lisa 節日花火妝容✨ Lisa Inspired Festival Glitter Korean Makeup Look🎄 | MELO LO ft. M.A.C</v>
      </c>
      <c r="E2366" s="82">
        <v>44146.0</v>
      </c>
      <c r="F2366" s="80">
        <v>374.0</v>
      </c>
      <c r="G2366" s="80" t="s">
        <v>63</v>
      </c>
      <c r="I2366" s="80" t="s">
        <v>63</v>
      </c>
      <c r="J2366" s="80">
        <v>1184.0</v>
      </c>
      <c r="K2366" s="80">
        <v>0.748419721871049</v>
      </c>
      <c r="L2366" s="80" t="s">
        <v>64</v>
      </c>
    </row>
    <row r="2367">
      <c r="A2367" s="80" t="s">
        <v>242</v>
      </c>
      <c r="B2367" s="81" t="str">
        <f t="shared" ref="B2367:B2369" si="117">HYPERLINK("https://www.youtube.com/channel/UCZGVB6g74LXWtkR3fX50ykg", "Edwin H.")</f>
        <v>Edwin H.</v>
      </c>
      <c r="C2367" s="80" t="s">
        <v>2678</v>
      </c>
      <c r="D2367" s="81" t="str">
        <f>HYPERLINK("https://youtube.com/watch?v=iOQN8RYrFdM", "28件必睇科技新品📲⌚🐷🦷🎧Ep.27 | 8月9月2020")</f>
        <v>28件必睇科技新品📲⌚🐷🦷🎧Ep.27 | 8月9月2020</v>
      </c>
      <c r="E2367" s="82">
        <v>44077.0</v>
      </c>
      <c r="F2367" s="80">
        <v>1231.0</v>
      </c>
      <c r="G2367" s="80" t="s">
        <v>63</v>
      </c>
      <c r="I2367" s="80" t="s">
        <v>63</v>
      </c>
      <c r="J2367" s="80">
        <v>4301.0</v>
      </c>
      <c r="K2367" s="80">
        <v>0.802275694833053</v>
      </c>
      <c r="L2367" s="80" t="s">
        <v>64</v>
      </c>
    </row>
    <row r="2368">
      <c r="A2368" s="80" t="s">
        <v>242</v>
      </c>
      <c r="B2368" s="81" t="str">
        <f t="shared" si="117"/>
        <v>Edwin H.</v>
      </c>
      <c r="C2368" s="80" t="s">
        <v>2679</v>
      </c>
      <c r="D2368" s="81" t="str">
        <f>HYPERLINK("https://youtube.com/watch?v=iwH0hG2Kozs", "27款必睇科技新品🎧🎬💻Ep.16 | 10月2019")</f>
        <v>27款必睇科技新品🎧🎬💻Ep.16 | 10月2019</v>
      </c>
      <c r="E2368" s="82">
        <v>43775.0</v>
      </c>
      <c r="F2368" s="80">
        <v>1131.0</v>
      </c>
      <c r="G2368" s="80" t="s">
        <v>63</v>
      </c>
      <c r="I2368" s="80" t="s">
        <v>63</v>
      </c>
      <c r="J2368" s="80">
        <v>4094.0</v>
      </c>
      <c r="K2368" s="80">
        <v>0.768970698722764</v>
      </c>
      <c r="L2368" s="80" t="s">
        <v>64</v>
      </c>
    </row>
    <row r="2369">
      <c r="A2369" s="80" t="s">
        <v>242</v>
      </c>
      <c r="B2369" s="81" t="str">
        <f t="shared" si="117"/>
        <v>Edwin H.</v>
      </c>
      <c r="C2369" s="80" t="s">
        <v>2680</v>
      </c>
      <c r="D2369" s="81" t="str">
        <f>HYPERLINK("https://youtube.com/watch?v=j2GI2zNdeLI", "Apple新專利可造福世人？年尾前必Check手機健康？ | TechLine 科技快訊 (Beta)")</f>
        <v>Apple新專利可造福世人？年尾前必Check手機健康？ | TechLine 科技快訊 (Beta)</v>
      </c>
      <c r="E2369" s="82">
        <v>43430.0</v>
      </c>
      <c r="F2369" s="80">
        <v>166.0</v>
      </c>
      <c r="G2369" s="80" t="s">
        <v>63</v>
      </c>
      <c r="I2369" s="80" t="s">
        <v>63</v>
      </c>
      <c r="J2369" s="80">
        <v>629.0</v>
      </c>
      <c r="K2369" s="80">
        <v>0.788220551378446</v>
      </c>
      <c r="L2369" s="80" t="s">
        <v>64</v>
      </c>
    </row>
    <row r="2370">
      <c r="A2370" s="80" t="s">
        <v>2498</v>
      </c>
      <c r="B2370" s="81" t="str">
        <f>HYPERLINK("https://www.youtube.com/channel/UCd-qu6Ke0IfUTsaAQPUBFRA", "Alice Ha")</f>
        <v>Alice Ha</v>
      </c>
      <c r="C2370" s="80" t="s">
        <v>2681</v>
      </c>
      <c r="D2370" s="81" t="str">
        <f>HYPERLINK("https://youtube.com/watch?v=jCr7EAu6yBg", "自己拍！Pre-wedding全攻略！EP1｜Alice Ha")</f>
        <v>自己拍！Pre-wedding全攻略！EP1｜Alice Ha</v>
      </c>
      <c r="E2370" s="82">
        <v>43078.0</v>
      </c>
      <c r="F2370" s="80">
        <v>610.0</v>
      </c>
      <c r="G2370" s="80" t="s">
        <v>63</v>
      </c>
      <c r="H2370" s="80" t="s">
        <v>63</v>
      </c>
      <c r="I2370" s="80" t="s">
        <v>63</v>
      </c>
      <c r="J2370" s="80">
        <v>2454.0</v>
      </c>
      <c r="K2370" s="80">
        <v>0.982330668910391</v>
      </c>
      <c r="L2370" s="80" t="s">
        <v>2580</v>
      </c>
    </row>
    <row r="2371">
      <c r="A2371" s="80" t="s">
        <v>242</v>
      </c>
      <c r="B2371" s="81" t="str">
        <f>HYPERLINK("https://www.youtube.com/channel/UCZGVB6g74LXWtkR3fX50ykg", "Edwin H.")</f>
        <v>Edwin H.</v>
      </c>
      <c r="C2371" s="80" t="s">
        <v>2682</v>
      </c>
      <c r="D2371" s="81" t="str">
        <f>HYPERLINK("https://youtube.com/watch?v=jIsjUWf2epg", "Samsung可摺疊手機要幾錢？5G手機即將流行？ | TechLine 科技快訊 (Beta)")</f>
        <v>Samsung可摺疊手機要幾錢？5G手機即將流行？ | TechLine 科技快訊 (Beta)</v>
      </c>
      <c r="E2371" s="82">
        <v>43430.0</v>
      </c>
      <c r="F2371" s="80">
        <v>138.0</v>
      </c>
      <c r="G2371" s="80" t="s">
        <v>63</v>
      </c>
      <c r="I2371" s="80" t="s">
        <v>63</v>
      </c>
      <c r="J2371" s="80">
        <v>404.0</v>
      </c>
      <c r="K2371" s="80">
        <v>0.822810590631364</v>
      </c>
      <c r="L2371" s="80" t="s">
        <v>64</v>
      </c>
    </row>
    <row r="2372">
      <c r="A2372" s="80" t="s">
        <v>2490</v>
      </c>
      <c r="B2372" s="81" t="str">
        <f>HYPERLINK("https://www.youtube.com/channel/UCxtXeFNKwTorEUE-vzRqj6w", "網上學習平台Beginneros")</f>
        <v>網上學習平台Beginneros</v>
      </c>
      <c r="C2372" s="80" t="s">
        <v>2683</v>
      </c>
      <c r="D2372" s="81" t="str">
        <f>HYPERLINK("https://youtube.com/watch?v=jLFZJ_27unQ", "【氣球教學】扭出卡通造型氣球：米飛兔 Miffy｜Beginneros")</f>
        <v>【氣球教學】扭出卡通造型氣球：米飛兔 Miffy｜Beginneros</v>
      </c>
      <c r="E2372" s="82">
        <v>43183.0</v>
      </c>
      <c r="F2372" s="80">
        <v>295.0</v>
      </c>
      <c r="G2372" s="80" t="s">
        <v>63</v>
      </c>
      <c r="H2372" s="80" t="s">
        <v>63</v>
      </c>
      <c r="I2372" s="80" t="s">
        <v>63</v>
      </c>
      <c r="J2372" s="80">
        <v>528.0</v>
      </c>
      <c r="K2372" s="80">
        <v>0.9906191369606</v>
      </c>
      <c r="L2372" s="80" t="s">
        <v>86</v>
      </c>
    </row>
    <row r="2373">
      <c r="A2373" s="80" t="s">
        <v>2621</v>
      </c>
      <c r="B2373" s="81" t="str">
        <f>HYPERLINK("https://www.youtube.com/channel/UCHSv3CokIaHLrvXMoVlxwwA", "寶欣 Po Yan")</f>
        <v>寶欣 Po Yan</v>
      </c>
      <c r="C2373" s="80" t="s">
        <v>2684</v>
      </c>
      <c r="D2373" s="81" t="str">
        <f>HYPERLINK("https://youtube.com/watch?v=jNXNEL2ySF8", "【全港唯一黃酒樓🟡(好似係)】一個人食片皮鴨! / 富東閣 / 片皮鴨團購")</f>
        <v>【全港唯一黃酒樓🟡(好似係)】一個人食片皮鴨! / 富東閣 / 片皮鴨團購</v>
      </c>
      <c r="E2373" s="82">
        <v>44103.0</v>
      </c>
      <c r="F2373" s="80">
        <v>677.0</v>
      </c>
      <c r="G2373" s="80" t="s">
        <v>63</v>
      </c>
      <c r="I2373" s="80" t="s">
        <v>63</v>
      </c>
      <c r="J2373" s="80">
        <v>157.0</v>
      </c>
      <c r="K2373" s="80">
        <v>0.993670886075949</v>
      </c>
      <c r="L2373" s="80" t="s">
        <v>64</v>
      </c>
    </row>
    <row r="2374">
      <c r="A2374" s="80" t="s">
        <v>971</v>
      </c>
      <c r="B2374" s="81" t="str">
        <f>HYPERLINK("https://www.youtube.com/channel/UC4nsi0oM9WBNFv1RdLh3c2g", "JASON")</f>
        <v>JASON</v>
      </c>
      <c r="C2374" s="80" t="s">
        <v>2685</v>
      </c>
      <c r="D2374" s="81" t="str">
        <f>HYPERLINK("https://youtube.com/watch?v=jfw83ntgdxs", "全部遊戲巨大化！巨大夾公仔！")</f>
        <v>全部遊戲巨大化！巨大夾公仔！</v>
      </c>
      <c r="E2374" s="82">
        <v>42843.0</v>
      </c>
      <c r="F2374" s="80">
        <v>243.0</v>
      </c>
      <c r="G2374" s="80" t="s">
        <v>63</v>
      </c>
      <c r="I2374" s="80" t="s">
        <v>63</v>
      </c>
      <c r="J2374" s="80">
        <v>412.0</v>
      </c>
      <c r="K2374" s="80">
        <v>0.663446054750402</v>
      </c>
      <c r="L2374" s="80" t="s">
        <v>102</v>
      </c>
    </row>
    <row r="2375">
      <c r="A2375" s="80" t="s">
        <v>2512</v>
      </c>
      <c r="B2375" s="81" t="str">
        <f>HYPERLINK("https://www.youtube.com/channel/UC5zsYYGsHjv4GK20FjPDjkg", "Ling Cheng")</f>
        <v>Ling Cheng</v>
      </c>
      <c r="C2375" s="80" t="s">
        <v>2686</v>
      </c>
      <c r="D2375" s="81" t="str">
        <f>HYPERLINK("https://youtube.com/watch?v=ju5NqWpqC50", "醬油蟹都可以開箱！？挑戰韓國配送文化底線 ｜Ling Cheng")</f>
        <v>醬油蟹都可以開箱！？挑戰韓國配送文化底線 ｜Ling Cheng</v>
      </c>
      <c r="E2375" s="82">
        <v>42806.0</v>
      </c>
      <c r="F2375" s="80">
        <v>320.0</v>
      </c>
      <c r="G2375" s="80" t="s">
        <v>63</v>
      </c>
      <c r="H2375" s="80" t="s">
        <v>63</v>
      </c>
      <c r="I2375" s="80" t="s">
        <v>63</v>
      </c>
      <c r="J2375" s="80">
        <v>402.0</v>
      </c>
      <c r="K2375" s="80">
        <v>0.949109414758269</v>
      </c>
      <c r="L2375" s="80" t="s">
        <v>1503</v>
      </c>
    </row>
    <row r="2376">
      <c r="A2376" s="80" t="s">
        <v>2687</v>
      </c>
      <c r="B2376" s="81" t="str">
        <f>HYPERLINK("https://www.youtube.com/channel/UCgSbuhAD48A7RxbvflQfdjQ", "微辣 Manner")</f>
        <v>微辣 Manner</v>
      </c>
      <c r="C2376" s="80" t="s">
        <v>2688</v>
      </c>
      <c r="D2376" s="81" t="str">
        <f>HYPERLINK("https://youtube.com/watch?v=k0MZSdVvHR4", "【我可能不會拍戲】第二期第二集：MMB組作品【我可能不會拍戲的世界】上映！導一無法無天，繼續挑戰遊戲漏洞！劇本再現神通，技驚四座！究竟導一可否承受壓力再次登頂！│微辣 Ｍanner")</f>
        <v>【我可能不會拍戲】第二期第二集：MMB組作品【我可能不會拍戲的世界】上映！導一無法無天，繼續挑戰遊戲漏洞！劇本再現神通，技驚四座！究竟導一可否承受壓力再次登頂！│微辣 Ｍanner</v>
      </c>
      <c r="E2376" s="82">
        <v>44501.0</v>
      </c>
      <c r="F2376" s="80">
        <v>1056.0</v>
      </c>
      <c r="G2376" s="80" t="s">
        <v>63</v>
      </c>
      <c r="I2376" s="80" t="s">
        <v>63</v>
      </c>
      <c r="J2376" s="80">
        <v>326.0</v>
      </c>
      <c r="K2376" s="80">
        <v>0.563039723661485</v>
      </c>
      <c r="L2376" s="80" t="s">
        <v>64</v>
      </c>
    </row>
    <row r="2377">
      <c r="A2377" s="80" t="s">
        <v>2536</v>
      </c>
      <c r="B2377" s="81" t="str">
        <f>HYPERLINK("https://www.youtube.com/channel/UCf1_EVN2qSOxiLZskBGsElA", "譚杏藍 Hana Tam")</f>
        <v>譚杏藍 Hana Tam</v>
      </c>
      <c r="C2377" s="80" t="s">
        <v>2689</v>
      </c>
      <c r="D2377" s="81" t="str">
        <f>HYPERLINK("https://youtube.com/watch?v=k5dt7Y-f7cs", "【墨爾本初體驗】YOUTUBE高峰會議！與澳洲男網友吃飯？！  (中字)")</f>
        <v>【墨爾本初體驗】YOUTUBE高峰會議！與澳洲男網友吃飯？！  (中字)</v>
      </c>
      <c r="E2377" s="82">
        <v>42987.0</v>
      </c>
      <c r="F2377" s="80">
        <v>273.0</v>
      </c>
      <c r="G2377" s="80" t="s">
        <v>63</v>
      </c>
      <c r="I2377" s="80" t="s">
        <v>63</v>
      </c>
      <c r="J2377" s="80">
        <v>1035.0</v>
      </c>
      <c r="K2377" s="80">
        <v>0.829991980753809</v>
      </c>
      <c r="L2377" s="80" t="s">
        <v>64</v>
      </c>
    </row>
    <row r="2378">
      <c r="A2378" s="80" t="s">
        <v>971</v>
      </c>
      <c r="B2378" s="81" t="str">
        <f>HYPERLINK("https://www.youtube.com/channel/UC4nsi0oM9WBNFv1RdLh3c2g", "JASON")</f>
        <v>JASON</v>
      </c>
      <c r="C2378" s="80" t="s">
        <v>2690</v>
      </c>
      <c r="D2378" s="81" t="str">
        <f>HYPERLINK("https://youtube.com/watch?v=kqN8pfEBkbQ", "【Q&amp;A】我平時睇咩YouTube頻道？")</f>
        <v>【Q&amp;A】我平時睇咩YouTube頻道？</v>
      </c>
      <c r="E2378" s="82">
        <v>42768.0</v>
      </c>
      <c r="F2378" s="80">
        <v>223.0</v>
      </c>
      <c r="G2378" s="80" t="s">
        <v>63</v>
      </c>
      <c r="I2378" s="80" t="s">
        <v>63</v>
      </c>
      <c r="J2378" s="80">
        <v>1026.0</v>
      </c>
      <c r="K2378" s="80">
        <v>0.751648351648351</v>
      </c>
      <c r="L2378" s="80" t="s">
        <v>64</v>
      </c>
    </row>
    <row r="2379">
      <c r="A2379" s="80" t="s">
        <v>2498</v>
      </c>
      <c r="B2379" s="81" t="str">
        <f>HYPERLINK("https://www.youtube.com/channel/UCd-qu6Ke0IfUTsaAQPUBFRA", "Alice Ha")</f>
        <v>Alice Ha</v>
      </c>
      <c r="C2379" s="80" t="s">
        <v>2691</v>
      </c>
      <c r="D2379" s="81" t="str">
        <f>HYPERLINK("https://youtube.com/watch?v=lFBAH6qgSoQ", "北歐瓷器家品分享 EP2 (兔子杯,酒杯,Eva Solo油瓶,Stelton矽膠剷)｜Alice Ha")</f>
        <v>北歐瓷器家品分享 EP2 (兔子杯,酒杯,Eva Solo油瓶,Stelton矽膠剷)｜Alice Ha</v>
      </c>
      <c r="E2379" s="82">
        <v>43013.0</v>
      </c>
      <c r="F2379" s="80">
        <v>533.0</v>
      </c>
      <c r="G2379" s="80" t="s">
        <v>63</v>
      </c>
      <c r="I2379" s="80" t="s">
        <v>63</v>
      </c>
      <c r="J2379" s="80">
        <v>2180.0</v>
      </c>
      <c r="K2379" s="80">
        <v>0.895645028759244</v>
      </c>
      <c r="L2379" s="80" t="s">
        <v>64</v>
      </c>
    </row>
    <row r="2380">
      <c r="A2380" s="80" t="s">
        <v>748</v>
      </c>
      <c r="B2380" s="81" t="str">
        <f>HYPERLINK("https://www.youtube.com/channel/UC_ZT2UjRiNSy1I33LEiflJQ", "撒野作風 WILDSTYLE RECORDS")</f>
        <v>撒野作風 WILDSTYLE RECORDS</v>
      </c>
      <c r="C2380" s="80" t="s">
        <v>2692</v>
      </c>
      <c r="D2380" s="81" t="str">
        <f>HYPERLINK("https://youtube.com/watch?v=lFnS10ttdJA", "GrymeMan Ft. YoungQueenz - ""孤膽 (Remix)"" [Audio]")</f>
        <v>GrymeMan Ft. YoungQueenz - "孤膽 (Remix)" [Audio]</v>
      </c>
      <c r="E2380" s="82">
        <v>43689.0</v>
      </c>
      <c r="F2380" s="80">
        <v>219.0</v>
      </c>
      <c r="G2380" s="80" t="s">
        <v>63</v>
      </c>
      <c r="I2380" s="80" t="s">
        <v>63</v>
      </c>
      <c r="J2380" s="80">
        <v>429.0</v>
      </c>
      <c r="K2380" s="80">
        <v>0.592541436464088</v>
      </c>
      <c r="L2380" s="80" t="s">
        <v>64</v>
      </c>
    </row>
    <row r="2381">
      <c r="A2381" s="80" t="s">
        <v>962</v>
      </c>
      <c r="B2381" s="81" t="str">
        <f>HYPERLINK("https://www.youtube.com/channel/UCmdnX8KiF_5ZVmJXNhOXUtw", "foursonproduction")</f>
        <v>foursonproduction</v>
      </c>
      <c r="C2381" s="80" t="s">
        <v>2693</v>
      </c>
      <c r="D2381" s="81" t="str">
        <f>HYPERLINK("https://youtube.com/watch?v=lJgIDs2ugbo", "《我的HEHE室友》S2E4：「我到底要拍什麼才有人看啊！」")</f>
        <v>《我的HEHE室友》S2E4：「我到底要拍什麼才有人看啊！」</v>
      </c>
      <c r="E2381" s="82">
        <v>44007.0</v>
      </c>
      <c r="F2381" s="80">
        <v>1072.0</v>
      </c>
      <c r="G2381" s="80" t="s">
        <v>63</v>
      </c>
      <c r="I2381" s="80" t="s">
        <v>63</v>
      </c>
      <c r="J2381" s="80">
        <v>2769.0</v>
      </c>
      <c r="K2381" s="80">
        <v>0.89351403678606</v>
      </c>
      <c r="L2381" s="80" t="s">
        <v>64</v>
      </c>
    </row>
    <row r="2382">
      <c r="A2382" s="80" t="s">
        <v>2694</v>
      </c>
      <c r="B2382" s="81" t="str">
        <f>HYPERLINK("https://www.youtube.com/channel/UC_1nPGQdXmjWGSwL8QAmQOA", "雅軒Kinki KB Lam")</f>
        <v>雅軒Kinki KB Lam</v>
      </c>
      <c r="C2382" s="80" t="s">
        <v>2695</v>
      </c>
      <c r="D2382" s="81" t="str">
        <f>HYPERLINK("https://youtube.com/watch?v=lQnYfoYQ27s", "our dream,children's dream")</f>
        <v>our dream,children's dream</v>
      </c>
      <c r="E2382" s="82">
        <v>40655.0</v>
      </c>
      <c r="F2382" s="80">
        <v>53.0</v>
      </c>
      <c r="G2382" s="80" t="s">
        <v>63</v>
      </c>
      <c r="I2382" s="80" t="s">
        <v>63</v>
      </c>
      <c r="J2382" s="80">
        <v>114.0</v>
      </c>
      <c r="K2382" s="80">
        <v>1.0</v>
      </c>
      <c r="L2382" s="80" t="s">
        <v>91</v>
      </c>
    </row>
    <row r="2383">
      <c r="A2383" s="80" t="s">
        <v>2512</v>
      </c>
      <c r="B2383" s="81" t="str">
        <f>HYPERLINK("https://www.youtube.com/channel/UC5zsYYGsHjv4GK20FjPDjkg", "Ling Cheng")</f>
        <v>Ling Cheng</v>
      </c>
      <c r="C2383" s="80" t="s">
        <v>2696</v>
      </c>
      <c r="D2383" s="81" t="str">
        <f>HYPERLINK("https://youtube.com/watch?v=lii4fdBsWNg", "我的DSE的血淚史.. 天才勿入  HKDSE｜Ling Cheng")</f>
        <v>我的DSE的血淚史.. 天才勿入  HKDSE｜Ling Cheng</v>
      </c>
      <c r="E2383" s="82">
        <v>42763.0</v>
      </c>
      <c r="F2383" s="80">
        <v>387.0</v>
      </c>
      <c r="G2383" s="80" t="s">
        <v>63</v>
      </c>
      <c r="I2383" s="80" t="s">
        <v>63</v>
      </c>
      <c r="J2383" s="80">
        <v>1885.0</v>
      </c>
      <c r="K2383" s="80">
        <v>0.890410958904109</v>
      </c>
      <c r="L2383" s="80" t="s">
        <v>521</v>
      </c>
    </row>
    <row r="2384">
      <c r="A2384" s="80" t="s">
        <v>242</v>
      </c>
      <c r="B2384" s="81" t="str">
        <f>HYPERLINK("https://www.youtube.com/channel/UCZGVB6g74LXWtkR3fX50ykg", "Edwin H.")</f>
        <v>Edwin H.</v>
      </c>
      <c r="C2384" s="80" t="s">
        <v>2697</v>
      </c>
      <c r="D2384" s="81" t="str">
        <f>HYPERLINK("https://youtube.com/watch?v=lwyzytgswiQ", "43件科技新品 📺📁💻Ep.19 | CES 2020 Part 1")</f>
        <v>43件科技新品 📺📁💻Ep.19 | CES 2020 Part 1</v>
      </c>
      <c r="E2384" s="82">
        <v>43845.0</v>
      </c>
      <c r="F2384" s="80">
        <v>1175.0</v>
      </c>
      <c r="G2384" s="80" t="s">
        <v>63</v>
      </c>
      <c r="I2384" s="80" t="s">
        <v>63</v>
      </c>
      <c r="J2384" s="80">
        <v>4197.0</v>
      </c>
      <c r="K2384" s="80">
        <v>0.76811859443631</v>
      </c>
      <c r="L2384" s="80" t="s">
        <v>64</v>
      </c>
    </row>
    <row r="2385">
      <c r="A2385" s="80" t="s">
        <v>978</v>
      </c>
      <c r="B2385" s="81" t="str">
        <f>HYPERLINK("https://www.youtube.com/channel/UCDMd6CHdLs8FoqZJoRHkJGQ", "Ray Ho")</f>
        <v>Ray Ho</v>
      </c>
      <c r="C2385" s="80" t="s">
        <v>2698</v>
      </c>
      <c r="D2385" s="81" t="str">
        <f>HYPERLINK("https://youtube.com/watch?v=m79NZNU-bbk", "【教學】咩係粵拼? 4分鐘教識你喺手機電腦用粵拼!")</f>
        <v>【教學】咩係粵拼? 4分鐘教識你喺手機電腦用粵拼!</v>
      </c>
      <c r="E2385" s="82">
        <v>43697.0</v>
      </c>
      <c r="F2385" s="80">
        <v>237.0</v>
      </c>
      <c r="G2385" s="80" t="s">
        <v>63</v>
      </c>
      <c r="I2385" s="80" t="s">
        <v>63</v>
      </c>
      <c r="J2385" s="80">
        <v>29.0</v>
      </c>
      <c r="K2385" s="80">
        <v>0.743589743589743</v>
      </c>
      <c r="L2385" s="80" t="s">
        <v>820</v>
      </c>
    </row>
    <row r="2386">
      <c r="A2386" s="80" t="s">
        <v>2699</v>
      </c>
      <c r="B2386" s="81" t="str">
        <f>HYPERLINK("https://www.youtube.com/channel/UCmi1257Mo7v4ors9-ekOq1w", "Gavinchiutalk")</f>
        <v>Gavinchiutalk</v>
      </c>
      <c r="C2386" s="80" t="s">
        <v>2700</v>
      </c>
      <c r="D2386" s="81" t="str">
        <f>HYPERLINK("https://youtube.com/watch?v=mLChF5n0smk", "《新喜劇之王》令人好尷尬？周星馳江郎才盡嗎？跟蕭若元談周星馳電影，《秘密蕭析》x《趙氏讀書生活》(附字幕）")</f>
        <v>《新喜劇之王》令人好尷尬？周星馳江郎才盡嗎？跟蕭若元談周星馳電影，《秘密蕭析》x《趙氏讀書生活》(附字幕）</v>
      </c>
      <c r="E2386" s="82">
        <v>43483.0</v>
      </c>
      <c r="F2386" s="80">
        <v>361.0</v>
      </c>
      <c r="G2386" s="80" t="s">
        <v>63</v>
      </c>
      <c r="I2386" s="80" t="s">
        <v>63</v>
      </c>
      <c r="J2386" s="80">
        <v>1147.0</v>
      </c>
      <c r="K2386" s="80">
        <v>0.993934142114384</v>
      </c>
      <c r="L2386" s="80" t="s">
        <v>64</v>
      </c>
    </row>
    <row r="2387">
      <c r="A2387" s="80" t="s">
        <v>260</v>
      </c>
      <c r="B2387" s="81" t="str">
        <f>HYPERLINK("https://www.youtube.com/channel/UC-HXOikkLx7BGEfILGIpYOg", "港短 . 英移")</f>
        <v>港短 . 英移</v>
      </c>
      <c r="C2387" s="80" t="s">
        <v>2701</v>
      </c>
      <c r="D2387" s="81" t="str">
        <f>HYPERLINK("https://youtube.com/watch?v=meS0F-TkegY", "因為有女巫??😮 | Essex地區天氣好似好好🌞 | Colchester好企理😎 | 港短.英移#HongKonger#英國移民#英國生活#英國香港人#Colchester#Essex")</f>
        <v>因為有女巫??😮 | Essex地區天氣好似好好🌞 | Colchester好企理😎 | 港短.英移#HongKonger#英國移民#英國生活#英國香港人#Colchester#Essex</v>
      </c>
      <c r="E2387" s="82">
        <v>44567.0</v>
      </c>
      <c r="F2387" s="80">
        <v>557.0</v>
      </c>
      <c r="G2387" s="80" t="s">
        <v>63</v>
      </c>
      <c r="I2387" s="80" t="s">
        <v>63</v>
      </c>
      <c r="J2387" s="80">
        <v>2009.0</v>
      </c>
      <c r="K2387" s="80">
        <v>0.740781710914454</v>
      </c>
      <c r="L2387" s="80" t="s">
        <v>102</v>
      </c>
    </row>
    <row r="2388">
      <c r="A2388" s="80" t="s">
        <v>2490</v>
      </c>
      <c r="B2388" s="81" t="str">
        <f>HYPERLINK("https://www.youtube.com/channel/UCxtXeFNKwTorEUE-vzRqj6w", "網上學習平台Beginneros")</f>
        <v>網上學習平台Beginneros</v>
      </c>
      <c r="C2388" s="80" t="s">
        <v>2702</v>
      </c>
      <c r="D2388" s="81" t="str">
        <f>HYPERLINK("https://youtube.com/watch?v=nCbbCinJFs0", "【生活教學】稱霸街市：超實用挑水果技巧｜Beginneros")</f>
        <v>【生活教學】稱霸街市：超實用挑水果技巧｜Beginneros</v>
      </c>
      <c r="E2388" s="82">
        <v>43269.0</v>
      </c>
      <c r="F2388" s="80">
        <v>494.0</v>
      </c>
      <c r="G2388" s="80" t="s">
        <v>63</v>
      </c>
      <c r="H2388" s="80" t="s">
        <v>63</v>
      </c>
      <c r="I2388" s="80" t="s">
        <v>63</v>
      </c>
      <c r="J2388" s="80">
        <v>1366.0</v>
      </c>
      <c r="K2388" s="80">
        <v>0.994901675163874</v>
      </c>
      <c r="L2388" s="80" t="s">
        <v>86</v>
      </c>
    </row>
    <row r="2389">
      <c r="A2389" s="80" t="s">
        <v>962</v>
      </c>
      <c r="B2389" s="81" t="str">
        <f>HYPERLINK("https://www.youtube.com/channel/UCmdnX8KiF_5ZVmJXNhOXUtw", "foursonproduction")</f>
        <v>foursonproduction</v>
      </c>
      <c r="C2389" s="80" t="s">
        <v>2703</v>
      </c>
      <c r="D2389" s="81" t="str">
        <f>HYPERLINK("https://youtube.com/watch?v=nsTXjqELrM4", "四仔 EP7 《集體回憶問答大賽》")</f>
        <v>四仔 EP7 《集體回憶問答大賽》</v>
      </c>
      <c r="E2389" s="82">
        <v>42826.0</v>
      </c>
      <c r="F2389" s="80">
        <v>839.0</v>
      </c>
      <c r="G2389" s="80" t="s">
        <v>63</v>
      </c>
      <c r="I2389" s="80" t="s">
        <v>63</v>
      </c>
      <c r="J2389" s="80">
        <v>1831.0</v>
      </c>
      <c r="K2389" s="80">
        <v>0.81450177935943</v>
      </c>
      <c r="L2389" s="80" t="s">
        <v>64</v>
      </c>
    </row>
    <row r="2390">
      <c r="A2390" s="80" t="s">
        <v>242</v>
      </c>
      <c r="B2390" s="81" t="str">
        <f>HYPERLINK("https://www.youtube.com/channel/UCZGVB6g74LXWtkR3fX50ykg", "Edwin H.")</f>
        <v>Edwin H.</v>
      </c>
      <c r="C2390" s="80" t="s">
        <v>2704</v>
      </c>
      <c r="D2390" s="81" t="str">
        <f>HYPERLINK("https://youtube.com/watch?v=oMc43TZ_sZs", "[中文字幕] Google 黑科技 Duplex 人工智能助理 電話真實對話 | 震撼！超像真擬人！預訂餐廳髮型屋 Google I/O Day 1")</f>
        <v>[中文字幕] Google 黑科技 Duplex 人工智能助理 電話真實對話 | 震撼！超像真擬人！預訂餐廳髮型屋 Google I/O Day 1</v>
      </c>
      <c r="E2390" s="82">
        <v>43231.0</v>
      </c>
      <c r="F2390" s="80">
        <v>542.0</v>
      </c>
      <c r="G2390" s="80" t="s">
        <v>63</v>
      </c>
      <c r="H2390" s="80" t="s">
        <v>63</v>
      </c>
      <c r="I2390" s="80" t="s">
        <v>63</v>
      </c>
      <c r="J2390" s="80">
        <v>413.0</v>
      </c>
      <c r="K2390" s="80">
        <v>0.8862660944206</v>
      </c>
      <c r="L2390" s="80" t="s">
        <v>86</v>
      </c>
    </row>
    <row r="2391">
      <c r="A2391" s="80" t="s">
        <v>2508</v>
      </c>
      <c r="B2391" s="81" t="str">
        <f>HYPERLINK("https://www.youtube.com/channel/UC0eKbQhA3WQMYatHo36y1Fg", "DS")</f>
        <v>DS</v>
      </c>
      <c r="C2391" s="80" t="s">
        <v>2705</v>
      </c>
      <c r="D2391" s="81" t="str">
        <f>HYPERLINK("https://youtube.com/watch?v=p0OlMBfEmDI", "【粵語試配】天氣之子【花音 x DS】")</f>
        <v>【粵語試配】天氣之子【花音 x DS】</v>
      </c>
      <c r="E2391" s="82">
        <v>43770.0</v>
      </c>
      <c r="F2391" s="80">
        <v>171.0</v>
      </c>
      <c r="G2391" s="80" t="s">
        <v>63</v>
      </c>
      <c r="I2391" s="80" t="s">
        <v>63</v>
      </c>
      <c r="J2391" s="80">
        <v>646.0</v>
      </c>
      <c r="K2391" s="80">
        <v>0.867114093959731</v>
      </c>
      <c r="L2391" s="80" t="s">
        <v>64</v>
      </c>
    </row>
    <row r="2392">
      <c r="A2392" s="80" t="s">
        <v>96</v>
      </c>
      <c r="B2392" s="81" t="str">
        <f>HYPERLINK("https://www.youtube.com/channel/UCGtyHJ-L_4RDIHe3XaLofQQ", "Anson Cheung")</f>
        <v>Anson Cheung</v>
      </c>
      <c r="C2392" s="80" t="s">
        <v>2706</v>
      </c>
      <c r="D2392" s="81" t="str">
        <f>HYPERLINK("https://youtube.com/watch?v=p5Q6RlU-6R0", "Samsung Galaxy S21 FE 試玩評測：五千蚊「輕旗艦」 與S21同門較量？｜Samsung Galaxy S21 FE Impression")</f>
        <v>Samsung Galaxy S21 FE 試玩評測：五千蚊「輕旗艦」 與S21同門較量？｜Samsung Galaxy S21 FE Impression</v>
      </c>
      <c r="E2392" s="82">
        <v>44568.0</v>
      </c>
      <c r="F2392" s="80">
        <v>537.0</v>
      </c>
      <c r="G2392" s="80" t="s">
        <v>63</v>
      </c>
      <c r="I2392" s="80" t="s">
        <v>63</v>
      </c>
      <c r="J2392" s="80">
        <v>1875.0</v>
      </c>
      <c r="K2392" s="80">
        <v>0.692392909896602</v>
      </c>
      <c r="L2392" s="80" t="s">
        <v>64</v>
      </c>
    </row>
    <row r="2393">
      <c r="A2393" s="80" t="s">
        <v>962</v>
      </c>
      <c r="B2393" s="81" t="str">
        <f>HYPERLINK("https://www.youtube.com/channel/UCmdnX8KiF_5ZVmJXNhOXUtw", "foursonproduction")</f>
        <v>foursonproduction</v>
      </c>
      <c r="C2393" s="80" t="s">
        <v>2707</v>
      </c>
      <c r="D2393" s="81" t="str">
        <f>HYPERLINK("https://youtube.com/watch?v=p7ac0neoxmk", "短篇處境喜劇《我的HEHE室友》 S1E8 ：「我到時會早啲到架喇。」")</f>
        <v>短篇處境喜劇《我的HEHE室友》 S1E8 ：「我到時會早啲到架喇。」</v>
      </c>
      <c r="E2393" s="82">
        <v>43477.0</v>
      </c>
      <c r="F2393" s="80">
        <v>464.0</v>
      </c>
      <c r="G2393" s="80" t="s">
        <v>63</v>
      </c>
      <c r="I2393" s="80" t="s">
        <v>63</v>
      </c>
      <c r="J2393" s="80">
        <v>1098.0</v>
      </c>
      <c r="K2393" s="80">
        <v>0.927364864864864</v>
      </c>
      <c r="L2393" s="80" t="s">
        <v>64</v>
      </c>
    </row>
    <row r="2394">
      <c r="A2394" s="80" t="s">
        <v>2490</v>
      </c>
      <c r="B2394" s="81" t="str">
        <f>HYPERLINK("https://www.youtube.com/channel/UCxtXeFNKwTorEUE-vzRqj6w", "網上學習平台Beginneros")</f>
        <v>網上學習平台Beginneros</v>
      </c>
      <c r="C2394" s="80" t="s">
        <v>2708</v>
      </c>
      <c r="D2394" s="81" t="str">
        <f>HYPERLINK("https://youtube.com/watch?v=pRFyaDHq3i0", "【氣球教學】扭出卡通造型氣球：比卡超 Pikachu｜Beginneros")</f>
        <v>【氣球教學】扭出卡通造型氣球：比卡超 Pikachu｜Beginneros</v>
      </c>
      <c r="E2394" s="82">
        <v>43183.0</v>
      </c>
      <c r="F2394" s="80">
        <v>333.0</v>
      </c>
      <c r="G2394" s="80" t="s">
        <v>63</v>
      </c>
      <c r="H2394" s="80" t="s">
        <v>63</v>
      </c>
      <c r="I2394" s="80" t="s">
        <v>63</v>
      </c>
      <c r="J2394" s="80">
        <v>411.0</v>
      </c>
      <c r="K2394" s="80">
        <v>1.0</v>
      </c>
      <c r="L2394" s="80" t="s">
        <v>86</v>
      </c>
    </row>
    <row r="2395">
      <c r="A2395" s="80" t="s">
        <v>242</v>
      </c>
      <c r="B2395" s="81" t="str">
        <f t="shared" ref="B2395:B2396" si="118">HYPERLINK("https://www.youtube.com/channel/UCZGVB6g74LXWtkR3fX50ykg", "Edwin H.")</f>
        <v>Edwin H.</v>
      </c>
      <c r="C2395" s="80" t="s">
        <v>2709</v>
      </c>
      <c r="D2395" s="81" t="str">
        <f>HYPERLINK("https://youtube.com/watch?v=pXj_weFh9Mg", "28款必睇科技新品📸⏲Ep.14 | 8月2019")</f>
        <v>28款必睇科技新品📸⏲Ep.14 | 8月2019</v>
      </c>
      <c r="E2395" s="82">
        <v>43714.0</v>
      </c>
      <c r="F2395" s="80">
        <v>1303.0</v>
      </c>
      <c r="G2395" s="80" t="s">
        <v>63</v>
      </c>
      <c r="I2395" s="80" t="s">
        <v>63</v>
      </c>
      <c r="J2395" s="80">
        <v>3990.0</v>
      </c>
      <c r="K2395" s="80">
        <v>0.734400883489784</v>
      </c>
      <c r="L2395" s="80" t="s">
        <v>64</v>
      </c>
    </row>
    <row r="2396">
      <c r="A2396" s="80" t="s">
        <v>242</v>
      </c>
      <c r="B2396" s="81" t="str">
        <f t="shared" si="118"/>
        <v>Edwin H.</v>
      </c>
      <c r="C2396" s="80" t="s">
        <v>2710</v>
      </c>
      <c r="D2396" s="81" t="str">
        <f>HYPERLINK("https://youtube.com/watch?v=pcQEC8O3l4Q", "30個你要留意的科技新品！10月2018 - Part 2")</f>
        <v>30個你要留意的科技新品！10月2018 - Part 2</v>
      </c>
      <c r="E2396" s="82">
        <v>43410.0</v>
      </c>
      <c r="F2396" s="80">
        <v>927.0</v>
      </c>
      <c r="G2396" s="80" t="s">
        <v>63</v>
      </c>
      <c r="I2396" s="80" t="s">
        <v>63</v>
      </c>
      <c r="J2396" s="80">
        <v>2921.0</v>
      </c>
      <c r="K2396" s="80">
        <v>0.732447342026078</v>
      </c>
      <c r="L2396" s="80" t="s">
        <v>64</v>
      </c>
    </row>
    <row r="2397">
      <c r="A2397" s="80" t="s">
        <v>2585</v>
      </c>
      <c r="B2397" s="81" t="str">
        <f>HYPERLINK("https://www.youtube.com/channel/UCyyruuN0VecuYxPNR4un88Q", "混血肥仔")</f>
        <v>混血肥仔</v>
      </c>
      <c r="C2397" s="80" t="s">
        <v>2711</v>
      </c>
      <c r="D2397" s="81" t="str">
        <f>HYPERLINK("https://youtube.com/watch?v=pfvi_60ENCo", "🛏️我和她在酒店的5小時 | 😲全港最平酒店經驗 🏨")</f>
        <v>🛏️我和她在酒店的5小時 | 😲全港最平酒店經驗 🏨</v>
      </c>
      <c r="E2397" s="82">
        <v>44458.0</v>
      </c>
      <c r="F2397" s="80">
        <v>784.0</v>
      </c>
      <c r="G2397" s="80" t="s">
        <v>63</v>
      </c>
      <c r="I2397" s="80" t="s">
        <v>63</v>
      </c>
      <c r="J2397" s="80">
        <v>1645.0</v>
      </c>
      <c r="K2397" s="80">
        <v>0.927282976324689</v>
      </c>
      <c r="L2397" s="80" t="s">
        <v>64</v>
      </c>
    </row>
    <row r="2398">
      <c r="A2398" s="80" t="s">
        <v>748</v>
      </c>
      <c r="B2398" s="81" t="str">
        <f>HYPERLINK("https://www.youtube.com/channel/UC_ZT2UjRiNSy1I33LEiflJQ", "撒野作風 WILDSTYLE RECORDS")</f>
        <v>撒野作風 WILDSTYLE RECORDS</v>
      </c>
      <c r="C2398" s="80" t="s">
        <v>2712</v>
      </c>
      <c r="D2398" s="81" t="str">
        <f>HYPERLINK("https://youtube.com/watch?v=qwPhGnawwec", "Matt Force ft. N.O.L.Y - ""All I Need Is...""  [Audio]")</f>
        <v>Matt Force ft. N.O.L.Y - "All I Need Is..."  [Audio]</v>
      </c>
      <c r="E2398" s="82">
        <v>43592.0</v>
      </c>
      <c r="F2398" s="80">
        <v>246.0</v>
      </c>
      <c r="G2398" s="80" t="s">
        <v>63</v>
      </c>
      <c r="I2398" s="80" t="s">
        <v>63</v>
      </c>
      <c r="J2398" s="80">
        <v>409.0</v>
      </c>
      <c r="K2398" s="80">
        <v>0.342546063651591</v>
      </c>
      <c r="L2398" s="80" t="s">
        <v>64</v>
      </c>
    </row>
    <row r="2399">
      <c r="A2399" s="80" t="s">
        <v>2694</v>
      </c>
      <c r="B2399" s="81" t="str">
        <f>HYPERLINK("https://www.youtube.com/channel/UC_1nPGQdXmjWGSwL8QAmQOA", "雅軒Kinki KB Lam")</f>
        <v>雅軒Kinki KB Lam</v>
      </c>
      <c r="C2399" s="80" t="s">
        <v>2713</v>
      </c>
      <c r="D2399" s="81" t="str">
        <f>HYPERLINK("https://youtube.com/watch?v=r6u1OL8vDEI", "銅鑼灣老字號茶記 巨型皇袍滑蛋飯Ep.27▲雅軒漫遊食盡香港18區[[中字]]")</f>
        <v>銅鑼灣老字號茶記 巨型皇袍滑蛋飯Ep.27▲雅軒漫遊食盡香港18區[[中字]]</v>
      </c>
      <c r="E2399" s="82">
        <v>43286.0</v>
      </c>
      <c r="F2399" s="80">
        <v>224.0</v>
      </c>
      <c r="G2399" s="80" t="s">
        <v>63</v>
      </c>
      <c r="I2399" s="80" t="s">
        <v>63</v>
      </c>
      <c r="J2399" s="80">
        <v>885.0</v>
      </c>
      <c r="K2399" s="80">
        <v>0.96933187294633</v>
      </c>
      <c r="L2399" s="80" t="s">
        <v>64</v>
      </c>
    </row>
    <row r="2400">
      <c r="A2400" s="80" t="s">
        <v>242</v>
      </c>
      <c r="B2400" s="81" t="str">
        <f t="shared" ref="B2400:B2401" si="119">HYPERLINK("https://www.youtube.com/channel/UCZGVB6g74LXWtkR3fX50ykg", "Edwin H.")</f>
        <v>Edwin H.</v>
      </c>
      <c r="C2400" s="80" t="s">
        <v>2714</v>
      </c>
      <c r="D2400" s="81" t="str">
        <f>HYPERLINK("https://youtube.com/watch?v=rJJOWAc-1Fo", "👻穿牆？5個Mesh WiFi你必須知道的事  (netgear orbi)")</f>
        <v>👻穿牆？5個Mesh WiFi你必須知道的事  (netgear orbi)</v>
      </c>
      <c r="E2400" s="82">
        <v>43609.0</v>
      </c>
      <c r="F2400" s="80">
        <v>475.0</v>
      </c>
      <c r="G2400" s="80" t="s">
        <v>63</v>
      </c>
      <c r="I2400" s="80" t="s">
        <v>63</v>
      </c>
      <c r="J2400" s="80">
        <v>1577.0</v>
      </c>
      <c r="K2400" s="80">
        <v>0.70685791125056</v>
      </c>
      <c r="L2400" s="80" t="s">
        <v>64</v>
      </c>
    </row>
    <row r="2401">
      <c r="A2401" s="80" t="s">
        <v>242</v>
      </c>
      <c r="B2401" s="81" t="str">
        <f t="shared" si="119"/>
        <v>Edwin H.</v>
      </c>
      <c r="C2401" s="80" t="s">
        <v>2715</v>
      </c>
      <c r="D2401" s="81" t="str">
        <f>HYPERLINK("https://youtube.com/watch?v=rboYPaqqy4E", "滑雪不必需要""它""？10個去輕井澤滑雪必須要知的事")</f>
        <v>滑雪不必需要"它"？10個去輕井澤滑雪必須要知的事</v>
      </c>
      <c r="E2401" s="82">
        <v>43452.0</v>
      </c>
      <c r="F2401" s="80">
        <v>960.0</v>
      </c>
      <c r="G2401" s="80" t="s">
        <v>63</v>
      </c>
      <c r="I2401" s="80" t="s">
        <v>63</v>
      </c>
      <c r="J2401" s="80">
        <v>3219.0</v>
      </c>
      <c r="K2401" s="80">
        <v>0.922085362360355</v>
      </c>
      <c r="L2401" s="80" t="s">
        <v>64</v>
      </c>
    </row>
    <row r="2402">
      <c r="A2402" s="80" t="s">
        <v>2716</v>
      </c>
      <c r="B2402" s="81" t="str">
        <f>HYPERLINK("https://www.youtube.com/channel/UC1bjU1Xe0pdyq-rOjQf6Ecg", "HeyJenniFA")</f>
        <v>HeyJenniFA</v>
      </c>
      <c r="C2402" s="80" t="s">
        <v>2717</v>
      </c>
      <c r="D2402" s="81" t="str">
        <f>HYPERLINK("https://youtube.com/watch?v=s4GMbMK_Erk", "【實測】超水感完美粉底？全高清妝容？TEMPTU AIR 噴槍化妝粉底8小時實測及第一印象｜HeyJenniFa")</f>
        <v>【實測】超水感完美粉底？全高清妝容？TEMPTU AIR 噴槍化妝粉底8小時實測及第一印象｜HeyJenniFa</v>
      </c>
      <c r="E2402" s="82">
        <v>42789.0</v>
      </c>
      <c r="F2402" s="80">
        <v>1355.0</v>
      </c>
      <c r="G2402" s="80" t="s">
        <v>63</v>
      </c>
      <c r="I2402" s="80" t="s">
        <v>63</v>
      </c>
      <c r="J2402" s="80">
        <v>2595.0</v>
      </c>
      <c r="K2402" s="80">
        <v>0.887786520697913</v>
      </c>
      <c r="L2402" s="80" t="s">
        <v>745</v>
      </c>
    </row>
    <row r="2403">
      <c r="A2403" s="80" t="s">
        <v>971</v>
      </c>
      <c r="B2403" s="81" t="str">
        <f>HYPERLINK("https://www.youtube.com/channel/UC4nsi0oM9WBNFv1RdLh3c2g", "JASON")</f>
        <v>JASON</v>
      </c>
      <c r="C2403" s="80" t="s">
        <v>2718</v>
      </c>
      <c r="D2403" s="81" t="str">
        <f>HYPERLINK("https://youtube.com/watch?v=sMpF5O6VzLw", "我唔識揸筷子...")</f>
        <v>我唔識揸筷子...</v>
      </c>
      <c r="E2403" s="82">
        <v>42638.0</v>
      </c>
      <c r="F2403" s="80">
        <v>295.0</v>
      </c>
      <c r="G2403" s="80" t="s">
        <v>63</v>
      </c>
      <c r="H2403" s="80" t="s">
        <v>63</v>
      </c>
      <c r="I2403" s="80" t="s">
        <v>63</v>
      </c>
      <c r="J2403" s="80">
        <v>1548.0</v>
      </c>
      <c r="K2403" s="80">
        <v>0.97962648556876</v>
      </c>
      <c r="L2403" s="80" t="s">
        <v>271</v>
      </c>
    </row>
    <row r="2404">
      <c r="A2404" s="80" t="s">
        <v>748</v>
      </c>
      <c r="B2404" s="81" t="str">
        <f>HYPERLINK("https://www.youtube.com/channel/UC_ZT2UjRiNSy1I33LEiflJQ", "撒野作風 WILDSTYLE RECORDS")</f>
        <v>撒野作風 WILDSTYLE RECORDS</v>
      </c>
      <c r="C2404" s="80" t="s">
        <v>2719</v>
      </c>
      <c r="D2404" s="81" t="str">
        <f>HYPERLINK("https://youtube.com/watch?v=t8TXG7Wpq1M", "YoungQueenz, N.O.L.Y ft. 柒羊 - ""一丿Yat Pit"" (Prod. by Floyd Cheung, GrymeMan) [Official Video]")</f>
        <v>YoungQueenz, N.O.L.Y ft. 柒羊 - "一丿Yat Pit" (Prod. by Floyd Cheung, GrymeMan) [Official Video]</v>
      </c>
      <c r="E2404" s="82">
        <v>43046.0</v>
      </c>
      <c r="F2404" s="80">
        <v>233.0</v>
      </c>
      <c r="G2404" s="80" t="s">
        <v>63</v>
      </c>
      <c r="I2404" s="80" t="s">
        <v>63</v>
      </c>
      <c r="J2404" s="80">
        <v>103.0</v>
      </c>
      <c r="K2404" s="80">
        <v>0.436440677966101</v>
      </c>
      <c r="L2404" s="80" t="s">
        <v>521</v>
      </c>
    </row>
    <row r="2405">
      <c r="A2405" s="80" t="s">
        <v>2720</v>
      </c>
      <c r="B2405" s="81" t="str">
        <f>HYPERLINK("https://www.youtube.com/channel/UCHQoZ0_MHDXIgWeRvPTLTJw", "Pomato 小薯茄")</f>
        <v>Pomato 小薯茄</v>
      </c>
      <c r="C2405" s="80" t="s">
        <v>2721</v>
      </c>
      <c r="D2405" s="81" t="str">
        <f>HYPERLINK("https://youtube.com/watch?v=tuuZH8bjsJI", "中學聖誕歌唱比賽一定會唱的歌｜Pomato 小薯茄")</f>
        <v>中學聖誕歌唱比賽一定會唱的歌｜Pomato 小薯茄</v>
      </c>
      <c r="E2405" s="82">
        <v>43099.0</v>
      </c>
      <c r="F2405" s="80">
        <v>583.0</v>
      </c>
      <c r="G2405" s="80" t="s">
        <v>63</v>
      </c>
      <c r="I2405" s="80" t="s">
        <v>63</v>
      </c>
      <c r="J2405" s="80">
        <v>1770.0</v>
      </c>
      <c r="K2405" s="80">
        <v>0.917573872472783</v>
      </c>
      <c r="L2405" s="80" t="s">
        <v>64</v>
      </c>
    </row>
    <row r="2406">
      <c r="A2406" s="80" t="s">
        <v>2585</v>
      </c>
      <c r="B2406" s="81" t="str">
        <f>HYPERLINK("https://www.youtube.com/channel/UCyyruuN0VecuYxPNR4un88Q", "混血肥仔")</f>
        <v>混血肥仔</v>
      </c>
      <c r="C2406" s="80" t="s">
        <v>2722</v>
      </c>
      <c r="D2406" s="81" t="str">
        <f>HYPERLINK("https://youtube.com/watch?v=uuUTEixOc30", "港女 尖叫 第一次👄  | 一路向北識女仔 #03")</f>
        <v>港女 尖叫 第一次👄  | 一路向北識女仔 #03</v>
      </c>
      <c r="E2406" s="82">
        <v>44566.0</v>
      </c>
      <c r="F2406" s="80">
        <v>810.0</v>
      </c>
      <c r="G2406" s="80" t="s">
        <v>63</v>
      </c>
      <c r="I2406" s="80" t="s">
        <v>63</v>
      </c>
      <c r="J2406" s="80">
        <v>2178.0</v>
      </c>
      <c r="K2406" s="80">
        <v>0.882853668423186</v>
      </c>
      <c r="L2406" s="80" t="s">
        <v>64</v>
      </c>
    </row>
    <row r="2407">
      <c r="A2407" s="80" t="s">
        <v>2694</v>
      </c>
      <c r="B2407" s="81" t="str">
        <f>HYPERLINK("https://www.youtube.com/channel/UC_1nPGQdXmjWGSwL8QAmQOA", "雅軒Kinki KB Lam")</f>
        <v>雅軒Kinki KB Lam</v>
      </c>
      <c r="C2407" s="80" t="s">
        <v>2723</v>
      </c>
      <c r="D2407" s="81" t="str">
        <f>HYPERLINK("https://youtube.com/watch?v=vXThUftzWZY", "【一周年: 食麥當勞最巨型漢堡】▲雅軒▲美食●香港金鐘")</f>
        <v>【一周年: 食麥當勞最巨型漢堡】▲雅軒▲美食●香港金鐘</v>
      </c>
      <c r="E2407" s="82">
        <v>42846.0</v>
      </c>
      <c r="F2407" s="80">
        <v>323.0</v>
      </c>
      <c r="G2407" s="80" t="s">
        <v>63</v>
      </c>
      <c r="I2407" s="80" t="s">
        <v>63</v>
      </c>
      <c r="J2407" s="80">
        <v>646.0</v>
      </c>
      <c r="K2407" s="80">
        <v>0.775510204081632</v>
      </c>
      <c r="L2407" s="80" t="s">
        <v>64</v>
      </c>
    </row>
    <row r="2408">
      <c r="A2408" s="80" t="s">
        <v>748</v>
      </c>
      <c r="B2408" s="81" t="str">
        <f>HYPERLINK("https://www.youtube.com/channel/UC_ZT2UjRiNSy1I33LEiflJQ", "撒野作風 WILDSTYLE RECORDS")</f>
        <v>撒野作風 WILDSTYLE RECORDS</v>
      </c>
      <c r="C2408" s="80" t="s">
        <v>2724</v>
      </c>
      <c r="D2408" s="81" t="str">
        <f>HYPERLINK("https://youtube.com/watch?v=voU1DufVXF0", "Matt Force - ""告別"" (Official Video)")</f>
        <v>Matt Force - "告別" (Official Video)</v>
      </c>
      <c r="E2408" s="82">
        <v>43658.0</v>
      </c>
      <c r="F2408" s="80">
        <v>239.0</v>
      </c>
      <c r="G2408" s="80" t="s">
        <v>63</v>
      </c>
      <c r="I2408" s="80" t="s">
        <v>63</v>
      </c>
      <c r="J2408" s="80">
        <v>694.0</v>
      </c>
      <c r="K2408" s="80">
        <v>0.800461361014994</v>
      </c>
      <c r="L2408" s="80" t="s">
        <v>2725</v>
      </c>
    </row>
    <row r="2409">
      <c r="A2409" s="80" t="s">
        <v>242</v>
      </c>
      <c r="B2409" s="81" t="str">
        <f>HYPERLINK("https://www.youtube.com/channel/UCZGVB6g74LXWtkR3fX50ykg", "Edwin H.")</f>
        <v>Edwin H.</v>
      </c>
      <c r="C2409" s="80" t="s">
        <v>2726</v>
      </c>
      <c r="D2409" s="81" t="str">
        <f>HYPERLINK("https://youtube.com/watch?v=wD8qFoEL6Aw", "9分鐘講完行程 五日東京市內+近郊之旅 芝櫻祭 江之島 新宿上野 自由行")</f>
        <v>9分鐘講完行程 五日東京市內+近郊之旅 芝櫻祭 江之島 新宿上野 自由行</v>
      </c>
      <c r="E2409" s="82">
        <v>43132.0</v>
      </c>
      <c r="F2409" s="80">
        <v>568.0</v>
      </c>
      <c r="G2409" s="80" t="s">
        <v>63</v>
      </c>
      <c r="I2409" s="80" t="s">
        <v>63</v>
      </c>
      <c r="J2409" s="80">
        <v>1701.0</v>
      </c>
      <c r="K2409" s="80">
        <v>0.87680412371134</v>
      </c>
      <c r="L2409" s="80" t="s">
        <v>64</v>
      </c>
    </row>
    <row r="2410">
      <c r="A2410" s="80" t="s">
        <v>962</v>
      </c>
      <c r="B2410" s="81" t="str">
        <f>HYPERLINK("https://www.youtube.com/channel/UCmdnX8KiF_5ZVmJXNhOXUtw", "foursonproduction")</f>
        <v>foursonproduction</v>
      </c>
      <c r="C2410" s="80" t="s">
        <v>2727</v>
      </c>
      <c r="D2410" s="81" t="str">
        <f>HYPERLINK("https://youtube.com/watch?v=wDrWKFSTmkg", "《我的HEHE室友》S2E5：「就說了直男之間也可以很親密吧。」")</f>
        <v>《我的HEHE室友》S2E5：「就說了直男之間也可以很親密吧。」</v>
      </c>
      <c r="E2410" s="82">
        <v>44025.0</v>
      </c>
      <c r="F2410" s="80">
        <v>712.0</v>
      </c>
      <c r="G2410" s="80" t="s">
        <v>63</v>
      </c>
      <c r="I2410" s="80" t="s">
        <v>63</v>
      </c>
      <c r="J2410" s="80">
        <v>1931.0</v>
      </c>
      <c r="K2410" s="80">
        <v>0.933301111648139</v>
      </c>
      <c r="L2410" s="80" t="s">
        <v>64</v>
      </c>
    </row>
    <row r="2411">
      <c r="A2411" s="80" t="s">
        <v>242</v>
      </c>
      <c r="B2411" s="81" t="str">
        <f>HYPERLINK("https://www.youtube.com/channel/UCZGVB6g74LXWtkR3fX50ykg", "Edwin H.")</f>
        <v>Edwin H.</v>
      </c>
      <c r="C2411" s="80" t="s">
        <v>2728</v>
      </c>
      <c r="D2411" s="81" t="str">
        <f>HYPERLINK("https://youtube.com/watch?v=wDwFmt6HuIY", "🔥🔥2018年10大最佳科技新品🔥🔥🔥🔥🔥🔥🔥🔥🔥")</f>
        <v>🔥🔥2018年10大最佳科技新品🔥🔥🔥🔥🔥🔥🔥🔥🔥</v>
      </c>
      <c r="E2411" s="82">
        <v>43464.0</v>
      </c>
      <c r="F2411" s="80">
        <v>520.0</v>
      </c>
      <c r="G2411" s="80" t="s">
        <v>63</v>
      </c>
      <c r="I2411" s="80" t="s">
        <v>63</v>
      </c>
      <c r="J2411" s="80">
        <v>1716.0</v>
      </c>
      <c r="K2411" s="80">
        <v>0.774368231046931</v>
      </c>
      <c r="L2411" s="80" t="s">
        <v>86</v>
      </c>
    </row>
    <row r="2412">
      <c r="A2412" s="80" t="s">
        <v>2498</v>
      </c>
      <c r="B2412" s="81" t="str">
        <f>HYPERLINK("https://www.youtube.com/channel/UCd-qu6Ke0IfUTsaAQPUBFRA", "Alice Ha")</f>
        <v>Alice Ha</v>
      </c>
      <c r="C2412" s="80" t="s">
        <v>2729</v>
      </c>
      <c r="D2412" s="81" t="str">
        <f>HYPERLINK("https://youtube.com/watch?v=wFfHYD3xWd4", "超容易！露營A4紙箱烤雞教學｜爆笑露營Vlog｜Alice Ha")</f>
        <v>超容易！露營A4紙箱烤雞教學｜爆笑露營Vlog｜Alice Ha</v>
      </c>
      <c r="E2412" s="82">
        <v>43042.0</v>
      </c>
      <c r="F2412" s="80">
        <v>514.0</v>
      </c>
      <c r="G2412" s="80" t="s">
        <v>63</v>
      </c>
      <c r="I2412" s="80" t="s">
        <v>63</v>
      </c>
      <c r="J2412" s="80">
        <v>1433.0</v>
      </c>
      <c r="K2412" s="80">
        <v>0.954061251664447</v>
      </c>
      <c r="L2412" s="80" t="s">
        <v>64</v>
      </c>
    </row>
    <row r="2413">
      <c r="A2413" s="80" t="s">
        <v>242</v>
      </c>
      <c r="B2413" s="81" t="str">
        <f>HYPERLINK("https://www.youtube.com/channel/UCZGVB6g74LXWtkR3fX50ykg", "Edwin H.")</f>
        <v>Edwin H.</v>
      </c>
      <c r="C2413" s="80" t="s">
        <v>2730</v>
      </c>
      <c r="D2413" s="81" t="str">
        <f>HYPERLINK("https://youtube.com/watch?v=wLDQTyhgKA4", "王牌！SONY WH-1000XM4 主動降噪無線藍牙耳機 終極評測")</f>
        <v>王牌！SONY WH-1000XM4 主動降噪無線藍牙耳機 終極評測</v>
      </c>
      <c r="E2413" s="82">
        <v>44195.0</v>
      </c>
      <c r="F2413" s="80">
        <v>626.0</v>
      </c>
      <c r="G2413" s="80" t="s">
        <v>63</v>
      </c>
      <c r="I2413" s="80" t="s">
        <v>63</v>
      </c>
      <c r="J2413" s="80">
        <v>1967.0</v>
      </c>
      <c r="K2413" s="80">
        <v>0.77532518722901</v>
      </c>
      <c r="L2413" s="80" t="s">
        <v>64</v>
      </c>
    </row>
    <row r="2414">
      <c r="A2414" s="80" t="s">
        <v>306</v>
      </c>
      <c r="B2414" s="81" t="str">
        <f>HYPERLINK("https://www.youtube.com/channel/UCMIcGwp4ssZHqz-nSbkO0yw", "Yuet Lab 粵語詞𢑥研究所")</f>
        <v>Yuet Lab 粵語詞𢑥研究所</v>
      </c>
      <c r="C2414" s="80" t="s">
        <v>2731</v>
      </c>
      <c r="D2414" s="81" t="str">
        <f>HYPERLINK("https://youtube.com/watch?v=wssLmj7_9aI", "粵語詞彙研究所 - 記認")</f>
        <v>粵語詞彙研究所 - 記認</v>
      </c>
      <c r="E2414" s="82">
        <v>44564.0</v>
      </c>
      <c r="F2414" s="80">
        <v>179.0</v>
      </c>
      <c r="G2414" s="80" t="s">
        <v>63</v>
      </c>
      <c r="I2414" s="80" t="s">
        <v>63</v>
      </c>
      <c r="J2414" s="80">
        <v>612.0</v>
      </c>
      <c r="K2414" s="80">
        <v>0.97452229299363</v>
      </c>
      <c r="L2414" s="80" t="s">
        <v>102</v>
      </c>
    </row>
    <row r="2415">
      <c r="A2415" s="80" t="s">
        <v>2530</v>
      </c>
      <c r="B2415" s="81" t="str">
        <f>HYPERLINK("https://www.youtube.com/channel/UClMVl1_PFbycHqKVCI70H5g", "CinCandy Sisters")</f>
        <v>CinCandy Sisters</v>
      </c>
      <c r="C2415" s="80" t="s">
        <v>2732</v>
      </c>
      <c r="D2415" s="81" t="str">
        <f>HYPERLINK("https://youtube.com/watch?v=x-FWB-Y_aIo", "如何用iphone作驚喜把姐姐當場嚇呆了？ how to surprise my sister with an iphone | CinCandy Sisters")</f>
        <v>如何用iphone作驚喜把姐姐當場嚇呆了？ how to surprise my sister with an iphone | CinCandy Sisters</v>
      </c>
      <c r="E2415" s="82">
        <v>43066.0</v>
      </c>
      <c r="F2415" s="80">
        <v>220.0</v>
      </c>
      <c r="G2415" s="80" t="s">
        <v>63</v>
      </c>
      <c r="H2415" s="80" t="s">
        <v>63</v>
      </c>
      <c r="I2415" s="80" t="s">
        <v>63</v>
      </c>
      <c r="J2415" s="80">
        <v>371.0</v>
      </c>
      <c r="K2415" s="80">
        <v>0.796137339055794</v>
      </c>
      <c r="L2415" s="80" t="s">
        <v>86</v>
      </c>
    </row>
    <row r="2416">
      <c r="A2416" s="80" t="s">
        <v>242</v>
      </c>
      <c r="B2416" s="81" t="str">
        <f>HYPERLINK("https://www.youtube.com/channel/UCZGVB6g74LXWtkR3fX50ykg", "Edwin H.")</f>
        <v>Edwin H.</v>
      </c>
      <c r="C2416" s="80" t="s">
        <v>2733</v>
      </c>
      <c r="D2416" s="81" t="str">
        <f>HYPERLINK("https://youtube.com/watch?v=x6Lh1oM7FNQ", "唔好買...住?🤔🤨DJI Osmo Pocket vs GoPro 開箱評測及比較 | GoPro Hero 7 三個月後追評")</f>
        <v>唔好買...住?🤔🤨DJI Osmo Pocket vs GoPro 開箱評測及比較 | GoPro Hero 7 三個月後追評</v>
      </c>
      <c r="E2416" s="82">
        <v>43504.0</v>
      </c>
      <c r="F2416" s="80">
        <v>873.0</v>
      </c>
      <c r="G2416" s="80" t="s">
        <v>63</v>
      </c>
      <c r="I2416" s="80" t="s">
        <v>63</v>
      </c>
      <c r="J2416" s="80">
        <v>2683.0</v>
      </c>
      <c r="K2416" s="80">
        <v>0.772753456221198</v>
      </c>
      <c r="L2416" s="80" t="s">
        <v>86</v>
      </c>
    </row>
    <row r="2417">
      <c r="A2417" s="80" t="s">
        <v>960</v>
      </c>
      <c r="B2417" s="81" t="str">
        <f>HYPERLINK("https://www.youtube.com/channel/UCXf8jlTSP9kp6g4ROCfgvbQ", "堅離地球・沈旭暉・馮智政")</f>
        <v>堅離地球・沈旭暉・馮智政</v>
      </c>
      <c r="C2417" s="80" t="s">
        <v>2734</v>
      </c>
      <c r="D2417" s="81" t="str">
        <f>HYPERLINK("https://youtube.com/watch?v=xG80dhRUrgA", "【萬國時空．沈旭暉 011】解構一國兩制 #05：瓦解精英共識的互聯網時代：假如《中英聯合聲明》出現在2020年")</f>
        <v>【萬國時空．沈旭暉 011】解構一國兩制 #05：瓦解精英共識的互聯網時代：假如《中英聯合聲明》出現在2020年</v>
      </c>
      <c r="E2417" s="82">
        <v>43968.0</v>
      </c>
      <c r="F2417" s="80">
        <v>241.0</v>
      </c>
      <c r="G2417" s="80" t="s">
        <v>63</v>
      </c>
      <c r="I2417" s="80" t="s">
        <v>63</v>
      </c>
      <c r="J2417" s="80">
        <v>1087.0</v>
      </c>
      <c r="K2417" s="80">
        <v>0.867517956903431</v>
      </c>
      <c r="L2417" s="80" t="s">
        <v>2345</v>
      </c>
    </row>
    <row r="2418">
      <c r="A2418" s="80" t="s">
        <v>971</v>
      </c>
      <c r="B2418" s="81" t="str">
        <f>HYPERLINK("https://www.youtube.com/channel/UC4nsi0oM9WBNFv1RdLh3c2g", "JASON")</f>
        <v>JASON</v>
      </c>
      <c r="C2418" s="80" t="s">
        <v>2735</v>
      </c>
      <c r="D2418" s="81" t="str">
        <f>HYPERLINK("https://youtube.com/watch?v=xWg26DfuUZc", "日本聖誕特別版可樂！")</f>
        <v>日本聖誕特別版可樂！</v>
      </c>
      <c r="E2418" s="82">
        <v>42717.0</v>
      </c>
      <c r="F2418" s="80">
        <v>129.0</v>
      </c>
      <c r="G2418" s="80" t="s">
        <v>63</v>
      </c>
      <c r="H2418" s="80" t="s">
        <v>63</v>
      </c>
      <c r="I2418" s="80" t="s">
        <v>63</v>
      </c>
      <c r="J2418" s="80">
        <v>662.0</v>
      </c>
      <c r="K2418" s="80">
        <v>0.965641952983725</v>
      </c>
      <c r="L2418" s="80" t="s">
        <v>2552</v>
      </c>
    </row>
    <row r="2419">
      <c r="A2419" s="80" t="s">
        <v>242</v>
      </c>
      <c r="B2419" s="81" t="str">
        <f t="shared" ref="B2419:B2421" si="120">HYPERLINK("https://www.youtube.com/channel/UCZGVB6g74LXWtkR3fX50ykg", "Edwin H.")</f>
        <v>Edwin H.</v>
      </c>
      <c r="C2419" s="80" t="s">
        <v>2736</v>
      </c>
      <c r="D2419" s="81" t="str">
        <f>HYPERLINK("https://youtube.com/watch?v=xYqdspmwUQw", "【東京紅葉2019】🍁有一千隻招福貓？🐈秋天豪德寺😻")</f>
        <v>【東京紅葉2019】🍁有一千隻招福貓？🐈秋天豪德寺😻</v>
      </c>
      <c r="E2419" s="82">
        <v>43600.0</v>
      </c>
      <c r="F2419" s="80">
        <v>132.0</v>
      </c>
      <c r="G2419" s="80" t="s">
        <v>63</v>
      </c>
      <c r="I2419" s="80" t="s">
        <v>63</v>
      </c>
      <c r="J2419" s="80">
        <v>377.0</v>
      </c>
      <c r="K2419" s="80">
        <v>0.947236180904522</v>
      </c>
      <c r="L2419" s="80" t="s">
        <v>64</v>
      </c>
    </row>
    <row r="2420">
      <c r="A2420" s="80" t="s">
        <v>242</v>
      </c>
      <c r="B2420" s="81" t="str">
        <f t="shared" si="120"/>
        <v>Edwin H.</v>
      </c>
      <c r="C2420" s="80" t="s">
        <v>2737</v>
      </c>
      <c r="D2420" s="81" t="str">
        <f>HYPERLINK("https://youtube.com/watch?v=y7tz7F-hWoo", """話說你係日本有咩做？"" 談國泰事件、談自動更新、香港IT")</f>
        <v>"話說你係日本有咩做？" 談國泰事件、談自動更新、香港IT</v>
      </c>
      <c r="E2420" s="82">
        <v>43413.0</v>
      </c>
      <c r="F2420" s="80">
        <v>644.0</v>
      </c>
      <c r="G2420" s="80" t="s">
        <v>63</v>
      </c>
      <c r="I2420" s="80" t="s">
        <v>63</v>
      </c>
      <c r="J2420" s="80">
        <v>1552.0</v>
      </c>
      <c r="K2420" s="80">
        <v>0.702898550724637</v>
      </c>
      <c r="L2420" s="80" t="s">
        <v>64</v>
      </c>
    </row>
    <row r="2421">
      <c r="A2421" s="80" t="s">
        <v>242</v>
      </c>
      <c r="B2421" s="81" t="str">
        <f t="shared" si="120"/>
        <v>Edwin H.</v>
      </c>
      <c r="C2421" s="80" t="s">
        <v>2738</v>
      </c>
      <c r="D2421" s="81" t="str">
        <f>HYPERLINK("https://youtube.com/watch?v=yN2hLbTEX_o", "如何安心使用「安心出行」誠實豆沙包版")</f>
        <v>如何安心使用「安心出行」誠實豆沙包版</v>
      </c>
      <c r="E2421" s="82">
        <v>44238.0</v>
      </c>
      <c r="F2421" s="80">
        <v>278.0</v>
      </c>
      <c r="G2421" s="80" t="s">
        <v>63</v>
      </c>
      <c r="I2421" s="80" t="s">
        <v>63</v>
      </c>
      <c r="J2421" s="80">
        <v>1147.0</v>
      </c>
      <c r="K2421" s="80">
        <v>0.794871794871794</v>
      </c>
      <c r="L2421" s="80" t="s">
        <v>64</v>
      </c>
    </row>
    <row r="2422">
      <c r="A2422" s="80" t="s">
        <v>748</v>
      </c>
      <c r="B2422" s="81" t="str">
        <f>HYPERLINK("https://www.youtube.com/channel/UC_ZT2UjRiNSy1I33LEiflJQ", "撒野作風 WILDSTYLE RECORDS")</f>
        <v>撒野作風 WILDSTYLE RECORDS</v>
      </c>
      <c r="C2422" s="80" t="s">
        <v>2739</v>
      </c>
      <c r="D2422" s="81" t="str">
        <f>HYPERLINK("https://youtube.com/watch?v=ygs2R_JMPhs", "GrymeMan - ""變幻"" [Audio]")</f>
        <v>GrymeMan - "變幻" [Audio]</v>
      </c>
      <c r="E2422" s="82">
        <v>43698.0</v>
      </c>
      <c r="F2422" s="80">
        <v>219.0</v>
      </c>
      <c r="G2422" s="80" t="s">
        <v>63</v>
      </c>
      <c r="I2422" s="80" t="s">
        <v>63</v>
      </c>
      <c r="J2422" s="80">
        <v>521.0</v>
      </c>
      <c r="K2422" s="80">
        <v>0.746418338108882</v>
      </c>
      <c r="L2422" s="80" t="s">
        <v>64</v>
      </c>
    </row>
    <row r="2423">
      <c r="A2423" s="80" t="s">
        <v>1010</v>
      </c>
      <c r="B2423" s="81" t="str">
        <f>HYPERLINK("https://www.youtube.com/channel/UC-nV0odAiVdjH3gB_uSeTcQ", "wepro180")</f>
        <v>wepro180</v>
      </c>
      <c r="C2423" s="80" t="s">
        <v>2740</v>
      </c>
      <c r="D2423" s="81" t="str">
        <f>HYPERLINK("https://youtube.com/watch?v=za6XppW6g20", "edvance 特約【wepro 教室 06】嘉倩 180 - SQL Injection")</f>
        <v>edvance 特約【wepro 教室 06】嘉倩 180 - SQL Injection</v>
      </c>
      <c r="E2423" s="82">
        <v>43220.0</v>
      </c>
      <c r="F2423" s="80">
        <v>56.0</v>
      </c>
      <c r="G2423" s="80" t="s">
        <v>63</v>
      </c>
      <c r="I2423" s="80" t="s">
        <v>63</v>
      </c>
      <c r="J2423" s="80">
        <v>183.0</v>
      </c>
      <c r="K2423" s="80">
        <v>0.68796992481203</v>
      </c>
      <c r="L2423" s="80" t="s">
        <v>64</v>
      </c>
    </row>
    <row r="2424">
      <c r="A2424" s="80" t="s">
        <v>1373</v>
      </c>
      <c r="B2424" s="81" t="str">
        <f>HYPERLINK("https://www.youtube.com/channel/UCNsL7xLGZvocrljHcCJ71VA", "漏墨佬")</f>
        <v>漏墨佬</v>
      </c>
      <c r="C2424" s="80" t="s">
        <v>2741</v>
      </c>
      <c r="D2424" s="81" t="str">
        <f>HYPERLINK("https://youtube.com/watch?v=zhAIpMhO8JE", "《香港失眠日》")</f>
        <v>《香港失眠日》</v>
      </c>
      <c r="E2424" s="82">
        <v>43668.0</v>
      </c>
      <c r="F2424" s="80">
        <v>570.0</v>
      </c>
      <c r="G2424" s="80" t="s">
        <v>63</v>
      </c>
      <c r="I2424" s="80" t="s">
        <v>63</v>
      </c>
      <c r="J2424" s="80">
        <v>2292.0</v>
      </c>
      <c r="K2424" s="80">
        <v>0.987505385609651</v>
      </c>
      <c r="L2424" s="80" t="s">
        <v>64</v>
      </c>
    </row>
    <row r="2425">
      <c r="A2425" s="80" t="s">
        <v>61</v>
      </c>
      <c r="B2425" s="81" t="str">
        <f>HYPERLINK("https://www.youtube.com/channel/UCJ4XVrJuqKHbc9yF9oUFseg", "MEeeep More")</f>
        <v>MEeeep More</v>
      </c>
      <c r="C2425" s="80" t="s">
        <v>2742</v>
      </c>
      <c r="D2425" s="81" t="str">
        <f>HYPERLINK("https://youtube.com/watch?v=zhMB_2kp668", "洗面唔怕敏感 + 天然美白 $0 成本洗米水洗面大法！")</f>
        <v>洗面唔怕敏感 + 天然美白 $0 成本洗米水洗面大法！</v>
      </c>
      <c r="E2425" s="82">
        <v>43975.0</v>
      </c>
      <c r="F2425" s="80">
        <v>102.0</v>
      </c>
      <c r="G2425" s="80" t="s">
        <v>63</v>
      </c>
      <c r="I2425" s="80" t="s">
        <v>63</v>
      </c>
      <c r="J2425" s="80">
        <v>259.0</v>
      </c>
      <c r="K2425" s="80">
        <v>0.835483870967741</v>
      </c>
      <c r="L2425" s="80" t="s">
        <v>64</v>
      </c>
    </row>
    <row r="2426">
      <c r="A2426" s="80" t="s">
        <v>129</v>
      </c>
      <c r="B2426" s="81" t="str">
        <f>HYPERLINK("https://www.youtube.com/channel/UCBbTnorwzva0ZIMGW0ttwVA", "阿豬 Ah Ju")</f>
        <v>阿豬 Ah Ju</v>
      </c>
      <c r="C2426" s="80" t="s">
        <v>2743</v>
      </c>
      <c r="D2426" s="81" t="str">
        <f>HYPERLINK("https://youtube.com/watch?v=zkAFcKRXsI8", "逆市中如何用期貨賺錢")</f>
        <v>逆市中如何用期貨賺錢</v>
      </c>
      <c r="E2426" s="82">
        <v>44327.0</v>
      </c>
      <c r="F2426" s="80">
        <v>715.0</v>
      </c>
      <c r="G2426" s="80" t="s">
        <v>63</v>
      </c>
      <c r="I2426" s="80" t="s">
        <v>63</v>
      </c>
      <c r="J2426" s="80">
        <v>2586.0</v>
      </c>
      <c r="K2426" s="80">
        <v>0.886223440712817</v>
      </c>
      <c r="L2426" s="80" t="s">
        <v>1004</v>
      </c>
    </row>
    <row r="2427">
      <c r="A2427" s="80" t="s">
        <v>957</v>
      </c>
      <c r="B2427" s="81" t="str">
        <f>HYPERLINK("https://www.youtube.com/channel/UCNdV5VO81YBe5rfhOz1wRmA", "Con爆TV")</f>
        <v>Con爆TV</v>
      </c>
      <c r="C2427" s="80" t="s">
        <v>2744</v>
      </c>
      <c r="D2427" s="81" t="str">
        <f>HYPERLINK("https://youtube.com/watch?v=zndPVN4q1_I", "【PAD/Puzzle &amp; Dragons パズドラ】備戰七週年前夕活動速報：再送64石、28萬MP、懷舊限角三選一、新合作、情人節新角!! 備戰七週年前夕活動速報")</f>
        <v>【PAD/Puzzle &amp; Dragons パズドラ】備戰七週年前夕活動速報：再送64石、28萬MP、懷舊限角三選一、新合作、情人節新角!! 備戰七週年前夕活動速報</v>
      </c>
      <c r="E2427" s="82">
        <v>43498.0</v>
      </c>
      <c r="F2427" s="80">
        <v>224.0</v>
      </c>
      <c r="G2427" s="80" t="s">
        <v>63</v>
      </c>
      <c r="I2427" s="80" t="s">
        <v>63</v>
      </c>
      <c r="J2427" s="80">
        <v>1078.0</v>
      </c>
      <c r="K2427" s="80">
        <v>0.920580700256191</v>
      </c>
      <c r="L2427" s="80" t="s">
        <v>64</v>
      </c>
    </row>
    <row r="2428">
      <c r="A2428" s="80" t="s">
        <v>217</v>
      </c>
      <c r="B2428" s="81" t="str">
        <f>HYPERLINK("https://www.youtube.com/channel/UCXKg0qPRz32bs5Z4mTGF3TQ", "Stormtrooper白兵")</f>
        <v>Stormtrooper白兵</v>
      </c>
      <c r="C2428" s="80" t="s">
        <v>2745</v>
      </c>
      <c r="D2428" s="81" t="str">
        <f>HYPERLINK("https://youtube.com/watch?v=znkv7Dr3vJo", "[Channel終於有女][拍片途中有靈異事件？]移民／亡國？｜帶你了解古羅馬帝國，如何不廢一兵一卒，令你失去國家，甚至復國獨立的意志！｜介紹千古不變的極權統治手段！｜ 粵語中字")</f>
        <v>[Channel終於有女][拍片途中有靈異事件？]移民／亡國？｜帶你了解古羅馬帝國，如何不廢一兵一卒，令你失去國家，甚至復國獨立的意志！｜介紹千古不變的極權統治手段！｜ 粵語中字</v>
      </c>
      <c r="E2428" s="82">
        <v>44376.0</v>
      </c>
      <c r="F2428" s="80">
        <v>859.0</v>
      </c>
      <c r="G2428" s="80" t="s">
        <v>63</v>
      </c>
      <c r="H2428" s="80" t="s">
        <v>63</v>
      </c>
      <c r="I2428" s="80" t="s">
        <v>63</v>
      </c>
      <c r="J2428" s="80">
        <v>3792.0</v>
      </c>
      <c r="K2428" s="80">
        <v>0.825244831338411</v>
      </c>
      <c r="L2428" s="80" t="s">
        <v>86</v>
      </c>
    </row>
    <row r="2429">
      <c r="A2429" s="80" t="s">
        <v>61</v>
      </c>
      <c r="B2429" s="81" t="str">
        <f>HYPERLINK("https://www.youtube.com/channel/UCJ4XVrJuqKHbc9yF9oUFseg", "MEeeep More")</f>
        <v>MEeeep More</v>
      </c>
      <c r="C2429" s="80" t="s">
        <v>2746</v>
      </c>
      <c r="D2429" s="81" t="str">
        <f>HYPERLINK("https://youtube.com/watch?v=zqKn2NGt5D4", "【5G】5G唔只得個快字！廣泛商業應用即刻試！HKT 1010 csl 5G應用 香港5G")</f>
        <v>【5G】5G唔只得個快字！廣泛商業應用即刻試！HKT 1010 csl 5G應用 香港5G</v>
      </c>
      <c r="E2429" s="82">
        <v>43915.0</v>
      </c>
      <c r="F2429" s="80">
        <v>174.0</v>
      </c>
      <c r="G2429" s="80" t="s">
        <v>63</v>
      </c>
      <c r="I2429" s="80" t="s">
        <v>63</v>
      </c>
      <c r="J2429" s="80">
        <v>568.0</v>
      </c>
      <c r="K2429" s="80">
        <v>0.868501529051987</v>
      </c>
      <c r="L2429" s="80" t="s">
        <v>64</v>
      </c>
    </row>
    <row r="2430">
      <c r="A2430" s="80" t="s">
        <v>252</v>
      </c>
      <c r="B2430" s="81" t="str">
        <f>HYPERLINK("https://www.youtube.com/channel/UCrISkBm7rgsRUAw8018eWvw", "MoYung 慕容公子")</f>
        <v>MoYung 慕容公子</v>
      </c>
      <c r="C2430" s="80" t="s">
        <v>2747</v>
      </c>
      <c r="D2430" s="81" t="str">
        <f>HYPERLINK("https://youtube.com/watch?v=ztKhkNB4QSQ", "【親子】10歲粉絲學我講野 !?《絕地求生 PUBG》 (中文字幕)")</f>
        <v>【親子】10歲粉絲學我講野 !?《絕地求生 PUBG》 (中文字幕)</v>
      </c>
      <c r="E2430" s="82">
        <v>42984.0</v>
      </c>
      <c r="F2430" s="80">
        <v>328.0</v>
      </c>
      <c r="G2430" s="80" t="s">
        <v>63</v>
      </c>
      <c r="I2430" s="80" t="s">
        <v>63</v>
      </c>
      <c r="J2430" s="80">
        <v>577.0</v>
      </c>
      <c r="K2430" s="80">
        <v>0.92914653784219</v>
      </c>
      <c r="L2430" s="80" t="s">
        <v>64</v>
      </c>
    </row>
    <row r="2431">
      <c r="A2431" s="80" t="s">
        <v>1007</v>
      </c>
      <c r="B2431" s="81" t="str">
        <f>HYPERLINK("https://www.youtube.com/channel/UCCzgNTkFyDel0FDJtVNgEtQ", "香港人. 德國讀書之【真.洗濕左個頭.無得返轉頭】Miss Chan Life in Germany")</f>
        <v>香港人. 德國讀書之【真.洗濕左個頭.無得返轉頭】Miss Chan Life in Germany</v>
      </c>
      <c r="C2431" s="80" t="s">
        <v>2748</v>
      </c>
      <c r="D2431" s="81" t="str">
        <f>HYPERLINK("https://youtube.com/watch?v=zxqVK4DPtfU", "【滅chan 生活系列】｜由香港寄到德國『愛嘅空氣』｜兩個半月嘅等待｜開箱片｜ (香港人製作. 廣東話. 中文耐心內心字幕)")</f>
        <v>【滅chan 生活系列】｜由香港寄到德國『愛嘅空氣』｜兩個半月嘅等待｜開箱片｜ (香港人製作. 廣東話. 中文耐心內心字幕)</v>
      </c>
      <c r="E2431" s="82">
        <v>44357.0</v>
      </c>
      <c r="F2431" s="80">
        <v>399.0</v>
      </c>
      <c r="G2431" s="80" t="s">
        <v>63</v>
      </c>
      <c r="I2431" s="80" t="s">
        <v>63</v>
      </c>
      <c r="J2431" s="80">
        <v>2240.0</v>
      </c>
      <c r="K2431" s="80">
        <v>0.910939406262708</v>
      </c>
      <c r="L2431" s="80" t="s">
        <v>64</v>
      </c>
    </row>
    <row r="2432">
      <c r="A2432" s="80" t="s">
        <v>1016</v>
      </c>
      <c r="B2432" s="81" t="str">
        <f>HYPERLINK("https://www.youtube.com/channel/UCSbiR1l-cfzk44iTJVSAZVQ", "Rhapsody in Lingo")</f>
        <v>Rhapsody in Lingo</v>
      </c>
      <c r="C2432" s="80" t="s">
        <v>2749</v>
      </c>
      <c r="D2432" s="81" t="str">
        <f>HYPERLINK("https://youtube.com/watch?v=zzfHQB54ghc", "【最終回】正式入住新屋仲要幾多工夫？唐人街一覽 | 英國伯明翰搬屋記 DAY 3~5 【粵字】")</f>
        <v>【最終回】正式入住新屋仲要幾多工夫？唐人街一覽 | 英國伯明翰搬屋記 DAY 3~5 【粵字】</v>
      </c>
      <c r="E2432" s="82">
        <v>44342.0</v>
      </c>
      <c r="F2432" s="80">
        <v>559.0</v>
      </c>
      <c r="G2432" s="80" t="s">
        <v>63</v>
      </c>
      <c r="I2432" s="80" t="s">
        <v>63</v>
      </c>
      <c r="J2432" s="80">
        <v>1369.0</v>
      </c>
      <c r="K2432" s="80">
        <v>0.900065746219592</v>
      </c>
      <c r="L2432" s="80" t="s">
        <v>1142</v>
      </c>
    </row>
    <row r="2433">
      <c r="A2433" s="80" t="s">
        <v>2750</v>
      </c>
      <c r="B2433" s="81" t="str">
        <f>HYPERLINK("https://www.youtube.com/channel/UCSuH-OhqmtA_2OladWB56Xw", "Knight Lai")</f>
        <v>Knight Lai</v>
      </c>
      <c r="C2433" s="80" t="s">
        <v>2751</v>
      </c>
      <c r="D2433" s="81" t="str">
        <f>HYPERLINK("https://youtube.com/watch?v=7Bf0NvQqMus", "[潮文連環圖] 有咩慘得過有個痴線佬做roommate?")</f>
        <v>[潮文連環圖] 有咩慘得過有個痴線佬做roommate?</v>
      </c>
      <c r="E2433" s="82">
        <v>41783.0</v>
      </c>
      <c r="F2433" s="80">
        <v>97.0</v>
      </c>
      <c r="G2433" s="80" t="s">
        <v>63</v>
      </c>
      <c r="I2433" s="80" t="s">
        <v>63</v>
      </c>
      <c r="J2433" s="80">
        <v>257.0</v>
      </c>
      <c r="K2433" s="80">
        <v>0.9625468164794</v>
      </c>
      <c r="L2433" s="80" t="s">
        <v>64</v>
      </c>
    </row>
    <row r="2434">
      <c r="A2434" s="80" t="s">
        <v>2481</v>
      </c>
      <c r="B2434" s="81" t="str">
        <f>HYPERLINK("https://www.youtube.com/channel/UCFT-PtLfmdMIShkQMynOEMQ", "一男一旅 HowFarGo")</f>
        <v>一男一旅 HowFarGo</v>
      </c>
      <c r="C2434" s="80" t="s">
        <v>2752</v>
      </c>
      <c r="D2434" s="81" t="str">
        <f>HYPERLINK("https://youtube.com/watch?v=7CSVA_sIuQ0", "自助餐外, 疫情中郵輪有乜嘢食? (粤語/有字幕 ) Foods in Vista of Carnival Panorama during pandemic, w/English subtitles.")</f>
        <v>自助餐外, 疫情中郵輪有乜嘢食? (粤語/有字幕 ) Foods in Vista of Carnival Panorama during pandemic, w/English subtitles.</v>
      </c>
      <c r="E2434" s="82">
        <v>44482.0</v>
      </c>
      <c r="F2434" s="80">
        <v>391.0</v>
      </c>
      <c r="G2434" s="80" t="s">
        <v>63</v>
      </c>
      <c r="I2434" s="80" t="s">
        <v>63</v>
      </c>
      <c r="J2434" s="80">
        <v>975.0</v>
      </c>
      <c r="K2434" s="80">
        <v>0.855263157894736</v>
      </c>
      <c r="L2434" s="80" t="s">
        <v>102</v>
      </c>
    </row>
    <row r="2435">
      <c r="A2435" s="80" t="s">
        <v>2753</v>
      </c>
      <c r="B2435" s="81" t="str">
        <f>HYPERLINK("https://www.youtube.com/channel/UCxRXNy5P6fLtHYpawxoiqJQ", "焦點視頻")</f>
        <v>焦點視頻</v>
      </c>
      <c r="C2435" s="80" t="s">
        <v>2754</v>
      </c>
      <c r="D2435" s="81" t="str">
        <f>HYPERLINK("https://youtube.com/watch?v=7CiDLXQLGh0", "(中字) 九運到！🇭🇰香港未來20年運勢預告！ 🇺🇸美國未必退運？ 🇨🇳打壓學術自由有違九運天道？ 《吳佩孚玄奇述異》 合輯全集")</f>
        <v>(中字) 九運到！🇭🇰香港未來20年運勢預告！ 🇺🇸美國未必退運？ 🇨🇳打壓學術自由有違九運天道？ 《吳佩孚玄奇述異》 合輯全集</v>
      </c>
      <c r="E2435" s="82">
        <v>44532.0</v>
      </c>
      <c r="F2435" s="80">
        <v>1720.0</v>
      </c>
      <c r="G2435" s="80" t="s">
        <v>63</v>
      </c>
      <c r="I2435" s="80" t="s">
        <v>63</v>
      </c>
      <c r="J2435" s="80">
        <v>6885.0</v>
      </c>
      <c r="K2435" s="80">
        <v>0.987663176014918</v>
      </c>
      <c r="L2435" s="80" t="s">
        <v>2755</v>
      </c>
    </row>
    <row r="2436">
      <c r="A2436" s="80" t="s">
        <v>245</v>
      </c>
      <c r="B2436" s="81" t="str">
        <f>HYPERLINK("https://www.youtube.com/channel/UCkZ3cOWgnhJheCK7Ywpiezw", "Eagen Kao")</f>
        <v>Eagen Kao</v>
      </c>
      <c r="C2436" s="80" t="s">
        <v>2756</v>
      </c>
      <c r="D2436" s="81" t="str">
        <f>HYPERLINK("https://youtube.com/watch?v=7CjLm5Gmm9w", "[講TECH] iPhone 13 微開箱 + Cinematic Mode 試用心得 | 手機評測 (廣東話)")</f>
        <v>[講TECH] iPhone 13 微開箱 + Cinematic Mode 試用心得 | 手機評測 (廣東話)</v>
      </c>
      <c r="E2436" s="82">
        <v>44482.0</v>
      </c>
      <c r="F2436" s="80">
        <v>578.0</v>
      </c>
      <c r="G2436" s="80" t="s">
        <v>63</v>
      </c>
      <c r="H2436" s="80" t="s">
        <v>63</v>
      </c>
      <c r="I2436" s="80" t="s">
        <v>63</v>
      </c>
      <c r="J2436" s="80">
        <v>1562.0</v>
      </c>
      <c r="K2436" s="80">
        <v>0.782266526757607</v>
      </c>
      <c r="L2436" s="80" t="s">
        <v>86</v>
      </c>
    </row>
    <row r="2437">
      <c r="A2437" s="80" t="s">
        <v>238</v>
      </c>
      <c r="B2437" s="81" t="str">
        <f>HYPERLINK("https://www.youtube.com/channel/UCSBkm4LwpgBmcA3MCtO8vqg", "Post76影音玩樂")</f>
        <v>Post76影音玩樂</v>
      </c>
      <c r="C2437" s="80" t="s">
        <v>2757</v>
      </c>
      <c r="D2437" s="81" t="str">
        <f>HYPERLINK("https://youtube.com/watch?v=7Cyj2rysozE", "日本製 Acoustune HS1657CU、HS1677SS、HS1697TI 平中貴三傑逐隻試 | 科林返歸玩活動 | 粵語 | 自選雙繁中字幕【耳機評測 | Post76.hk】")</f>
        <v>日本製 Acoustune HS1657CU、HS1677SS、HS1697TI 平中貴三傑逐隻試 | 科林返歸玩活動 | 粵語 | 自選雙繁中字幕【耳機評測 | Post76.hk】</v>
      </c>
      <c r="E2437" s="82">
        <v>44162.0</v>
      </c>
      <c r="F2437" s="80">
        <v>882.0</v>
      </c>
      <c r="G2437" s="80" t="s">
        <v>63</v>
      </c>
      <c r="H2437" s="80" t="s">
        <v>63</v>
      </c>
      <c r="I2437" s="80" t="s">
        <v>63</v>
      </c>
      <c r="J2437" s="80">
        <v>3219.0</v>
      </c>
      <c r="K2437" s="80">
        <v>0.895471464019851</v>
      </c>
      <c r="L2437" s="80" t="s">
        <v>66</v>
      </c>
    </row>
    <row r="2438">
      <c r="A2438" s="80" t="s">
        <v>84</v>
      </c>
      <c r="B2438" s="81" t="str">
        <f>HYPERLINK("https://www.youtube.com/channel/UCs6fW24aVjefTsognevmDnA", "PakTil 拍跳")</f>
        <v>PakTil 拍跳</v>
      </c>
      <c r="C2438" s="80" t="s">
        <v>2758</v>
      </c>
      <c r="D2438" s="81" t="str">
        <f>HYPERLINK("https://youtube.com/watch?v=7Jp-2Zd48TQ", "【拍跳短跑】最好的閨蜜 有時就最殺你一個措手不及")</f>
        <v>【拍跳短跑】最好的閨蜜 有時就最殺你一個措手不及</v>
      </c>
      <c r="E2438" s="82">
        <v>44060.0</v>
      </c>
      <c r="F2438" s="80">
        <v>156.0</v>
      </c>
      <c r="G2438" s="80" t="s">
        <v>63</v>
      </c>
      <c r="I2438" s="80" t="s">
        <v>63</v>
      </c>
      <c r="J2438" s="80">
        <v>403.0</v>
      </c>
      <c r="K2438" s="80">
        <v>0.903587443946188</v>
      </c>
      <c r="L2438" s="80" t="s">
        <v>86</v>
      </c>
    </row>
    <row r="2439">
      <c r="A2439" s="80" t="s">
        <v>2750</v>
      </c>
      <c r="B2439" s="81" t="str">
        <f>HYPERLINK("https://www.youtube.com/channel/UCSuH-OhqmtA_2OladWB56Xw", "Knight Lai")</f>
        <v>Knight Lai</v>
      </c>
      <c r="C2439" s="80" t="s">
        <v>2759</v>
      </c>
      <c r="D2439" s="81" t="str">
        <f>HYPERLINK("https://youtube.com/watch?v=7LD9r3tb5oY", "[潮文連環圖] 小強真係好hihi")</f>
        <v>[潮文連環圖] 小強真係好hihi</v>
      </c>
      <c r="E2439" s="82">
        <v>41451.0</v>
      </c>
      <c r="F2439" s="80">
        <v>102.0</v>
      </c>
      <c r="G2439" s="80" t="s">
        <v>63</v>
      </c>
      <c r="I2439" s="80" t="s">
        <v>63</v>
      </c>
      <c r="J2439" s="80">
        <v>327.0</v>
      </c>
      <c r="K2439" s="80">
        <v>0.967455621301775</v>
      </c>
      <c r="L2439" s="80" t="s">
        <v>64</v>
      </c>
    </row>
    <row r="2440">
      <c r="A2440" s="80" t="s">
        <v>98</v>
      </c>
      <c r="B2440" s="81" t="str">
        <f>HYPERLINK("https://www.youtube.com/channel/UCrquuQB6v1Ued2xyRKZreGQ", "Stephen Leung ")</f>
        <v>Stephen Leung </v>
      </c>
      <c r="C2440" s="80" t="s">
        <v>2760</v>
      </c>
      <c r="D2440" s="81" t="str">
        <f>HYPERLINK("https://youtube.com/watch?v=7Pm49o8weI0", "【Staycation 香港】香港四季酒店 2021 年度滿意度最高 Staycation 酒店頂層行政樓! 全新海景客房有幾舒服?｜Four Seasons Hong Kong｜吃喝玩樂  四季酒店")</f>
        <v>【Staycation 香港】香港四季酒店 2021 年度滿意度最高 Staycation 酒店頂層行政樓! 全新海景客房有幾舒服?｜Four Seasons Hong Kong｜吃喝玩樂  四季酒店</v>
      </c>
      <c r="E2440" s="82">
        <v>44539.0</v>
      </c>
      <c r="F2440" s="80">
        <v>989.0</v>
      </c>
      <c r="G2440" s="80" t="s">
        <v>63</v>
      </c>
      <c r="I2440" s="80" t="s">
        <v>63</v>
      </c>
      <c r="J2440" s="80">
        <v>2818.0</v>
      </c>
      <c r="K2440" s="80">
        <v>0.944369973190348</v>
      </c>
      <c r="L2440" s="80" t="s">
        <v>64</v>
      </c>
    </row>
    <row r="2441">
      <c r="A2441" s="80" t="s">
        <v>2761</v>
      </c>
      <c r="B2441" s="81" t="str">
        <f>HYPERLINK("https://www.youtube.com/channel/UCr_L9cZdbBU_XDsKDHBBlew", "am730")</f>
        <v>am730</v>
      </c>
      <c r="C2441" s="80" t="s">
        <v>2762</v>
      </c>
      <c r="D2441" s="81" t="str">
        <f>HYPERLINK("https://youtube.com/watch?v=7R6rDcfcQI0", "【股壇C見】科技股宜保守 未到撈底時？ ｜ 施生對「套丁」案的看法 (字幕)")</f>
        <v>【股壇C見】科技股宜保守 未到撈底時？ ｜ 施生對「套丁」案的看法 (字幕)</v>
      </c>
      <c r="E2441" s="82">
        <v>44276.0</v>
      </c>
      <c r="F2441" s="80">
        <v>1502.0</v>
      </c>
      <c r="G2441" s="80" t="s">
        <v>63</v>
      </c>
      <c r="I2441" s="80" t="s">
        <v>63</v>
      </c>
      <c r="J2441" s="80">
        <v>4867.0</v>
      </c>
      <c r="K2441" s="80">
        <v>0.994483040457703</v>
      </c>
      <c r="L2441" s="80" t="s">
        <v>91</v>
      </c>
    </row>
    <row r="2442">
      <c r="A2442" s="80" t="s">
        <v>108</v>
      </c>
      <c r="B2442" s="81" t="str">
        <f>HYPERLINK("https://www.youtube.com/channel/UCZL6QN6Xs-ZrKY3y6Pv6Emg", "廢青 - 日賺3000")</f>
        <v>廢青 - 日賺3000</v>
      </c>
      <c r="C2442" s="80" t="s">
        <v>2763</v>
      </c>
      <c r="D2442" s="81" t="str">
        <f>HYPERLINK("https://youtube.com/watch?v=7VAfdsYty9Y", "#港股 #美股 │ 3月轉勢 , 4月機會再現   EP11【廢青 日賺3000】【點CC看中文字幕】")</f>
        <v>#港股 #美股 │ 3月轉勢 , 4月機會再現   EP11【廢青 日賺3000】【點CC看中文字幕】</v>
      </c>
      <c r="E2442" s="82">
        <v>44291.0</v>
      </c>
      <c r="F2442" s="80">
        <v>1402.0</v>
      </c>
      <c r="G2442" s="80" t="s">
        <v>63</v>
      </c>
      <c r="I2442" s="80" t="s">
        <v>63</v>
      </c>
      <c r="J2442" s="80">
        <v>5636.0</v>
      </c>
      <c r="K2442" s="80">
        <v>0.916422764227642</v>
      </c>
      <c r="L2442" s="80" t="s">
        <v>64</v>
      </c>
    </row>
    <row r="2443">
      <c r="A2443" s="80" t="s">
        <v>2764</v>
      </c>
      <c r="B2443" s="81" t="str">
        <f>HYPERLINK("https://www.youtube.com/channel/UCejZUW4khvxoA4uL2Afz20g", "Housik Laanfei 好食懶飛")</f>
        <v>Housik Laanfei 好食懶飛</v>
      </c>
      <c r="C2443" s="80" t="s">
        <v>2765</v>
      </c>
      <c r="D2443" s="81" t="str">
        <f>HYPERLINK("https://youtube.com/watch?v=7XkY7HpP45Q", "[脆卜卜] 香脆臘味芋絲餅 | CC: 廣東話/繁中/ENG SUB | COOKING VLOG")</f>
        <v>[脆卜卜] 香脆臘味芋絲餅 | CC: 廣東話/繁中/ENG SUB | COOKING VLOG</v>
      </c>
      <c r="E2443" s="82">
        <v>44231.0</v>
      </c>
      <c r="F2443" s="80">
        <v>361.0</v>
      </c>
      <c r="G2443" s="80" t="s">
        <v>63</v>
      </c>
      <c r="H2443" s="80" t="s">
        <v>63</v>
      </c>
      <c r="I2443" s="80" t="s">
        <v>63</v>
      </c>
      <c r="J2443" s="80">
        <v>257.0</v>
      </c>
      <c r="K2443" s="80">
        <v>0.973484848484848</v>
      </c>
      <c r="L2443" s="80" t="s">
        <v>80</v>
      </c>
    </row>
    <row r="2444">
      <c r="A2444" s="80" t="s">
        <v>2766</v>
      </c>
      <c r="B2444" s="81" t="str">
        <f>HYPERLINK("https://www.youtube.com/channel/UCrZG5sGryxwgSDQSlHgmZTw", "GadgetGang HK")</f>
        <v>GadgetGang HK</v>
      </c>
      <c r="C2444" s="80" t="s">
        <v>2767</v>
      </c>
      <c r="D2444" s="81" t="str">
        <f>HYPERLINK("https://youtube.com/watch?v=7bp15zUm3_8", "【HYDRAGUN按摩槍】何詩蓓專用按摩槍有幾勁？〡物理治療師教你選擇最佳按摩槍〡按摩槍最正確使用法〡")</f>
        <v>【HYDRAGUN按摩槍】何詩蓓專用按摩槍有幾勁？〡物理治療師教你選擇最佳按摩槍〡按摩槍最正確使用法〡</v>
      </c>
      <c r="E2444" s="82">
        <v>44425.0</v>
      </c>
      <c r="F2444" s="80">
        <v>799.0</v>
      </c>
      <c r="G2444" s="80" t="s">
        <v>63</v>
      </c>
      <c r="I2444" s="80" t="s">
        <v>63</v>
      </c>
      <c r="J2444" s="80">
        <v>2543.0</v>
      </c>
      <c r="K2444" s="80">
        <v>0.975825019186492</v>
      </c>
      <c r="L2444" s="80" t="s">
        <v>64</v>
      </c>
    </row>
    <row r="2445">
      <c r="A2445" s="80" t="s">
        <v>238</v>
      </c>
      <c r="B2445" s="81" t="str">
        <f>HYPERLINK("https://www.youtube.com/channel/UCSBkm4LwpgBmcA3MCtO8vqg", "Post76影音玩樂")</f>
        <v>Post76影音玩樂</v>
      </c>
      <c r="C2445" s="80" t="s">
        <v>2768</v>
      </c>
      <c r="D2445" s="81" t="str">
        <f>HYPERLINK("https://youtube.com/watch?v=7e-MWWaRTMM", "最強 KEF 2.1聲道家庭影院級體驗會｜實試二組不同級數喇叭「 KEF LS50 Meta + KC62 」、「 R系列 + KF92」 體驗會精華（附設cc字幕）【試玩會後報導】")</f>
        <v>最強 KEF 2.1聲道家庭影院級體驗會｜實試二組不同級數喇叭「 KEF LS50 Meta + KC62 」、「 R系列 + KF92」 體驗會精華（附設cc字幕）【試玩會後報導】</v>
      </c>
      <c r="E2445" s="82">
        <v>44493.0</v>
      </c>
      <c r="F2445" s="80">
        <v>324.0</v>
      </c>
      <c r="G2445" s="80" t="s">
        <v>63</v>
      </c>
      <c r="H2445" s="80" t="s">
        <v>63</v>
      </c>
      <c r="I2445" s="80" t="s">
        <v>63</v>
      </c>
      <c r="J2445" s="80">
        <v>923.0</v>
      </c>
      <c r="K2445" s="80">
        <v>0.903131115459882</v>
      </c>
      <c r="L2445" s="80" t="s">
        <v>240</v>
      </c>
    </row>
    <row r="2446">
      <c r="A2446" s="80" t="s">
        <v>1390</v>
      </c>
      <c r="B2446" s="81" t="str">
        <f>HYPERLINK("https://www.youtube.com/channel/UCgwEJflQi4WnZ8PU0xdibZQ", "Kinson Ho")</f>
        <v>Kinson Ho</v>
      </c>
      <c r="C2446" s="80" t="s">
        <v>2769</v>
      </c>
      <c r="D2446" s="81" t="str">
        <f>HYPERLINK("https://youtube.com/watch?v=7e-hThVCoo8", "K神任我行 - [CC字幕] 龍蝦灣陸路過綠蛋島｜航拍｜玻璃水｜浮潛聖地")</f>
        <v>K神任我行 - [CC字幕] 龍蝦灣陸路過綠蛋島｜航拍｜玻璃水｜浮潛聖地</v>
      </c>
      <c r="E2446" s="82">
        <v>44311.0</v>
      </c>
      <c r="F2446" s="80">
        <v>1049.0</v>
      </c>
      <c r="G2446" s="80" t="s">
        <v>63</v>
      </c>
      <c r="I2446" s="80" t="s">
        <v>63</v>
      </c>
      <c r="J2446" s="80">
        <v>1155.0</v>
      </c>
      <c r="K2446" s="80">
        <v>0.970588235294117</v>
      </c>
      <c r="L2446" s="80" t="s">
        <v>64</v>
      </c>
    </row>
    <row r="2447">
      <c r="A2447" s="80" t="s">
        <v>127</v>
      </c>
      <c r="B2447" s="81" t="str">
        <f>HYPERLINK("https://www.youtube.com/channel/UC97oYK3XMf9RLtkc0lO8C-Q", "健康旦 HiEggo")</f>
        <v>健康旦 HiEggo</v>
      </c>
      <c r="C2447" s="80" t="s">
        <v>2770</v>
      </c>
      <c r="D2447" s="81" t="str">
        <f>HYPERLINK("https://youtube.com/watch?v=7eqNvN7HcIs", "打麻雀易對膊頭勞損 生活習慣令雙手肌力不平衡 坐式游水運動助拉鬆膊頭肌肉 - 鄭丹瑞《健康旦》#坐式徒手運動導師 #PaulLau Part 6 (CC中文字幕)")</f>
        <v>打麻雀易對膊頭勞損 生活習慣令雙手肌力不平衡 坐式游水運動助拉鬆膊頭肌肉 - 鄭丹瑞《健康旦》#坐式徒手運動導師 #PaulLau Part 6 (CC中文字幕)</v>
      </c>
      <c r="E2447" s="82">
        <v>44065.0</v>
      </c>
      <c r="F2447" s="80">
        <v>702.0</v>
      </c>
      <c r="G2447" s="80" t="s">
        <v>63</v>
      </c>
      <c r="I2447" s="80" t="s">
        <v>63</v>
      </c>
      <c r="J2447" s="80">
        <v>2436.0</v>
      </c>
      <c r="K2447" s="80">
        <v>0.992260692464358</v>
      </c>
      <c r="L2447" s="80" t="s">
        <v>2771</v>
      </c>
    </row>
    <row r="2448">
      <c r="A2448" s="80" t="s">
        <v>1390</v>
      </c>
      <c r="B2448" s="81" t="str">
        <f>HYPERLINK("https://www.youtube.com/channel/UCgwEJflQi4WnZ8PU0xdibZQ", "Kinson Ho")</f>
        <v>Kinson Ho</v>
      </c>
      <c r="C2448" s="80" t="s">
        <v>2772</v>
      </c>
      <c r="D2448" s="81" t="str">
        <f>HYPERLINK("https://youtube.com/watch?v=7gKPAZCROcg", "K神任我行 -  [CC字幕4K] 魔鬼山｜魔鬼西崖｜防空洞｜軍事堡壘｜歌賦炮台｜砵甸乍炮台｜碉堡｜石礦場｜鯉魚門壁畫村")</f>
        <v>K神任我行 -  [CC字幕4K] 魔鬼山｜魔鬼西崖｜防空洞｜軍事堡壘｜歌賦炮台｜砵甸乍炮台｜碉堡｜石礦場｜鯉魚門壁畫村</v>
      </c>
      <c r="E2448" s="82">
        <v>44553.0</v>
      </c>
      <c r="F2448" s="80">
        <v>1425.0</v>
      </c>
      <c r="G2448" s="80" t="s">
        <v>63</v>
      </c>
      <c r="I2448" s="80" t="s">
        <v>63</v>
      </c>
      <c r="J2448" s="80">
        <v>1661.0</v>
      </c>
      <c r="K2448" s="80">
        <v>0.973622508792497</v>
      </c>
      <c r="L2448" s="80" t="s">
        <v>64</v>
      </c>
    </row>
    <row r="2449">
      <c r="A2449" s="80" t="s">
        <v>127</v>
      </c>
      <c r="B2449" s="81" t="str">
        <f>HYPERLINK("https://www.youtube.com/channel/UC97oYK3XMf9RLtkc0lO8C-Q", "健康旦 HiEggo")</f>
        <v>健康旦 HiEggo</v>
      </c>
      <c r="C2449" s="80" t="s">
        <v>2773</v>
      </c>
      <c r="D2449" s="81" t="str">
        <f>HYPERLINK("https://youtube.com/watch?v=7hprIxY_vj0", "肺部護理秘方 拍肺令血液沖洗肺部雜質 趙汝威博士：洋芫荽助肺部細胞修復 - 鄭丹瑞《健康旦》#趙汝威 博士 Part 15 (CC中文字幕)")</f>
        <v>肺部護理秘方 拍肺令血液沖洗肺部雜質 趙汝威博士：洋芫荽助肺部細胞修復 - 鄭丹瑞《健康旦》#趙汝威 博士 Part 15 (CC中文字幕)</v>
      </c>
      <c r="E2449" s="82">
        <v>44051.0</v>
      </c>
      <c r="F2449" s="80">
        <v>835.0</v>
      </c>
      <c r="G2449" s="80" t="s">
        <v>63</v>
      </c>
      <c r="I2449" s="80" t="s">
        <v>63</v>
      </c>
      <c r="J2449" s="80">
        <v>3452.0</v>
      </c>
      <c r="K2449" s="80">
        <v>0.973765867418899</v>
      </c>
      <c r="L2449" s="80" t="s">
        <v>102</v>
      </c>
    </row>
    <row r="2450">
      <c r="A2450" s="80" t="s">
        <v>248</v>
      </c>
      <c r="B2450" s="81" t="str">
        <f t="shared" ref="B2450:B2451" si="121">HYPERLINK("https://www.youtube.com/channel/UCUEJok-GiWaGlv5nIPwk-GQ", "Price.com.hk 香港格價網")</f>
        <v>Price.com.hk 香港格價網</v>
      </c>
      <c r="C2450" s="80" t="s">
        <v>2774</v>
      </c>
      <c r="D2450" s="81" t="str">
        <f>HYPERLINK("https://youtube.com/watch?v=7o4tp1iiHOw", "iOS 14.6有Bugs?! Steam推出手提遊戲機？WhatsApp再跪低不限制功能｜廣東話【Price Weekly #64 2021年5月】")</f>
        <v>iOS 14.6有Bugs?! Steam推出手提遊戲機？WhatsApp再跪低不限制功能｜廣東話【Price Weekly #64 2021年5月】</v>
      </c>
      <c r="E2450" s="82">
        <v>44345.0</v>
      </c>
      <c r="F2450" s="80">
        <v>501.0</v>
      </c>
      <c r="G2450" s="80" t="s">
        <v>63</v>
      </c>
      <c r="I2450" s="80" t="s">
        <v>63</v>
      </c>
      <c r="J2450" s="80">
        <v>1775.0</v>
      </c>
      <c r="K2450" s="80">
        <v>0.679555895865237</v>
      </c>
      <c r="L2450" s="80" t="s">
        <v>64</v>
      </c>
    </row>
    <row r="2451">
      <c r="A2451" s="80" t="s">
        <v>248</v>
      </c>
      <c r="B2451" s="81" t="str">
        <f t="shared" si="121"/>
        <v>Price.com.hk 香港格價網</v>
      </c>
      <c r="C2451" s="80" t="s">
        <v>2775</v>
      </c>
      <c r="D2451" s="81" t="str">
        <f>HYPERLINK("https://youtube.com/watch?v=7oFTfllrUIw", "Samsung Galaxy S22有S Pen插槽？ | Disney+ 支援IMAX Enhanced | 美國EVGA RTX顯示卡被劫【Price Weekly #88 2021年11月 】")</f>
        <v>Samsung Galaxy S22有S Pen插槽？ | Disney+ 支援IMAX Enhanced | 美國EVGA RTX顯示卡被劫【Price Weekly #88 2021年11月 】</v>
      </c>
      <c r="E2451" s="82">
        <v>44513.0</v>
      </c>
      <c r="F2451" s="80">
        <v>442.0</v>
      </c>
      <c r="G2451" s="80" t="s">
        <v>63</v>
      </c>
      <c r="I2451" s="80" t="s">
        <v>63</v>
      </c>
      <c r="J2451" s="80">
        <v>1401.0</v>
      </c>
      <c r="K2451" s="80">
        <v>0.707218576476527</v>
      </c>
      <c r="L2451" s="80" t="s">
        <v>64</v>
      </c>
    </row>
    <row r="2452">
      <c r="A2452" s="80" t="s">
        <v>124</v>
      </c>
      <c r="B2452" s="81" t="str">
        <f>HYPERLINK("https://www.youtube.com/channel/UCg0vuSE0fBF_NvodyYhMcWg", "Wallace Studio HK")</f>
        <v>Wallace Studio HK</v>
      </c>
      <c r="C2452" s="80" t="s">
        <v>2776</v>
      </c>
      <c r="D2452" s="81" t="str">
        <f>HYPERLINK("https://youtube.com/watch?v=7pb8nEolC7o", "[發佈會] 蘋果秋季發佈會2021，4分鐘總結!!| 懶人包 | iphone 13 | ipad mini 6| ipad 9 |apple watch 7| 廣東話")</f>
        <v>[發佈會] 蘋果秋季發佈會2021，4分鐘總結!!| 懶人包 | iphone 13 | ipad mini 6| ipad 9 |apple watch 7| 廣東話</v>
      </c>
      <c r="E2452" s="82">
        <v>44453.0</v>
      </c>
      <c r="F2452" s="80">
        <v>266.0</v>
      </c>
      <c r="G2452" s="80" t="s">
        <v>63</v>
      </c>
      <c r="H2452" s="80" t="s">
        <v>63</v>
      </c>
      <c r="I2452" s="80" t="s">
        <v>63</v>
      </c>
      <c r="J2452" s="80">
        <v>850.0</v>
      </c>
      <c r="K2452" s="80">
        <v>0.597329585382993</v>
      </c>
      <c r="L2452" s="80" t="s">
        <v>86</v>
      </c>
    </row>
    <row r="2453">
      <c r="A2453" s="80" t="s">
        <v>108</v>
      </c>
      <c r="B2453" s="81" t="str">
        <f>HYPERLINK("https://www.youtube.com/channel/UCZL6QN6Xs-ZrKY3y6Pv6Emg", "廢青 - 日賺3000")</f>
        <v>廢青 - 日賺3000</v>
      </c>
      <c r="C2453" s="80" t="s">
        <v>2777</v>
      </c>
      <c r="D2453" s="81" t="str">
        <f>HYPERLINK("https://youtube.com/watch?v=7pkfYV66sGA", "美股入門精選教學！㊙️ EP01【廢青 日賺3000】【點CC看中文字幕】")</f>
        <v>美股入門精選教學！㊙️ EP01【廢青 日賺3000】【點CC看中文字幕】</v>
      </c>
      <c r="E2453" s="82">
        <v>43993.0</v>
      </c>
      <c r="F2453" s="80">
        <v>319.0</v>
      </c>
      <c r="G2453" s="80" t="s">
        <v>63</v>
      </c>
      <c r="I2453" s="80" t="s">
        <v>63</v>
      </c>
      <c r="J2453" s="80">
        <v>1204.0</v>
      </c>
      <c r="K2453" s="80">
        <v>0.898507462686567</v>
      </c>
      <c r="L2453" s="80" t="s">
        <v>64</v>
      </c>
    </row>
    <row r="2454">
      <c r="A2454" s="80" t="s">
        <v>238</v>
      </c>
      <c r="B2454" s="81" t="str">
        <f>HYPERLINK("https://www.youtube.com/channel/UCSBkm4LwpgBmcA3MCtO8vqg", "Post76影音玩樂")</f>
        <v>Post76影音玩樂</v>
      </c>
      <c r="C2454" s="80" t="s">
        <v>2778</v>
      </c>
      <c r="D2454" s="81" t="str">
        <f>HYPERLINK("https://youtube.com/watch?v=7qwsjU4eyEo", "HP BP5000 4K智能超短焦投影雷射電視 : 水冷技術🌊、智能自動對焦👓、33cm投影實試120吋🎞大畫面（附設cc字幕）【投影機評測】")</f>
        <v>HP BP5000 4K智能超短焦投影雷射電視 : 水冷技術🌊、智能自動對焦👓、33cm投影實試120吋🎞大畫面（附設cc字幕）【投影機評測】</v>
      </c>
      <c r="E2454" s="82">
        <v>44572.0</v>
      </c>
      <c r="F2454" s="80">
        <v>1132.0</v>
      </c>
      <c r="G2454" s="80" t="s">
        <v>63</v>
      </c>
      <c r="H2454" s="80" t="s">
        <v>63</v>
      </c>
      <c r="I2454" s="80" t="s">
        <v>63</v>
      </c>
      <c r="J2454" s="80">
        <v>4198.0</v>
      </c>
      <c r="K2454" s="80">
        <v>0.834260731319554</v>
      </c>
      <c r="L2454" s="80" t="s">
        <v>240</v>
      </c>
    </row>
    <row r="2455">
      <c r="A2455" s="80" t="s">
        <v>127</v>
      </c>
      <c r="B2455" s="81" t="str">
        <f>HYPERLINK("https://www.youtube.com/channel/UC97oYK3XMf9RLtkc0lO8C-Q", "健康旦 HiEggo")</f>
        <v>健康旦 HiEggo</v>
      </c>
      <c r="C2455" s="80" t="s">
        <v>2779</v>
      </c>
      <c r="D2455" s="81" t="str">
        <f>HYPERLINK("https://youtube.com/watch?v=7tLQ7eN_ny0", "許樹昌專訪（下）拆解坊間肺炎防疫盲點 - 開大暖氣治療肺炎？飲紅茶普洱殺菌？食蛇羹增感染風險？家居自我隔離點做？ - 《健康旦》鄭丹瑞《健康旦》許樹昌教授 PART 3 (CC中文字幕)")</f>
        <v>許樹昌專訪（下）拆解坊間肺炎防疫盲點 - 開大暖氣治療肺炎？飲紅茶普洱殺菌？食蛇羹增感染風險？家居自我隔離點做？ - 《健康旦》鄭丹瑞《健康旦》許樹昌教授 PART 3 (CC中文字幕)</v>
      </c>
      <c r="E2455" s="82">
        <v>43871.0</v>
      </c>
      <c r="F2455" s="80">
        <v>787.0</v>
      </c>
      <c r="G2455" s="80" t="s">
        <v>63</v>
      </c>
      <c r="I2455" s="80" t="s">
        <v>63</v>
      </c>
      <c r="J2455" s="80">
        <v>3329.0</v>
      </c>
      <c r="K2455" s="80">
        <v>0.98287570121051</v>
      </c>
      <c r="L2455" s="80" t="s">
        <v>64</v>
      </c>
    </row>
    <row r="2456">
      <c r="A2456" s="80" t="s">
        <v>2780</v>
      </c>
      <c r="B2456" s="81" t="str">
        <f>HYPERLINK("https://www.youtube.com/channel/UC0CojhLcc0VESgaG633m5kA", "RainErs")</f>
        <v>RainErs</v>
      </c>
      <c r="C2456" s="80" t="s">
        <v>2781</v>
      </c>
      <c r="D2456" s="81" t="str">
        <f>HYPERLINK("https://youtube.com/watch?v=7zKsVIfgqrA", "荔枝莊[行山Volg]--最僻天空之鏡⁉️⁉️//罕見沙海一色🌊🌊❗❗[有CC字幕]")</f>
        <v>荔枝莊[行山Volg]--最僻天空之鏡⁉️⁉️//罕見沙海一色🌊🌊❗❗[有CC字幕]</v>
      </c>
      <c r="E2456" s="82">
        <v>44301.0</v>
      </c>
      <c r="F2456" s="80">
        <v>806.0</v>
      </c>
      <c r="G2456" s="80" t="s">
        <v>63</v>
      </c>
      <c r="I2456" s="80" t="s">
        <v>63</v>
      </c>
      <c r="J2456" s="80">
        <v>3022.0</v>
      </c>
      <c r="K2456" s="80">
        <v>0.964262922782386</v>
      </c>
      <c r="L2456" s="80" t="s">
        <v>64</v>
      </c>
    </row>
    <row r="2457">
      <c r="A2457" s="80" t="s">
        <v>127</v>
      </c>
      <c r="B2457" s="81" t="str">
        <f>HYPERLINK("https://www.youtube.com/channel/UC97oYK3XMf9RLtkc0lO8C-Q", "健康旦 HiEggo")</f>
        <v>健康旦 HiEggo</v>
      </c>
      <c r="C2457" s="80" t="s">
        <v>2782</v>
      </c>
      <c r="D2457" s="81" t="str">
        <f>HYPERLINK("https://youtube.com/watch?v=89EM6XCCzVk", "2003沙士康復者盧浩然醫生剖白 社區爆發令醫護人心惶惶 無快速測試年代醫生診症似蘇民峰 - 鄭丹瑞《健康旦》盧浩然醫生 PART 1 (CC中文字幕)")</f>
        <v>2003沙士康復者盧浩然醫生剖白 社區爆發令醫護人心惶惶 無快速測試年代醫生診症似蘇民峰 - 鄭丹瑞《健康旦》盧浩然醫生 PART 1 (CC中文字幕)</v>
      </c>
      <c r="E2457" s="82">
        <v>43872.0</v>
      </c>
      <c r="F2457" s="80">
        <v>611.0</v>
      </c>
      <c r="G2457" s="80" t="s">
        <v>63</v>
      </c>
      <c r="I2457" s="80" t="s">
        <v>63</v>
      </c>
      <c r="J2457" s="80">
        <v>2482.0</v>
      </c>
      <c r="K2457" s="80">
        <v>0.97447978013349</v>
      </c>
      <c r="L2457" s="80" t="s">
        <v>64</v>
      </c>
    </row>
    <row r="2458">
      <c r="A2458" s="80" t="s">
        <v>293</v>
      </c>
      <c r="B2458" s="81" t="str">
        <f t="shared" ref="B2458:B2459" si="122">HYPERLINK("https://www.youtube.com/channel/UCXRcbXqjORdIvl63I7MtOLQ", "趁熱 Kerry 's kitchen")</f>
        <v>趁熱 Kerry 's kitchen</v>
      </c>
      <c r="C2458" s="80" t="s">
        <v>2783</v>
      </c>
      <c r="D2458" s="81" t="str">
        <f>HYPERLINK("https://youtube.com/watch?v=8A09uQONaeI", "蝦醬 煎/蝦醬煎倉魚/煎魚 技巧/超惹味/簡單 家做/低價魚做法/廣東話/中字")</f>
        <v>蝦醬 煎/蝦醬煎倉魚/煎魚 技巧/超惹味/簡單 家做/低價魚做法/廣東話/中字</v>
      </c>
      <c r="E2458" s="82">
        <v>44456.0</v>
      </c>
      <c r="F2458" s="80">
        <v>577.0</v>
      </c>
      <c r="G2458" s="80" t="s">
        <v>63</v>
      </c>
      <c r="I2458" s="80" t="s">
        <v>63</v>
      </c>
      <c r="J2458" s="80">
        <v>789.0</v>
      </c>
      <c r="K2458" s="80">
        <v>0.983790523690773</v>
      </c>
      <c r="L2458" s="80" t="s">
        <v>64</v>
      </c>
    </row>
    <row r="2459">
      <c r="A2459" s="80" t="s">
        <v>293</v>
      </c>
      <c r="B2459" s="81" t="str">
        <f t="shared" si="122"/>
        <v>趁熱 Kerry 's kitchen</v>
      </c>
      <c r="C2459" s="80" t="s">
        <v>2784</v>
      </c>
      <c r="D2459" s="81" t="str">
        <f>HYPERLINK("https://youtube.com/watch?v=8B1b0lBzcLw", "啫啫 雞/啫啫雞煲/超香/大牌檔風味/零失敗/低成本/簡單 家做/廣東話/中文字幕")</f>
        <v>啫啫 雞/啫啫雞煲/超香/大牌檔風味/零失敗/低成本/簡單 家做/廣東話/中文字幕</v>
      </c>
      <c r="E2459" s="82">
        <v>44424.0</v>
      </c>
      <c r="F2459" s="80">
        <v>647.0</v>
      </c>
      <c r="G2459" s="80" t="s">
        <v>63</v>
      </c>
      <c r="I2459" s="80" t="s">
        <v>63</v>
      </c>
      <c r="J2459" s="80">
        <v>1653.0</v>
      </c>
      <c r="K2459" s="80">
        <v>0.982758620689655</v>
      </c>
      <c r="L2459" s="80" t="s">
        <v>64</v>
      </c>
    </row>
    <row r="2460">
      <c r="A2460" s="80" t="s">
        <v>2785</v>
      </c>
      <c r="B2460" s="81" t="str">
        <f>HYPERLINK("https://www.youtube.com/channel/UC_w7pV_Xz9XO0ChNFxMtV0w", "MPWeekly明周")</f>
        <v>MPWeekly明周</v>
      </c>
      <c r="C2460" s="80" t="s">
        <v>2786</v>
      </c>
      <c r="D2460" s="81" t="str">
        <f>HYPERLINK("https://youtube.com/watch?v=8C4nlyQpAt8", "14歲的滑冰少女Valerie Law：「溜冰教我更有決心去對待每件事。」| INNERWOMAN")</f>
        <v>14歲的滑冰少女Valerie Law：「溜冰教我更有決心去對待每件事。」| INNERWOMAN</v>
      </c>
      <c r="E2460" s="82">
        <v>44501.0</v>
      </c>
      <c r="F2460" s="80">
        <v>259.0</v>
      </c>
      <c r="G2460" s="80" t="s">
        <v>63</v>
      </c>
      <c r="I2460" s="80" t="s">
        <v>63</v>
      </c>
      <c r="J2460" s="80">
        <v>559.0</v>
      </c>
      <c r="K2460" s="80">
        <v>0.772099447513812</v>
      </c>
      <c r="L2460" s="80" t="s">
        <v>64</v>
      </c>
    </row>
    <row r="2461">
      <c r="A2461" s="80" t="s">
        <v>127</v>
      </c>
      <c r="B2461" s="81" t="str">
        <f>HYPERLINK("https://www.youtube.com/channel/UC97oYK3XMf9RLtkc0lO8C-Q", "健康旦 HiEggo")</f>
        <v>健康旦 HiEggo</v>
      </c>
      <c r="C2461" s="80" t="s">
        <v>2787</v>
      </c>
      <c r="D2461" s="81" t="str">
        <f>HYPERLINK("https://youtube.com/watch?v=8FWp5ZPTG4A", "土茯苓妙用方法 教煲勒莧菜頭土伏岺袪濕湯 - 鄭丹瑞《健康旦》#方曉嵐 Part 6（CC中文字幕）")</f>
        <v>土茯苓妙用方法 教煲勒莧菜頭土伏岺袪濕湯 - 鄭丹瑞《健康旦》#方曉嵐 Part 6（CC中文字幕）</v>
      </c>
      <c r="E2461" s="82">
        <v>43939.0</v>
      </c>
      <c r="F2461" s="80">
        <v>778.0</v>
      </c>
      <c r="G2461" s="80" t="s">
        <v>63</v>
      </c>
      <c r="I2461" s="80" t="s">
        <v>63</v>
      </c>
      <c r="J2461" s="80">
        <v>2736.0</v>
      </c>
      <c r="K2461" s="80">
        <v>0.993464052287581</v>
      </c>
      <c r="L2461" s="80" t="s">
        <v>64</v>
      </c>
    </row>
    <row r="2462">
      <c r="A2462" s="80" t="s">
        <v>124</v>
      </c>
      <c r="B2462" s="81" t="str">
        <f>HYPERLINK("https://www.youtube.com/channel/UCg0vuSE0fBF_NvodyYhMcWg", "Wallace Studio HK")</f>
        <v>Wallace Studio HK</v>
      </c>
      <c r="C2462" s="80" t="s">
        <v>2788</v>
      </c>
      <c r="D2462" s="81" t="str">
        <f>HYPERLINK("https://youtube.com/watch?v=8II6D_Gih2E", "[評測] Zenbook Duo UX482 終極評測! 雙屏好好用，創作者文書樣樣掂，但係就係咁簡單? (CC中文字幕)")</f>
        <v>[評測] Zenbook Duo UX482 終極評測! 雙屏好好用，創作者文書樣樣掂，但係就係咁簡單? (CC中文字幕)</v>
      </c>
      <c r="E2462" s="82">
        <v>44332.0</v>
      </c>
      <c r="F2462" s="80">
        <v>756.0</v>
      </c>
      <c r="G2462" s="80" t="s">
        <v>63</v>
      </c>
      <c r="H2462" s="80" t="s">
        <v>63</v>
      </c>
      <c r="I2462" s="80" t="s">
        <v>63</v>
      </c>
      <c r="J2462" s="80">
        <v>2624.0</v>
      </c>
      <c r="K2462" s="80">
        <v>0.811379097093382</v>
      </c>
      <c r="L2462" s="80" t="s">
        <v>86</v>
      </c>
    </row>
    <row r="2463">
      <c r="A2463" s="80" t="s">
        <v>248</v>
      </c>
      <c r="B2463" s="81" t="str">
        <f>HYPERLINK("https://www.youtube.com/channel/UCUEJok-GiWaGlv5nIPwk-GQ", "Price.com.hk 香港格價網")</f>
        <v>Price.com.hk 香港格價網</v>
      </c>
      <c r="C2463" s="80" t="s">
        <v>2789</v>
      </c>
      <c r="D2463" s="81" t="str">
        <f>HYPERLINK("https://youtube.com/watch?v=8IIR781B3p8", "輕細高效 HP Pavilion Aero 13 Laptop｜AMD Ryzen處理器+Radeon內顯、1KG以下、16:10 微邊顯示屏｜特約專題【Pice.com.hk產品評測】")</f>
        <v>輕細高效 HP Pavilion Aero 13 Laptop｜AMD Ryzen處理器+Radeon內顯、1KG以下、16:10 微邊顯示屏｜特約專題【Pice.com.hk產品評測】</v>
      </c>
      <c r="E2463" s="82">
        <v>44484.0</v>
      </c>
      <c r="F2463" s="80">
        <v>308.0</v>
      </c>
      <c r="G2463" s="80" t="s">
        <v>63</v>
      </c>
      <c r="I2463" s="80" t="s">
        <v>63</v>
      </c>
      <c r="J2463" s="80">
        <v>956.0</v>
      </c>
      <c r="K2463" s="80">
        <v>0.715033657442034</v>
      </c>
      <c r="L2463" s="80" t="s">
        <v>64</v>
      </c>
    </row>
    <row r="2464">
      <c r="A2464" s="80" t="s">
        <v>1139</v>
      </c>
      <c r="B2464" s="81" t="str">
        <f>HYPERLINK("https://www.youtube.com/channel/UCw51gVFijIewmXH4tIR0ufw", "Crystal Zen")</f>
        <v>Crystal Zen</v>
      </c>
      <c r="C2464" s="80" t="s">
        <v>2790</v>
      </c>
      <c r="D2464" s="81" t="str">
        <f>HYPERLINK("https://youtube.com/watch?v=8IsRZ-YQnB4", "[水晶知多D 第二十集] 海紋石 係令你平靜嘅最佳夥伴！！！")</f>
        <v>[水晶知多D 第二十集] 海紋石 係令你平靜嘅最佳夥伴！！！</v>
      </c>
      <c r="E2464" s="82">
        <v>44167.0</v>
      </c>
      <c r="F2464" s="80">
        <v>473.0</v>
      </c>
      <c r="G2464" s="80" t="s">
        <v>63</v>
      </c>
      <c r="I2464" s="80" t="s">
        <v>63</v>
      </c>
      <c r="J2464" s="80">
        <v>2153.0</v>
      </c>
      <c r="K2464" s="80">
        <v>0.915780518928115</v>
      </c>
      <c r="L2464" s="80" t="s">
        <v>64</v>
      </c>
    </row>
    <row r="2465">
      <c r="A2465" s="80" t="s">
        <v>2780</v>
      </c>
      <c r="B2465" s="81" t="str">
        <f>HYPERLINK("https://www.youtube.com/channel/UC0CojhLcc0VESgaG633m5kA", "RainErs")</f>
        <v>RainErs</v>
      </c>
      <c r="C2465" s="80" t="s">
        <v>2791</v>
      </c>
      <c r="D2465" s="81" t="str">
        <f>HYPERLINK("https://youtube.com/watch?v=8KvxBFcvXkM", "Ulanzi VL49.RGB補光燈[開箱]---最小型RGB補光燈之一❓❓/新手youtuber必備。。因為超平㊗️❗❗[有CC字幕]")</f>
        <v>Ulanzi VL49.RGB補光燈[開箱]---最小型RGB補光燈之一❓❓/新手youtuber必備。。因為超平㊗️❗❗[有CC字幕]</v>
      </c>
      <c r="E2465" s="82">
        <v>44320.0</v>
      </c>
      <c r="F2465" s="80">
        <v>309.0</v>
      </c>
      <c r="G2465" s="80" t="s">
        <v>63</v>
      </c>
      <c r="I2465" s="80" t="s">
        <v>63</v>
      </c>
      <c r="J2465" s="80">
        <v>1183.0</v>
      </c>
      <c r="K2465" s="80">
        <v>0.909300538047655</v>
      </c>
      <c r="L2465" s="80" t="s">
        <v>64</v>
      </c>
    </row>
    <row r="2466">
      <c r="A2466" s="80" t="s">
        <v>127</v>
      </c>
      <c r="B2466" s="81" t="str">
        <f>HYPERLINK("https://www.youtube.com/channel/UC97oYK3XMf9RLtkc0lO8C-Q", "健康旦 HiEggo")</f>
        <v>健康旦 HiEggo</v>
      </c>
      <c r="C2466" s="80" t="s">
        <v>2792</v>
      </c>
      <c r="D2466" s="81" t="str">
        <f>HYPERLINK("https://youtube.com/watch?v=8LgOx3bvxBM", "濕疹可由食物敏感演變 發育時多運動減哮喘發作 脫敏治療可對付鼻敏感、哮喘 - 鄭丹瑞《健康旦》香港中文大學醫學院兒科學系榮譽臨床副教授 #洪之韻 Part 3 (CC中文字幕)")</f>
        <v>濕疹可由食物敏感演變 發育時多運動減哮喘發作 脫敏治療可對付鼻敏感、哮喘 - 鄭丹瑞《健康旦》香港中文大學醫學院兒科學系榮譽臨床副教授 #洪之韻 Part 3 (CC中文字幕)</v>
      </c>
      <c r="E2466" s="82">
        <v>44109.0</v>
      </c>
      <c r="F2466" s="80">
        <v>694.0</v>
      </c>
      <c r="G2466" s="80" t="s">
        <v>63</v>
      </c>
      <c r="I2466" s="80" t="s">
        <v>63</v>
      </c>
      <c r="J2466" s="80">
        <v>2914.0</v>
      </c>
      <c r="K2466" s="80">
        <v>0.991831177671885</v>
      </c>
      <c r="L2466" s="80" t="s">
        <v>2771</v>
      </c>
    </row>
    <row r="2467">
      <c r="A2467" s="80" t="s">
        <v>2793</v>
      </c>
      <c r="B2467" s="81" t="str">
        <f>HYPERLINK("https://www.youtube.com/channel/UC03mRlT2h1B4LohYaIj9lHg", "Messiah2048")</f>
        <v>Messiah2048</v>
      </c>
      <c r="C2467" s="80" t="s">
        <v>2794</v>
      </c>
      <c r="D2467" s="81" t="str">
        <f>HYPERLINK("https://youtube.com/watch?v=8PG398xdVqQ", "陳淑莊：司長，千祈唔好搭沉船！")</f>
        <v>陳淑莊：司長，千祈唔好搭沉船！</v>
      </c>
      <c r="E2467" s="82">
        <v>42708.0</v>
      </c>
      <c r="F2467" s="80">
        <v>123.0</v>
      </c>
      <c r="G2467" s="80" t="s">
        <v>63</v>
      </c>
      <c r="I2467" s="80" t="s">
        <v>63</v>
      </c>
      <c r="J2467" s="80">
        <v>517.0</v>
      </c>
      <c r="K2467" s="80">
        <v>0.966355140186915</v>
      </c>
      <c r="L2467" s="80" t="s">
        <v>64</v>
      </c>
    </row>
    <row r="2468">
      <c r="A2468" s="80" t="s">
        <v>1260</v>
      </c>
      <c r="B2468" s="81" t="str">
        <f>HYPERLINK("https://www.youtube.com/channel/UCh1k4i86BpiXEO3nzJIYynw", "The Wave")</f>
        <v>The Wave</v>
      </c>
      <c r="C2468" s="80" t="s">
        <v>2795</v>
      </c>
      <c r="D2468" s="81" t="str">
        <f>HYPERLINK("https://youtube.com/watch?v=8Q3gm4bfqyU", "TheWave | iPhone XS Max 512GB金色 | 開箱 測試")</f>
        <v>TheWave | iPhone XS Max 512GB金色 | 開箱 測試</v>
      </c>
      <c r="E2468" s="82">
        <v>43627.0</v>
      </c>
      <c r="F2468" s="80">
        <v>164.0</v>
      </c>
      <c r="G2468" s="80" t="s">
        <v>63</v>
      </c>
      <c r="H2468" s="80" t="s">
        <v>63</v>
      </c>
      <c r="I2468" s="80" t="s">
        <v>63</v>
      </c>
      <c r="J2468" s="80">
        <v>396.0</v>
      </c>
      <c r="K2468" s="80">
        <v>0.561702127659574</v>
      </c>
      <c r="L2468" s="80" t="s">
        <v>120</v>
      </c>
    </row>
    <row r="2469">
      <c r="A2469" s="80" t="s">
        <v>2041</v>
      </c>
      <c r="B2469" s="81" t="str">
        <f>HYPERLINK("https://www.youtube.com/channel/UCO6pB-ZN4XJ6MVkibvuEe0A", "SingSingTracker 星昇財經指標")</f>
        <v>SingSingTracker 星昇財經指標</v>
      </c>
      <c r="C2469" s="80" t="s">
        <v>2796</v>
      </c>
      <c r="D2469" s="81" t="str">
        <f>HYPERLINK("https://youtube.com/watch?v=8Q62JePKC7s", "Binance Coinbase 重點比較｜Bitcoin ETF 上市首日大升｜比特幣期貨ETF｜BITO你要買嗎? ｜加密貨幣新手攻略｜幣安C2C｜Coinbase Pro #BTC #ETH")</f>
        <v>Binance Coinbase 重點比較｜Bitcoin ETF 上市首日大升｜比特幣期貨ETF｜BITO你要買嗎? ｜加密貨幣新手攻略｜幣安C2C｜Coinbase Pro #BTC #ETH</v>
      </c>
      <c r="E2469" s="82">
        <v>44496.0</v>
      </c>
      <c r="F2469" s="80">
        <v>509.0</v>
      </c>
      <c r="G2469" s="80" t="s">
        <v>63</v>
      </c>
      <c r="I2469" s="80" t="s">
        <v>63</v>
      </c>
      <c r="J2469" s="80">
        <v>1686.0</v>
      </c>
      <c r="K2469" s="80">
        <v>0.789325842696629</v>
      </c>
      <c r="L2469" s="80" t="s">
        <v>64</v>
      </c>
    </row>
    <row r="2470">
      <c r="A2470" s="80" t="s">
        <v>1260</v>
      </c>
      <c r="B2470" s="81" t="str">
        <f t="shared" ref="B2470:B2471" si="123">HYPERLINK("https://www.youtube.com/channel/UCh1k4i86BpiXEO3nzJIYynw", "The Wave")</f>
        <v>The Wave</v>
      </c>
      <c r="C2470" s="80" t="s">
        <v>2797</v>
      </c>
      <c r="D2470" s="81" t="str">
        <f>HYPERLINK("https://youtube.com/watch?v=8RWcx9ls3VI", "TheWave | Sony WH-1000XM4 | 有史以來最強降噪耳機！！全CC字幕 4K")</f>
        <v>TheWave | Sony WH-1000XM4 | 有史以來最強降噪耳機！！全CC字幕 4K</v>
      </c>
      <c r="E2470" s="82">
        <v>44052.0</v>
      </c>
      <c r="F2470" s="80">
        <v>220.0</v>
      </c>
      <c r="G2470" s="80" t="s">
        <v>63</v>
      </c>
      <c r="H2470" s="80" t="s">
        <v>63</v>
      </c>
      <c r="I2470" s="80" t="s">
        <v>63</v>
      </c>
      <c r="J2470" s="80">
        <v>643.0</v>
      </c>
      <c r="K2470" s="80">
        <v>0.686965811965812</v>
      </c>
      <c r="L2470" s="80" t="s">
        <v>1634</v>
      </c>
    </row>
    <row r="2471">
      <c r="A2471" s="80" t="s">
        <v>1260</v>
      </c>
      <c r="B2471" s="81" t="str">
        <f t="shared" si="123"/>
        <v>The Wave</v>
      </c>
      <c r="C2471" s="80" t="s">
        <v>2798</v>
      </c>
      <c r="D2471" s="81" t="str">
        <f>HYPERLINK("https://youtube.com/watch?v=8T4TTcod3so", "TheWave | Xperia 1 4K HDR 藍光電影 電力測試")</f>
        <v>TheWave | Xperia 1 4K HDR 藍光電影 電力測試</v>
      </c>
      <c r="E2471" s="82">
        <v>43628.0</v>
      </c>
      <c r="F2471" s="80">
        <v>104.0</v>
      </c>
      <c r="G2471" s="80" t="s">
        <v>63</v>
      </c>
      <c r="H2471" s="80" t="s">
        <v>63</v>
      </c>
      <c r="I2471" s="80" t="s">
        <v>63</v>
      </c>
      <c r="J2471" s="80">
        <v>159.0</v>
      </c>
      <c r="K2471" s="80">
        <v>0.733644859813084</v>
      </c>
      <c r="L2471" s="80" t="s">
        <v>1132</v>
      </c>
    </row>
    <row r="2472">
      <c r="A2472" s="80" t="s">
        <v>108</v>
      </c>
      <c r="B2472" s="81" t="str">
        <f>HYPERLINK("https://www.youtube.com/channel/UCZL6QN6Xs-ZrKY3y6Pv6Emg", "廢青 - 日賺3000")</f>
        <v>廢青 - 日賺3000</v>
      </c>
      <c r="C2472" s="80" t="s">
        <v>2799</v>
      </c>
      <c r="D2472" s="81" t="str">
        <f>HYPERLINK("https://youtube.com/watch?v=8THDIXCVBLM", "股票15%回報! 年賺90萬‼️你都賺唔夠❓│ 2020 財務自由靠股票EP41【廢青 日賺3000】【點CC看中文字幕】")</f>
        <v>股票15%回報! 年賺90萬‼️你都賺唔夠❓│ 2020 財務自由靠股票EP41【廢青 日賺3000】【點CC看中文字幕】</v>
      </c>
      <c r="E2472" s="82">
        <v>44057.0</v>
      </c>
      <c r="F2472" s="80">
        <v>522.0</v>
      </c>
      <c r="G2472" s="80" t="s">
        <v>63</v>
      </c>
      <c r="I2472" s="80" t="s">
        <v>63</v>
      </c>
      <c r="J2472" s="80">
        <v>1744.0</v>
      </c>
      <c r="K2472" s="80">
        <v>0.941684665226781</v>
      </c>
      <c r="L2472" s="80" t="s">
        <v>64</v>
      </c>
    </row>
    <row r="2473">
      <c r="A2473" s="80" t="s">
        <v>2800</v>
      </c>
      <c r="B2473" s="81" t="str">
        <f>HYPERLINK("https://www.youtube.com/channel/UCMqrlsr-AECPc6_3oDr8m9w", "Unicorn 獸哥")</f>
        <v>Unicorn 獸哥</v>
      </c>
      <c r="C2473" s="80" t="s">
        <v>2801</v>
      </c>
      <c r="D2473" s="81" t="str">
        <f>HYPERLINK("https://youtube.com/watch?v=8UeoI_hN6Q4", "22世紀殺人網絡復活次元 MATRIX 4 RESURRECTIONS 預告解析")</f>
        <v>22世紀殺人網絡復活次元 MATRIX 4 RESURRECTIONS 預告解析</v>
      </c>
      <c r="E2473" s="82">
        <v>44456.0</v>
      </c>
      <c r="F2473" s="80">
        <v>468.0</v>
      </c>
      <c r="G2473" s="80" t="s">
        <v>63</v>
      </c>
      <c r="I2473" s="80" t="s">
        <v>63</v>
      </c>
      <c r="J2473" s="80">
        <v>2007.0</v>
      </c>
      <c r="K2473" s="80">
        <v>0.82153090462546</v>
      </c>
      <c r="L2473" s="80" t="s">
        <v>64</v>
      </c>
    </row>
    <row r="2474">
      <c r="A2474" s="80" t="s">
        <v>1260</v>
      </c>
      <c r="B2474" s="81" t="str">
        <f>HYPERLINK("https://www.youtube.com/channel/UCh1k4i86BpiXEO3nzJIYynw", "The Wave")</f>
        <v>The Wave</v>
      </c>
      <c r="C2474" s="80" t="s">
        <v>2802</v>
      </c>
      <c r="D2474" s="81" t="str">
        <f>HYPERLINK("https://youtube.com/watch?v=8ZncfH-eINc", "TheWave開箱測試 | DJI Osmo Pocket")</f>
        <v>TheWave開箱測試 | DJI Osmo Pocket</v>
      </c>
      <c r="E2474" s="82">
        <v>43466.0</v>
      </c>
      <c r="F2474" s="80">
        <v>116.0</v>
      </c>
      <c r="G2474" s="80" t="s">
        <v>63</v>
      </c>
      <c r="H2474" s="80" t="s">
        <v>63</v>
      </c>
      <c r="I2474" s="80" t="s">
        <v>63</v>
      </c>
      <c r="J2474" s="80">
        <v>342.0</v>
      </c>
      <c r="K2474" s="80">
        <v>0.764018691588785</v>
      </c>
      <c r="L2474" s="80" t="s">
        <v>120</v>
      </c>
    </row>
    <row r="2475">
      <c r="A2475" s="80" t="s">
        <v>98</v>
      </c>
      <c r="B2475" s="81" t="str">
        <f>HYPERLINK("https://www.youtube.com/channel/UCrquuQB6v1Ued2xyRKZreGQ", "Stephen Leung ")</f>
        <v>Stephen Leung </v>
      </c>
      <c r="C2475" s="80" t="s">
        <v>2803</v>
      </c>
      <c r="D2475" s="81" t="str">
        <f>HYPERLINK("https://youtube.com/watch?v=8ZykuUOnS5o", "【香港美食】12款 鑊氣海鮮放題 + 小菜任食 $238 全包 薑蔥炒肉蟹 椒鹽賴尿蝦 豉椒蟶子 椒鹽九肚魚 蒜蓉粉絲蒸元貝 金不換炒蜆 輝哥私房菜 | 吃喝玩樂")</f>
        <v>【香港美食】12款 鑊氣海鮮放題 + 小菜任食 $238 全包 薑蔥炒肉蟹 椒鹽賴尿蝦 豉椒蟶子 椒鹽九肚魚 蒜蓉粉絲蒸元貝 金不換炒蜆 輝哥私房菜 | 吃喝玩樂</v>
      </c>
      <c r="E2475" s="82">
        <v>44327.0</v>
      </c>
      <c r="F2475" s="80">
        <v>750.0</v>
      </c>
      <c r="G2475" s="80" t="s">
        <v>63</v>
      </c>
      <c r="I2475" s="80" t="s">
        <v>63</v>
      </c>
      <c r="J2475" s="80">
        <v>2108.0</v>
      </c>
      <c r="K2475" s="80">
        <v>0.984126984126984</v>
      </c>
      <c r="L2475" s="80" t="s">
        <v>64</v>
      </c>
    </row>
    <row r="2476">
      <c r="A2476" s="80" t="s">
        <v>2804</v>
      </c>
      <c r="B2476" s="81" t="str">
        <f>HYPERLINK("https://www.youtube.com/channel/UCrFrg50t0JqgqV2dkIrH5Hg", "投智財女 GirlbossInvest 創業投資智慧")</f>
        <v>投智財女 GirlbossInvest 創業投資智慧</v>
      </c>
      <c r="C2476" s="80" t="s">
        <v>2805</v>
      </c>
      <c r="D2476" s="81" t="str">
        <f>HYPERLINK("https://youtube.com/watch?v=8bjO8N4c-uc", "【賺近$3000】iBond 2021懶人包 x 一事無成賺100％大法! 低成本抽iBond新絕招！#什麼是ibond #拿回屬於我們的錢 #有字幕 #iBond懶人包 #最大優惠")</f>
        <v>【賺近$3000】iBond 2021懶人包 x 一事無成賺100％大法! 低成本抽iBond新絕招！#什麼是ibond #拿回屬於我們的錢 #有字幕 #iBond懶人包 #最大優惠</v>
      </c>
      <c r="E2476" s="82">
        <v>44348.0</v>
      </c>
      <c r="F2476" s="80">
        <v>614.0</v>
      </c>
      <c r="G2476" s="80" t="s">
        <v>63</v>
      </c>
      <c r="I2476" s="80" t="s">
        <v>63</v>
      </c>
      <c r="J2476" s="80">
        <v>1673.0</v>
      </c>
      <c r="K2476" s="80">
        <v>0.893696581196581</v>
      </c>
      <c r="L2476" s="80" t="s">
        <v>102</v>
      </c>
    </row>
    <row r="2477">
      <c r="A2477" s="80" t="s">
        <v>288</v>
      </c>
      <c r="B2477" s="81" t="str">
        <f>HYPERLINK("https://www.youtube.com/channel/UCDWOYEhVnyD4IHZGVAMLc0g", "Brendan 毛爸")</f>
        <v>Brendan 毛爸</v>
      </c>
      <c r="C2477" s="80" t="s">
        <v>2806</v>
      </c>
      <c r="D2477" s="81" t="str">
        <f>HYPERLINK("https://youtube.com/watch?v=8g3VLeM8xQU", "【輕鬆減壓手機遊戲介紹】休閒玩家必玩遊戲！Ancient Battle！兵多多！（請打開CC 中文字幕）")</f>
        <v>【輕鬆減壓手機遊戲介紹】休閒玩家必玩遊戲！Ancient Battle！兵多多！（請打開CC 中文字幕）</v>
      </c>
      <c r="E2477" s="82">
        <v>44022.0</v>
      </c>
      <c r="F2477" s="80">
        <v>376.0</v>
      </c>
      <c r="G2477" s="80" t="s">
        <v>63</v>
      </c>
      <c r="I2477" s="80" t="s">
        <v>63</v>
      </c>
      <c r="J2477" s="80">
        <v>1387.0</v>
      </c>
      <c r="K2477" s="80">
        <v>0.969252271139063</v>
      </c>
      <c r="L2477" s="80" t="s">
        <v>64</v>
      </c>
    </row>
    <row r="2478">
      <c r="A2478" s="80" t="s">
        <v>1260</v>
      </c>
      <c r="B2478" s="81" t="str">
        <f>HYPERLINK("https://www.youtube.com/channel/UCh1k4i86BpiXEO3nzJIYynw", "The Wave")</f>
        <v>The Wave</v>
      </c>
      <c r="C2478" s="80" t="s">
        <v>2807</v>
      </c>
      <c r="D2478" s="81" t="str">
        <f>HYPERLINK("https://youtube.com/watch?v=8iUX5T8mHhk", "TheWave | XZ2 Premium 相機大更新 | 小測試")</f>
        <v>TheWave | XZ2 Premium 相機大更新 | 小測試</v>
      </c>
      <c r="E2478" s="82">
        <v>43322.0</v>
      </c>
      <c r="F2478" s="80">
        <v>79.0</v>
      </c>
      <c r="G2478" s="80" t="s">
        <v>63</v>
      </c>
      <c r="I2478" s="80" t="s">
        <v>63</v>
      </c>
      <c r="J2478" s="80">
        <v>235.0</v>
      </c>
      <c r="K2478" s="80">
        <v>0.748407643312101</v>
      </c>
      <c r="L2478" s="80" t="s">
        <v>521</v>
      </c>
    </row>
    <row r="2479">
      <c r="A2479" s="80" t="s">
        <v>2041</v>
      </c>
      <c r="B2479" s="81" t="str">
        <f>HYPERLINK("https://www.youtube.com/channel/UCO6pB-ZN4XJ6MVkibvuEe0A", "SingSingTracker 星昇財經指標")</f>
        <v>SingSingTracker 星昇財經指標</v>
      </c>
      <c r="C2479" s="80" t="s">
        <v>2808</v>
      </c>
      <c r="D2479" s="81" t="str">
        <f>HYPERLINK("https://youtube.com/watch?v=8j0GCVlyztM", "【  股市向下預測】三個民間跌市訊號 ｜口紅效應 眼線效應 #股市警號 #股災十年週期 #抗通脹")</f>
        <v>【  股市向下預測】三個民間跌市訊號 ｜口紅效應 眼線效應 #股市警號 #股災十年週期 #抗通脹</v>
      </c>
      <c r="E2479" s="82">
        <v>44411.0</v>
      </c>
      <c r="F2479" s="80">
        <v>256.0</v>
      </c>
      <c r="G2479" s="80" t="s">
        <v>63</v>
      </c>
      <c r="I2479" s="80" t="s">
        <v>63</v>
      </c>
      <c r="J2479" s="80">
        <v>1018.0</v>
      </c>
      <c r="K2479" s="80">
        <v>0.924613987284287</v>
      </c>
      <c r="L2479" s="80" t="s">
        <v>64</v>
      </c>
    </row>
    <row r="2480">
      <c r="A2480" s="80" t="s">
        <v>84</v>
      </c>
      <c r="B2480" s="81" t="str">
        <f>HYPERLINK("https://www.youtube.com/channel/UCs6fW24aVjefTsognevmDnA", "PakTil 拍跳")</f>
        <v>PakTil 拍跳</v>
      </c>
      <c r="C2480" s="80" t="s">
        <v>2809</v>
      </c>
      <c r="D2480" s="81" t="str">
        <f>HYPERLINK("https://youtube.com/watch?v=8noE7ltsDfA", "【拍跳短跑】打泰拳  步法係好緊要😎😎")</f>
        <v>【拍跳短跑】打泰拳  步法係好緊要😎😎</v>
      </c>
      <c r="E2480" s="82">
        <v>44070.0</v>
      </c>
      <c r="F2480" s="80">
        <v>51.0</v>
      </c>
      <c r="G2480" s="80" t="s">
        <v>63</v>
      </c>
      <c r="I2480" s="80" t="s">
        <v>63</v>
      </c>
      <c r="J2480" s="80">
        <v>18.0</v>
      </c>
      <c r="K2480" s="80">
        <v>0.818181818181818</v>
      </c>
      <c r="L2480" s="80" t="s">
        <v>86</v>
      </c>
    </row>
    <row r="2481">
      <c r="A2481" s="80" t="s">
        <v>108</v>
      </c>
      <c r="B2481" s="81" t="str">
        <f>HYPERLINK("https://www.youtube.com/channel/UCZL6QN6Xs-ZrKY3y6Pv6Emg", "廢青 - 日賺3000")</f>
        <v>廢青 - 日賺3000</v>
      </c>
      <c r="C2481" s="80" t="s">
        <v>2810</v>
      </c>
      <c r="D2481" s="81" t="str">
        <f>HYPERLINK("https://youtube.com/watch?v=8oI6R84vX5Y", "港股股災 ! ⚠3隻撈底必備優質股⚠ 輕鬆必賺法 | EP67【廢青 日賺3000】【點CC看中文字幕】")</f>
        <v>港股股災 ! ⚠3隻撈底必備優質股⚠ 輕鬆必賺法 | EP67【廢青 日賺3000】【點CC看中文字幕】</v>
      </c>
      <c r="E2481" s="82">
        <v>44428.0</v>
      </c>
      <c r="F2481" s="80">
        <v>987.0</v>
      </c>
      <c r="G2481" s="80" t="s">
        <v>63</v>
      </c>
      <c r="I2481" s="80" t="s">
        <v>63</v>
      </c>
      <c r="J2481" s="80">
        <v>4016.0</v>
      </c>
      <c r="K2481" s="80">
        <v>0.923643054277828</v>
      </c>
      <c r="L2481" s="80" t="s">
        <v>64</v>
      </c>
    </row>
    <row r="2482">
      <c r="A2482" s="80" t="s">
        <v>1260</v>
      </c>
      <c r="B2482" s="81" t="str">
        <f>HYPERLINK("https://www.youtube.com/channel/UCh1k4i86BpiXEO3nzJIYynw", "The Wave")</f>
        <v>The Wave</v>
      </c>
      <c r="C2482" s="80" t="s">
        <v>2811</v>
      </c>
      <c r="D2482" s="81" t="str">
        <f>HYPERLINK("https://youtube.com/watch?v=8pwCHiI43sM", "TheWave | Xperia 5 三星期用後感 vs Xperia 1")</f>
        <v>TheWave | Xperia 5 三星期用後感 vs Xperia 1</v>
      </c>
      <c r="E2482" s="82">
        <v>43768.0</v>
      </c>
      <c r="F2482" s="80">
        <v>293.0</v>
      </c>
      <c r="G2482" s="80" t="s">
        <v>63</v>
      </c>
      <c r="H2482" s="80" t="s">
        <v>63</v>
      </c>
      <c r="I2482" s="80" t="s">
        <v>63</v>
      </c>
      <c r="J2482" s="80">
        <v>892.0</v>
      </c>
      <c r="K2482" s="80">
        <v>0.764353041988003</v>
      </c>
      <c r="L2482" s="80" t="s">
        <v>1634</v>
      </c>
    </row>
    <row r="2483">
      <c r="A2483" s="80" t="s">
        <v>127</v>
      </c>
      <c r="B2483" s="81" t="str">
        <f>HYPERLINK("https://www.youtube.com/channel/UC97oYK3XMf9RLtkc0lO8C-Q", "健康旦 HiEggo")</f>
        <v>健康旦 HiEggo</v>
      </c>
      <c r="C2483" s="80" t="s">
        <v>2812</v>
      </c>
      <c r="D2483" s="81" t="str">
        <f>HYPERLINK("https://youtube.com/watch?v=8qPelQHh0Gg", "苦瓜煲湯炒菜有分別 涼瓜淡菜咸排骨湯 消暑解熱治喉嚨沙啞 - 鄭丹瑞《健康旦》#方曉嵐 Part 12（CC中文字幕）")</f>
        <v>苦瓜煲湯炒菜有分別 涼瓜淡菜咸排骨湯 消暑解熱治喉嚨沙啞 - 鄭丹瑞《健康旦》#方曉嵐 Part 12（CC中文字幕）</v>
      </c>
      <c r="E2483" s="82">
        <v>43970.0</v>
      </c>
      <c r="F2483" s="80">
        <v>570.0</v>
      </c>
      <c r="G2483" s="80" t="s">
        <v>63</v>
      </c>
      <c r="I2483" s="80" t="s">
        <v>63</v>
      </c>
      <c r="J2483" s="80">
        <v>1715.0</v>
      </c>
      <c r="K2483" s="80">
        <v>0.989042675893887</v>
      </c>
      <c r="L2483" s="80" t="s">
        <v>64</v>
      </c>
    </row>
    <row r="2484">
      <c r="A2484" s="80" t="s">
        <v>1987</v>
      </c>
      <c r="B2484" s="81" t="str">
        <f>HYPERLINK("https://www.youtube.com/channel/UCgGUmm04nVyj-ftaCxVcyBg", "MangoHK大馬獅家")</f>
        <v>MangoHK大馬獅家</v>
      </c>
      <c r="C2484" s="80" t="s">
        <v>2813</v>
      </c>
      <c r="D2484" s="81" t="str">
        <f>HYPERLINK("https://youtube.com/watch?v=8sP-xG7KnEw", "【60】📸️文冬深度遊😎體驗文化館 {中英字幕} Subtitled | Malaysia Bentong | Malaysia Vlog | mm2h")</f>
        <v>【60】📸️文冬深度遊😎體驗文化館 {中英字幕} Subtitled | Malaysia Bentong | Malaysia Vlog | mm2h</v>
      </c>
      <c r="E2484" s="82">
        <v>44487.0</v>
      </c>
      <c r="F2484" s="80">
        <v>791.0</v>
      </c>
      <c r="G2484" s="80" t="s">
        <v>63</v>
      </c>
      <c r="I2484" s="80" t="s">
        <v>63</v>
      </c>
      <c r="J2484" s="80">
        <v>1824.0</v>
      </c>
      <c r="K2484" s="80">
        <v>0.984881209503239</v>
      </c>
      <c r="L2484" s="80" t="s">
        <v>896</v>
      </c>
    </row>
    <row r="2485">
      <c r="A2485" s="80" t="s">
        <v>127</v>
      </c>
      <c r="B2485" s="81" t="str">
        <f>HYPERLINK("https://www.youtube.com/channel/UC97oYK3XMf9RLtkc0lO8C-Q", "健康旦 HiEggo")</f>
        <v>健康旦 HiEggo</v>
      </c>
      <c r="C2485" s="80" t="s">
        <v>2814</v>
      </c>
      <c r="D2485" s="81" t="str">
        <f>HYPERLINK("https://youtube.com/watch?v=8soDntoe8KU", "C朗復康運動神器 Alter G反重力跑步機  柏金遜中風患者都用得 - 鄭丹瑞《健康旦》Alter G (CC中文字幕)")</f>
        <v>C朗復康運動神器 Alter G反重力跑步機  柏金遜中風患者都用得 - 鄭丹瑞《健康旦》Alter G (CC中文字幕)</v>
      </c>
      <c r="E2485" s="82">
        <v>43985.0</v>
      </c>
      <c r="F2485" s="80">
        <v>703.0</v>
      </c>
      <c r="G2485" s="80" t="s">
        <v>63</v>
      </c>
      <c r="I2485" s="80" t="s">
        <v>63</v>
      </c>
      <c r="J2485" s="80">
        <v>2940.0</v>
      </c>
      <c r="K2485" s="80">
        <v>0.929203539823008</v>
      </c>
      <c r="L2485" s="80" t="s">
        <v>64</v>
      </c>
    </row>
    <row r="2486">
      <c r="A2486" s="80" t="s">
        <v>248</v>
      </c>
      <c r="B2486" s="81" t="str">
        <f>HYPERLINK("https://www.youtube.com/channel/UCUEJok-GiWaGlv5nIPwk-GQ", "Price.com.hk 香港格價網")</f>
        <v>Price.com.hk 香港格價網</v>
      </c>
      <c r="C2486" s="80" t="s">
        <v>2815</v>
      </c>
      <c r="D2486" s="81" t="str">
        <f>HYPERLINK("https://youtube.com/watch?v=8uCoklaW4gw", "AirPod Pro 2或支援ALAC．SONY踩入電車界成立汽車部門．ASUS摺Mon手提電腦Zenbook 17 Fold OLED｜廣東話【Price Weekly #96 2022年1月 】")</f>
        <v>AirPod Pro 2或支援ALAC．SONY踩入電車界成立汽車部門．ASUS摺Mon手提電腦Zenbook 17 Fold OLED｜廣東話【Price Weekly #96 2022年1月 】</v>
      </c>
      <c r="E2486" s="82">
        <v>44569.0</v>
      </c>
      <c r="F2486" s="80">
        <v>517.0</v>
      </c>
      <c r="G2486" s="80" t="s">
        <v>63</v>
      </c>
      <c r="I2486" s="80" t="s">
        <v>63</v>
      </c>
      <c r="J2486" s="80">
        <v>1768.0</v>
      </c>
      <c r="K2486" s="80">
        <v>0.670458854759196</v>
      </c>
      <c r="L2486" s="80" t="s">
        <v>64</v>
      </c>
    </row>
    <row r="2487">
      <c r="A2487" s="80" t="s">
        <v>127</v>
      </c>
      <c r="B2487" s="81" t="str">
        <f>HYPERLINK("https://www.youtube.com/channel/UC97oYK3XMf9RLtkc0lO8C-Q", "健康旦 HiEggo")</f>
        <v>健康旦 HiEggo</v>
      </c>
      <c r="C2487" s="80" t="s">
        <v>2816</v>
      </c>
      <c r="D2487" s="81" t="str">
        <f>HYPERLINK("https://youtube.com/watch?v=8ufuO7ZAyO0", "路向四肢傷殘人士協會嚴楚碧主席 話你知疫情對傷殘人士嘅影響同困境  - 鄭丹瑞《健康旦》嚴楚碧 (CC中文字幕)")</f>
        <v>路向四肢傷殘人士協會嚴楚碧主席 話你知疫情對傷殘人士嘅影響同困境  - 鄭丹瑞《健康旦》嚴楚碧 (CC中文字幕)</v>
      </c>
      <c r="E2487" s="82">
        <v>43901.0</v>
      </c>
      <c r="F2487" s="80">
        <v>765.0</v>
      </c>
      <c r="G2487" s="80" t="s">
        <v>63</v>
      </c>
      <c r="I2487" s="80" t="s">
        <v>63</v>
      </c>
      <c r="J2487" s="80">
        <v>2950.0</v>
      </c>
      <c r="K2487" s="80">
        <v>0.987612989621694</v>
      </c>
      <c r="L2487" s="80" t="s">
        <v>102</v>
      </c>
    </row>
    <row r="2488">
      <c r="A2488" s="80" t="s">
        <v>2041</v>
      </c>
      <c r="B2488" s="81" t="str">
        <f>HYPERLINK("https://www.youtube.com/channel/UCO6pB-ZN4XJ6MVkibvuEe0A", "SingSingTracker 星昇財經指標")</f>
        <v>SingSingTracker 星昇財經指標</v>
      </c>
      <c r="C2488" s="80" t="s">
        <v>2817</v>
      </c>
      <c r="D2488" s="81" t="str">
        <f>HYPERLINK("https://youtube.com/watch?v=8yV6njoGNDU", "【富途牛牛開戶入金買美股+息魔愛股大公開】2021高息美股❓ ｜富途極速入金教學｜ 明天可以炒老闆 ｜美國公用股投資入門必備 (點CC中文字幕) #Futu #富途牛牛教學 #高息穩定美股")</f>
        <v>【富途牛牛開戶入金買美股+息魔愛股大公開】2021高息美股❓ ｜富途極速入金教學｜ 明天可以炒老闆 ｜美國公用股投資入門必備 (點CC中文字幕) #Futu #富途牛牛教學 #高息穩定美股</v>
      </c>
      <c r="E2488" s="82">
        <v>44355.0</v>
      </c>
      <c r="F2488" s="80">
        <v>400.0</v>
      </c>
      <c r="G2488" s="80" t="s">
        <v>63</v>
      </c>
      <c r="I2488" s="80" t="s">
        <v>63</v>
      </c>
      <c r="J2488" s="80">
        <v>1549.0</v>
      </c>
      <c r="K2488" s="80">
        <v>0.863433667781493</v>
      </c>
      <c r="L2488" s="80" t="s">
        <v>64</v>
      </c>
    </row>
    <row r="2489">
      <c r="A2489" s="80" t="s">
        <v>238</v>
      </c>
      <c r="B2489" s="81" t="str">
        <f>HYPERLINK("https://www.youtube.com/channel/UCSBkm4LwpgBmcA3MCtO8vqg", "Post76影音玩樂")</f>
        <v>Post76影音玩樂</v>
      </c>
      <c r="C2489" s="80" t="s">
        <v>2818</v>
      </c>
      <c r="D2489" s="81" t="str">
        <f>HYPERLINK("https://youtube.com/watch?v=92WE_EAs2ZI", "Nakamichi Shockwafe Ultra 9.2 SSE Soundbar 實試：巨無霸級 9.2.4 雙 SUB 影院（附設中文字幕）粵語 【Soundbar評測 | Post76.hk】")</f>
        <v>Nakamichi Shockwafe Ultra 9.2 SSE Soundbar 實試：巨無霸級 9.2.4 雙 SUB 影院（附設中文字幕）粵語 【Soundbar評測 | Post76.hk】</v>
      </c>
      <c r="E2489" s="82">
        <v>44312.0</v>
      </c>
      <c r="F2489" s="80">
        <v>1027.0</v>
      </c>
      <c r="G2489" s="80" t="s">
        <v>63</v>
      </c>
      <c r="H2489" s="80" t="s">
        <v>63</v>
      </c>
      <c r="I2489" s="80" t="s">
        <v>63</v>
      </c>
      <c r="J2489" s="80">
        <v>4040.0</v>
      </c>
      <c r="K2489" s="80">
        <v>0.784281620957838</v>
      </c>
      <c r="L2489" s="80" t="s">
        <v>66</v>
      </c>
    </row>
    <row r="2490">
      <c r="A2490" s="80" t="s">
        <v>1260</v>
      </c>
      <c r="B2490" s="81" t="str">
        <f>HYPERLINK("https://www.youtube.com/channel/UCh1k4i86BpiXEO3nzJIYynw", "The Wave")</f>
        <v>The Wave</v>
      </c>
      <c r="C2490" s="80" t="s">
        <v>2819</v>
      </c>
      <c r="D2490" s="81" t="str">
        <f>HYPERLINK("https://youtube.com/watch?v=94nC6YPKYLQ", "TheWave | 再嚟！🤪😈 Sony Xperia 5 簡單開箱")</f>
        <v>TheWave | 再嚟！🤪😈 Sony Xperia 5 簡單開箱</v>
      </c>
      <c r="E2490" s="82">
        <v>43761.0</v>
      </c>
      <c r="F2490" s="80">
        <v>93.0</v>
      </c>
      <c r="G2490" s="80" t="s">
        <v>63</v>
      </c>
      <c r="H2490" s="80" t="s">
        <v>63</v>
      </c>
      <c r="I2490" s="80" t="s">
        <v>63</v>
      </c>
      <c r="J2490" s="80">
        <v>264.0</v>
      </c>
      <c r="K2490" s="80">
        <v>0.676923076923077</v>
      </c>
      <c r="L2490" s="80" t="s">
        <v>1634</v>
      </c>
    </row>
    <row r="2491">
      <c r="A2491" s="80" t="s">
        <v>2041</v>
      </c>
      <c r="B2491" s="81" t="str">
        <f>HYPERLINK("https://www.youtube.com/channel/UCO6pB-ZN4XJ6MVkibvuEe0A", "SingSingTracker 星昇財經指標")</f>
        <v>SingSingTracker 星昇財經指標</v>
      </c>
      <c r="C2491" s="80" t="s">
        <v>2820</v>
      </c>
      <c r="D2491" s="81" t="str">
        <f>HYPERLINK("https://youtube.com/watch?v=996MDyqPjkU", "【男士必買10倍股】Estée Lauder和Loreal的威力 ｜姜濤代言廣告實力 化妝品股#化妝品股 #價值投資 #增長股")</f>
        <v>【男士必買10倍股】Estée Lauder和Loreal的威力 ｜姜濤代言廣告實力 化妝品股#化妝品股 #價值投資 #增長股</v>
      </c>
      <c r="E2491" s="82">
        <v>44362.0</v>
      </c>
      <c r="F2491" s="80">
        <v>486.0</v>
      </c>
      <c r="G2491" s="80" t="s">
        <v>63</v>
      </c>
      <c r="I2491" s="80" t="s">
        <v>63</v>
      </c>
      <c r="J2491" s="80">
        <v>1678.0</v>
      </c>
      <c r="K2491" s="80">
        <v>0.897326203208556</v>
      </c>
      <c r="L2491" s="80" t="s">
        <v>64</v>
      </c>
    </row>
    <row r="2492">
      <c r="A2492" s="80" t="s">
        <v>238</v>
      </c>
      <c r="B2492" s="81" t="str">
        <f>HYPERLINK("https://www.youtube.com/channel/UCSBkm4LwpgBmcA3MCtO8vqg", "Post76影音玩樂")</f>
        <v>Post76影音玩樂</v>
      </c>
      <c r="C2492" s="80" t="s">
        <v>2821</v>
      </c>
      <c r="D2492" s="81" t="str">
        <f>HYPERLINK("https://youtube.com/watch?v=9CGflkNvQFA", "第二代分析力明顯提升 ： Mission QX MK2 家庭影院喇叭最好成套玩！？（附設cc字幕）【喇叭評測】")</f>
        <v>第二代分析力明顯提升 ： Mission QX MK2 家庭影院喇叭最好成套玩！？（附設cc字幕）【喇叭評測】</v>
      </c>
      <c r="E2492" s="82">
        <v>44543.0</v>
      </c>
      <c r="F2492" s="80">
        <v>1106.0</v>
      </c>
      <c r="G2492" s="80" t="s">
        <v>63</v>
      </c>
      <c r="H2492" s="80" t="s">
        <v>63</v>
      </c>
      <c r="I2492" s="80" t="s">
        <v>63</v>
      </c>
      <c r="J2492" s="80">
        <v>3536.0</v>
      </c>
      <c r="K2492" s="80">
        <v>0.898602287166454</v>
      </c>
      <c r="L2492" s="80" t="s">
        <v>240</v>
      </c>
    </row>
    <row r="2493">
      <c r="A2493" s="80" t="s">
        <v>98</v>
      </c>
      <c r="B2493" s="81" t="str">
        <f>HYPERLINK("https://www.youtube.com/channel/UCrquuQB6v1Ued2xyRKZreGQ", "Stephen Leung ")</f>
        <v>Stephen Leung </v>
      </c>
      <c r="C2493" s="80" t="s">
        <v>2822</v>
      </c>
      <c r="D2493" s="81" t="str">
        <f>HYPERLINK("https://youtube.com/watch?v=9D61HWBPX-M", "【民生關注組】潮州魚蛋粉 切腩魚片頭撈粗麵!!! 筲箕灣東大街 街坊粉麵店 王林記 | 吃喝玩樂  香港好去處  消費券")</f>
        <v>【民生關注組】潮州魚蛋粉 切腩魚片頭撈粗麵!!! 筲箕灣東大街 街坊粉麵店 王林記 | 吃喝玩樂  香港好去處  消費券</v>
      </c>
      <c r="E2493" s="82">
        <v>44425.0</v>
      </c>
      <c r="F2493" s="80">
        <v>520.0</v>
      </c>
      <c r="G2493" s="80" t="s">
        <v>63</v>
      </c>
      <c r="I2493" s="80" t="s">
        <v>63</v>
      </c>
      <c r="J2493" s="80">
        <v>1284.0</v>
      </c>
      <c r="K2493" s="80">
        <v>0.976425855513308</v>
      </c>
      <c r="L2493" s="80" t="s">
        <v>64</v>
      </c>
    </row>
    <row r="2494">
      <c r="A2494" s="80" t="s">
        <v>127</v>
      </c>
      <c r="B2494" s="81" t="str">
        <f>HYPERLINK("https://www.youtube.com/channel/UC97oYK3XMf9RLtkc0lO8C-Q", "健康旦 HiEggo")</f>
        <v>健康旦 HiEggo</v>
      </c>
      <c r="C2494" s="80" t="s">
        <v>2823</v>
      </c>
      <c r="D2494" s="81" t="str">
        <f>HYPERLINK("https://youtube.com/watch?v=9FUc20kV1B0", "阿旦細女鄭珉教你簡單家居運動 坐低起身都係鍛鍊 - 鄭丹瑞《健康旦》Vlog （CC中文字幕）")</f>
        <v>阿旦細女鄭珉教你簡單家居運動 坐低起身都係鍛鍊 - 鄭丹瑞《健康旦》Vlog （CC中文字幕）</v>
      </c>
      <c r="E2494" s="82">
        <v>43940.0</v>
      </c>
      <c r="F2494" s="80">
        <v>762.0</v>
      </c>
      <c r="G2494" s="80" t="s">
        <v>63</v>
      </c>
      <c r="I2494" s="80" t="s">
        <v>63</v>
      </c>
      <c r="J2494" s="80">
        <v>2550.0</v>
      </c>
      <c r="K2494" s="80">
        <v>0.982280431432973</v>
      </c>
      <c r="L2494" s="80" t="s">
        <v>64</v>
      </c>
    </row>
    <row r="2495">
      <c r="A2495" s="80" t="s">
        <v>1390</v>
      </c>
      <c r="B2495" s="81" t="str">
        <f>HYPERLINK("https://www.youtube.com/channel/UCgwEJflQi4WnZ8PU0xdibZQ", "Kinson Ho")</f>
        <v>Kinson Ho</v>
      </c>
      <c r="C2495" s="80" t="s">
        <v>2824</v>
      </c>
      <c r="D2495" s="81" t="str">
        <f>HYPERLINK("https://youtube.com/watch?v=9Qgi-s9OaoE", "K神任我行 -  [CC字幕4K] 東海四大名洞｜吊鐘洞/金魚擺尾｜沙塘口洞｜關刀洞｜橫洲角洞｜海上皇宮｜海上龍宮｜海鰍環｜龍眠洞｜萬柱海岸｜破邊洲｜孖洞")</f>
        <v>K神任我行 -  [CC字幕4K] 東海四大名洞｜吊鐘洞/金魚擺尾｜沙塘口洞｜關刀洞｜橫洲角洞｜海上皇宮｜海上龍宮｜海鰍環｜龍眠洞｜萬柱海岸｜破邊洲｜孖洞</v>
      </c>
      <c r="E2495" s="82">
        <v>44463.0</v>
      </c>
      <c r="F2495" s="80">
        <v>879.0</v>
      </c>
      <c r="G2495" s="80" t="s">
        <v>63</v>
      </c>
      <c r="I2495" s="80" t="s">
        <v>63</v>
      </c>
      <c r="J2495" s="80">
        <v>489.0</v>
      </c>
      <c r="K2495" s="80">
        <v>0.95136186770428</v>
      </c>
      <c r="L2495" s="80" t="s">
        <v>64</v>
      </c>
    </row>
    <row r="2496">
      <c r="A2496" s="80" t="s">
        <v>2825</v>
      </c>
      <c r="B2496" s="81" t="str">
        <f>HYPERLINK("https://www.youtube.com/channel/UCP7XhYDgUbvjvaHxIhjTd_g", "Maviskuku 雞蛋妹")</f>
        <v>Maviskuku 雞蛋妹</v>
      </c>
      <c r="C2496" s="80" t="s">
        <v>2826</v>
      </c>
      <c r="D2496" s="81" t="str">
        <f>HYPERLINK("https://youtube.com/watch?v=9TQbkhuzIfQ", "看看我的舊相片吧！Meural 智能相框開箱｜同螢幕有分別嗎？")</f>
        <v>看看我的舊相片吧！Meural 智能相框開箱｜同螢幕有分別嗎？</v>
      </c>
      <c r="E2496" s="82">
        <v>44323.0</v>
      </c>
      <c r="F2496" s="80">
        <v>476.0</v>
      </c>
      <c r="G2496" s="80" t="s">
        <v>63</v>
      </c>
      <c r="H2496" s="80" t="s">
        <v>63</v>
      </c>
      <c r="I2496" s="80" t="s">
        <v>63</v>
      </c>
      <c r="J2496" s="80">
        <v>1288.0</v>
      </c>
      <c r="K2496" s="80">
        <v>0.923132183908046</v>
      </c>
      <c r="L2496" s="80" t="s">
        <v>66</v>
      </c>
    </row>
    <row r="2497">
      <c r="A2497" s="80" t="s">
        <v>127</v>
      </c>
      <c r="B2497" s="81" t="str">
        <f>HYPERLINK("https://www.youtube.com/channel/UC97oYK3XMf9RLtkc0lO8C-Q", "健康旦 HiEggo")</f>
        <v>健康旦 HiEggo</v>
      </c>
      <c r="C2497" s="80" t="s">
        <v>2827</v>
      </c>
      <c r="D2497" s="81" t="str">
        <f>HYPERLINK("https://youtube.com/watch?v=9TjsCz6z7eQ", "李龍基切除膽囊 七天工作險變精神分裂 玩搖控飛機助減壓 - 鄭丹瑞《健康旦》 #李龍基 Part 3 (CC中文字幕)")</f>
        <v>李龍基切除膽囊 七天工作險變精神分裂 玩搖控飛機助減壓 - 鄭丹瑞《健康旦》 #李龍基 Part 3 (CC中文字幕)</v>
      </c>
      <c r="E2497" s="82">
        <v>44135.0</v>
      </c>
      <c r="F2497" s="80">
        <v>538.0</v>
      </c>
      <c r="G2497" s="80" t="s">
        <v>63</v>
      </c>
      <c r="I2497" s="80" t="s">
        <v>63</v>
      </c>
      <c r="J2497" s="80">
        <v>1616.0</v>
      </c>
      <c r="K2497" s="80">
        <v>0.990196078431372</v>
      </c>
      <c r="L2497" s="80" t="s">
        <v>2771</v>
      </c>
    </row>
    <row r="2498">
      <c r="A2498" s="80" t="s">
        <v>1594</v>
      </c>
      <c r="B2498" s="81" t="str">
        <f>HYPERLINK("https://www.youtube.com/channel/UCUtm1awT2EO9D7uJ2OlMcTQ", "黐住這一家 Sticky Love Family")</f>
        <v>黐住這一家 Sticky Love Family</v>
      </c>
      <c r="C2498" s="80" t="s">
        <v>2828</v>
      </c>
      <c r="D2498" s="81" t="str">
        <f>HYPERLINK("https://youtube.com/watch?v=9UHGUBNcWwU", "【親子 靜心時間💛】舒壓篇：☁️雲朵旅行 🍬配音員媽媽聲音導航🎙️🧡")</f>
        <v>【親子 靜心時間💛】舒壓篇：☁️雲朵旅行 🍬配音員媽媽聲音導航🎙️🧡</v>
      </c>
      <c r="E2498" s="82">
        <v>44289.0</v>
      </c>
      <c r="F2498" s="80">
        <v>377.0</v>
      </c>
      <c r="G2498" s="80" t="s">
        <v>63</v>
      </c>
      <c r="I2498" s="80" t="s">
        <v>63</v>
      </c>
      <c r="J2498" s="80">
        <v>821.0</v>
      </c>
      <c r="K2498" s="80">
        <v>0.99635922330097</v>
      </c>
      <c r="L2498" s="80" t="s">
        <v>102</v>
      </c>
    </row>
    <row r="2499">
      <c r="A2499" s="80" t="s">
        <v>2829</v>
      </c>
      <c r="B2499" s="81" t="str">
        <f>HYPERLINK("https://www.youtube.com/channel/UC7GnES6AEQlDzaP04UqtyjA", "SOLID IDEA")</f>
        <v>SOLID IDEA</v>
      </c>
      <c r="C2499" s="80" t="s">
        <v>2830</v>
      </c>
      <c r="D2499" s="81" t="str">
        <f>HYPERLINK("https://youtube.com/watch?v=9X-q1kQUZog", "[#實境拍攝] #MALIBU 因為咩事要我哋設計師落地盤? | 室內設計 | 空間擺位 | SOLID IDEA | (CC中文字幕)")</f>
        <v>[#實境拍攝] #MALIBU 因為咩事要我哋設計師落地盤? | 室內設計 | 空間擺位 | SOLID IDEA | (CC中文字幕)</v>
      </c>
      <c r="E2499" s="82">
        <v>44124.0</v>
      </c>
      <c r="F2499" s="80">
        <v>307.0</v>
      </c>
      <c r="G2499" s="80" t="s">
        <v>63</v>
      </c>
      <c r="I2499" s="80" t="s">
        <v>63</v>
      </c>
      <c r="J2499" s="80">
        <v>878.0</v>
      </c>
      <c r="K2499" s="80">
        <v>0.912681912681912</v>
      </c>
      <c r="L2499" s="80" t="s">
        <v>64</v>
      </c>
    </row>
    <row r="2500">
      <c r="A2500" s="80" t="s">
        <v>1606</v>
      </c>
      <c r="B2500" s="81" t="str">
        <f>HYPERLINK("https://www.youtube.com/channel/UCk25FUc8pLiP3A6Zniknxbg", "希治閣【遊戲情報科】")</f>
        <v>希治閣【遊戲情報科】</v>
      </c>
      <c r="C2500" s="80" t="s">
        <v>2831</v>
      </c>
      <c r="D2500" s="81" t="str">
        <f>HYPERLINK("https://youtube.com/watch?v=9Xw3ctQHDUw", "遊戲情報科 - EP12 - 2015/4/3 -《討鬼傳 極》《地球防衛軍 4.1》《墮落之王》《黑暗靈魂2》")</f>
        <v>遊戲情報科 - EP12 - 2015/4/3 -《討鬼傳 極》《地球防衛軍 4.1》《墮落之王》《黑暗靈魂2》</v>
      </c>
      <c r="E2500" s="82">
        <v>42097.0</v>
      </c>
      <c r="F2500" s="80">
        <v>499.0</v>
      </c>
      <c r="G2500" s="80" t="s">
        <v>63</v>
      </c>
      <c r="I2500" s="80" t="s">
        <v>63</v>
      </c>
      <c r="J2500" s="80">
        <v>1897.0</v>
      </c>
      <c r="K2500" s="80">
        <v>0.836788707543008</v>
      </c>
      <c r="L2500" s="80" t="s">
        <v>64</v>
      </c>
    </row>
    <row r="2501">
      <c r="A2501" s="80" t="s">
        <v>293</v>
      </c>
      <c r="B2501" s="81" t="str">
        <f>HYPERLINK("https://www.youtube.com/channel/UCXRcbXqjORdIvl63I7MtOLQ", "趁熱 Kerry 's kitchen")</f>
        <v>趁熱 Kerry 's kitchen</v>
      </c>
      <c r="C2501" s="80" t="s">
        <v>2832</v>
      </c>
      <c r="D2501" s="81" t="str">
        <f>HYPERLINK("https://youtube.com/watch?v=9YNVi3pQIfs", "叉燒做法/粵語/ 免燒免焗平底鑊叉燒 多肉汁不乾柴好食過外面買/H.K Pan-fried Char siu/簡單一鑊熟/叉燒做法/中字/pork roast chinese style")</f>
        <v>叉燒做法/粵語/ 免燒免焗平底鑊叉燒 多肉汁不乾柴好食過外面買/H.K Pan-fried Char siu/簡單一鑊熟/叉燒做法/中字/pork roast chinese style</v>
      </c>
      <c r="E2501" s="82">
        <v>44210.0</v>
      </c>
      <c r="F2501" s="80">
        <v>602.0</v>
      </c>
      <c r="G2501" s="80" t="s">
        <v>63</v>
      </c>
      <c r="I2501" s="80" t="s">
        <v>63</v>
      </c>
      <c r="J2501" s="80">
        <v>1923.0</v>
      </c>
      <c r="K2501" s="80">
        <v>0.989197530864197</v>
      </c>
      <c r="L2501" s="80" t="s">
        <v>64</v>
      </c>
    </row>
    <row r="2502">
      <c r="A2502" s="80" t="s">
        <v>127</v>
      </c>
      <c r="B2502" s="81" t="str">
        <f>HYPERLINK("https://www.youtube.com/channel/UC97oYK3XMf9RLtkc0lO8C-Q", "健康旦 HiEggo")</f>
        <v>健康旦 HiEggo</v>
      </c>
      <c r="C2502" s="80" t="s">
        <v>2833</v>
      </c>
      <c r="D2502" s="81" t="str">
        <f>HYPERLINK("https://youtube.com/watch?v=9_93kkmHGOM", "許冠傑號外 呼籲戴口罩勤洗手！  - 鄭丹瑞《健康旦》#許冠傑 (CC中文字幕)")</f>
        <v>許冠傑號外 呼籲戴口罩勤洗手！  - 鄭丹瑞《健康旦》#許冠傑 (CC中文字幕)</v>
      </c>
      <c r="E2502" s="82">
        <v>44026.0</v>
      </c>
      <c r="F2502" s="80">
        <v>29.0</v>
      </c>
      <c r="G2502" s="80" t="s">
        <v>63</v>
      </c>
      <c r="I2502" s="80" t="s">
        <v>63</v>
      </c>
      <c r="J2502" s="80">
        <v>71.0</v>
      </c>
      <c r="K2502" s="80">
        <v>1.0</v>
      </c>
      <c r="L2502" s="80" t="s">
        <v>64</v>
      </c>
    </row>
    <row r="2503">
      <c r="A2503" s="80" t="s">
        <v>2764</v>
      </c>
      <c r="B2503" s="81" t="str">
        <f>HYPERLINK("https://www.youtube.com/channel/UCejZUW4khvxoA4uL2Afz20g", "Housik Laanfei 好食懶飛")</f>
        <v>Housik Laanfei 好食懶飛</v>
      </c>
      <c r="C2503" s="80" t="s">
        <v>2834</v>
      </c>
      <c r="D2503" s="81" t="str">
        <f>HYPERLINK("https://youtube.com/watch?v=9c-5AZ0b9zo", "[暖手蛋] 上海粢飯 | CC: 廣東話/繁中/ENG SUB | COOKING VLOG")</f>
        <v>[暖手蛋] 上海粢飯 | CC: 廣東話/繁中/ENG SUB | COOKING VLOG</v>
      </c>
      <c r="E2503" s="82">
        <v>44203.0</v>
      </c>
      <c r="F2503" s="80">
        <v>325.0</v>
      </c>
      <c r="G2503" s="80" t="s">
        <v>63</v>
      </c>
      <c r="H2503" s="80" t="s">
        <v>63</v>
      </c>
      <c r="I2503" s="80" t="s">
        <v>63</v>
      </c>
      <c r="J2503" s="80">
        <v>127.0</v>
      </c>
      <c r="K2503" s="80">
        <v>0.969465648854961</v>
      </c>
      <c r="L2503" s="80" t="s">
        <v>120</v>
      </c>
    </row>
    <row r="2504">
      <c r="A2504" s="80" t="s">
        <v>127</v>
      </c>
      <c r="B2504" s="81" t="str">
        <f>HYPERLINK("https://www.youtube.com/channel/UC97oYK3XMf9RLtkc0lO8C-Q", "健康旦 HiEggo")</f>
        <v>健康旦 HiEggo</v>
      </c>
      <c r="C2504" s="80" t="s">
        <v>2835</v>
      </c>
      <c r="D2504" s="81" t="str">
        <f>HYPERLINK("https://youtube.com/watch?v=9fR7w3-WEKw", "脾虛腎弱可致虛肥 錯過子午睡時間易失眠 玫瑰合歡茶舒緩心理壓力 - 鄭丹瑞《健康旦》註冊中醫師 #徐澤昌 Part 2 (CC中文字幕)")</f>
        <v>脾虛腎弱可致虛肥 錯過子午睡時間易失眠 玫瑰合歡茶舒緩心理壓力 - 鄭丹瑞《健康旦》註冊中醫師 #徐澤昌 Part 2 (CC中文字幕)</v>
      </c>
      <c r="E2504" s="82">
        <v>44081.0</v>
      </c>
      <c r="F2504" s="80">
        <v>628.0</v>
      </c>
      <c r="G2504" s="80" t="s">
        <v>63</v>
      </c>
      <c r="I2504" s="80" t="s">
        <v>63</v>
      </c>
      <c r="J2504" s="80">
        <v>2913.0</v>
      </c>
      <c r="K2504" s="80">
        <v>0.995897435897435</v>
      </c>
      <c r="L2504" s="80" t="s">
        <v>2771</v>
      </c>
    </row>
    <row r="2505">
      <c r="A2505" s="80" t="s">
        <v>288</v>
      </c>
      <c r="B2505" s="81" t="str">
        <f>HYPERLINK("https://www.youtube.com/channel/UCDWOYEhVnyD4IHZGVAMLc0g", "Brendan 毛爸")</f>
        <v>Brendan 毛爸</v>
      </c>
      <c r="C2505" s="80" t="s">
        <v>2836</v>
      </c>
      <c r="D2505" s="81" t="str">
        <f>HYPERLINK("https://youtube.com/watch?v=9gBXqCngRxk", "『今日突發』毛毛不停用地磨擦屁股、低鳴｜毛媽爆哭｜醫生建議抽血、照X光｜Pomeranian 博美(CC 中文字幕）")</f>
        <v>『今日突發』毛毛不停用地磨擦屁股、低鳴｜毛媽爆哭｜醫生建議抽血、照X光｜Pomeranian 博美(CC 中文字幕）</v>
      </c>
      <c r="E2505" s="82">
        <v>44059.0</v>
      </c>
      <c r="F2505" s="80">
        <v>341.0</v>
      </c>
      <c r="G2505" s="80" t="s">
        <v>63</v>
      </c>
      <c r="I2505" s="80" t="s">
        <v>63</v>
      </c>
      <c r="J2505" s="80">
        <v>761.0</v>
      </c>
      <c r="K2505" s="80">
        <v>0.969426751592356</v>
      </c>
      <c r="L2505" s="80" t="s">
        <v>64</v>
      </c>
    </row>
    <row r="2506">
      <c r="A2506" s="80" t="s">
        <v>108</v>
      </c>
      <c r="B2506" s="81" t="str">
        <f>HYPERLINK("https://www.youtube.com/channel/UCZL6QN6Xs-ZrKY3y6Pv6Emg", "廢青 - 日賺3000")</f>
        <v>廢青 - 日賺3000</v>
      </c>
      <c r="C2506" s="80" t="s">
        <v>2837</v>
      </c>
      <c r="D2506" s="81" t="str">
        <f>HYPERLINK("https://youtube.com/watch?v=9gVUfGC1S6o", "廢青每月 必做的3件事情! │由日賺$300, 到日賺$3,000, 到日賺$xxxxx 都係一樣!! | EP13【廢青 日賺3000】【點CC看中文字幕】")</f>
        <v>廢青每月 必做的3件事情! │由日賺$300, 到日賺$3,000, 到日賺$xxxxx 都係一樣!! | EP13【廢青 日賺3000】【點CC看中文字幕】</v>
      </c>
      <c r="E2506" s="82">
        <v>44198.0</v>
      </c>
      <c r="F2506" s="80">
        <v>678.0</v>
      </c>
      <c r="G2506" s="80" t="s">
        <v>63</v>
      </c>
      <c r="I2506" s="80" t="s">
        <v>63</v>
      </c>
      <c r="J2506" s="80">
        <v>2936.0</v>
      </c>
      <c r="K2506" s="80">
        <v>0.898408812729498</v>
      </c>
      <c r="L2506" s="80" t="s">
        <v>64</v>
      </c>
    </row>
    <row r="2507">
      <c r="A2507" s="80" t="s">
        <v>2800</v>
      </c>
      <c r="B2507" s="81" t="str">
        <f>HYPERLINK("https://www.youtube.com/channel/UCMqrlsr-AECPc6_3oDr8m9w", "Unicorn 獸哥")</f>
        <v>Unicorn 獸哥</v>
      </c>
      <c r="C2507" s="80" t="s">
        <v>2838</v>
      </c>
      <c r="D2507" s="81" t="str">
        <f>HYPERLINK("https://youtube.com/watch?v=9gyEcZQ11WQ", "黑寡婦 劇透與影評 原著與電影角色介紹 【獨戲室】記得開字幕")</f>
        <v>黑寡婦 劇透與影評 原著與電影角色介紹 【獨戲室】記得開字幕</v>
      </c>
      <c r="E2507" s="82">
        <v>44387.0</v>
      </c>
      <c r="F2507" s="80">
        <v>1020.0</v>
      </c>
      <c r="G2507" s="80" t="s">
        <v>63</v>
      </c>
      <c r="I2507" s="80" t="s">
        <v>63</v>
      </c>
      <c r="J2507" s="80">
        <v>3690.0</v>
      </c>
      <c r="K2507" s="80">
        <v>0.864371047083626</v>
      </c>
      <c r="L2507" s="80" t="s">
        <v>64</v>
      </c>
    </row>
    <row r="2508">
      <c r="A2508" s="80" t="s">
        <v>1594</v>
      </c>
      <c r="B2508" s="81" t="str">
        <f>HYPERLINK("https://www.youtube.com/channel/UCUtm1awT2EO9D7uJ2OlMcTQ", "黐住這一家 Sticky Love Family")</f>
        <v>黐住這一家 Sticky Love Family</v>
      </c>
      <c r="C2508" s="80" t="s">
        <v>2839</v>
      </c>
      <c r="D2508" s="81" t="str">
        <f>HYPERLINK("https://youtube.com/watch?v=9iKi9ldpwf0", "【粵語 | 廣東話 聖經故事】聖誕節嘅由來 ! ❝ 耶穌誕生嘅故事❞  [ Eng Sub CC | 中文字幕 ]")</f>
        <v>【粵語 | 廣東話 聖經故事】聖誕節嘅由來 ! ❝ 耶穌誕生嘅故事❞  [ Eng Sub CC | 中文字幕 ]</v>
      </c>
      <c r="E2508" s="82">
        <v>44552.0</v>
      </c>
      <c r="F2508" s="80">
        <v>284.0</v>
      </c>
      <c r="G2508" s="80" t="s">
        <v>63</v>
      </c>
      <c r="H2508" s="80" t="s">
        <v>63</v>
      </c>
      <c r="I2508" s="80" t="s">
        <v>63</v>
      </c>
      <c r="J2508" s="80">
        <v>423.0</v>
      </c>
      <c r="K2508" s="80">
        <v>0.512727272727272</v>
      </c>
      <c r="L2508" s="80" t="s">
        <v>1596</v>
      </c>
    </row>
    <row r="2509">
      <c r="A2509" s="80" t="s">
        <v>1260</v>
      </c>
      <c r="B2509" s="81" t="str">
        <f>HYPERLINK("https://www.youtube.com/channel/UCh1k4i86BpiXEO3nzJIYynw", "The Wave")</f>
        <v>The Wave</v>
      </c>
      <c r="C2509" s="80" t="s">
        <v>2840</v>
      </c>
      <c r="D2509" s="81" t="str">
        <f>HYPERLINK("https://youtube.com/watch?v=9iLXMoVMgS0", "TheWave | 買嗎？ Sony Xperia 1 II")</f>
        <v>TheWave | 買嗎？ Sony Xperia 1 II</v>
      </c>
      <c r="E2509" s="82">
        <v>43984.0</v>
      </c>
      <c r="F2509" s="80">
        <v>371.0</v>
      </c>
      <c r="G2509" s="80" t="s">
        <v>63</v>
      </c>
      <c r="H2509" s="80" t="s">
        <v>63</v>
      </c>
      <c r="I2509" s="80" t="s">
        <v>63</v>
      </c>
      <c r="J2509" s="80">
        <v>1470.0</v>
      </c>
      <c r="K2509" s="80">
        <v>0.78862660944206</v>
      </c>
      <c r="L2509" s="80" t="s">
        <v>1634</v>
      </c>
    </row>
    <row r="2510">
      <c r="A2510" s="80" t="s">
        <v>2841</v>
      </c>
      <c r="B2510" s="81" t="str">
        <f>HYPERLINK("https://www.youtube.com/channel/UCBYGm7Iz6ck8jeno5AFiriw", "Seafront TV")</f>
        <v>Seafront TV</v>
      </c>
      <c r="C2510" s="80" t="s">
        <v>2842</v>
      </c>
      <c r="D2510" s="81" t="str">
        <f>HYPERLINK("https://youtube.com/watch?v=9k1bjOnjS-w", "踩!來回沙田大埔回歸塔🚴! 同單車男神慶生~|海嫂TV🌊（CC字幕）")</f>
        <v>踩!來回沙田大埔回歸塔🚴! 同單車男神慶生~|海嫂TV🌊（CC字幕）</v>
      </c>
      <c r="E2510" s="82">
        <v>43850.0</v>
      </c>
      <c r="F2510" s="80">
        <v>428.0</v>
      </c>
      <c r="G2510" s="80" t="s">
        <v>63</v>
      </c>
      <c r="H2510" s="80" t="s">
        <v>63</v>
      </c>
      <c r="I2510" s="80" t="s">
        <v>63</v>
      </c>
      <c r="J2510" s="80">
        <v>1083.0</v>
      </c>
      <c r="K2510" s="80">
        <v>0.478747203579418</v>
      </c>
      <c r="L2510" s="80" t="s">
        <v>66</v>
      </c>
    </row>
    <row r="2511">
      <c r="A2511" s="80" t="s">
        <v>108</v>
      </c>
      <c r="B2511" s="81" t="str">
        <f>HYPERLINK("https://www.youtube.com/channel/UCZL6QN6Xs-ZrKY3y6Pv6Emg", "廢青 - 日賺3000")</f>
        <v>廢青 - 日賺3000</v>
      </c>
      <c r="C2511" s="80" t="s">
        <v>2843</v>
      </c>
      <c r="D2511" s="81" t="str">
        <f>HYPERLINK("https://youtube.com/watch?v=9kpy4VHFHb0", "3 個有錢人不想你知道的秘密 ㊙️㊙️  Sad but True！ 😭  2020 財務自由教學EP25【廢青 日賺3000】（New 新增中文字幕！)")</f>
        <v>3 個有錢人不想你知道的秘密 ㊙️㊙️  Sad but True！ 😭  2020 財務自由教學EP25【廢青 日賺3000】（New 新增中文字幕！)</v>
      </c>
      <c r="E2511" s="82">
        <v>44149.0</v>
      </c>
      <c r="F2511" s="80">
        <v>583.0</v>
      </c>
      <c r="G2511" s="80" t="s">
        <v>63</v>
      </c>
      <c r="I2511" s="80" t="s">
        <v>63</v>
      </c>
      <c r="J2511" s="80">
        <v>2610.0</v>
      </c>
      <c r="K2511" s="80">
        <v>0.929818311364446</v>
      </c>
      <c r="L2511" s="80" t="s">
        <v>64</v>
      </c>
    </row>
    <row r="2512">
      <c r="A2512" s="80" t="s">
        <v>1260</v>
      </c>
      <c r="B2512" s="81" t="str">
        <f>HYPERLINK("https://www.youtube.com/channel/UCh1k4i86BpiXEO3nzJIYynw", "The Wave")</f>
        <v>The Wave</v>
      </c>
      <c r="C2512" s="80" t="s">
        <v>2844</v>
      </c>
      <c r="D2512" s="81" t="str">
        <f>HYPERLINK("https://youtube.com/watch?v=9lIf8rKxqg0", "TheWave | iPhone SE 2020 開箱 跑分測試")</f>
        <v>TheWave | iPhone SE 2020 開箱 跑分測試</v>
      </c>
      <c r="E2512" s="82">
        <v>43948.0</v>
      </c>
      <c r="F2512" s="80">
        <v>187.0</v>
      </c>
      <c r="G2512" s="80" t="s">
        <v>63</v>
      </c>
      <c r="H2512" s="80" t="s">
        <v>63</v>
      </c>
      <c r="I2512" s="80" t="s">
        <v>63</v>
      </c>
      <c r="J2512" s="80">
        <v>449.0</v>
      </c>
      <c r="K2512" s="80">
        <v>0.597074468085106</v>
      </c>
      <c r="L2512" s="80" t="s">
        <v>1634</v>
      </c>
    </row>
    <row r="2513">
      <c r="A2513" s="80" t="s">
        <v>1987</v>
      </c>
      <c r="B2513" s="81" t="str">
        <f>HYPERLINK("https://www.youtube.com/channel/UCgGUmm04nVyj-ftaCxVcyBg", "MangoHK大馬獅家")</f>
        <v>MangoHK大馬獅家</v>
      </c>
      <c r="C2513" s="80" t="s">
        <v>2845</v>
      </c>
      <c r="D2513" s="81" t="str">
        <f>HYPERLINK("https://youtube.com/watch?v=9q7joniW4Hs", "【103】👔大馬布城商場🥗篤篤泰國菜 {中英字幕} Subtitled | Malaysia IOI City Mall | Malaysia Vlog | mm2h")</f>
        <v>【103】👔大馬布城商場🥗篤篤泰國菜 {中英字幕} Subtitled | Malaysia IOI City Mall | Malaysia Vlog | mm2h</v>
      </c>
      <c r="E2513" s="82">
        <v>44529.0</v>
      </c>
      <c r="F2513" s="80">
        <v>918.0</v>
      </c>
      <c r="G2513" s="80" t="s">
        <v>63</v>
      </c>
      <c r="I2513" s="80" t="s">
        <v>63</v>
      </c>
      <c r="J2513" s="80">
        <v>2584.0</v>
      </c>
      <c r="K2513" s="80">
        <v>0.930165586753059</v>
      </c>
      <c r="L2513" s="80" t="s">
        <v>896</v>
      </c>
    </row>
    <row r="2514">
      <c r="A2514" s="80" t="s">
        <v>2825</v>
      </c>
      <c r="B2514" s="81" t="str">
        <f>HYPERLINK("https://www.youtube.com/channel/UCP7XhYDgUbvjvaHxIhjTd_g", "Maviskuku 雞蛋妹")</f>
        <v>Maviskuku 雞蛋妹</v>
      </c>
      <c r="C2514" s="80" t="s">
        <v>2846</v>
      </c>
      <c r="D2514" s="81" t="str">
        <f>HYPERLINK("https://youtube.com/watch?v=9tJYUpruajg", "聽歌用咩 App ？6 大音樂串流平台大比拼！AirTag 反追蹤功能用後感！Spotify、 Apple Music、 KKBOX、 MOOV、JOOX、 YouTube Music Premium")</f>
        <v>聽歌用咩 App ？6 大音樂串流平台大比拼！AirTag 反追蹤功能用後感！Spotify、 Apple Music、 KKBOX、 MOOV、JOOX、 YouTube Music Premium</v>
      </c>
      <c r="E2514" s="82">
        <v>44349.0</v>
      </c>
      <c r="F2514" s="80">
        <v>687.0</v>
      </c>
      <c r="G2514" s="80" t="s">
        <v>63</v>
      </c>
      <c r="H2514" s="80" t="s">
        <v>63</v>
      </c>
      <c r="I2514" s="80" t="s">
        <v>63</v>
      </c>
      <c r="J2514" s="80">
        <v>2172.0</v>
      </c>
      <c r="K2514" s="80">
        <v>0.757968476357267</v>
      </c>
      <c r="L2514" s="80" t="s">
        <v>66</v>
      </c>
    </row>
    <row r="2515">
      <c r="A2515" s="80" t="s">
        <v>127</v>
      </c>
      <c r="B2515" s="81" t="str">
        <f t="shared" ref="B2515:B2516" si="124">HYPERLINK("https://www.youtube.com/channel/UC97oYK3XMf9RLtkc0lO8C-Q", "健康旦 HiEggo")</f>
        <v>健康旦 HiEggo</v>
      </c>
      <c r="C2515" s="80" t="s">
        <v>2847</v>
      </c>
      <c r="D2515" s="81" t="str">
        <f>HYPERLINK("https://youtube.com/watch?v=9xAIZlLqiSY", "胡志遠醫生家居隔離中 未來兩星期風險極高 抗疫十問十答 - 鄭丹瑞《健康旦》胡志遠 Part 1 (CC中文字幕)")</f>
        <v>胡志遠醫生家居隔離中 未來兩星期風險極高 抗疫十問十答 - 鄭丹瑞《健康旦》胡志遠 Part 1 (CC中文字幕)</v>
      </c>
      <c r="E2515" s="82">
        <v>43915.0</v>
      </c>
      <c r="F2515" s="80">
        <v>801.0</v>
      </c>
      <c r="G2515" s="80" t="s">
        <v>63</v>
      </c>
      <c r="I2515" s="80" t="s">
        <v>63</v>
      </c>
      <c r="J2515" s="80">
        <v>3487.0</v>
      </c>
      <c r="K2515" s="80">
        <v>0.995432486440194</v>
      </c>
      <c r="L2515" s="80" t="s">
        <v>102</v>
      </c>
    </row>
    <row r="2516">
      <c r="A2516" s="80" t="s">
        <v>127</v>
      </c>
      <c r="B2516" s="81" t="str">
        <f t="shared" si="124"/>
        <v>健康旦 HiEggo</v>
      </c>
      <c r="C2516" s="80" t="s">
        <v>2848</v>
      </c>
      <c r="D2516" s="81" t="str">
        <f>HYPERLINK("https://youtube.com/watch?v=9yVuUNB4RRU", "陳秋霞放下明星包袱更自在 周遊列國與年輕人交流音樂 - 鄭丹瑞《健康旦》陳秋霞 Part 3 （CC中文字幕）")</f>
        <v>陳秋霞放下明星包袱更自在 周遊列國與年輕人交流音樂 - 鄭丹瑞《健康旦》陳秋霞 Part 3 （CC中文字幕）</v>
      </c>
      <c r="E2516" s="82">
        <v>43928.0</v>
      </c>
      <c r="F2516" s="80">
        <v>767.0</v>
      </c>
      <c r="G2516" s="80" t="s">
        <v>63</v>
      </c>
      <c r="I2516" s="80" t="s">
        <v>63</v>
      </c>
      <c r="J2516" s="80">
        <v>3000.0</v>
      </c>
      <c r="K2516" s="80">
        <v>0.993048659384309</v>
      </c>
      <c r="L2516" s="80" t="s">
        <v>64</v>
      </c>
    </row>
    <row r="2517">
      <c r="A2517" s="80" t="s">
        <v>1139</v>
      </c>
      <c r="B2517" s="81" t="str">
        <f>HYPERLINK("https://www.youtube.com/channel/UCw51gVFijIewmXH4tIR0ufw", "Crystal Zen")</f>
        <v>Crystal Zen</v>
      </c>
      <c r="C2517" s="80" t="s">
        <v>2849</v>
      </c>
      <c r="D2517" s="81" t="str">
        <f>HYPERLINK("https://youtube.com/watch?v=9yd-mT13CBU", "喂！ Angus 你潛水去咗邊呀？太平洋都￼￼潛曬！肯出片未呀？大家我返黎啦！講水晶？講現況？講下大環境！")</f>
        <v>喂！ Angus 你潛水去咗邊呀？太平洋都￼￼潛曬！肯出片未呀？大家我返黎啦！講水晶？講現況？講下大環境！</v>
      </c>
      <c r="E2517" s="82">
        <v>44392.0</v>
      </c>
      <c r="F2517" s="80">
        <v>392.0</v>
      </c>
      <c r="G2517" s="80" t="s">
        <v>63</v>
      </c>
      <c r="I2517" s="80" t="s">
        <v>63</v>
      </c>
      <c r="J2517" s="80">
        <v>1390.0</v>
      </c>
      <c r="K2517" s="80">
        <v>0.864965774735532</v>
      </c>
      <c r="L2517" s="80" t="s">
        <v>64</v>
      </c>
    </row>
    <row r="2518">
      <c r="A2518" s="80" t="s">
        <v>2825</v>
      </c>
      <c r="B2518" s="81" t="str">
        <f>HYPERLINK("https://www.youtube.com/channel/UCP7XhYDgUbvjvaHxIhjTd_g", "Maviskuku 雞蛋妹")</f>
        <v>Maviskuku 雞蛋妹</v>
      </c>
      <c r="C2518" s="80" t="s">
        <v>2850</v>
      </c>
      <c r="D2518" s="81" t="str">
        <f>HYPERLINK("https://youtube.com/watch?v=A0OONI5Qjcg", "【電子消費券】Tap &amp; Go、八達通點揀好？店舖數量、種類、領取方法、使用時限大比拼！HK$ 5000 電子消費券注意事項⚠️")</f>
        <v>【電子消費券】Tap &amp; Go、八達通點揀好？店舖數量、種類、領取方法、使用時限大比拼！HK$ 5000 電子消費券注意事項⚠️</v>
      </c>
      <c r="E2518" s="82">
        <v>44374.0</v>
      </c>
      <c r="F2518" s="80">
        <v>468.0</v>
      </c>
      <c r="G2518" s="80" t="s">
        <v>63</v>
      </c>
      <c r="I2518" s="80" t="s">
        <v>63</v>
      </c>
      <c r="J2518" s="80">
        <v>1733.0</v>
      </c>
      <c r="K2518" s="80">
        <v>0.849926434526728</v>
      </c>
      <c r="L2518" s="80" t="s">
        <v>91</v>
      </c>
    </row>
    <row r="2519">
      <c r="A2519" s="80" t="s">
        <v>2041</v>
      </c>
      <c r="B2519" s="81" t="str">
        <f>HYPERLINK("https://www.youtube.com/channel/UCO6pB-ZN4XJ6MVkibvuEe0A", "SingSingTracker 星昇財經指標")</f>
        <v>SingSingTracker 星昇財經指標</v>
      </c>
      <c r="C2519" s="80" t="s">
        <v>2851</v>
      </c>
      <c r="D2519" s="81" t="str">
        <f>HYPERLINK("https://youtube.com/watch?v=A2Eyfu5dhGA", "【順豐搞房地產，誓做物流大亨】香港第一間物流房地產信託 #順豐 #順豐物流 #房託IPO")</f>
        <v>【順豐搞房地產，誓做物流大亨】香港第一間物流房地產信託 #順豐 #順豐物流 #房託IPO</v>
      </c>
      <c r="E2519" s="82">
        <v>44364.0</v>
      </c>
      <c r="F2519" s="80">
        <v>305.0</v>
      </c>
      <c r="G2519" s="80" t="s">
        <v>63</v>
      </c>
      <c r="I2519" s="80" t="s">
        <v>63</v>
      </c>
      <c r="J2519" s="80">
        <v>1141.0</v>
      </c>
      <c r="K2519" s="80">
        <v>0.926888708367181</v>
      </c>
      <c r="L2519" s="80" t="s">
        <v>64</v>
      </c>
    </row>
    <row r="2520">
      <c r="A2520" s="80" t="s">
        <v>257</v>
      </c>
      <c r="B2520" s="81" t="str">
        <f>HYPERLINK("https://www.youtube.com/channel/UC1u7XM2b3QCHcGOhD6nDypg", "Poopstirrer")</f>
        <v>Poopstirrer</v>
      </c>
      <c r="C2520" s="80" t="s">
        <v>2852</v>
      </c>
      <c r="D2520" s="81" t="str">
        <f>HYPERLINK("https://youtube.com/watch?v=A45YDHGhoT4", "BUSKING @ 尖咀! 攪屎Vlog!【攪屎棍 Poop Stirrer】")</f>
        <v>BUSKING @ 尖咀! 攪屎Vlog!【攪屎棍 Poop Stirrer】</v>
      </c>
      <c r="E2520" s="82">
        <v>42659.0</v>
      </c>
      <c r="F2520" s="80">
        <v>324.0</v>
      </c>
      <c r="G2520" s="80" t="s">
        <v>63</v>
      </c>
      <c r="I2520" s="80" t="s">
        <v>63</v>
      </c>
      <c r="J2520" s="80">
        <v>81.0</v>
      </c>
      <c r="K2520" s="80">
        <v>0.89010989010989</v>
      </c>
      <c r="L2520" s="80" t="s">
        <v>64</v>
      </c>
    </row>
    <row r="2521">
      <c r="A2521" s="80" t="s">
        <v>248</v>
      </c>
      <c r="B2521" s="81" t="str">
        <f>HYPERLINK("https://www.youtube.com/channel/UCUEJok-GiWaGlv5nIPwk-GQ", "Price.com.hk 香港格價網")</f>
        <v>Price.com.hk 香港格價網</v>
      </c>
      <c r="C2521" s="80" t="s">
        <v>2853</v>
      </c>
      <c r="D2521" s="81" t="str">
        <f>HYPERLINK("https://youtube.com/watch?v=A8LyFKCPlWY", "實現全屋5G上網 Linksys 5G產品系列｜村屋、唐樓必備｜流動辦工推介｜Wi-Fi 6 Router、WiFi蛋｜路由器｜特約專題｜廣東話【Price.com.hk產品測試】")</f>
        <v>實現全屋5G上網 Linksys 5G產品系列｜村屋、唐樓必備｜流動辦工推介｜Wi-Fi 6 Router、WiFi蛋｜路由器｜特約專題｜廣東話【Price.com.hk產品測試】</v>
      </c>
      <c r="E2521" s="82">
        <v>44469.0</v>
      </c>
      <c r="F2521" s="80">
        <v>390.0</v>
      </c>
      <c r="G2521" s="80" t="s">
        <v>63</v>
      </c>
      <c r="I2521" s="80" t="s">
        <v>63</v>
      </c>
      <c r="J2521" s="80">
        <v>1173.0</v>
      </c>
      <c r="K2521" s="80">
        <v>0.678034682080924</v>
      </c>
      <c r="L2521" s="80" t="s">
        <v>64</v>
      </c>
    </row>
    <row r="2522">
      <c r="A2522" s="80" t="s">
        <v>98</v>
      </c>
      <c r="B2522" s="81" t="str">
        <f t="shared" ref="B2522:B2523" si="125">HYPERLINK("https://www.youtube.com/channel/UCrquuQB6v1Ued2xyRKZreGQ", "Stephen Leung ")</f>
        <v>Stephen Leung </v>
      </c>
      <c r="C2522" s="80" t="s">
        <v>2854</v>
      </c>
      <c r="D2522" s="81" t="str">
        <f>HYPERLINK("https://youtube.com/watch?v=A9Om9eCv1DE", "【香港美食】秘場真人實測🔥 全港最長日本酒 放題 100款日本酒 任飲7小時 自肥企画 Wako Sake Bar | 吃喝玩樂 2021 香港好去處")</f>
        <v>【香港美食】秘場真人實測🔥 全港最長日本酒 放題 100款日本酒 任飲7小時 自肥企画 Wako Sake Bar | 吃喝玩樂 2021 香港好去處</v>
      </c>
      <c r="E2522" s="82">
        <v>44419.0</v>
      </c>
      <c r="F2522" s="80">
        <v>600.0</v>
      </c>
      <c r="G2522" s="80" t="s">
        <v>63</v>
      </c>
      <c r="I2522" s="80" t="s">
        <v>63</v>
      </c>
      <c r="J2522" s="80">
        <v>1464.0</v>
      </c>
      <c r="K2522" s="80">
        <v>0.961260669730794</v>
      </c>
      <c r="L2522" s="80" t="s">
        <v>64</v>
      </c>
    </row>
    <row r="2523">
      <c r="A2523" s="80" t="s">
        <v>98</v>
      </c>
      <c r="B2523" s="81" t="str">
        <f t="shared" si="125"/>
        <v>Stephen Leung </v>
      </c>
      <c r="C2523" s="80" t="s">
        <v>2855</v>
      </c>
      <c r="D2523" s="81" t="str">
        <f>HYPERLINK("https://youtube.com/watch?v=AC5O4xPWE5Y", "【香港美食】日本直送新鮮食材 親民價錢 $148 食到 最新廚師發辦 Omakase 鮨竜 Sushi Tatsu | 吃喝玩樂  美食 2021")</f>
        <v>【香港美食】日本直送新鮮食材 親民價錢 $148 食到 最新廚師發辦 Omakase 鮨竜 Sushi Tatsu | 吃喝玩樂  美食 2021</v>
      </c>
      <c r="E2523" s="82">
        <v>44551.0</v>
      </c>
      <c r="F2523" s="80">
        <v>1030.0</v>
      </c>
      <c r="G2523" s="80" t="s">
        <v>63</v>
      </c>
      <c r="I2523" s="80" t="s">
        <v>63</v>
      </c>
      <c r="J2523" s="80">
        <v>2275.0</v>
      </c>
      <c r="K2523" s="80">
        <v>0.978494623655914</v>
      </c>
      <c r="L2523" s="80" t="s">
        <v>64</v>
      </c>
    </row>
    <row r="2524">
      <c r="A2524" s="80" t="s">
        <v>1260</v>
      </c>
      <c r="B2524" s="81" t="str">
        <f>HYPERLINK("https://www.youtube.com/channel/UCh1k4i86BpiXEO3nzJIYynw", "The Wave")</f>
        <v>The Wave</v>
      </c>
      <c r="C2524" s="80" t="s">
        <v>2856</v>
      </c>
      <c r="D2524" s="81" t="str">
        <f>HYPERLINK("https://youtube.com/watch?v=AHSmjL-09yU", "TheWave | Xperia XZ2 Premium 體驗及攝影分享會 | 初步體驗")</f>
        <v>TheWave | Xperia XZ2 Premium 體驗及攝影分享會 | 初步體驗</v>
      </c>
      <c r="E2524" s="82">
        <v>43294.0</v>
      </c>
      <c r="F2524" s="80">
        <v>137.0</v>
      </c>
      <c r="G2524" s="80" t="s">
        <v>63</v>
      </c>
      <c r="H2524" s="80" t="s">
        <v>63</v>
      </c>
      <c r="I2524" s="80" t="s">
        <v>63</v>
      </c>
      <c r="J2524" s="80">
        <v>432.0</v>
      </c>
      <c r="K2524" s="80">
        <v>0.710069444444444</v>
      </c>
      <c r="L2524" s="80" t="s">
        <v>120</v>
      </c>
    </row>
    <row r="2525">
      <c r="A2525" s="80" t="s">
        <v>127</v>
      </c>
      <c r="B2525" s="81" t="str">
        <f>HYPERLINK("https://www.youtube.com/channel/UC97oYK3XMf9RLtkc0lO8C-Q", "健康旦 HiEggo")</f>
        <v>健康旦 HiEggo</v>
      </c>
      <c r="C2525" s="80" t="s">
        <v>2857</v>
      </c>
      <c r="D2525" s="81" t="str">
        <f>HYPERLINK("https://youtube.com/watch?v=AKvlny4HmZk", "中醫師：長戴口罩影響皮膚 對付暗瘡自製生甘草綠荳面膜 熱底焗茶金銀花胎菊牛蒡 - 鄭丹瑞《健康旦》#楊明霞 中醫師 Part 8(CC中文字幕)")</f>
        <v>中醫師：長戴口罩影響皮膚 對付暗瘡自製生甘草綠荳面膜 熱底焗茶金銀花胎菊牛蒡 - 鄭丹瑞《健康旦》#楊明霞 中醫師 Part 8(CC中文字幕)</v>
      </c>
      <c r="E2525" s="82">
        <v>43996.0</v>
      </c>
      <c r="F2525" s="80">
        <v>761.0</v>
      </c>
      <c r="G2525" s="80" t="s">
        <v>63</v>
      </c>
      <c r="I2525" s="80" t="s">
        <v>63</v>
      </c>
      <c r="J2525" s="80">
        <v>3314.0</v>
      </c>
      <c r="K2525" s="80">
        <v>0.988958519844822</v>
      </c>
      <c r="L2525" s="80" t="s">
        <v>2771</v>
      </c>
    </row>
    <row r="2526">
      <c r="A2526" s="80" t="s">
        <v>248</v>
      </c>
      <c r="B2526" s="81" t="str">
        <f>HYPERLINK("https://www.youtube.com/channel/UCUEJok-GiWaGlv5nIPwk-GQ", "Price.com.hk 香港格價網")</f>
        <v>Price.com.hk 香港格價網</v>
      </c>
      <c r="C2526" s="80" t="s">
        <v>2858</v>
      </c>
      <c r="D2526" s="81" t="str">
        <f>HYPERLINK("https://youtube.com/watch?v=AL5yXx2ER84", "APPLE升級新品 iPad Pro MacBook Air｜Sennheiser Momentum TW2｜Canon EOS R5｜廣東話【Price Weekly #2 2020年3月 】")</f>
        <v>APPLE升級新品 iPad Pro MacBook Air｜Sennheiser Momentum TW2｜Canon EOS R5｜廣東話【Price Weekly #2 2020年3月 】</v>
      </c>
      <c r="E2526" s="82">
        <v>43910.0</v>
      </c>
      <c r="F2526" s="80">
        <v>490.0</v>
      </c>
      <c r="G2526" s="80" t="s">
        <v>63</v>
      </c>
      <c r="I2526" s="80" t="s">
        <v>63</v>
      </c>
      <c r="J2526" s="80">
        <v>1738.0</v>
      </c>
      <c r="K2526" s="80">
        <v>0.655354449472096</v>
      </c>
      <c r="L2526" s="80" t="s">
        <v>64</v>
      </c>
    </row>
    <row r="2527">
      <c r="A2527" s="80" t="s">
        <v>288</v>
      </c>
      <c r="B2527" s="81" t="str">
        <f>HYPERLINK("https://www.youtube.com/channel/UCDWOYEhVnyD4IHZGVAMLc0g", "Brendan 毛爸")</f>
        <v>Brendan 毛爸</v>
      </c>
      <c r="C2527" s="80" t="s">
        <v>2859</v>
      </c>
      <c r="D2527" s="81" t="str">
        <f>HYPERLINK("https://youtube.com/watch?v=ALSyaCEwB1M", "BNO最新政策｜英國官方6大條件分享｜有BNO可以免費英國移民🇬🇧？值得去嗎？有什麼地方需要留意？（請打開CC 中文字幕）")</f>
        <v>BNO最新政策｜英國官方6大條件分享｜有BNO可以免費英國移民🇬🇧？值得去嗎？有什麼地方需要留意？（請打開CC 中文字幕）</v>
      </c>
      <c r="E2527" s="82">
        <v>44035.0</v>
      </c>
      <c r="F2527" s="80">
        <v>254.0</v>
      </c>
      <c r="G2527" s="80" t="s">
        <v>63</v>
      </c>
      <c r="I2527" s="80" t="s">
        <v>63</v>
      </c>
      <c r="J2527" s="80">
        <v>991.0</v>
      </c>
      <c r="K2527" s="80">
        <v>0.942911512844909</v>
      </c>
      <c r="L2527" s="80" t="s">
        <v>64</v>
      </c>
    </row>
    <row r="2528">
      <c r="A2528" s="80" t="s">
        <v>98</v>
      </c>
      <c r="B2528" s="81" t="str">
        <f>HYPERLINK("https://www.youtube.com/channel/UCrquuQB6v1Ued2xyRKZreGQ", "Stephen Leung ")</f>
        <v>Stephen Leung </v>
      </c>
      <c r="C2528" s="80" t="s">
        <v>2860</v>
      </c>
      <c r="D2528" s="81" t="str">
        <f>HYPERLINK("https://youtube.com/watch?v=ANkKTsNxHIc", "【香港 屯馬線】香港好去處 土瓜灣站 地道街坊小菜 承傳香港味道 土瓜灣舊區 喜滿樓  | 電子消費券 吃喝玩樂  維港1號 宋皇臺站  sung wong toi station 屯馬開通真的很興奮")</f>
        <v>【香港 屯馬線】香港好去處 土瓜灣站 地道街坊小菜 承傳香港味道 土瓜灣舊區 喜滿樓  | 電子消費券 吃喝玩樂  維港1號 宋皇臺站  sung wong toi station 屯馬開通真的很興奮</v>
      </c>
      <c r="E2528" s="82">
        <v>44388.0</v>
      </c>
      <c r="F2528" s="80">
        <v>481.0</v>
      </c>
      <c r="G2528" s="80" t="s">
        <v>63</v>
      </c>
      <c r="I2528" s="80" t="s">
        <v>63</v>
      </c>
      <c r="J2528" s="80">
        <v>1234.0</v>
      </c>
      <c r="K2528" s="80">
        <v>0.974723538704581</v>
      </c>
      <c r="L2528" s="80" t="s">
        <v>64</v>
      </c>
    </row>
    <row r="2529">
      <c r="A2529" s="80" t="s">
        <v>288</v>
      </c>
      <c r="B2529" s="81" t="str">
        <f>HYPERLINK("https://www.youtube.com/channel/UCDWOYEhVnyD4IHZGVAMLc0g", "Brendan 毛爸")</f>
        <v>Brendan 毛爸</v>
      </c>
      <c r="C2529" s="80" t="s">
        <v>2861</v>
      </c>
      <c r="D2529" s="81" t="str">
        <f>HYPERLINK("https://youtube.com/watch?v=APRmI3OpLoY", "『誠實食評』荃灣區人氣小店分享！【秘】吉列牛！抵食好味！「食大個胃第9步」")</f>
        <v>『誠實食評』荃灣區人氣小店分享！【秘】吉列牛！抵食好味！「食大個胃第9步」</v>
      </c>
      <c r="E2529" s="82">
        <v>43964.0</v>
      </c>
      <c r="F2529" s="80">
        <v>260.0</v>
      </c>
      <c r="G2529" s="80" t="s">
        <v>63</v>
      </c>
      <c r="I2529" s="80" t="s">
        <v>63</v>
      </c>
      <c r="J2529" s="80">
        <v>952.0</v>
      </c>
      <c r="K2529" s="80">
        <v>0.969450101832993</v>
      </c>
      <c r="L2529" s="80" t="s">
        <v>64</v>
      </c>
    </row>
    <row r="2530">
      <c r="A2530" s="80" t="s">
        <v>2862</v>
      </c>
      <c r="B2530" s="81" t="str">
        <f>HYPERLINK("https://www.youtube.com/channel/UCi6CqLjdoCN_ijofoCJFpCw", "Anton 安冬晴 ")</f>
        <v>Anton 安冬晴 </v>
      </c>
      <c r="C2530" s="80" t="s">
        <v>2863</v>
      </c>
      <c r="D2530" s="81" t="str">
        <f>HYPERLINK("https://youtube.com/watch?v=AQcAmyHh6o4", "繼續同我一齊掃街！ 今次食咗樣伏伏地既野 😓（CC字幕）｜真・元朗人食盡元朗 #4｜龍鳳店・金玉滿堂・良辰吉時・春風三月")</f>
        <v>繼續同我一齊掃街！ 今次食咗樣伏伏地既野 😓（CC字幕）｜真・元朗人食盡元朗 #4｜龍鳳店・金玉滿堂・良辰吉時・春風三月</v>
      </c>
      <c r="E2530" s="82">
        <v>43385.0</v>
      </c>
      <c r="F2530" s="80">
        <v>419.0</v>
      </c>
      <c r="G2530" s="80" t="s">
        <v>63</v>
      </c>
      <c r="H2530" s="80" t="s">
        <v>63</v>
      </c>
      <c r="I2530" s="80" t="s">
        <v>63</v>
      </c>
      <c r="J2530" s="80">
        <v>1575.0</v>
      </c>
      <c r="K2530" s="80">
        <v>0.969827586206896</v>
      </c>
      <c r="L2530" s="80" t="s">
        <v>86</v>
      </c>
    </row>
    <row r="2531">
      <c r="A2531" s="80" t="s">
        <v>98</v>
      </c>
      <c r="B2531" s="81" t="str">
        <f>HYPERLINK("https://www.youtube.com/channel/UCrquuQB6v1Ued2xyRKZreGQ", "Stephen Leung ")</f>
        <v>Stephen Leung </v>
      </c>
      <c r="C2531" s="80" t="s">
        <v>2864</v>
      </c>
      <c r="D2531" s="81" t="str">
        <f>HYPERLINK("https://youtube.com/watch?v=ATlBpX14Avk", "【香港美食】隱世平民 港式大排檔風味 地道小炒 本地龍蝦打邊爐 黃金湯底 避風塘粟米 新蒲崗 玫瑰餐廳小廚 | 吃喝玩樂  2021 香港好去處")</f>
        <v>【香港美食】隱世平民 港式大排檔風味 地道小炒 本地龍蝦打邊爐 黃金湯底 避風塘粟米 新蒲崗 玫瑰餐廳小廚 | 吃喝玩樂  2021 香港好去處</v>
      </c>
      <c r="E2531" s="82">
        <v>44549.0</v>
      </c>
      <c r="F2531" s="80">
        <v>691.0</v>
      </c>
      <c r="G2531" s="80" t="s">
        <v>63</v>
      </c>
      <c r="I2531" s="80" t="s">
        <v>63</v>
      </c>
      <c r="J2531" s="80">
        <v>2026.0</v>
      </c>
      <c r="K2531" s="80">
        <v>0.994599901816396</v>
      </c>
      <c r="L2531" s="80" t="s">
        <v>64</v>
      </c>
    </row>
    <row r="2532">
      <c r="A2532" s="80" t="s">
        <v>2865</v>
      </c>
      <c r="B2532" s="81" t="str">
        <f>HYPERLINK("https://www.youtube.com/channel/UC66MLu04omGMa98EZ7oic2g", "We叻")</f>
        <v>We叻</v>
      </c>
      <c r="C2532" s="80" t="s">
        <v>2866</v>
      </c>
      <c r="D2532" s="81" t="str">
        <f>HYPERLINK("https://youtube.com/watch?v=AUi--YPsLHQ", "《養生茶》(CC中文字幕) 美肌 去水腫 補腎 烏髮💯【黑豆茶】製作方法⭐️黑豆養顏點解咁好🧐 炒豆 免寒涼 免油益味！保存更持久！！日常養生話咁易💪🏽")</f>
        <v>《養生茶》(CC中文字幕) 美肌 去水腫 補腎 烏髮💯【黑豆茶】製作方法⭐️黑豆養顏點解咁好🧐 炒豆 免寒涼 免油益味！保存更持久！！日常養生話咁易💪🏽</v>
      </c>
      <c r="E2532" s="82">
        <v>44378.0</v>
      </c>
      <c r="F2532" s="80">
        <v>488.0</v>
      </c>
      <c r="G2532" s="80" t="s">
        <v>63</v>
      </c>
      <c r="I2532" s="80" t="s">
        <v>63</v>
      </c>
      <c r="J2532" s="80">
        <v>1683.0</v>
      </c>
      <c r="K2532" s="80">
        <v>0.990582695703354</v>
      </c>
      <c r="L2532" s="80" t="s">
        <v>64</v>
      </c>
    </row>
    <row r="2533">
      <c r="A2533" s="80" t="s">
        <v>98</v>
      </c>
      <c r="B2533" s="81" t="str">
        <f>HYPERLINK("https://www.youtube.com/channel/UCrquuQB6v1Ued2xyRKZreGQ", "Stephen Leung ")</f>
        <v>Stephen Leung </v>
      </c>
      <c r="C2533" s="80" t="s">
        <v>2867</v>
      </c>
      <c r="D2533" s="81" t="str">
        <f>HYPERLINK("https://youtube.com/watch?v=AYey88LEOhc", "【業務超市】香港店 賣冒牌貨? 負責人 親身回應！ 全部100%日本貨? 真相背後 業務超市 首日開業情況 | 吃喝玩樂")</f>
        <v>【業務超市】香港店 賣冒牌貨? 負責人 親身回應！ 全部100%日本貨? 真相背後 業務超市 首日開業情況 | 吃喝玩樂</v>
      </c>
      <c r="E2533" s="82">
        <v>44323.0</v>
      </c>
      <c r="F2533" s="80">
        <v>519.0</v>
      </c>
      <c r="G2533" s="80" t="s">
        <v>63</v>
      </c>
      <c r="I2533" s="80" t="s">
        <v>63</v>
      </c>
      <c r="J2533" s="80">
        <v>1268.0</v>
      </c>
      <c r="K2533" s="80">
        <v>0.916184971098265</v>
      </c>
      <c r="L2533" s="80" t="s">
        <v>64</v>
      </c>
    </row>
    <row r="2534">
      <c r="A2534" s="80" t="s">
        <v>2041</v>
      </c>
      <c r="B2534" s="81" t="str">
        <f>HYPERLINK("https://www.youtube.com/channel/UCO6pB-ZN4XJ6MVkibvuEe0A", "SingSingTracker 星昇財經指標")</f>
        <v>SingSingTracker 星昇財經指標</v>
      </c>
      <c r="C2534" s="80" t="s">
        <v>2868</v>
      </c>
      <c r="D2534" s="81" t="str">
        <f>HYPERLINK("https://youtube.com/watch?v=AdLiYfz6ITs", "【Tesla 以外，Elon musk 的奇怪公司?】巴菲特投資的明星股【點CC中文字幕】")</f>
        <v>【Tesla 以外，Elon musk 的奇怪公司?】巴菲特投資的明星股【點CC中文字幕】</v>
      </c>
      <c r="E2534" s="82">
        <v>44266.0</v>
      </c>
      <c r="F2534" s="80">
        <v>303.0</v>
      </c>
      <c r="G2534" s="80" t="s">
        <v>63</v>
      </c>
      <c r="I2534" s="80" t="s">
        <v>63</v>
      </c>
      <c r="J2534" s="80">
        <v>1058.0</v>
      </c>
      <c r="K2534" s="80">
        <v>0.858766233766233</v>
      </c>
      <c r="L2534" s="80" t="s">
        <v>64</v>
      </c>
    </row>
    <row r="2535">
      <c r="A2535" s="80" t="s">
        <v>98</v>
      </c>
      <c r="B2535" s="81" t="str">
        <f>HYPERLINK("https://www.youtube.com/channel/UCrquuQB6v1Ued2xyRKZreGQ", "Stephen Leung ")</f>
        <v>Stephen Leung </v>
      </c>
      <c r="C2535" s="80" t="s">
        <v>2869</v>
      </c>
      <c r="D2535" s="81" t="str">
        <f>HYPERLINK("https://youtube.com/watch?v=Aek-ThzOBNo", "【香港美食】$268 無限時 日式放題 刺身 火鍋 沖繩海葡萄 鹽燒三文魚任食 | 啤酒 清酒 梅酒任飲 Buffet 上環 浦和日本料理 | 吃喝玩樂 美食 2021 香港好去處  放題 2021")</f>
        <v>【香港美食】$268 無限時 日式放題 刺身 火鍋 沖繩海葡萄 鹽燒三文魚任食 | 啤酒 清酒 梅酒任飲 Buffet 上環 浦和日本料理 | 吃喝玩樂 美食 2021 香港好去處  放題 2021</v>
      </c>
      <c r="E2535" s="82">
        <v>44459.0</v>
      </c>
      <c r="F2535" s="80">
        <v>520.0</v>
      </c>
      <c r="G2535" s="80" t="s">
        <v>63</v>
      </c>
      <c r="I2535" s="80" t="s">
        <v>63</v>
      </c>
      <c r="J2535" s="80">
        <v>1460.0</v>
      </c>
      <c r="K2535" s="80">
        <v>0.973982655103402</v>
      </c>
      <c r="L2535" s="80" t="s">
        <v>64</v>
      </c>
    </row>
    <row r="2536">
      <c r="A2536" s="80" t="s">
        <v>2870</v>
      </c>
      <c r="B2536" s="81" t="str">
        <f>HYPERLINK("https://www.youtube.com/channel/UCD9J1GJowhJBq_yrJ7mdUHQ", "odyleung")</f>
        <v>odyleung</v>
      </c>
      <c r="C2536" s="80" t="s">
        <v>2871</v>
      </c>
      <c r="D2536" s="81" t="str">
        <f>HYPERLINK("https://youtube.com/watch?v=AfRfTbZfa1Y", "屯赤隧道第一日8點通車實況⚠️！青嶼幹線免費！屯門去機場10分鐘😱?! 香港免費賽道😂★請開CC字幕")</f>
        <v>屯赤隧道第一日8點通車實況⚠️！青嶼幹線免費！屯門去機場10分鐘😱?! 香港免費賽道😂★請開CC字幕</v>
      </c>
      <c r="E2536" s="82">
        <v>44192.0</v>
      </c>
      <c r="F2536" s="80">
        <v>800.0</v>
      </c>
      <c r="G2536" s="80" t="s">
        <v>63</v>
      </c>
      <c r="I2536" s="80" t="s">
        <v>63</v>
      </c>
      <c r="J2536" s="80">
        <v>1680.0</v>
      </c>
      <c r="K2536" s="80">
        <v>0.906637884511602</v>
      </c>
      <c r="L2536" s="80" t="s">
        <v>64</v>
      </c>
    </row>
    <row r="2537">
      <c r="A2537" s="80" t="s">
        <v>98</v>
      </c>
      <c r="B2537" s="81" t="str">
        <f>HYPERLINK("https://www.youtube.com/channel/UCrquuQB6v1Ued2xyRKZreGQ", "Stephen Leung ")</f>
        <v>Stephen Leung </v>
      </c>
      <c r="C2537" s="80" t="s">
        <v>2872</v>
      </c>
      <c r="D2537" s="81" t="str">
        <f>HYPERLINK("https://youtube.com/watch?v=Af_syY6DZGU", "【香港美食】銅鑼灣美食 經濟小店 平食! 人均$100 食加拿大龍蝦 花膠 再送滋補燉湯，各款小菜七折 漁港薈 | 吃喝玩樂")</f>
        <v>【香港美食】銅鑼灣美食 經濟小店 平食! 人均$100 食加拿大龍蝦 花膠 再送滋補燉湯，各款小菜七折 漁港薈 | 吃喝玩樂</v>
      </c>
      <c r="E2537" s="82">
        <v>44266.0</v>
      </c>
      <c r="F2537" s="80">
        <v>390.0</v>
      </c>
      <c r="G2537" s="80" t="s">
        <v>63</v>
      </c>
      <c r="I2537" s="80" t="s">
        <v>63</v>
      </c>
      <c r="J2537" s="80">
        <v>1271.0</v>
      </c>
      <c r="K2537" s="80">
        <v>0.977692307692307</v>
      </c>
      <c r="L2537" s="80" t="s">
        <v>64</v>
      </c>
    </row>
    <row r="2538">
      <c r="A2538" s="80" t="s">
        <v>2764</v>
      </c>
      <c r="B2538" s="81" t="str">
        <f>HYPERLINK("https://www.youtube.com/channel/UCejZUW4khvxoA4uL2Afz20g", "Housik Laanfei 好食懶飛")</f>
        <v>Housik Laanfei 好食懶飛</v>
      </c>
      <c r="C2538" s="80" t="s">
        <v>2873</v>
      </c>
      <c r="D2538" s="81" t="str">
        <f>HYPERLINK("https://youtube.com/watch?v=AhpP1bG_b-k", "[餸酒之選] 西班牙大蒜蝦 | CC: 廣東話/繁中/ENG SUB | COOKING VLOG")</f>
        <v>[餸酒之選] 西班牙大蒜蝦 | CC: 廣東話/繁中/ENG SUB | COOKING VLOG</v>
      </c>
      <c r="E2538" s="82">
        <v>44116.0</v>
      </c>
      <c r="F2538" s="80">
        <v>378.0</v>
      </c>
      <c r="G2538" s="80" t="s">
        <v>63</v>
      </c>
      <c r="H2538" s="80" t="s">
        <v>63</v>
      </c>
      <c r="I2538" s="80" t="s">
        <v>63</v>
      </c>
      <c r="J2538" s="80">
        <v>173.0</v>
      </c>
      <c r="K2538" s="80">
        <v>0.904255319148936</v>
      </c>
      <c r="L2538" s="80" t="s">
        <v>120</v>
      </c>
    </row>
    <row r="2539">
      <c r="A2539" s="80" t="s">
        <v>1987</v>
      </c>
      <c r="B2539" s="81" t="str">
        <f>HYPERLINK("https://www.youtube.com/channel/UCgGUmm04nVyj-ftaCxVcyBg", "MangoHK大馬獅家")</f>
        <v>MangoHK大馬獅家</v>
      </c>
      <c r="C2539" s="80" t="s">
        <v>2874</v>
      </c>
      <c r="D2539" s="81" t="str">
        <f>HYPERLINK("https://youtube.com/watch?v=AkF64HeDVEg", "【67】🍄今日去邊*潦🥤經典沙士汽水 {中英字幕} Subtitled | Malaysia CITTA MALL | Malaysia Vlog | mm2h")</f>
        <v>【67】🍄今日去邊*潦🥤經典沙士汽水 {中英字幕} Subtitled | Malaysia CITTA MALL | Malaysia Vlog | mm2h</v>
      </c>
      <c r="E2539" s="82">
        <v>44494.0</v>
      </c>
      <c r="F2539" s="80">
        <v>902.0</v>
      </c>
      <c r="G2539" s="80" t="s">
        <v>63</v>
      </c>
      <c r="I2539" s="80" t="s">
        <v>63</v>
      </c>
      <c r="J2539" s="80">
        <v>2286.0</v>
      </c>
      <c r="K2539" s="80">
        <v>0.94074074074074</v>
      </c>
      <c r="L2539" s="80" t="s">
        <v>896</v>
      </c>
    </row>
    <row r="2540">
      <c r="A2540" s="80" t="s">
        <v>1260</v>
      </c>
      <c r="B2540" s="81" t="str">
        <f>HYPERLINK("https://www.youtube.com/channel/UCh1k4i86BpiXEO3nzJIYynw", "The Wave")</f>
        <v>The Wave</v>
      </c>
      <c r="C2540" s="80" t="s">
        <v>2875</v>
      </c>
      <c r="D2540" s="81" t="str">
        <f>HYPERLINK("https://youtube.com/watch?v=AmH0Xe4pdn4", "TheWave | Sony Xperia 2020 發布會 | Xperia 1 II , Xperia Pro , Xperia 10 II | 4K影片 CC字幕 廣東話")</f>
        <v>TheWave | Sony Xperia 2020 發布會 | Xperia 1 II , Xperia Pro , Xperia 10 II | 4K影片 CC字幕 廣東話</v>
      </c>
      <c r="E2540" s="82">
        <v>43886.0</v>
      </c>
      <c r="F2540" s="80">
        <v>312.0</v>
      </c>
      <c r="G2540" s="80" t="s">
        <v>63</v>
      </c>
      <c r="H2540" s="80" t="s">
        <v>63</v>
      </c>
      <c r="I2540" s="80" t="s">
        <v>63</v>
      </c>
      <c r="J2540" s="80">
        <v>970.0</v>
      </c>
      <c r="K2540" s="80">
        <v>0.733736762481089</v>
      </c>
      <c r="L2540" s="80" t="s">
        <v>1634</v>
      </c>
    </row>
    <row r="2541">
      <c r="A2541" s="80" t="s">
        <v>127</v>
      </c>
      <c r="B2541" s="81" t="str">
        <f>HYPERLINK("https://www.youtube.com/channel/UC97oYK3XMf9RLtkc0lO8C-Q", "健康旦 HiEggo")</f>
        <v>健康旦 HiEggo</v>
      </c>
      <c r="C2541" s="80" t="s">
        <v>2876</v>
      </c>
      <c r="D2541" s="81" t="str">
        <f>HYPERLINK("https://youtube.com/watch?v=AnhWGzNuf1Y", "婦產科江穎珊醫生建議林燕玲 孕婦產後親友應避免探望 避免增加孕婦壓力 - 鄭丹瑞《健康旦》林燕玲 江穎珊醫生 Part2 (CC中文字幕)")</f>
        <v>婦產科江穎珊醫生建議林燕玲 孕婦產後親友應避免探望 避免增加孕婦壓力 - 鄭丹瑞《健康旦》林燕玲 江穎珊醫生 Part2 (CC中文字幕)</v>
      </c>
      <c r="E2541" s="82">
        <v>43896.0</v>
      </c>
      <c r="F2541" s="80">
        <v>617.0</v>
      </c>
      <c r="G2541" s="80" t="s">
        <v>63</v>
      </c>
      <c r="I2541" s="80" t="s">
        <v>63</v>
      </c>
      <c r="J2541" s="80">
        <v>2033.0</v>
      </c>
      <c r="K2541" s="80">
        <v>0.99267578125</v>
      </c>
      <c r="L2541" s="80" t="s">
        <v>102</v>
      </c>
    </row>
    <row r="2542">
      <c r="A2542" s="80" t="s">
        <v>238</v>
      </c>
      <c r="B2542" s="81" t="str">
        <f>HYPERLINK("https://www.youtube.com/channel/UCSBkm4LwpgBmcA3MCtO8vqg", "Post76影音玩樂")</f>
        <v>Post76影音玩樂</v>
      </c>
      <c r="C2542" s="80" t="s">
        <v>2877</v>
      </c>
      <c r="D2542" s="81" t="str">
        <f>HYPERLINK("https://youtube.com/watch?v=Apoa3otbweA", "投影機救星！？旺角 Autoplus Digitech 投影專家，四大投影方案助你解決奇難雜症！（附設中文字幕）粵語 【新店推介 | Post76.hk】")</f>
        <v>投影機救星！？旺角 Autoplus Digitech 投影專家，四大投影方案助你解決奇難雜症！（附設中文字幕）粵語 【新店推介 | Post76.hk】</v>
      </c>
      <c r="E2542" s="82">
        <v>44445.0</v>
      </c>
      <c r="F2542" s="80">
        <v>583.0</v>
      </c>
      <c r="G2542" s="80" t="s">
        <v>63</v>
      </c>
      <c r="H2542" s="80" t="s">
        <v>63</v>
      </c>
      <c r="I2542" s="80" t="s">
        <v>63</v>
      </c>
      <c r="J2542" s="80">
        <v>2789.0</v>
      </c>
      <c r="K2542" s="80">
        <v>0.934025452109846</v>
      </c>
      <c r="L2542" s="80" t="s">
        <v>66</v>
      </c>
    </row>
    <row r="2543">
      <c r="A2543" s="80" t="s">
        <v>1260</v>
      </c>
      <c r="B2543" s="81" t="str">
        <f t="shared" ref="B2543:B2544" si="126">HYPERLINK("https://www.youtube.com/channel/UCh1k4i86BpiXEO3nzJIYynw", "The Wave")</f>
        <v>The Wave</v>
      </c>
      <c r="C2543" s="80" t="s">
        <v>2878</v>
      </c>
      <c r="D2543" s="81" t="str">
        <f>HYPERLINK("https://youtube.com/watch?v=AsCveESfMXw", "TheWave | Xperia 5 II 開售 | 真的可以買？")</f>
        <v>TheWave | Xperia 5 II 開售 | 真的可以買？</v>
      </c>
      <c r="E2543" s="82">
        <v>44098.0</v>
      </c>
      <c r="F2543" s="80">
        <v>605.0</v>
      </c>
      <c r="G2543" s="80" t="s">
        <v>63</v>
      </c>
      <c r="I2543" s="80" t="s">
        <v>63</v>
      </c>
      <c r="J2543" s="80">
        <v>147.0</v>
      </c>
      <c r="K2543" s="80">
        <v>0.746192893401015</v>
      </c>
      <c r="L2543" s="80" t="s">
        <v>102</v>
      </c>
    </row>
    <row r="2544">
      <c r="A2544" s="80" t="s">
        <v>1260</v>
      </c>
      <c r="B2544" s="81" t="str">
        <f t="shared" si="126"/>
        <v>The Wave</v>
      </c>
      <c r="C2544" s="80" t="s">
        <v>2879</v>
      </c>
      <c r="D2544" s="81" t="str">
        <f>HYPERLINK("https://youtube.com/watch?v=Ash9vY784BM", "TheWave | 喺飛機有覺好瞓 好重要！維珍澳洲航空貴賓室+ A330-200 商務艙體驗")</f>
        <v>TheWave | 喺飛機有覺好瞓 好重要！維珍澳洲航空貴賓室+ A330-200 商務艙體驗</v>
      </c>
      <c r="E2544" s="82">
        <v>43370.0</v>
      </c>
      <c r="F2544" s="80">
        <v>338.0</v>
      </c>
      <c r="G2544" s="80" t="s">
        <v>63</v>
      </c>
      <c r="H2544" s="80" t="s">
        <v>63</v>
      </c>
      <c r="I2544" s="80" t="s">
        <v>63</v>
      </c>
      <c r="J2544" s="80">
        <v>1418.0</v>
      </c>
      <c r="K2544" s="80">
        <v>0.892247043363994</v>
      </c>
      <c r="L2544" s="80" t="s">
        <v>120</v>
      </c>
    </row>
    <row r="2545">
      <c r="A2545" s="80" t="s">
        <v>2041</v>
      </c>
      <c r="B2545" s="81" t="str">
        <f>HYPERLINK("https://www.youtube.com/channel/UCO6pB-ZN4XJ6MVkibvuEe0A", "SingSingTracker 星昇財經指標")</f>
        <v>SingSingTracker 星昇財經指標</v>
      </c>
      <c r="C2545" s="80" t="s">
        <v>2880</v>
      </c>
      <c r="D2545" s="81" t="str">
        <f>HYPERLINK("https://youtube.com/watch?v=Aspfe9j8DdI", "【一週年現場版】試當真賣飛 勁賺四百萬｜開騷門票定價一萬｜荷蘭式拍賣 原來咁玩法｜Google IPO 都有用過｜係咁先啦 Cover｜點CC字幕")</f>
        <v>【一週年現場版】試當真賣飛 勁賺四百萬｜開騷門票定價一萬｜荷蘭式拍賣 原來咁玩法｜Google IPO 都有用過｜係咁先啦 Cover｜點CC字幕</v>
      </c>
      <c r="E2545" s="82">
        <v>44446.0</v>
      </c>
      <c r="F2545" s="80">
        <v>424.0</v>
      </c>
      <c r="G2545" s="80" t="s">
        <v>63</v>
      </c>
      <c r="I2545" s="80" t="s">
        <v>63</v>
      </c>
      <c r="J2545" s="80">
        <v>1456.0</v>
      </c>
      <c r="K2545" s="80">
        <v>0.890519877675841</v>
      </c>
      <c r="L2545" s="80" t="s">
        <v>64</v>
      </c>
    </row>
    <row r="2546">
      <c r="A2546" s="80" t="s">
        <v>288</v>
      </c>
      <c r="B2546" s="81" t="str">
        <f>HYPERLINK("https://www.youtube.com/channel/UCDWOYEhVnyD4IHZGVAMLc0g", "Brendan 毛爸")</f>
        <v>Brendan 毛爸</v>
      </c>
      <c r="C2546" s="80" t="s">
        <v>2881</v>
      </c>
      <c r="D2546" s="81" t="str">
        <f>HYPERLINK("https://youtube.com/watch?v=AuOyqctmSO0", "【集合啦! 動物森友會】 #3｜四月十一號《釣魚大會》介紹和小竅門分享！參加前必睇！留意：說明內之補充！（請開CC 中文字幕)")</f>
        <v>【集合啦! 動物森友會】 #3｜四月十一號《釣魚大會》介紹和小竅門分享！參加前必睇！留意：說明內之補充！（請開CC 中文字幕)</v>
      </c>
      <c r="E2546" s="82">
        <v>43931.0</v>
      </c>
      <c r="F2546" s="80">
        <v>78.0</v>
      </c>
      <c r="G2546" s="80" t="s">
        <v>63</v>
      </c>
      <c r="I2546" s="80" t="s">
        <v>63</v>
      </c>
      <c r="J2546" s="80">
        <v>244.0</v>
      </c>
      <c r="K2546" s="80">
        <v>0.934865900383141</v>
      </c>
      <c r="L2546" s="80" t="s">
        <v>64</v>
      </c>
    </row>
    <row r="2547">
      <c r="A2547" s="80" t="s">
        <v>124</v>
      </c>
      <c r="B2547" s="81" t="str">
        <f>HYPERLINK("https://www.youtube.com/channel/UCg0vuSE0fBF_NvodyYhMcWg", "Wallace Studio HK")</f>
        <v>Wallace Studio HK</v>
      </c>
      <c r="C2547" s="80" t="s">
        <v>2882</v>
      </c>
      <c r="D2547" s="81" t="str">
        <f>HYPERLINK("https://youtube.com/watch?v=Avrw4RsOFQg", "[NAS選購] 選購Part 5 QNAP VS Synology 邊個好?")</f>
        <v>[NAS選購] 選購Part 5 QNAP VS Synology 邊個好?</v>
      </c>
      <c r="E2547" s="82">
        <v>44407.0</v>
      </c>
      <c r="F2547" s="80">
        <v>594.0</v>
      </c>
      <c r="G2547" s="80" t="s">
        <v>63</v>
      </c>
      <c r="I2547" s="80" t="s">
        <v>63</v>
      </c>
      <c r="J2547" s="80">
        <v>1943.0</v>
      </c>
      <c r="K2547" s="80">
        <v>0.652451309603761</v>
      </c>
      <c r="L2547" s="80" t="s">
        <v>64</v>
      </c>
    </row>
    <row r="2548">
      <c r="A2548" s="80" t="s">
        <v>293</v>
      </c>
      <c r="B2548" s="81" t="str">
        <f>HYPERLINK("https://www.youtube.com/channel/UCXRcbXqjORdIvl63I7MtOLQ", "趁熱 Kerry 's kitchen")</f>
        <v>趁熱 Kerry 's kitchen</v>
      </c>
      <c r="C2548" s="80" t="s">
        <v>2883</v>
      </c>
      <c r="D2548" s="81" t="str">
        <f>HYPERLINK("https://youtube.com/watch?v=B-GrKu08AdI", "臘味 糯米飯/暖 笠笠/簡單20分鐘攪掂/收工煮都可以/簡單 家做/重點 講解/廣東話/中字")</f>
        <v>臘味 糯米飯/暖 笠笠/簡單20分鐘攪掂/收工煮都可以/簡單 家做/重點 講解/廣東話/中字</v>
      </c>
      <c r="E2548" s="82">
        <v>44522.0</v>
      </c>
      <c r="F2548" s="80">
        <v>598.0</v>
      </c>
      <c r="G2548" s="80" t="s">
        <v>63</v>
      </c>
      <c r="I2548" s="80" t="s">
        <v>63</v>
      </c>
      <c r="J2548" s="80">
        <v>829.0</v>
      </c>
      <c r="K2548" s="80">
        <v>0.965075669383003</v>
      </c>
      <c r="L2548" s="80" t="s">
        <v>64</v>
      </c>
    </row>
    <row r="2549">
      <c r="A2549" s="80" t="s">
        <v>1139</v>
      </c>
      <c r="B2549" s="81" t="str">
        <f>HYPERLINK("https://www.youtube.com/channel/UCw51gVFijIewmXH4tIR0ufw", "Crystal Zen")</f>
        <v>Crystal Zen</v>
      </c>
      <c r="C2549" s="80" t="s">
        <v>2884</v>
      </c>
      <c r="D2549" s="81" t="str">
        <f>HYPERLINK("https://youtube.com/watch?v=B-I-QZTQ4o8", "[水晶知多D] 水晶冇咩用？水晶戴極都唔啱？戴左好耐冇戴咁？ 點算好 成個腦都係問題 ！！！")</f>
        <v>[水晶知多D] 水晶冇咩用？水晶戴極都唔啱？戴左好耐冇戴咁？ 點算好 成個腦都係問題 ！！！</v>
      </c>
      <c r="E2549" s="82">
        <v>44427.0</v>
      </c>
      <c r="F2549" s="80">
        <v>496.0</v>
      </c>
      <c r="G2549" s="80" t="s">
        <v>63</v>
      </c>
      <c r="I2549" s="80" t="s">
        <v>63</v>
      </c>
      <c r="J2549" s="80">
        <v>2016.0</v>
      </c>
      <c r="K2549" s="80">
        <v>0.941176470588235</v>
      </c>
      <c r="L2549" s="80" t="s">
        <v>64</v>
      </c>
    </row>
    <row r="2550">
      <c r="A2550" s="80" t="s">
        <v>106</v>
      </c>
      <c r="B2550" s="81" t="str">
        <f>HYPERLINK("https://www.youtube.com/channel/UC9jW6WpsAPgh-9HqDTvkFzg", "ValorGears")</f>
        <v>ValorGears</v>
      </c>
      <c r="C2550" s="80" t="s">
        <v>2885</v>
      </c>
      <c r="D2550" s="81" t="str">
        <f>HYPERLINK("https://youtube.com/watch?v=B-kF5UNg9Lg", "暑假流流買D乜 - 淘寶開箱")</f>
        <v>暑假流流買D乜 - 淘寶開箱</v>
      </c>
      <c r="E2550" s="82">
        <v>42946.0</v>
      </c>
      <c r="F2550" s="80">
        <v>627.0</v>
      </c>
      <c r="G2550" s="80" t="s">
        <v>63</v>
      </c>
      <c r="I2550" s="80" t="s">
        <v>63</v>
      </c>
      <c r="J2550" s="80">
        <v>2530.0</v>
      </c>
      <c r="K2550" s="80">
        <v>0.899395662993245</v>
      </c>
      <c r="L2550" s="80" t="s">
        <v>745</v>
      </c>
    </row>
    <row r="2551">
      <c r="A2551" s="80" t="s">
        <v>127</v>
      </c>
      <c r="B2551" s="81" t="str">
        <f>HYPERLINK("https://www.youtube.com/channel/UC97oYK3XMf9RLtkc0lO8C-Q", "健康旦 HiEggo")</f>
        <v>健康旦 HiEggo</v>
      </c>
      <c r="C2551" s="80" t="s">
        <v>2886</v>
      </c>
      <c r="D2551" s="81" t="str">
        <f>HYPERLINK("https://youtube.com/watch?v=B1h5ORhbc8E", "周秀娜搬屋撞正疫情  無人搬傢俬 得床同梳化 電視擺地下   - 鄭丹瑞《健康旦》周秀娜 Part1 (CC中文字幕)")</f>
        <v>周秀娜搬屋撞正疫情  無人搬傢俬 得床同梳化 電視擺地下   - 鄭丹瑞《健康旦》周秀娜 Part1 (CC中文字幕)</v>
      </c>
      <c r="E2551" s="82">
        <v>43896.0</v>
      </c>
      <c r="F2551" s="80">
        <v>831.0</v>
      </c>
      <c r="G2551" s="80" t="s">
        <v>63</v>
      </c>
      <c r="I2551" s="80" t="s">
        <v>63</v>
      </c>
      <c r="J2551" s="80">
        <v>2979.0</v>
      </c>
      <c r="K2551" s="80">
        <v>0.994325767690253</v>
      </c>
      <c r="L2551" s="80" t="s">
        <v>102</v>
      </c>
    </row>
    <row r="2552">
      <c r="A2552" s="80" t="s">
        <v>1139</v>
      </c>
      <c r="B2552" s="81" t="str">
        <f>HYPERLINK("https://www.youtube.com/channel/UCw51gVFijIewmXH4tIR0ufw", "Crystal Zen")</f>
        <v>Crystal Zen</v>
      </c>
      <c r="C2552" s="80" t="s">
        <v>2887</v>
      </c>
      <c r="D2552" s="81" t="str">
        <f>HYPERLINK("https://youtube.com/watch?v=B5iues7Jx9s", "[水晶知多D 第十六集] 紫水晶 係最頂級嘅能量泉源！！！🤫")</f>
        <v>[水晶知多D 第十六集] 紫水晶 係最頂級嘅能量泉源！！！🤫</v>
      </c>
      <c r="E2552" s="82">
        <v>44120.0</v>
      </c>
      <c r="F2552" s="80">
        <v>547.0</v>
      </c>
      <c r="G2552" s="80" t="s">
        <v>63</v>
      </c>
      <c r="I2552" s="80" t="s">
        <v>63</v>
      </c>
      <c r="J2552" s="80">
        <v>2478.0</v>
      </c>
      <c r="K2552" s="80">
        <v>0.940417457305502</v>
      </c>
      <c r="L2552" s="80" t="s">
        <v>64</v>
      </c>
    </row>
    <row r="2553">
      <c r="A2553" s="80" t="s">
        <v>84</v>
      </c>
      <c r="B2553" s="81" t="str">
        <f>HYPERLINK("https://www.youtube.com/channel/UCs6fW24aVjefTsognevmDnA", "PakTil 拍跳")</f>
        <v>PakTil 拍跳</v>
      </c>
      <c r="C2553" s="80" t="s">
        <v>2888</v>
      </c>
      <c r="D2553" s="81" t="str">
        <f>HYPERLINK("https://youtube.com/watch?v=B69lLtQJ2dA", "【拍跳短跑】間房傳怪聲  真係唔好打開門.....")</f>
        <v>【拍跳短跑】間房傳怪聲  真係唔好打開門.....</v>
      </c>
      <c r="E2553" s="82">
        <v>44032.0</v>
      </c>
      <c r="F2553" s="80">
        <v>41.0</v>
      </c>
      <c r="G2553" s="80" t="s">
        <v>63</v>
      </c>
      <c r="I2553" s="80" t="s">
        <v>63</v>
      </c>
      <c r="J2553" s="80">
        <v>22.0</v>
      </c>
      <c r="K2553" s="80">
        <v>1.0</v>
      </c>
      <c r="L2553" s="80" t="s">
        <v>86</v>
      </c>
    </row>
    <row r="2554">
      <c r="A2554" s="80" t="s">
        <v>288</v>
      </c>
      <c r="B2554" s="81" t="str">
        <f>HYPERLINK("https://www.youtube.com/channel/UCDWOYEhVnyD4IHZGVAMLc0g", "Brendan 毛爸")</f>
        <v>Brendan 毛爸</v>
      </c>
      <c r="C2554" s="80" t="s">
        <v>2889</v>
      </c>
      <c r="D2554" s="81" t="str">
        <f>HYPERLINK("https://youtube.com/watch?v=B6tMlUeXY0M", "『 經濟差，如何營運YouTube事業？ 』 Bren叉 | Bren叉 Motivation（請打開CC 中文字幕）")</f>
        <v>『 經濟差，如何營運YouTube事業？ 』 Bren叉 | Bren叉 Motivation（請打開CC 中文字幕）</v>
      </c>
      <c r="E2554" s="82">
        <v>44038.0</v>
      </c>
      <c r="F2554" s="80">
        <v>140.0</v>
      </c>
      <c r="G2554" s="80" t="s">
        <v>63</v>
      </c>
      <c r="I2554" s="80" t="s">
        <v>63</v>
      </c>
      <c r="J2554" s="80">
        <v>536.0</v>
      </c>
      <c r="K2554" s="80">
        <v>0.808446455505279</v>
      </c>
      <c r="L2554" s="80" t="s">
        <v>64</v>
      </c>
    </row>
    <row r="2555">
      <c r="A2555" s="80" t="s">
        <v>127</v>
      </c>
      <c r="B2555" s="81" t="str">
        <f>HYPERLINK("https://www.youtube.com/channel/UC97oYK3XMf9RLtkc0lO8C-Q", "健康旦 HiEggo")</f>
        <v>健康旦 HiEggo</v>
      </c>
      <c r="C2555" s="80" t="s">
        <v>2890</v>
      </c>
      <c r="D2555" s="81" t="str">
        <f>HYPERLINK("https://youtube.com/watch?v=B8VFnpXn8ik", "聽障者專用口罩難求 買菜容易睇醫生難 - 鄭丹瑞《健康旦》 (CC中文字幕)")</f>
        <v>聽障者專用口罩難求 買菜容易睇醫生難 - 鄭丹瑞《健康旦》 (CC中文字幕)</v>
      </c>
      <c r="E2555" s="82">
        <v>43907.0</v>
      </c>
      <c r="F2555" s="80">
        <v>687.0</v>
      </c>
      <c r="G2555" s="80" t="s">
        <v>63</v>
      </c>
      <c r="I2555" s="80" t="s">
        <v>63</v>
      </c>
      <c r="J2555" s="80">
        <v>2454.0</v>
      </c>
      <c r="K2555" s="80">
        <v>0.985542168674698</v>
      </c>
      <c r="L2555" s="80" t="s">
        <v>102</v>
      </c>
    </row>
    <row r="2556">
      <c r="A2556" s="80" t="s">
        <v>124</v>
      </c>
      <c r="B2556" s="81" t="str">
        <f>HYPERLINK("https://www.youtube.com/channel/UCg0vuSE0fBF_NvodyYhMcWg", "Wallace Studio HK")</f>
        <v>Wallace Studio HK</v>
      </c>
      <c r="C2556" s="80" t="s">
        <v>2891</v>
      </c>
      <c r="D2556" s="81" t="str">
        <f>HYPERLINK("https://youtube.com/watch?v=B8fpIM3ZPrU", "[詳細評測] Microsoft Surface Laptop 4 港人評測! 曾經至愛，仍然咁好用?")</f>
        <v>[詳細評測] Microsoft Surface Laptop 4 港人評測! 曾經至愛，仍然咁好用?</v>
      </c>
      <c r="E2556" s="82">
        <v>44388.0</v>
      </c>
      <c r="F2556" s="80">
        <v>545.0</v>
      </c>
      <c r="G2556" s="80" t="s">
        <v>63</v>
      </c>
      <c r="H2556" s="80" t="s">
        <v>63</v>
      </c>
      <c r="I2556" s="80" t="s">
        <v>63</v>
      </c>
      <c r="J2556" s="80">
        <v>1818.0</v>
      </c>
      <c r="K2556" s="80">
        <v>0.730707395498392</v>
      </c>
      <c r="L2556" s="80" t="s">
        <v>86</v>
      </c>
    </row>
    <row r="2557">
      <c r="A2557" s="80" t="s">
        <v>1260</v>
      </c>
      <c r="B2557" s="81" t="str">
        <f>HYPERLINK("https://www.youtube.com/channel/UCh1k4i86BpiXEO3nzJIYynw", "The Wave")</f>
        <v>The Wave</v>
      </c>
      <c r="C2557" s="80" t="s">
        <v>2892</v>
      </c>
      <c r="D2557" s="81" t="str">
        <f>HYPERLINK("https://youtube.com/watch?v=B9XeY_d0Mmw", "TheWave | Xperia XA3圖片流出")</f>
        <v>TheWave | Xperia XA3圖片流出</v>
      </c>
      <c r="E2557" s="82">
        <v>43503.0</v>
      </c>
      <c r="F2557" s="80">
        <v>69.0</v>
      </c>
      <c r="G2557" s="80" t="s">
        <v>63</v>
      </c>
      <c r="H2557" s="80" t="s">
        <v>63</v>
      </c>
      <c r="I2557" s="80" t="s">
        <v>63</v>
      </c>
      <c r="J2557" s="80">
        <v>235.0</v>
      </c>
      <c r="K2557" s="80">
        <v>0.803508771929824</v>
      </c>
      <c r="L2557" s="80" t="s">
        <v>120</v>
      </c>
    </row>
    <row r="2558">
      <c r="A2558" s="80" t="s">
        <v>2893</v>
      </c>
      <c r="B2558" s="81" t="str">
        <f>HYPERLINK("https://www.youtube.com/channel/UCS6TtQSjGUpGHJTCHTTFe9g", "玩學實驗室Play &amp; Learn Lab")</f>
        <v>玩學實驗室Play &amp; Learn Lab</v>
      </c>
      <c r="C2558" s="80" t="s">
        <v>2894</v>
      </c>
      <c r="D2558" s="81" t="str">
        <f>HYPERLINK("https://youtube.com/watch?v=BAHx-gjMFHs", "【玩學實驗室 #5】教你玩一個可以提升小朋友專注力嘅 Board Game《Quiet as a Mouse》｜跟老鼠仔學習集中精神｜親子桌遊研習社｜【親子桌遊玩學堂】EP.01｜4K (廣東話字幕)")</f>
        <v>【玩學實驗室 #5】教你玩一個可以提升小朋友專注力嘅 Board Game《Quiet as a Mouse》｜跟老鼠仔學習集中精神｜親子桌遊研習社｜【親子桌遊玩學堂】EP.01｜4K (廣東話字幕)</v>
      </c>
      <c r="E2558" s="82">
        <v>44315.0</v>
      </c>
      <c r="F2558" s="80">
        <v>260.0</v>
      </c>
      <c r="G2558" s="80" t="s">
        <v>63</v>
      </c>
      <c r="I2558" s="80" t="s">
        <v>63</v>
      </c>
      <c r="J2558" s="80">
        <v>875.0</v>
      </c>
      <c r="K2558" s="80">
        <v>0.922995780590717</v>
      </c>
      <c r="L2558" s="80" t="s">
        <v>64</v>
      </c>
    </row>
    <row r="2559">
      <c r="A2559" s="80" t="s">
        <v>127</v>
      </c>
      <c r="B2559" s="81" t="str">
        <f>HYPERLINK("https://www.youtube.com/channel/UC97oYK3XMf9RLtkc0lO8C-Q", "健康旦 HiEggo")</f>
        <v>健康旦 HiEggo</v>
      </c>
      <c r="C2559" s="80" t="s">
        <v>2895</v>
      </c>
      <c r="D2559" s="81" t="str">
        <f>HYPERLINK("https://youtube.com/watch?v=BE_DurJ1gEQ", "中醫：失眠夜瞓損耗腎精易變老 煎炸食物配凍飲習慣 損傷脾胃可致肝硬化 - 鄭丹瑞《健康旦》 註冊中醫師 #徐澤昌 博士 Part 4 (CC中文字幕)")</f>
        <v>中醫：失眠夜瞓損耗腎精易變老 煎炸食物配凍飲習慣 損傷脾胃可致肝硬化 - 鄭丹瑞《健康旦》 註冊中醫師 #徐澤昌 博士 Part 4 (CC中文字幕)</v>
      </c>
      <c r="E2559" s="82">
        <v>44101.0</v>
      </c>
      <c r="F2559" s="80">
        <v>480.0</v>
      </c>
      <c r="G2559" s="80" t="s">
        <v>63</v>
      </c>
      <c r="I2559" s="80" t="s">
        <v>63</v>
      </c>
      <c r="J2559" s="80">
        <v>2188.0</v>
      </c>
      <c r="K2559" s="80">
        <v>0.997720018239854</v>
      </c>
      <c r="L2559" s="80" t="s">
        <v>2771</v>
      </c>
    </row>
    <row r="2560">
      <c r="A2560" s="80" t="s">
        <v>1260</v>
      </c>
      <c r="B2560" s="81" t="str">
        <f>HYPERLINK("https://www.youtube.com/channel/UCh1k4i86BpiXEO3nzJIYynw", "The Wave")</f>
        <v>The Wave</v>
      </c>
      <c r="C2560" s="80" t="s">
        <v>2896</v>
      </c>
      <c r="D2560" s="81" t="str">
        <f>HYPERLINK("https://youtube.com/watch?v=BK4xi73wVFY", "TheWave | Xperia 10 Plus | 1個月後 | 旗艦 vs 中階 真係有分別？")</f>
        <v>TheWave | Xperia 10 Plus | 1個月後 | 旗艦 vs 中階 真係有分別？</v>
      </c>
      <c r="E2560" s="82">
        <v>43557.0</v>
      </c>
      <c r="F2560" s="80">
        <v>183.0</v>
      </c>
      <c r="G2560" s="80" t="s">
        <v>63</v>
      </c>
      <c r="H2560" s="80" t="s">
        <v>63</v>
      </c>
      <c r="I2560" s="80" t="s">
        <v>63</v>
      </c>
      <c r="J2560" s="80">
        <v>691.0</v>
      </c>
      <c r="K2560" s="80">
        <v>0.790617848970251</v>
      </c>
      <c r="L2560" s="80" t="s">
        <v>120</v>
      </c>
    </row>
    <row r="2561">
      <c r="A2561" s="80" t="s">
        <v>98</v>
      </c>
      <c r="B2561" s="81" t="str">
        <f>HYPERLINK("https://www.youtube.com/channel/UCrquuQB6v1Ued2xyRKZreGQ", "Stephen Leung ")</f>
        <v>Stephen Leung </v>
      </c>
      <c r="C2561" s="80" t="s">
        <v>2897</v>
      </c>
      <c r="D2561" s="81" t="str">
        <f>HYPERLINK("https://youtube.com/watch?v=BLJuB5MoMvk", "【早午自助餐 Sunday Brunch】自助餐 午餐 香港 任食 傳統英式烤肉 自助餐 脆皮豬，燒牛肉，烤雞 中環 Mr Wolf  非酒店自助餐 Ft. Towngas | 消費券 吃喝玩樂")</f>
        <v>【早午自助餐 Sunday Brunch】自助餐 午餐 香港 任食 傳統英式烤肉 自助餐 脆皮豬，燒牛肉，烤雞 中環 Mr Wolf  非酒店自助餐 Ft. Towngas | 消費券 吃喝玩樂</v>
      </c>
      <c r="E2561" s="82">
        <v>44379.0</v>
      </c>
      <c r="F2561" s="80">
        <v>633.0</v>
      </c>
      <c r="G2561" s="80" t="s">
        <v>63</v>
      </c>
      <c r="I2561" s="80" t="s">
        <v>63</v>
      </c>
      <c r="J2561" s="80">
        <v>1743.0</v>
      </c>
      <c r="K2561" s="80">
        <v>0.908759124087591</v>
      </c>
      <c r="L2561" s="80" t="s">
        <v>521</v>
      </c>
    </row>
    <row r="2562">
      <c r="A2562" s="80" t="s">
        <v>2898</v>
      </c>
      <c r="B2562" s="81" t="str">
        <f>HYPERLINK("https://www.youtube.com/channel/UCy5bjMXbFPglSBNDXfivtOA", "消費者委員會")</f>
        <v>消費者委員會</v>
      </c>
      <c r="C2562" s="80" t="s">
        <v>2899</v>
      </c>
      <c r="D2562" s="81" t="str">
        <f>HYPERLINK("https://youtube.com/watch?v=BM_d3hRbnak", "《借錢來電 一招搞掂！》亂借錢，同條鹹魚有咩分別？")</f>
        <v>《借錢來電 一招搞掂！》亂借錢，同條鹹魚有咩分別？</v>
      </c>
      <c r="E2562" s="82">
        <v>43065.0</v>
      </c>
      <c r="F2562" s="80">
        <v>88.0</v>
      </c>
      <c r="G2562" s="80" t="s">
        <v>63</v>
      </c>
      <c r="I2562" s="80" t="s">
        <v>63</v>
      </c>
      <c r="J2562" s="80">
        <v>285.0</v>
      </c>
      <c r="K2562" s="80">
        <v>0.989583333333333</v>
      </c>
      <c r="L2562" s="80" t="s">
        <v>64</v>
      </c>
    </row>
    <row r="2563">
      <c r="A2563" s="80" t="s">
        <v>127</v>
      </c>
      <c r="B2563" s="81" t="str">
        <f>HYPERLINK("https://www.youtube.com/channel/UC97oYK3XMf9RLtkc0lO8C-Q", "健康旦 HiEggo")</f>
        <v>健康旦 HiEggo</v>
      </c>
      <c r="C2563" s="80" t="s">
        <v>2900</v>
      </c>
      <c r="D2563" s="81" t="str">
        <f>HYPERLINK("https://youtube.com/watch?v=BOcD44cY2WE", "許冠傑 2020 演唱會《同舟共濟》製作特輯 阿旦大爆當中最貴安排 ft 陳秋霞、梁詠琪、喬寶寶、車淑梅 - 鄭丹瑞《健康旦》（CC中文字幕）")</f>
        <v>許冠傑 2020 演唱會《同舟共濟》製作特輯 阿旦大爆當中最貴安排 ft 陳秋霞、梁詠琪、喬寶寶、車淑梅 - 鄭丹瑞《健康旦》（CC中文字幕）</v>
      </c>
      <c r="E2563" s="82">
        <v>43939.0</v>
      </c>
      <c r="F2563" s="80">
        <v>627.0</v>
      </c>
      <c r="G2563" s="80" t="s">
        <v>63</v>
      </c>
      <c r="I2563" s="80" t="s">
        <v>63</v>
      </c>
      <c r="J2563" s="80">
        <v>1196.0</v>
      </c>
      <c r="K2563" s="80">
        <v>0.845229681978798</v>
      </c>
      <c r="L2563" s="80" t="s">
        <v>64</v>
      </c>
    </row>
    <row r="2564">
      <c r="A2564" s="80" t="s">
        <v>1606</v>
      </c>
      <c r="B2564" s="81" t="str">
        <f>HYPERLINK("https://www.youtube.com/channel/UCk25FUc8pLiP3A6Zniknxbg", "希治閣【遊戲情報科】")</f>
        <v>希治閣【遊戲情報科】</v>
      </c>
      <c r="C2564" s="80" t="s">
        <v>2901</v>
      </c>
      <c r="D2564" s="81" t="str">
        <f>HYPERLINK("https://youtube.com/watch?v=BOethF3SWww", "【特別測試】MSI Geforce 3080 4k Gaming 體驗")</f>
        <v>【特別測試】MSI Geforce 3080 4k Gaming 體驗</v>
      </c>
      <c r="E2564" s="82">
        <v>44124.0</v>
      </c>
      <c r="F2564" s="80">
        <v>421.0</v>
      </c>
      <c r="G2564" s="80" t="s">
        <v>63</v>
      </c>
      <c r="I2564" s="80" t="s">
        <v>63</v>
      </c>
      <c r="J2564" s="80">
        <v>1708.0</v>
      </c>
      <c r="K2564" s="80">
        <v>0.732104586369481</v>
      </c>
      <c r="L2564" s="80" t="s">
        <v>64</v>
      </c>
    </row>
    <row r="2565">
      <c r="A2565" s="80" t="s">
        <v>98</v>
      </c>
      <c r="B2565" s="81" t="str">
        <f>HYPERLINK("https://www.youtube.com/channel/UCrquuQB6v1Ued2xyRKZreGQ", "Stephen Leung ")</f>
        <v>Stephen Leung </v>
      </c>
      <c r="C2565" s="80" t="s">
        <v>2902</v>
      </c>
      <c r="D2565" s="81" t="str">
        <f>HYPERLINK("https://youtube.com/watch?v=BQDmWW30YK4", "【香港美食】香港最長10小時 磨爛蓆😂 火鍋放題 食足三餐 一口價$298 任食 台式養生火鍋 鍋霸 | 吃喝玩樂  2021 香港好去處 4K Video")</f>
        <v>【香港美食】香港最長10小時 磨爛蓆😂 火鍋放題 食足三餐 一口價$298 任食 台式養生火鍋 鍋霸 | 吃喝玩樂  2021 香港好去處 4K Video</v>
      </c>
      <c r="E2565" s="82">
        <v>44484.0</v>
      </c>
      <c r="F2565" s="80">
        <v>719.0</v>
      </c>
      <c r="G2565" s="80" t="s">
        <v>63</v>
      </c>
      <c r="I2565" s="80" t="s">
        <v>63</v>
      </c>
      <c r="J2565" s="80">
        <v>1707.0</v>
      </c>
      <c r="K2565" s="80">
        <v>0.982728842832469</v>
      </c>
      <c r="L2565" s="80" t="s">
        <v>64</v>
      </c>
    </row>
    <row r="2566">
      <c r="A2566" s="80" t="s">
        <v>127</v>
      </c>
      <c r="B2566" s="81" t="str">
        <f t="shared" ref="B2566:B2569" si="127">HYPERLINK("https://www.youtube.com/channel/UC97oYK3XMf9RLtkc0lO8C-Q", "健康旦 HiEggo")</f>
        <v>健康旦 HiEggo</v>
      </c>
      <c r="C2566" s="80" t="s">
        <v>2903</v>
      </c>
      <c r="D2566" s="81" t="str">
        <f>HYPERLINK("https://youtube.com/watch?v=BRzaSjvKgY0", "肺炎以外仲有金黃葡萄球菌 洗衫反轉靠哂個太陽 - 鄭丹瑞《健康旦》趙汝威 Part 9")</f>
        <v>肺炎以外仲有金黃葡萄球菌 洗衫反轉靠哂個太陽 - 鄭丹瑞《健康旦》趙汝威 Part 9</v>
      </c>
      <c r="E2566" s="82">
        <v>43972.0</v>
      </c>
      <c r="F2566" s="80">
        <v>612.0</v>
      </c>
      <c r="G2566" s="80" t="s">
        <v>63</v>
      </c>
      <c r="I2566" s="80" t="s">
        <v>63</v>
      </c>
      <c r="J2566" s="80">
        <v>2515.0</v>
      </c>
      <c r="K2566" s="80">
        <v>0.998015873015873</v>
      </c>
      <c r="L2566" s="80" t="s">
        <v>64</v>
      </c>
    </row>
    <row r="2567">
      <c r="A2567" s="80" t="s">
        <v>127</v>
      </c>
      <c r="B2567" s="81" t="str">
        <f t="shared" si="127"/>
        <v>健康旦 HiEggo</v>
      </c>
      <c r="C2567" s="80" t="s">
        <v>2904</v>
      </c>
      <c r="D2567" s="81" t="str">
        <f>HYPERLINK("https://youtube.com/watch?v=BX1Yqqp1IiU", "中國傳統智慧 術數家蔣匡文博士 話你知端午節驅五毒習俗 - 鄭丹瑞《健康旦》蔣匡文 Part 1 (CC中文字幕)")</f>
        <v>中國傳統智慧 術數家蔣匡文博士 話你知端午節驅五毒習俗 - 鄭丹瑞《健康旦》蔣匡文 Part 1 (CC中文字幕)</v>
      </c>
      <c r="E2567" s="82">
        <v>43893.0</v>
      </c>
      <c r="F2567" s="80">
        <v>831.0</v>
      </c>
      <c r="G2567" s="80" t="s">
        <v>63</v>
      </c>
      <c r="I2567" s="80" t="s">
        <v>63</v>
      </c>
      <c r="J2567" s="80">
        <v>2793.0</v>
      </c>
      <c r="K2567" s="80">
        <v>0.986925795053003</v>
      </c>
      <c r="L2567" s="80" t="s">
        <v>102</v>
      </c>
    </row>
    <row r="2568">
      <c r="A2568" s="80" t="s">
        <v>127</v>
      </c>
      <c r="B2568" s="81" t="str">
        <f t="shared" si="127"/>
        <v>健康旦 HiEggo</v>
      </c>
      <c r="C2568" s="80" t="s">
        <v>2905</v>
      </c>
      <c r="D2568" s="81" t="str">
        <f>HYPERLINK("https://youtube.com/watch?v=BXULifcaB98", "慢煮食物最健康 切碎食物流失營養 煎炒食物易致癌  - 鄭丹瑞《健康旦》養和醫院高級營養師 #陳勁芝 Part 2 (CC中文字幕)")</f>
        <v>慢煮食物最健康 切碎食物流失營養 煎炒食物易致癌  - 鄭丹瑞《健康旦》養和醫院高級營養師 #陳勁芝 Part 2 (CC中文字幕)</v>
      </c>
      <c r="E2568" s="82">
        <v>44070.0</v>
      </c>
      <c r="F2568" s="80">
        <v>744.0</v>
      </c>
      <c r="G2568" s="80" t="s">
        <v>63</v>
      </c>
      <c r="I2568" s="80" t="s">
        <v>63</v>
      </c>
      <c r="J2568" s="80">
        <v>3225.0</v>
      </c>
      <c r="K2568" s="80">
        <v>0.988051470588235</v>
      </c>
      <c r="L2568" s="80" t="s">
        <v>2771</v>
      </c>
    </row>
    <row r="2569">
      <c r="A2569" s="80" t="s">
        <v>127</v>
      </c>
      <c r="B2569" s="81" t="str">
        <f t="shared" si="127"/>
        <v>健康旦 HiEggo</v>
      </c>
      <c r="C2569" s="80" t="s">
        <v>2906</v>
      </c>
      <c r="D2569" s="81" t="str">
        <f>HYPERLINK("https://youtube.com/watch?v=BXXB-EAlbg0", "幽門螺旋菌抑制肥胖 殺滅易致胃酸灼傷食道 益生菌勿拆開膠囊吸收 - 鄭丹瑞《健康旦》 #李維恩 博士 Part 21 (CC中文字幕)")</f>
        <v>幽門螺旋菌抑制肥胖 殺滅易致胃酸灼傷食道 益生菌勿拆開膠囊吸收 - 鄭丹瑞《健康旦》 #李維恩 博士 Part 21 (CC中文字幕)</v>
      </c>
      <c r="E2569" s="82">
        <v>44095.0</v>
      </c>
      <c r="F2569" s="80">
        <v>741.0</v>
      </c>
      <c r="G2569" s="80" t="s">
        <v>63</v>
      </c>
      <c r="I2569" s="80" t="s">
        <v>63</v>
      </c>
      <c r="J2569" s="80">
        <v>2406.0</v>
      </c>
      <c r="K2569" s="80">
        <v>0.962015193922431</v>
      </c>
      <c r="L2569" s="80" t="s">
        <v>2771</v>
      </c>
    </row>
    <row r="2570">
      <c r="A2570" s="80" t="s">
        <v>293</v>
      </c>
      <c r="B2570" s="81" t="str">
        <f>HYPERLINK("https://www.youtube.com/channel/UCXRcbXqjORdIvl63I7MtOLQ", "趁熱 Kerry 's kitchen")</f>
        <v>趁熱 Kerry 's kitchen</v>
      </c>
      <c r="C2570" s="80" t="s">
        <v>2907</v>
      </c>
      <c r="D2570" s="81" t="str">
        <f>HYPERLINK("https://youtube.com/watch?v=BYX2aS-nduI", "豉椒雞球煎米粉/簡單香脆米粉餅做法/茶記風味/簡單 家做/廣東話/中字")</f>
        <v>豉椒雞球煎米粉/簡單香脆米粉餅做法/茶記風味/簡單 家做/廣東話/中字</v>
      </c>
      <c r="E2570" s="82">
        <v>44442.0</v>
      </c>
      <c r="F2570" s="80">
        <v>763.0</v>
      </c>
      <c r="G2570" s="80" t="s">
        <v>63</v>
      </c>
      <c r="I2570" s="80" t="s">
        <v>63</v>
      </c>
      <c r="J2570" s="80">
        <v>1896.0</v>
      </c>
      <c r="K2570" s="80">
        <v>0.988014590932777</v>
      </c>
      <c r="L2570" s="80" t="s">
        <v>64</v>
      </c>
    </row>
    <row r="2571">
      <c r="A2571" s="80" t="s">
        <v>108</v>
      </c>
      <c r="B2571" s="81" t="str">
        <f>HYPERLINK("https://www.youtube.com/channel/UCZL6QN6Xs-ZrKY3y6Pv6Emg", "廢青 - 日賺3000")</f>
        <v>廢青 - 日賺3000</v>
      </c>
      <c r="C2571" s="80" t="s">
        <v>2908</v>
      </c>
      <c r="D2571" s="81" t="str">
        <f>HYPERLINK("https://youtube.com/watch?v=Bc3p15Mlvo0", "港股股災⚠️入市時機 ! 一年一次暴富機會 ! | EP65【廢青 日賺3000】【點CC看中文字幕】")</f>
        <v>港股股災⚠️入市時機 ! 一年一次暴富機會 ! | EP65【廢青 日賺3000】【點CC看中文字幕】</v>
      </c>
      <c r="E2571" s="82">
        <v>44406.0</v>
      </c>
      <c r="F2571" s="80">
        <v>644.0</v>
      </c>
      <c r="G2571" s="80" t="s">
        <v>63</v>
      </c>
      <c r="I2571" s="80" t="s">
        <v>63</v>
      </c>
      <c r="J2571" s="80">
        <v>2698.0</v>
      </c>
      <c r="K2571" s="80">
        <v>0.881411303495589</v>
      </c>
      <c r="L2571" s="80" t="s">
        <v>64</v>
      </c>
    </row>
    <row r="2572">
      <c r="A2572" s="80" t="s">
        <v>98</v>
      </c>
      <c r="B2572" s="81" t="str">
        <f>HYPERLINK("https://www.youtube.com/channel/UCrquuQB6v1Ued2xyRKZreGQ", "Stephen Leung ")</f>
        <v>Stephen Leung </v>
      </c>
      <c r="C2572" s="80" t="s">
        <v>2909</v>
      </c>
      <c r="D2572" s="81" t="str">
        <f>HYPERLINK("https://youtube.com/watch?v=Bc9HYusFWyk", "【吃喝玩樂】香港 鯉魚門 海鮮街 四款游水海鮮只收$xxx 香港最靚 海鮮 定劏客? 4大加工收費? 自費實測! 鯉魚門 快樂漁港酒家 | 2021 香港好去處 lei yue mun 消費券")</f>
        <v>【吃喝玩樂】香港 鯉魚門 海鮮街 四款游水海鮮只收$xxx 香港最靚 海鮮 定劏客? 4大加工收費? 自費實測! 鯉魚門 快樂漁港酒家 | 2021 香港好去處 lei yue mun 消費券</v>
      </c>
      <c r="E2572" s="82">
        <v>44439.0</v>
      </c>
      <c r="F2572" s="80">
        <v>973.0</v>
      </c>
      <c r="G2572" s="80" t="s">
        <v>63</v>
      </c>
      <c r="I2572" s="80" t="s">
        <v>63</v>
      </c>
      <c r="J2572" s="80">
        <v>2562.0</v>
      </c>
      <c r="K2572" s="80">
        <v>0.991102514506769</v>
      </c>
      <c r="L2572" s="80" t="s">
        <v>64</v>
      </c>
    </row>
    <row r="2573">
      <c r="A2573" s="80" t="s">
        <v>1260</v>
      </c>
      <c r="B2573" s="81" t="str">
        <f>HYPERLINK("https://www.youtube.com/channel/UCh1k4i86BpiXEO3nzJIYynw", "The Wave")</f>
        <v>The Wave</v>
      </c>
      <c r="C2573" s="80" t="s">
        <v>2910</v>
      </c>
      <c r="D2573" s="81" t="str">
        <f>HYPERLINK("https://youtube.com/watch?v=BdVFdewwCAM", "TheWave | Xperia 1 II 原廠手機套連底座 開箱 | 最有質感嘅手機套 8K CC全字幕")</f>
        <v>TheWave | Xperia 1 II 原廠手機套連底座 開箱 | 最有質感嘅手機套 8K CC全字幕</v>
      </c>
      <c r="E2573" s="82">
        <v>44059.0</v>
      </c>
      <c r="F2573" s="80">
        <v>79.0</v>
      </c>
      <c r="G2573" s="80" t="s">
        <v>63</v>
      </c>
      <c r="H2573" s="80" t="s">
        <v>63</v>
      </c>
      <c r="I2573" s="80" t="s">
        <v>63</v>
      </c>
      <c r="J2573" s="80">
        <v>214.0</v>
      </c>
      <c r="K2573" s="80">
        <v>0.880658436213991</v>
      </c>
      <c r="L2573" s="80" t="s">
        <v>1634</v>
      </c>
    </row>
    <row r="2574">
      <c r="A2574" s="80" t="s">
        <v>2041</v>
      </c>
      <c r="B2574" s="81" t="str">
        <f>HYPERLINK("https://www.youtube.com/channel/UCO6pB-ZN4XJ6MVkibvuEe0A", "SingSingTracker 星昇財經指標")</f>
        <v>SingSingTracker 星昇財經指標</v>
      </c>
      <c r="C2574" s="80" t="s">
        <v>2911</v>
      </c>
      <c r="D2574" s="81" t="str">
        <f>HYPERLINK("https://youtube.com/watch?v=Be6lSbc5dv0", "【譚仔上市之路❓】 譚仔賺幾多？【點CC中文字幕】 #譚仔上市 #譚仔 #FWCChannel")</f>
        <v>【譚仔上市之路❓】 譚仔賺幾多？【點CC中文字幕】 #譚仔上市 #譚仔 #FWCChannel</v>
      </c>
      <c r="E2574" s="82">
        <v>44320.0</v>
      </c>
      <c r="F2574" s="80">
        <v>264.0</v>
      </c>
      <c r="G2574" s="80" t="s">
        <v>63</v>
      </c>
      <c r="I2574" s="80" t="s">
        <v>63</v>
      </c>
      <c r="J2574" s="80">
        <v>913.0</v>
      </c>
      <c r="K2574" s="80">
        <v>0.909362549800796</v>
      </c>
      <c r="L2574" s="80" t="s">
        <v>64</v>
      </c>
    </row>
    <row r="2575">
      <c r="A2575" s="80" t="s">
        <v>84</v>
      </c>
      <c r="B2575" s="81" t="str">
        <f>HYPERLINK("https://www.youtube.com/channel/UCs6fW24aVjefTsognevmDnA", "PakTil 拍跳")</f>
        <v>PakTil 拍跳</v>
      </c>
      <c r="C2575" s="80" t="s">
        <v>2912</v>
      </c>
      <c r="D2575" s="81" t="str">
        <f>HYPERLINK("https://youtube.com/watch?v=Be82OMXIino", "【拍跳短跑】健身少女飛虹 舉啞鈴勁過男人？")</f>
        <v>【拍跳短跑】健身少女飛虹 舉啞鈴勁過男人？</v>
      </c>
      <c r="E2575" s="82">
        <v>44056.0</v>
      </c>
      <c r="F2575" s="80">
        <v>36.0</v>
      </c>
      <c r="G2575" s="80" t="s">
        <v>63</v>
      </c>
      <c r="I2575" s="80" t="s">
        <v>63</v>
      </c>
      <c r="J2575" s="80">
        <v>41.0</v>
      </c>
      <c r="K2575" s="80">
        <v>0.836734693877551</v>
      </c>
      <c r="L2575" s="80" t="s">
        <v>86</v>
      </c>
    </row>
    <row r="2576">
      <c r="A2576" s="80" t="s">
        <v>248</v>
      </c>
      <c r="B2576" s="81" t="str">
        <f>HYPERLINK("https://www.youtube.com/channel/UCUEJok-GiWaGlv5nIPwk-GQ", "Price.com.hk 香港格價網")</f>
        <v>Price.com.hk 香港格價網</v>
      </c>
      <c r="C2576" s="80" t="s">
        <v>2913</v>
      </c>
      <c r="D2576" s="81" t="str">
        <f>HYPERLINK("https://youtube.com/watch?v=BhAqwF39O_k", "電競滑鼠6大選購要點 ASUS ROG Gladius III / Keris Gaming Mouse評測｜特約專題【Price.com.hk產品實測】")</f>
        <v>電競滑鼠6大選購要點 ASUS ROG Gladius III / Keris Gaming Mouse評測｜特約專題【Price.com.hk產品實測】</v>
      </c>
      <c r="E2576" s="82">
        <v>44333.0</v>
      </c>
      <c r="F2576" s="80">
        <v>358.0</v>
      </c>
      <c r="G2576" s="80" t="s">
        <v>63</v>
      </c>
      <c r="I2576" s="80" t="s">
        <v>63</v>
      </c>
      <c r="J2576" s="80">
        <v>1142.0</v>
      </c>
      <c r="K2576" s="80">
        <v>0.72692552514322</v>
      </c>
      <c r="L2576" s="80" t="s">
        <v>64</v>
      </c>
    </row>
    <row r="2577">
      <c r="A2577" s="80" t="s">
        <v>124</v>
      </c>
      <c r="B2577" s="81" t="str">
        <f>HYPERLINK("https://www.youtube.com/channel/UCg0vuSE0fBF_NvodyYhMcWg", "Wallace Studio HK")</f>
        <v>Wallace Studio HK</v>
      </c>
      <c r="C2577" s="80" t="s">
        <v>2914</v>
      </c>
      <c r="D2577" s="81" t="str">
        <f>HYPERLINK("https://youtube.com/watch?v=BibtuK_hgDM", "[效能測試] Lenovo Legion 7 頂配R95900HX , RTX3080 16gb (165W) 遊戲表現測試!!!(VS AORUS 15P YD RTX3080 130W 8gb)")</f>
        <v>[效能測試] Lenovo Legion 7 頂配R95900HX , RTX3080 16gb (165W) 遊戲表現測試!!!(VS AORUS 15P YD RTX3080 130W 8gb)</v>
      </c>
      <c r="E2577" s="82">
        <v>44379.0</v>
      </c>
      <c r="F2577" s="80">
        <v>258.0</v>
      </c>
      <c r="G2577" s="80" t="s">
        <v>63</v>
      </c>
      <c r="H2577" s="80" t="s">
        <v>63</v>
      </c>
      <c r="I2577" s="80" t="s">
        <v>63</v>
      </c>
      <c r="J2577" s="80">
        <v>732.0</v>
      </c>
      <c r="K2577" s="80">
        <v>0.6431718061674</v>
      </c>
      <c r="L2577" s="80" t="s">
        <v>86</v>
      </c>
    </row>
    <row r="2578">
      <c r="A2578" s="80" t="s">
        <v>248</v>
      </c>
      <c r="B2578" s="81" t="str">
        <f>HYPERLINK("https://www.youtube.com/channel/UCUEJok-GiWaGlv5nIPwk-GQ", "Price.com.hk 香港格價網")</f>
        <v>Price.com.hk 香港格價網</v>
      </c>
      <c r="C2578" s="80" t="s">
        <v>2915</v>
      </c>
      <c r="D2578" s="81" t="str">
        <f>HYPERLINK("https://youtube.com/watch?v=BlppmMW2fyU", "iPad mini 「啫喱芒」屬正常現象？歐盟規定手機統一用Type-C！Xbox主機支援Dolby Vision遊戲 | 廣東話【Price Weekly #82 2021年10月】")</f>
        <v>iPad mini 「啫喱芒」屬正常現象？歐盟規定手機統一用Type-C！Xbox主機支援Dolby Vision遊戲 | 廣東話【Price Weekly #82 2021年10月】</v>
      </c>
      <c r="E2578" s="82">
        <v>44471.0</v>
      </c>
      <c r="F2578" s="80">
        <v>581.0</v>
      </c>
      <c r="G2578" s="80" t="s">
        <v>63</v>
      </c>
      <c r="I2578" s="80" t="s">
        <v>63</v>
      </c>
      <c r="J2578" s="80">
        <v>1865.0</v>
      </c>
      <c r="K2578" s="80">
        <v>0.691509084167593</v>
      </c>
      <c r="L2578" s="80" t="s">
        <v>64</v>
      </c>
    </row>
    <row r="2579">
      <c r="A2579" s="80" t="s">
        <v>127</v>
      </c>
      <c r="B2579" s="81" t="str">
        <f>HYPERLINK("https://www.youtube.com/channel/UC97oYK3XMf9RLtkc0lO8C-Q", "健康旦 HiEggo")</f>
        <v>健康旦 HiEggo</v>
      </c>
      <c r="C2579" s="80" t="s">
        <v>2916</v>
      </c>
      <c r="D2579" s="81" t="str">
        <f>HYPERLINK("https://youtube.com/watch?v=BnYCC1NDAIA", "郭富城 2020 演唱會《鼓舞・動起來》製作特輯 御用排舞師 Sunny Wong 親述排練難處 - 鄭丹瑞《健康旦》（CC中文字幕）")</f>
        <v>郭富城 2020 演唱會《鼓舞・動起來》製作特輯 御用排舞師 Sunny Wong 親述排練難處 - 鄭丹瑞《健康旦》（CC中文字幕）</v>
      </c>
      <c r="E2579" s="82">
        <v>43966.0</v>
      </c>
      <c r="F2579" s="80">
        <v>726.0</v>
      </c>
      <c r="G2579" s="80" t="s">
        <v>63</v>
      </c>
      <c r="I2579" s="80" t="s">
        <v>63</v>
      </c>
      <c r="J2579" s="80">
        <v>1866.0</v>
      </c>
      <c r="K2579" s="80">
        <v>0.862292051756007</v>
      </c>
      <c r="L2579" s="80" t="s">
        <v>64</v>
      </c>
    </row>
    <row r="2580">
      <c r="A2580" s="80" t="s">
        <v>1260</v>
      </c>
      <c r="B2580" s="81" t="str">
        <f>HYPERLINK("https://www.youtube.com/channel/UCh1k4i86BpiXEO3nzJIYynw", "The Wave")</f>
        <v>The Wave</v>
      </c>
      <c r="C2580" s="80" t="s">
        <v>2917</v>
      </c>
      <c r="D2580" s="81" t="str">
        <f>HYPERLINK("https://youtube.com/watch?v=BnasDqGFcFg", "TheWave | Sony WCH20 高速充電器開箱+測試 【CC字幕建議】")</f>
        <v>TheWave | Sony WCH20 高速充電器開箱+測試 【CC字幕建議】</v>
      </c>
      <c r="E2580" s="82">
        <v>43185.0</v>
      </c>
      <c r="F2580" s="80">
        <v>404.0</v>
      </c>
      <c r="G2580" s="80" t="s">
        <v>63</v>
      </c>
      <c r="H2580" s="80" t="s">
        <v>63</v>
      </c>
      <c r="I2580" s="80" t="s">
        <v>63</v>
      </c>
      <c r="J2580" s="80">
        <v>831.0</v>
      </c>
      <c r="K2580" s="80">
        <v>0.813817330210772</v>
      </c>
      <c r="L2580" s="80" t="s">
        <v>120</v>
      </c>
    </row>
    <row r="2581">
      <c r="A2581" s="80" t="s">
        <v>2041</v>
      </c>
      <c r="B2581" s="81" t="str">
        <f>HYPERLINK("https://www.youtube.com/channel/UCO6pB-ZN4XJ6MVkibvuEe0A", "SingSingTracker 星昇財經指標")</f>
        <v>SingSingTracker 星昇財經指標</v>
      </c>
      <c r="C2581" s="80" t="s">
        <v>2918</v>
      </c>
      <c r="D2581" s="81" t="str">
        <f>HYPERLINK("https://youtube.com/watch?v=Bp9I0M-7IfE", "【第一次用富途牛牛，我開戶了！】富途牛牛教學【點CC中文字幕】")</f>
        <v>【第一次用富途牛牛，我開戶了！】富途牛牛教學【點CC中文字幕】</v>
      </c>
      <c r="E2581" s="82">
        <v>44259.0</v>
      </c>
      <c r="F2581" s="80">
        <v>344.0</v>
      </c>
      <c r="G2581" s="80" t="s">
        <v>63</v>
      </c>
      <c r="I2581" s="80" t="s">
        <v>63</v>
      </c>
      <c r="J2581" s="80">
        <v>1316.0</v>
      </c>
      <c r="K2581" s="80">
        <v>0.887989203778677</v>
      </c>
      <c r="L2581" s="80" t="s">
        <v>64</v>
      </c>
    </row>
    <row r="2582">
      <c r="A2582" s="80" t="s">
        <v>127</v>
      </c>
      <c r="B2582" s="81" t="str">
        <f>HYPERLINK("https://www.youtube.com/channel/UC97oYK3XMf9RLtkc0lO8C-Q", "健康旦 HiEggo")</f>
        <v>健康旦 HiEggo</v>
      </c>
      <c r="C2582" s="80" t="s">
        <v>2919</v>
      </c>
      <c r="D2582" s="81" t="str">
        <f>HYPERLINK("https://youtube.com/watch?v=BptUPJIPeS4", "阿旦細女鄭珉跳鋼管舞太震撼！三父女齊齊傾 細女仲教你屋企玩瑜伽 - 鄭丹瑞 旦Vlog")</f>
        <v>阿旦細女鄭珉跳鋼管舞太震撼！三父女齊齊傾 細女仲教你屋企玩瑜伽 - 鄭丹瑞 旦Vlog</v>
      </c>
      <c r="E2582" s="82">
        <v>43913.0</v>
      </c>
      <c r="F2582" s="80">
        <v>709.0</v>
      </c>
      <c r="G2582" s="80" t="s">
        <v>63</v>
      </c>
      <c r="I2582" s="80" t="s">
        <v>63</v>
      </c>
      <c r="J2582" s="80">
        <v>2384.0</v>
      </c>
      <c r="K2582" s="80">
        <v>0.975849365534179</v>
      </c>
      <c r="L2582" s="80" t="s">
        <v>102</v>
      </c>
    </row>
    <row r="2583">
      <c r="A2583" s="80" t="s">
        <v>1260</v>
      </c>
      <c r="B2583" s="81" t="str">
        <f>HYPERLINK("https://www.youtube.com/channel/UCh1k4i86BpiXEO3nzJIYynw", "The Wave")</f>
        <v>The Wave</v>
      </c>
      <c r="C2583" s="80" t="s">
        <v>2920</v>
      </c>
      <c r="D2583" s="81" t="str">
        <f>HYPERLINK("https://youtube.com/watch?v=Bqz56NympzI", "TheWave | 如何製作動畫影片 [超簡化版]")</f>
        <v>TheWave | 如何製作動畫影片 [超簡化版]</v>
      </c>
      <c r="E2583" s="82">
        <v>43831.0</v>
      </c>
      <c r="F2583" s="80">
        <v>176.0</v>
      </c>
      <c r="G2583" s="80" t="s">
        <v>63</v>
      </c>
      <c r="H2583" s="80" t="s">
        <v>63</v>
      </c>
      <c r="I2583" s="80" t="s">
        <v>63</v>
      </c>
      <c r="J2583" s="80">
        <v>653.0</v>
      </c>
      <c r="K2583" s="80">
        <v>0.807740324594257</v>
      </c>
      <c r="L2583" s="80" t="s">
        <v>1634</v>
      </c>
    </row>
    <row r="2584">
      <c r="A2584" s="80" t="s">
        <v>127</v>
      </c>
      <c r="B2584" s="81" t="str">
        <f t="shared" ref="B2584:B2585" si="128">HYPERLINK("https://www.youtube.com/channel/UC97oYK3XMf9RLtkc0lO8C-Q", "健康旦 HiEggo")</f>
        <v>健康旦 HiEggo</v>
      </c>
      <c r="C2584" s="80" t="s">
        <v>2921</v>
      </c>
      <c r="D2584" s="81" t="str">
        <f>HYPERLINK("https://youtube.com/watch?v=BsGAAf_3U70", "陳慧儀簡易測試各大清潔用品 平價番梘反而有好嘢- 鄭丹瑞《健康旦》陳慧儀 Part 3（CC中文字幕）")</f>
        <v>陳慧儀簡易測試各大清潔用品 平價番梘反而有好嘢- 鄭丹瑞《健康旦》陳慧儀 Part 3（CC中文字幕）</v>
      </c>
      <c r="E2584" s="82">
        <v>43947.0</v>
      </c>
      <c r="F2584" s="80">
        <v>611.0</v>
      </c>
      <c r="G2584" s="80" t="s">
        <v>63</v>
      </c>
      <c r="I2584" s="80" t="s">
        <v>63</v>
      </c>
      <c r="J2584" s="80">
        <v>2340.0</v>
      </c>
      <c r="K2584" s="80">
        <v>0.972164520149563</v>
      </c>
      <c r="L2584" s="80" t="s">
        <v>64</v>
      </c>
    </row>
    <row r="2585">
      <c r="A2585" s="80" t="s">
        <v>127</v>
      </c>
      <c r="B2585" s="81" t="str">
        <f t="shared" si="128"/>
        <v>健康旦 HiEggo</v>
      </c>
      <c r="C2585" s="80" t="s">
        <v>2922</v>
      </c>
      <c r="D2585" s="81" t="str">
        <f>HYPERLINK("https://youtube.com/watch?v=BxCtUad_rd4", "缺少溝通為成因 香港撒瑪利亞會耐心聆聽 熱線最怕聽到風聲 - 鄭丹瑞《健康旦》#撒瑪利亞會 Part 1 (CC中文字幕)")</f>
        <v>缺少溝通為成因 香港撒瑪利亞會耐心聆聽 熱線最怕聽到風聲 - 鄭丹瑞《健康旦》#撒瑪利亞會 Part 1 (CC中文字幕)</v>
      </c>
      <c r="E2585" s="82">
        <v>44059.0</v>
      </c>
      <c r="F2585" s="80">
        <v>733.0</v>
      </c>
      <c r="G2585" s="80" t="s">
        <v>63</v>
      </c>
      <c r="I2585" s="80" t="s">
        <v>63</v>
      </c>
      <c r="J2585" s="80">
        <v>2846.0</v>
      </c>
      <c r="K2585" s="80">
        <v>0.972658920027341</v>
      </c>
      <c r="L2585" s="80" t="s">
        <v>2771</v>
      </c>
    </row>
    <row r="2586">
      <c r="A2586" s="80" t="s">
        <v>2764</v>
      </c>
      <c r="B2586" s="81" t="str">
        <f>HYPERLINK("https://www.youtube.com/channel/UCejZUW4khvxoA4uL2Afz20g", "Housik Laanfei 好食懶飛")</f>
        <v>Housik Laanfei 好食懶飛</v>
      </c>
      <c r="C2586" s="80" t="s">
        <v>2923</v>
      </c>
      <c r="D2586" s="81" t="str">
        <f>HYPERLINK("https://youtube.com/watch?v=C1aQt6uaq9M", "[肥肥喇] 麻藥粟米 | CC: 廣東話/繁中/ENG SUB | COOKING VLOG")</f>
        <v>[肥肥喇] 麻藥粟米 | CC: 廣東話/繁中/ENG SUB | COOKING VLOG</v>
      </c>
      <c r="E2586" s="82">
        <v>44196.0</v>
      </c>
      <c r="F2586" s="80">
        <v>167.0</v>
      </c>
      <c r="G2586" s="80" t="s">
        <v>63</v>
      </c>
      <c r="H2586" s="80" t="s">
        <v>63</v>
      </c>
      <c r="I2586" s="80" t="s">
        <v>63</v>
      </c>
      <c r="J2586" s="80">
        <v>94.0</v>
      </c>
      <c r="K2586" s="80">
        <v>0.969072164948453</v>
      </c>
      <c r="L2586" s="80" t="s">
        <v>80</v>
      </c>
    </row>
    <row r="2587">
      <c r="A2587" s="80" t="s">
        <v>293</v>
      </c>
      <c r="B2587" s="81" t="str">
        <f>HYPERLINK("https://www.youtube.com/channel/UCXRcbXqjORdIvl63I7MtOLQ", "趁熱 Kerry 's kitchen")</f>
        <v>趁熱 Kerry 's kitchen</v>
      </c>
      <c r="C2587" s="80" t="s">
        <v>2924</v>
      </c>
      <c r="D2587" s="81" t="str">
        <f>HYPERLINK("https://youtube.com/watch?v=C7e8aAlS-fk", "炸 雞腿/平底鑊炸子雞肶/少油/不用炸/簡單 家做/新手 入門/粵語/中字/pan-fried chicken/cc subtitle")</f>
        <v>炸 雞腿/平底鑊炸子雞肶/少油/不用炸/簡單 家做/新手 入門/粵語/中字/pan-fried chicken/cc subtitle</v>
      </c>
      <c r="E2587" s="82">
        <v>44309.0</v>
      </c>
      <c r="F2587" s="80">
        <v>541.0</v>
      </c>
      <c r="G2587" s="80" t="s">
        <v>63</v>
      </c>
      <c r="I2587" s="80" t="s">
        <v>63</v>
      </c>
      <c r="J2587" s="80">
        <v>1421.0</v>
      </c>
      <c r="K2587" s="80">
        <v>0.977303988995873</v>
      </c>
      <c r="L2587" s="80" t="s">
        <v>64</v>
      </c>
    </row>
    <row r="2588">
      <c r="A2588" s="80" t="s">
        <v>238</v>
      </c>
      <c r="B2588" s="81" t="str">
        <f>HYPERLINK("https://www.youtube.com/channel/UCSBkm4LwpgBmcA3MCtO8vqg", "Post76影音玩樂")</f>
        <v>Post76影音玩樂</v>
      </c>
      <c r="C2588" s="80" t="s">
        <v>2925</v>
      </c>
      <c r="D2588" s="81" t="str">
        <f>HYPERLINK("https://youtube.com/watch?v=C9ekOm2KRF8", "55"" 都可嘆 Mini LED 8K畫質！？ Samsung QN700A Neo QLED 8K智能電視評測（附設cc字幕）【電視評測】")</f>
        <v>55" 都可嘆 Mini LED 8K畫質！？ Samsung QN700A Neo QLED 8K智能電視評測（附設cc字幕）【電視評測】</v>
      </c>
      <c r="E2588" s="82">
        <v>44559.0</v>
      </c>
      <c r="F2588" s="80">
        <v>1142.0</v>
      </c>
      <c r="G2588" s="80" t="s">
        <v>63</v>
      </c>
      <c r="H2588" s="80" t="s">
        <v>63</v>
      </c>
      <c r="I2588" s="80" t="s">
        <v>63</v>
      </c>
      <c r="J2588" s="80">
        <v>4252.0</v>
      </c>
      <c r="K2588" s="80">
        <v>0.859684593610998</v>
      </c>
      <c r="L2588" s="80" t="s">
        <v>240</v>
      </c>
    </row>
    <row r="2589">
      <c r="A2589" s="80" t="s">
        <v>2926</v>
      </c>
      <c r="B2589" s="81" t="str">
        <f>HYPERLINK("https://www.youtube.com/channel/UCgJoYo1q9vX1SfS3VgH_2BA", "Alba 袋鼠妹🦘")</f>
        <v>Alba 袋鼠妹🦘</v>
      </c>
      <c r="C2589" s="80" t="s">
        <v>2927</v>
      </c>
      <c r="D2589" s="81" t="str">
        <f>HYPERLINK("https://youtube.com/watch?v=CIpHbVBKSAE", "【袋鼠妹🦘】電單車外賣妹 | Deliveroo半價優惠做到冧晒檔😱 | #hohojo?!｜全區車手集結喺同一餐廳 | 一個外賣要等兩粒鐘？！😭 | 接GOGOx單又係送嘢食？！")</f>
        <v>【袋鼠妹🦘】電單車外賣妹 | Deliveroo半價優惠做到冧晒檔😱 | #hohojo?!｜全區車手集結喺同一餐廳 | 一個外賣要等兩粒鐘？！😭 | 接GOGOx單又係送嘢食？！</v>
      </c>
      <c r="E2589" s="82">
        <v>44388.0</v>
      </c>
      <c r="F2589" s="80">
        <v>432.0</v>
      </c>
      <c r="G2589" s="80" t="s">
        <v>63</v>
      </c>
      <c r="I2589" s="80" t="s">
        <v>63</v>
      </c>
      <c r="J2589" s="80">
        <v>1487.0</v>
      </c>
      <c r="K2589" s="80">
        <v>0.882492581602373</v>
      </c>
      <c r="L2589" s="80" t="s">
        <v>64</v>
      </c>
    </row>
    <row r="2590">
      <c r="A2590" s="80" t="s">
        <v>248</v>
      </c>
      <c r="B2590" s="81" t="str">
        <f>HYPERLINK("https://www.youtube.com/channel/UCUEJok-GiWaGlv5nIPwk-GQ", "Price.com.hk 香港格價網")</f>
        <v>Price.com.hk 香港格價網</v>
      </c>
      <c r="C2590" s="80" t="s">
        <v>2928</v>
      </c>
      <c r="D2590" s="81" t="str">
        <f>HYPERLINK("https://youtube.com/watch?v=CKfjqCM6Ci4", "讀寫速度相差5倍咁多?! $1,000以下1TB Portable SSD讀寫、剪片執相實試｜5大品牌Portable SSD一一試清楚｜廣東話【Price.com.hk產品比較】")</f>
        <v>讀寫速度相差5倍咁多?! $1,000以下1TB Portable SSD讀寫、剪片執相實試｜5大品牌Portable SSD一一試清楚｜廣東話【Price.com.hk產品比較】</v>
      </c>
      <c r="E2590" s="82">
        <v>44229.0</v>
      </c>
      <c r="F2590" s="80">
        <v>678.0</v>
      </c>
      <c r="G2590" s="80" t="s">
        <v>63</v>
      </c>
      <c r="I2590" s="80" t="s">
        <v>63</v>
      </c>
      <c r="J2590" s="80">
        <v>2093.0</v>
      </c>
      <c r="K2590" s="80">
        <v>0.630042143287176</v>
      </c>
      <c r="L2590" s="80" t="s">
        <v>64</v>
      </c>
    </row>
    <row r="2591">
      <c r="A2591" s="80" t="s">
        <v>1260</v>
      </c>
      <c r="B2591" s="81" t="str">
        <f>HYPERLINK("https://www.youtube.com/channel/UCh1k4i86BpiXEO3nzJIYynw", "The Wave")</f>
        <v>The Wave</v>
      </c>
      <c r="C2591" s="80" t="s">
        <v>2929</v>
      </c>
      <c r="D2591" s="81" t="str">
        <f>HYPERLINK("https://youtube.com/watch?v=CLBaRd85ZIg", "TheWave | Sony Xperia XZ1 Compact 開箱")</f>
        <v>TheWave | Sony Xperia XZ1 Compact 開箱</v>
      </c>
      <c r="E2591" s="82">
        <v>42999.0</v>
      </c>
      <c r="F2591" s="80">
        <v>106.0</v>
      </c>
      <c r="G2591" s="80" t="s">
        <v>63</v>
      </c>
      <c r="H2591" s="80" t="s">
        <v>63</v>
      </c>
      <c r="I2591" s="80" t="s">
        <v>63</v>
      </c>
      <c r="J2591" s="80">
        <v>276.0</v>
      </c>
      <c r="K2591" s="80">
        <v>0.675840978593272</v>
      </c>
      <c r="L2591" s="80" t="s">
        <v>80</v>
      </c>
    </row>
    <row r="2592">
      <c r="A2592" s="80" t="s">
        <v>124</v>
      </c>
      <c r="B2592" s="81" t="str">
        <f>HYPERLINK("https://www.youtube.com/channel/UCg0vuSE0fBF_NvodyYhMcWg", "Wallace Studio HK")</f>
        <v>Wallace Studio HK</v>
      </c>
      <c r="C2592" s="80" t="s">
        <v>2930</v>
      </c>
      <c r="D2592" s="81" t="str">
        <f>HYPERLINK("https://youtube.com/watch?v=COM01klGhWM", "[更新及使用教學]Galaxy Tab S7+ OneUI3.1 更新，方便左幾多?")</f>
        <v>[更新及使用教學]Galaxy Tab S7+ OneUI3.1 更新，方便左幾多?</v>
      </c>
      <c r="E2592" s="82">
        <v>44314.0</v>
      </c>
      <c r="F2592" s="80">
        <v>435.0</v>
      </c>
      <c r="G2592" s="80" t="s">
        <v>63</v>
      </c>
      <c r="H2592" s="80" t="s">
        <v>63</v>
      </c>
      <c r="I2592" s="80" t="s">
        <v>63</v>
      </c>
      <c r="J2592" s="80">
        <v>1759.0</v>
      </c>
      <c r="K2592" s="80">
        <v>0.7559088955737</v>
      </c>
      <c r="L2592" s="80" t="s">
        <v>86</v>
      </c>
    </row>
    <row r="2593">
      <c r="A2593" s="80" t="s">
        <v>2829</v>
      </c>
      <c r="B2593" s="81" t="str">
        <f>HYPERLINK("https://www.youtube.com/channel/UC7GnES6AEQlDzaP04UqtyjA", "SOLID IDEA")</f>
        <v>SOLID IDEA</v>
      </c>
      <c r="C2593" s="80" t="s">
        <v>2931</v>
      </c>
      <c r="D2593" s="81" t="str">
        <f>HYPERLINK("https://youtube.com/watch?v=COcnRy8Pgss", "[#實境拍攝] #名城 #4房大單位 #歐式 (CC中文字幕)")</f>
        <v>[#實境拍攝] #名城 #4房大單位 #歐式 (CC中文字幕)</v>
      </c>
      <c r="E2593" s="82">
        <v>44103.0</v>
      </c>
      <c r="F2593" s="80">
        <v>178.0</v>
      </c>
      <c r="G2593" s="80" t="s">
        <v>63</v>
      </c>
      <c r="I2593" s="80" t="s">
        <v>63</v>
      </c>
      <c r="J2593" s="80">
        <v>728.0</v>
      </c>
      <c r="K2593" s="80">
        <v>0.955380577427821</v>
      </c>
      <c r="L2593" s="80" t="s">
        <v>64</v>
      </c>
    </row>
    <row r="2594">
      <c r="A2594" s="80" t="s">
        <v>1987</v>
      </c>
      <c r="B2594" s="81" t="str">
        <f>HYPERLINK("https://www.youtube.com/channel/UCgGUmm04nVyj-ftaCxVcyBg", "MangoHK大馬獅家")</f>
        <v>MangoHK大馬獅家</v>
      </c>
      <c r="C2594" s="80" t="s">
        <v>2932</v>
      </c>
      <c r="D2594" s="81" t="str">
        <f>HYPERLINK("https://youtube.com/watch?v=CPYXYTrCOXU", "【57】🦑魷魚遊戲吉隆坡🎪雙威人流爆滿 {字幕} Subtitled | Malaysia Sunway Pyramid Squid Game Run | Malaysia Vlog | mm2h")</f>
        <v>【57】🦑魷魚遊戲吉隆坡🎪雙威人流爆滿 {字幕} Subtitled | Malaysia Sunway Pyramid Squid Game Run | Malaysia Vlog | mm2h</v>
      </c>
      <c r="E2594" s="82">
        <v>44484.0</v>
      </c>
      <c r="F2594" s="80">
        <v>690.0</v>
      </c>
      <c r="G2594" s="80" t="s">
        <v>63</v>
      </c>
      <c r="I2594" s="80" t="s">
        <v>63</v>
      </c>
      <c r="J2594" s="80">
        <v>1544.0</v>
      </c>
      <c r="K2594" s="80">
        <v>0.931242460796139</v>
      </c>
      <c r="L2594" s="80" t="s">
        <v>896</v>
      </c>
    </row>
    <row r="2595">
      <c r="A2595" s="80" t="s">
        <v>127</v>
      </c>
      <c r="B2595" s="81" t="str">
        <f>HYPERLINK("https://www.youtube.com/channel/UC97oYK3XMf9RLtkc0lO8C-Q", "健康旦 HiEggo")</f>
        <v>健康旦 HiEggo</v>
      </c>
      <c r="C2595" s="80" t="s">
        <v>2933</v>
      </c>
      <c r="D2595" s="81" t="str">
        <f>HYPERLINK("https://youtube.com/watch?v=CSsfsKDxYCQ", "長者鼻鼾因頸肌鬆弛 失眠應改變睡眠衛生習慣 藍光激走褪黑色素 - 鄭丹瑞《健康旦》養和醫院呼吸系統科專科醫生 #林頌眉 Part 1 (CC中文字幕)")</f>
        <v>長者鼻鼾因頸肌鬆弛 失眠應改變睡眠衛生習慣 藍光激走褪黑色素 - 鄭丹瑞《健康旦》養和醫院呼吸系統科專科醫生 #林頌眉 Part 1 (CC中文字幕)</v>
      </c>
      <c r="E2595" s="82">
        <v>44053.0</v>
      </c>
      <c r="F2595" s="80">
        <v>751.0</v>
      </c>
      <c r="G2595" s="80" t="s">
        <v>63</v>
      </c>
      <c r="I2595" s="80" t="s">
        <v>63</v>
      </c>
      <c r="J2595" s="80">
        <v>3564.0</v>
      </c>
      <c r="K2595" s="80">
        <v>0.98917568692756</v>
      </c>
      <c r="L2595" s="80" t="s">
        <v>2771</v>
      </c>
    </row>
    <row r="2596">
      <c r="A2596" s="80" t="s">
        <v>84</v>
      </c>
      <c r="B2596" s="81" t="str">
        <f>HYPERLINK("https://www.youtube.com/channel/UCs6fW24aVjefTsognevmDnA", "PakTil 拍跳")</f>
        <v>PakTil 拍跳</v>
      </c>
      <c r="C2596" s="80" t="s">
        <v>2934</v>
      </c>
      <c r="D2596" s="81" t="str">
        <f>HYPERLINK("https://youtube.com/watch?v=CVRatOU__AA", "【拍跳抽水站】林鍾百萬元之戰網民心聲：打啦！你哋！好悶呀！")</f>
        <v>【拍跳抽水站】林鍾百萬元之戰網民心聲：打啦！你哋！好悶呀！</v>
      </c>
      <c r="E2596" s="82">
        <v>44254.0</v>
      </c>
      <c r="F2596" s="80">
        <v>88.0</v>
      </c>
      <c r="G2596" s="80" t="s">
        <v>63</v>
      </c>
      <c r="I2596" s="80" t="s">
        <v>63</v>
      </c>
      <c r="J2596" s="80">
        <v>111.0</v>
      </c>
      <c r="K2596" s="80">
        <v>0.2</v>
      </c>
      <c r="L2596" s="80" t="s">
        <v>745</v>
      </c>
    </row>
    <row r="2597">
      <c r="A2597" s="80" t="s">
        <v>2935</v>
      </c>
      <c r="B2597" s="81" t="str">
        <f>HYPERLINK("https://www.youtube.com/channel/UC4zLFvnyN0zLbeqV5Xqh0sQ", "腦控")</f>
        <v>腦控</v>
      </c>
      <c r="C2597" s="80" t="s">
        <v>2936</v>
      </c>
      <c r="D2597" s="81" t="str">
        <f>HYPERLINK("https://youtube.com/watch?v=CW7tx3UUYEg", "極限Cyberpunk 2077電腦組裝大賽-賽前預告 (CC中字)")</f>
        <v>極限Cyberpunk 2077電腦組裝大賽-賽前預告 (CC中字)</v>
      </c>
      <c r="E2597" s="82">
        <v>44203.0</v>
      </c>
      <c r="F2597" s="80">
        <v>160.0</v>
      </c>
      <c r="G2597" s="80" t="s">
        <v>63</v>
      </c>
      <c r="H2597" s="80" t="s">
        <v>63</v>
      </c>
      <c r="I2597" s="80" t="s">
        <v>63</v>
      </c>
      <c r="J2597" s="80">
        <v>499.0</v>
      </c>
      <c r="K2597" s="80">
        <v>0.822445561139028</v>
      </c>
      <c r="L2597" s="80" t="s">
        <v>2937</v>
      </c>
    </row>
    <row r="2598">
      <c r="A2598" s="80" t="s">
        <v>238</v>
      </c>
      <c r="B2598" s="81" t="str">
        <f>HYPERLINK("https://www.youtube.com/channel/UCSBkm4LwpgBmcA3MCtO8vqg", "Post76影音玩樂")</f>
        <v>Post76影音玩樂</v>
      </c>
      <c r="C2598" s="80" t="s">
        <v>2938</v>
      </c>
      <c r="D2598" s="81" t="str">
        <f>HYPERLINK("https://youtube.com/watch?v=CXnEvddB_K0", "《 Home Mart 家居便利 》提供一站式智能家居裝修工具店  新手自建家庭影院左問右問無黑面！（附設中文字幕）粵語 【新店推介 | Post76.hk】")</f>
        <v>《 Home Mart 家居便利 》提供一站式智能家居裝修工具店  新手自建家庭影院左問右問無黑面！（附設中文字幕）粵語 【新店推介 | Post76.hk】</v>
      </c>
      <c r="E2598" s="82">
        <v>44284.0</v>
      </c>
      <c r="F2598" s="80">
        <v>315.0</v>
      </c>
      <c r="G2598" s="80" t="s">
        <v>63</v>
      </c>
      <c r="H2598" s="80" t="s">
        <v>63</v>
      </c>
      <c r="I2598" s="80" t="s">
        <v>63</v>
      </c>
      <c r="J2598" s="80">
        <v>1384.0</v>
      </c>
      <c r="K2598" s="80">
        <v>0.969187675070028</v>
      </c>
      <c r="L2598" s="80" t="s">
        <v>66</v>
      </c>
    </row>
    <row r="2599">
      <c r="A2599" s="80" t="s">
        <v>2764</v>
      </c>
      <c r="B2599" s="81" t="str">
        <f>HYPERLINK("https://www.youtube.com/channel/UCejZUW4khvxoA4uL2Afz20g", "Housik Laanfei 好食懶飛")</f>
        <v>Housik Laanfei 好食懶飛</v>
      </c>
      <c r="C2599" s="80" t="s">
        <v>2939</v>
      </c>
      <c r="D2599" s="81" t="str">
        <f>HYPERLINK("https://youtube.com/watch?v=CZM_dkIdOAU", "[火辣辣] 韓式辣炒小章鱼 | CC: 廣東話/繁中/ENG SUB | COOKING VLOG")</f>
        <v>[火辣辣] 韓式辣炒小章鱼 | CC: 廣東話/繁中/ENG SUB | COOKING VLOG</v>
      </c>
      <c r="E2599" s="82">
        <v>44216.0</v>
      </c>
      <c r="F2599" s="80">
        <v>361.0</v>
      </c>
      <c r="G2599" s="80" t="s">
        <v>63</v>
      </c>
      <c r="H2599" s="80" t="s">
        <v>63</v>
      </c>
      <c r="I2599" s="80" t="s">
        <v>63</v>
      </c>
      <c r="J2599" s="80">
        <v>245.0</v>
      </c>
      <c r="K2599" s="80">
        <v>0.968379446640316</v>
      </c>
      <c r="L2599" s="80" t="s">
        <v>80</v>
      </c>
    </row>
    <row r="2600">
      <c r="A2600" s="80" t="s">
        <v>293</v>
      </c>
      <c r="B2600" s="81" t="str">
        <f>HYPERLINK("https://www.youtube.com/channel/UCXRcbXqjORdIvl63I7MtOLQ", "趁熱 Kerry 's kitchen")</f>
        <v>趁熱 Kerry 's kitchen</v>
      </c>
      <c r="C2600" s="80" t="s">
        <v>2940</v>
      </c>
      <c r="D2600" s="81" t="str">
        <f>HYPERLINK("https://youtube.com/watch?v=C_y4Ur2l6IA", "白汁 雞皇飯/無麵粉/堅creamy/現代做法/兒時的美味/ 簡單 家做/法蘭西經典/重點 講解/廣東話/中字")</f>
        <v>白汁 雞皇飯/無麵粉/堅creamy/現代做法/兒時的美味/ 簡單 家做/法蘭西經典/重點 講解/廣東話/中字</v>
      </c>
      <c r="E2600" s="82">
        <v>44503.0</v>
      </c>
      <c r="F2600" s="80">
        <v>585.0</v>
      </c>
      <c r="G2600" s="80" t="s">
        <v>63</v>
      </c>
      <c r="I2600" s="80" t="s">
        <v>63</v>
      </c>
      <c r="J2600" s="80">
        <v>703.0</v>
      </c>
      <c r="K2600" s="80">
        <v>0.979108635097493</v>
      </c>
      <c r="L2600" s="80" t="s">
        <v>64</v>
      </c>
    </row>
    <row r="2601">
      <c r="A2601" s="80" t="s">
        <v>2793</v>
      </c>
      <c r="B2601" s="81" t="str">
        <f>HYPERLINK("https://www.youtube.com/channel/UC03mRlT2h1B4LohYaIj9lHg", "Messiah2048")</f>
        <v>Messiah2048</v>
      </c>
      <c r="C2601" s="80" t="s">
        <v>2941</v>
      </c>
      <c r="D2601" s="81" t="str">
        <f>HYPERLINK("https://youtube.com/watch?v=Ca7kwi61CAs", "市民盧少蘭(盧婆婆)：高官食飽，不知民間疾苦。")</f>
        <v>市民盧少蘭(盧婆婆)：高官食飽，不知民間疾苦。</v>
      </c>
      <c r="E2601" s="82">
        <v>42422.0</v>
      </c>
      <c r="F2601" s="80">
        <v>137.0</v>
      </c>
      <c r="G2601" s="80" t="s">
        <v>63</v>
      </c>
      <c r="I2601" s="80" t="s">
        <v>63</v>
      </c>
      <c r="J2601" s="80">
        <v>398.0</v>
      </c>
      <c r="K2601" s="80">
        <v>1.0</v>
      </c>
      <c r="L2601" s="80" t="s">
        <v>64</v>
      </c>
    </row>
    <row r="2602">
      <c r="A2602" s="80" t="s">
        <v>2942</v>
      </c>
      <c r="B2602" s="81" t="str">
        <f>HYPERLINK("https://www.youtube.com/channel/UCFOFvhsNWMPHwvbfHl7K6qw", "司徒文進 CROSSBONE")</f>
        <v>司徒文進 CROSSBONE</v>
      </c>
      <c r="C2602" s="80" t="s">
        <v>2943</v>
      </c>
      <c r="D2602" s="81" t="str">
        <f>HYPERLINK("https://youtube.com/watch?v=CezXxoX9Y4M", "（中字）突破3000訂閱感言！！6天訂閲人數升1000人！謝謝各位聽眾朋友！榮耀屬於您們所有人！*新增字幕，字幕由頻道管理員Louisa製作，特此致謝")</f>
        <v>（中字）突破3000訂閱感言！！6天訂閲人數升1000人！謝謝各位聽眾朋友！榮耀屬於您們所有人！*新增字幕，字幕由頻道管理員Louisa製作，特此致謝</v>
      </c>
      <c r="E2602" s="82">
        <v>44556.0</v>
      </c>
      <c r="F2602" s="80">
        <v>1168.0</v>
      </c>
      <c r="G2602" s="80" t="s">
        <v>63</v>
      </c>
      <c r="I2602" s="80" t="s">
        <v>63</v>
      </c>
      <c r="J2602" s="80">
        <v>4476.0</v>
      </c>
      <c r="K2602" s="80">
        <v>0.960721184803605</v>
      </c>
      <c r="L2602" s="80" t="s">
        <v>64</v>
      </c>
    </row>
    <row r="2603">
      <c r="A2603" s="80" t="s">
        <v>2935</v>
      </c>
      <c r="B2603" s="81" t="str">
        <f>HYPERLINK("https://www.youtube.com/channel/UC4zLFvnyN0zLbeqV5Xqh0sQ", "腦控")</f>
        <v>腦控</v>
      </c>
      <c r="C2603" s="80" t="s">
        <v>2944</v>
      </c>
      <c r="D2603" s="81" t="str">
        <f>HYPERLINK("https://youtube.com/watch?v=CgkHozH9scY", "窮人2077電腦組裝大賽 - 賽後2分鐘預告(CC中字)")</f>
        <v>窮人2077電腦組裝大賽 - 賽後2分鐘預告(CC中字)</v>
      </c>
      <c r="E2603" s="82">
        <v>44208.0</v>
      </c>
      <c r="F2603" s="80">
        <v>110.0</v>
      </c>
      <c r="G2603" s="80" t="s">
        <v>63</v>
      </c>
      <c r="H2603" s="80" t="s">
        <v>63</v>
      </c>
      <c r="I2603" s="80" t="s">
        <v>63</v>
      </c>
      <c r="J2603" s="80">
        <v>291.0</v>
      </c>
      <c r="K2603" s="80">
        <v>0.900641025641025</v>
      </c>
      <c r="L2603" s="80" t="s">
        <v>2937</v>
      </c>
    </row>
    <row r="2604">
      <c r="A2604" s="80" t="s">
        <v>295</v>
      </c>
      <c r="B2604" s="81" t="str">
        <f>HYPERLINK("https://www.youtube.com/channel/UCIotQRUz6c4H-BRsouLt4YQ", "Captain and his squad")</f>
        <v>Captain and his squad</v>
      </c>
      <c r="C2604" s="80" t="s">
        <v>2945</v>
      </c>
      <c r="D2604" s="81" t="str">
        <f>HYPERLINK("https://youtube.com/watch?v=Cgm2lEmZYLw", "【 生活 】譚凱倫 x Anton Fung x Anson Kong x 余逸思 狗狗行山 picnic｜石龍拱蓮花山｜香港狗狗好去處")</f>
        <v>【 生活 】譚凱倫 x Anton Fung x Anson Kong x 余逸思 狗狗行山 picnic｜石龍拱蓮花山｜香港狗狗好去處</v>
      </c>
      <c r="E2604" s="82">
        <v>44272.0</v>
      </c>
      <c r="F2604" s="80">
        <v>811.0</v>
      </c>
      <c r="G2604" s="80" t="s">
        <v>63</v>
      </c>
      <c r="I2604" s="80" t="s">
        <v>63</v>
      </c>
      <c r="J2604" s="80">
        <v>2459.0</v>
      </c>
      <c r="K2604" s="80">
        <v>0.764376748523469</v>
      </c>
      <c r="L2604" s="80" t="s">
        <v>102</v>
      </c>
    </row>
    <row r="2605">
      <c r="A2605" s="80" t="s">
        <v>2804</v>
      </c>
      <c r="B2605" s="81" t="str">
        <f>HYPERLINK("https://www.youtube.com/channel/UCrFrg50t0JqgqV2dkIrH5Hg", "投智財女 GirlbossInvest 創業投資智慧")</f>
        <v>投智財女 GirlbossInvest 創業投資智慧</v>
      </c>
      <c r="C2605" s="80" t="s">
        <v>2946</v>
      </c>
      <c r="D2605" s="81" t="str">
        <f>HYPERLINK("https://youtube.com/watch?v=Cj52Vao4EAU", "林作邊位啊 | 港姐麥明詩前男友被稱保險狗曬名牌願2047做特首？#做人不要太林作 #林作式宣傳 #做保險也有好處 ? #裕美")</f>
        <v>林作邊位啊 | 港姐麥明詩前男友被稱保險狗曬名牌願2047做特首？#做人不要太林作 #林作式宣傳 #做保險也有好處 ? #裕美</v>
      </c>
      <c r="E2605" s="82">
        <v>44070.0</v>
      </c>
      <c r="F2605" s="80">
        <v>809.0</v>
      </c>
      <c r="G2605" s="80" t="s">
        <v>63</v>
      </c>
      <c r="I2605" s="80" t="s">
        <v>63</v>
      </c>
      <c r="J2605" s="80">
        <v>2555.0</v>
      </c>
      <c r="K2605" s="80">
        <v>0.925389351684172</v>
      </c>
      <c r="L2605" s="80" t="s">
        <v>102</v>
      </c>
    </row>
    <row r="2606">
      <c r="A2606" s="80" t="s">
        <v>1606</v>
      </c>
      <c r="B2606" s="81" t="str">
        <f>HYPERLINK("https://www.youtube.com/channel/UCk25FUc8pLiP3A6Zniknxbg", "希治閣【遊戲情報科】")</f>
        <v>希治閣【遊戲情報科】</v>
      </c>
      <c r="C2606" s="80" t="s">
        <v>2947</v>
      </c>
      <c r="D2606" s="81" t="str">
        <f>HYPERLINK("https://youtube.com/watch?v=Cjq3PvxwmEk", "遊戲情報科 - EP10 - 2015/3/20 -《熱血行進曲 All star Special》《World of Warships》《Cities:Skylines》")</f>
        <v>遊戲情報科 - EP10 - 2015/3/20 -《熱血行進曲 All star Special》《World of Warships》《Cities:Skylines》</v>
      </c>
      <c r="E2606" s="82">
        <v>42083.0</v>
      </c>
      <c r="F2606" s="80">
        <v>550.0</v>
      </c>
      <c r="G2606" s="80" t="s">
        <v>63</v>
      </c>
      <c r="I2606" s="80" t="s">
        <v>63</v>
      </c>
      <c r="J2606" s="80">
        <v>2175.0</v>
      </c>
      <c r="K2606" s="80">
        <v>0.804066543438077</v>
      </c>
      <c r="L2606" s="80" t="s">
        <v>64</v>
      </c>
    </row>
    <row r="2607">
      <c r="A2607" s="80" t="s">
        <v>2764</v>
      </c>
      <c r="B2607" s="81" t="str">
        <f>HYPERLINK("https://www.youtube.com/channel/UCejZUW4khvxoA4uL2Afz20g", "Housik Laanfei 好食懶飛")</f>
        <v>Housik Laanfei 好食懶飛</v>
      </c>
      <c r="C2607" s="80" t="s">
        <v>2948</v>
      </c>
      <c r="D2607" s="81" t="str">
        <f>HYPERLINK("https://youtube.com/watch?v=CkjgYkxHgBA", "[金銀滿屋] 煎䭔(煎堆) | CC: 廣東話/繁中/ENG SUB | COOKING VLOG")</f>
        <v>[金銀滿屋] 煎䭔(煎堆) | CC: 廣東話/繁中/ENG SUB | COOKING VLOG</v>
      </c>
      <c r="E2607" s="82">
        <v>44238.0</v>
      </c>
      <c r="F2607" s="80">
        <v>310.0</v>
      </c>
      <c r="G2607" s="80" t="s">
        <v>63</v>
      </c>
      <c r="H2607" s="80" t="s">
        <v>63</v>
      </c>
      <c r="I2607" s="80" t="s">
        <v>63</v>
      </c>
      <c r="J2607" s="80">
        <v>312.0</v>
      </c>
      <c r="K2607" s="80">
        <v>0.987341772151898</v>
      </c>
      <c r="L2607" s="80" t="s">
        <v>80</v>
      </c>
    </row>
    <row r="2608">
      <c r="A2608" s="80" t="s">
        <v>2829</v>
      </c>
      <c r="B2608" s="81" t="str">
        <f>HYPERLINK("https://www.youtube.com/channel/UC7GnES6AEQlDzaP04UqtyjA", "SOLID IDEA")</f>
        <v>SOLID IDEA</v>
      </c>
      <c r="C2608" s="80" t="s">
        <v>2949</v>
      </c>
      <c r="D2608" s="81" t="str">
        <f>HYPERLINK("https://youtube.com/watch?v=CkohH9OHQm0", "[#設計概念] #凱滙 四房 #輕奢風 #客戶自選材質   | 室內設計 | 空間擺位 | SOLID IDEA |  (CC中文字幕)")</f>
        <v>[#設計概念] #凱滙 四房 #輕奢風 #客戶自選材質   | 室內設計 | 空間擺位 | SOLID IDEA |  (CC中文字幕)</v>
      </c>
      <c r="E2608" s="82">
        <v>44295.0</v>
      </c>
      <c r="F2608" s="80">
        <v>245.0</v>
      </c>
      <c r="G2608" s="80" t="s">
        <v>63</v>
      </c>
      <c r="I2608" s="80" t="s">
        <v>63</v>
      </c>
      <c r="J2608" s="80">
        <v>729.0</v>
      </c>
      <c r="K2608" s="80">
        <v>0.944300518134715</v>
      </c>
      <c r="L2608" s="80" t="s">
        <v>64</v>
      </c>
    </row>
    <row r="2609">
      <c r="A2609" s="80" t="s">
        <v>1260</v>
      </c>
      <c r="B2609" s="81" t="str">
        <f>HYPERLINK("https://www.youtube.com/channel/UCh1k4i86BpiXEO3nzJIYynw", "The Wave")</f>
        <v>The Wave</v>
      </c>
      <c r="C2609" s="80" t="s">
        <v>2950</v>
      </c>
      <c r="D2609" s="81" t="str">
        <f>HYPERLINK("https://youtube.com/watch?v=CorbTpDaVTQ", "TheWave | 十元mic vs 千元mic | 差別？ 簡單開箱 | 超hea測試")</f>
        <v>TheWave | 十元mic vs 千元mic | 差別？ 簡單開箱 | 超hea測試</v>
      </c>
      <c r="E2609" s="82">
        <v>43338.0</v>
      </c>
      <c r="F2609" s="80">
        <v>55.0</v>
      </c>
      <c r="G2609" s="80" t="s">
        <v>63</v>
      </c>
      <c r="H2609" s="80" t="s">
        <v>63</v>
      </c>
      <c r="I2609" s="80" t="s">
        <v>63</v>
      </c>
      <c r="J2609" s="80">
        <v>174.0</v>
      </c>
      <c r="K2609" s="80">
        <v>0.731092436974789</v>
      </c>
      <c r="L2609" s="80" t="s">
        <v>120</v>
      </c>
    </row>
    <row r="2610">
      <c r="A2610" s="80" t="s">
        <v>248</v>
      </c>
      <c r="B2610" s="81" t="str">
        <f>HYPERLINK("https://www.youtube.com/channel/UCUEJok-GiWaGlv5nIPwk-GQ", "Price.com.hk 香港格價網")</f>
        <v>Price.com.hk 香港格價網</v>
      </c>
      <c r="C2610" s="80" t="s">
        <v>2951</v>
      </c>
      <c r="D2610" s="81" t="str">
        <f>HYPERLINK("https://youtube.com/watch?v=CrCE-WejEQk", "追蹤神器大比併！AirTag、SmartTag+、Tile、Orbitkey 誰是最準確？ 小心被跟蹤！| 廣東話【Price.com.hk產品比較】")</f>
        <v>追蹤神器大比併！AirTag、SmartTag+、Tile、Orbitkey 誰是最準確？ 小心被跟蹤！| 廣東話【Price.com.hk產品比較】</v>
      </c>
      <c r="E2610" s="82">
        <v>44341.0</v>
      </c>
      <c r="F2610" s="80">
        <v>617.0</v>
      </c>
      <c r="G2610" s="80" t="s">
        <v>63</v>
      </c>
      <c r="I2610" s="80" t="s">
        <v>63</v>
      </c>
      <c r="J2610" s="80">
        <v>2260.0</v>
      </c>
      <c r="K2610" s="80">
        <v>0.739528795811518</v>
      </c>
      <c r="L2610" s="80" t="s">
        <v>64</v>
      </c>
    </row>
    <row r="2611">
      <c r="A2611" s="80" t="s">
        <v>288</v>
      </c>
      <c r="B2611" s="81" t="str">
        <f>HYPERLINK("https://www.youtube.com/channel/UCDWOYEhVnyD4IHZGVAMLc0g", "Brendan 毛爸")</f>
        <v>Brendan 毛爸</v>
      </c>
      <c r="C2611" s="80" t="s">
        <v>2952</v>
      </c>
      <c r="D2611" s="81" t="str">
        <f>HYPERLINK("https://youtube.com/watch?v=Ct4PDyl_4MI", "第三波疫情之下, 壽司郎會唔會冇人排隊？ 北海道祭到底會唔會中伏？同你一齊試一試！（請打開CC 中文字幕）")</f>
        <v>第三波疫情之下, 壽司郎會唔會冇人排隊？ 北海道祭到底會唔會中伏？同你一齊試一試！（請打開CC 中文字幕）</v>
      </c>
      <c r="E2611" s="82">
        <v>44036.0</v>
      </c>
      <c r="F2611" s="80">
        <v>390.0</v>
      </c>
      <c r="G2611" s="80" t="s">
        <v>63</v>
      </c>
      <c r="I2611" s="80" t="s">
        <v>63</v>
      </c>
      <c r="J2611" s="80">
        <v>1494.0</v>
      </c>
      <c r="K2611" s="80">
        <v>0.97012987012987</v>
      </c>
      <c r="L2611" s="80" t="s">
        <v>64</v>
      </c>
    </row>
    <row r="2612">
      <c r="A2612" s="80" t="s">
        <v>2479</v>
      </c>
      <c r="B2612" s="81" t="str">
        <f>HYPERLINK("https://www.youtube.com/channel/UC0Da4Jp5vYSPa6hCI6MOrCQ", "Cussion Reve")</f>
        <v>Cussion Reve</v>
      </c>
      <c r="C2612" s="80" t="s">
        <v>2953</v>
      </c>
      <c r="D2612" s="81" t="str">
        <f>HYPERLINK("https://youtube.com/watch?v=CxIAsmKpWfY", "你嘅小朋友唔鍾意吃蔬菜 ?| 青豆湯食譜 | 20分鐘時間令你從此愛上蔬菜 | P.S.菜餐廳三色豆好難食🤢")</f>
        <v>你嘅小朋友唔鍾意吃蔬菜 ?| 青豆湯食譜 | 20分鐘時間令你從此愛上蔬菜 | P.S.菜餐廳三色豆好難食🤢</v>
      </c>
      <c r="E2612" s="82">
        <v>44283.0</v>
      </c>
      <c r="F2612" s="80">
        <v>463.0</v>
      </c>
      <c r="G2612" s="80" t="s">
        <v>63</v>
      </c>
      <c r="I2612" s="80" t="s">
        <v>63</v>
      </c>
      <c r="J2612" s="80">
        <v>1104.0</v>
      </c>
      <c r="K2612" s="80">
        <v>0.952545297670405</v>
      </c>
      <c r="L2612" s="80" t="s">
        <v>64</v>
      </c>
    </row>
    <row r="2613">
      <c r="A2613" s="80" t="s">
        <v>2780</v>
      </c>
      <c r="B2613" s="81" t="str">
        <f>HYPERLINK("https://www.youtube.com/channel/UC0CojhLcc0VESgaG633m5kA", "RainErs")</f>
        <v>RainErs</v>
      </c>
      <c r="C2613" s="80" t="s">
        <v>2954</v>
      </c>
      <c r="D2613" s="81" t="str">
        <f>HYPERLINK("https://youtube.com/watch?v=D0qMjVPiVI4", "[恐怖咩]名畫恐怖故事💀--恐怖名畫大全🎴🎭 // 堪稱世界禁畫???[有CC字幕]")</f>
        <v>[恐怖咩]名畫恐怖故事💀--恐怖名畫大全🎴🎭 // 堪稱世界禁畫???[有CC字幕]</v>
      </c>
      <c r="E2613" s="82">
        <v>44341.0</v>
      </c>
      <c r="F2613" s="80">
        <v>493.0</v>
      </c>
      <c r="G2613" s="80" t="s">
        <v>63</v>
      </c>
      <c r="I2613" s="80" t="s">
        <v>63</v>
      </c>
      <c r="J2613" s="80">
        <v>1275.0</v>
      </c>
      <c r="K2613" s="80">
        <v>0.910064239828693</v>
      </c>
      <c r="L2613" s="80" t="s">
        <v>64</v>
      </c>
    </row>
    <row r="2614">
      <c r="A2614" s="80" t="s">
        <v>2955</v>
      </c>
      <c r="B2614" s="81" t="str">
        <f>HYPERLINK("https://www.youtube.com/channel/UC1CFGd0qQVW6icz6Zv7bseQ", "八八卦卦")</f>
        <v>八八卦卦</v>
      </c>
      <c r="C2614" s="80" t="s">
        <v>2956</v>
      </c>
      <c r="D2614" s="81" t="str">
        <f>HYPERLINK("https://youtube.com/watch?v=D2JrVIowmxE", "牛寶寶$8一塊豬扒？超抵食堂推介丨牛寶寶丨橙妹八卦開箱丨[CC字幕]")</f>
        <v>牛寶寶$8一塊豬扒？超抵食堂推介丨牛寶寶丨橙妹八卦開箱丨[CC字幕]</v>
      </c>
      <c r="E2614" s="82">
        <v>44430.0</v>
      </c>
      <c r="F2614" s="80">
        <v>651.0</v>
      </c>
      <c r="G2614" s="80" t="s">
        <v>63</v>
      </c>
      <c r="I2614" s="80" t="s">
        <v>63</v>
      </c>
      <c r="J2614" s="80">
        <v>2085.0</v>
      </c>
      <c r="K2614" s="80">
        <v>0.962603878116343</v>
      </c>
      <c r="L2614" s="80" t="s">
        <v>64</v>
      </c>
    </row>
    <row r="2615">
      <c r="A2615" s="80" t="s">
        <v>124</v>
      </c>
      <c r="B2615" s="81" t="str">
        <f>HYPERLINK("https://www.youtube.com/channel/UCg0vuSE0fBF_NvodyYhMcWg", "Wallace Studio HK")</f>
        <v>Wallace Studio HK</v>
      </c>
      <c r="C2615" s="80" t="s">
        <v>2957</v>
      </c>
      <c r="D2615" s="81" t="str">
        <f>HYPERLINK("https://youtube.com/watch?v=D6zCQqEsySw", "[終極評測] Gigabyte AERO 15 , AERO 17 , AORUS 15G (2020) Part 3 終極評測! 創作者，打機手提電腦首選!?😍")</f>
        <v>[終極評測] Gigabyte AERO 15 , AERO 17 , AORUS 15G (2020) Part 3 終極評測! 創作者，打機手提電腦首選!?😍</v>
      </c>
      <c r="E2615" s="82">
        <v>44325.0</v>
      </c>
      <c r="F2615" s="80">
        <v>732.0</v>
      </c>
      <c r="G2615" s="80" t="s">
        <v>63</v>
      </c>
      <c r="H2615" s="80" t="s">
        <v>63</v>
      </c>
      <c r="I2615" s="80" t="s">
        <v>63</v>
      </c>
      <c r="J2615" s="80">
        <v>2328.0</v>
      </c>
      <c r="K2615" s="80">
        <v>0.708460133901399</v>
      </c>
      <c r="L2615" s="80" t="s">
        <v>86</v>
      </c>
    </row>
    <row r="2616">
      <c r="A2616" s="80" t="s">
        <v>1139</v>
      </c>
      <c r="B2616" s="81" t="str">
        <f>HYPERLINK("https://www.youtube.com/channel/UCw51gVFijIewmXH4tIR0ufw", "Crystal Zen")</f>
        <v>Crystal Zen</v>
      </c>
      <c r="C2616" s="80" t="s">
        <v>2958</v>
      </c>
      <c r="D2616" s="81" t="str">
        <f>HYPERLINK("https://youtube.com/watch?v=D9hF7MABhD0", "[愛情至上系列] 愛情你應該點搵？用緊粉晶｜月亮石｜紅紋石｜草莓晶 就一定要睇曬佢！")</f>
        <v>[愛情至上系列] 愛情你應該點搵？用緊粉晶｜月亮石｜紅紋石｜草莓晶 就一定要睇曬佢！</v>
      </c>
      <c r="E2616" s="82">
        <v>44274.0</v>
      </c>
      <c r="F2616" s="80">
        <v>722.0</v>
      </c>
      <c r="G2616" s="80" t="s">
        <v>63</v>
      </c>
      <c r="I2616" s="80" t="s">
        <v>63</v>
      </c>
      <c r="J2616" s="80">
        <v>3100.0</v>
      </c>
      <c r="K2616" s="80">
        <v>0.972701600251019</v>
      </c>
      <c r="L2616" s="80" t="s">
        <v>64</v>
      </c>
    </row>
    <row r="2617">
      <c r="A2617" s="80" t="s">
        <v>98</v>
      </c>
      <c r="B2617" s="81" t="str">
        <f>HYPERLINK("https://www.youtube.com/channel/UCrquuQB6v1Ued2xyRKZreGQ", "Stephen Leung ")</f>
        <v>Stephen Leung </v>
      </c>
      <c r="C2617" s="80" t="s">
        <v>2959</v>
      </c>
      <c r="D2617" s="81" t="str">
        <f>HYPERLINK("https://youtube.com/watch?v=DDO7EdVx824", "【民生關注組】電子消費券 八達通 alipay 全港消費 吃喝玩樂 全港最平麵包店 $2.3一個 10款選擇 20年不變 | 聖羅蘭餅店")</f>
        <v>【民生關注組】電子消費券 八達通 alipay 全港消費 吃喝玩樂 全港最平麵包店 $2.3一個 10款選擇 20年不變 | 聖羅蘭餅店</v>
      </c>
      <c r="E2617" s="82">
        <v>44282.0</v>
      </c>
      <c r="F2617" s="80">
        <v>481.0</v>
      </c>
      <c r="G2617" s="80" t="s">
        <v>63</v>
      </c>
      <c r="I2617" s="80" t="s">
        <v>63</v>
      </c>
      <c r="J2617" s="80">
        <v>1197.0</v>
      </c>
      <c r="K2617" s="80">
        <v>0.965322580645161</v>
      </c>
      <c r="L2617" s="80" t="s">
        <v>64</v>
      </c>
    </row>
    <row r="2618">
      <c r="A2618" s="80" t="s">
        <v>1987</v>
      </c>
      <c r="B2618" s="81" t="str">
        <f>HYPERLINK("https://www.youtube.com/channel/UCgGUmm04nVyj-ftaCxVcyBg", "MangoHK大馬獅家")</f>
        <v>MangoHK大馬獅家</v>
      </c>
      <c r="C2618" s="80" t="s">
        <v>2960</v>
      </c>
      <c r="D2618" s="81" t="str">
        <f>HYPERLINK("https://youtube.com/watch?v=DDiQ5-ahXQ8", "【88】📣感激一萬訂閲👩‍❤️‍👨￼相逢何必曾相識 {中文字幕} Subtitled | Thanks 10000 Subscribe MV | Malaysia Vlog | mm2h")</f>
        <v>【88】📣感激一萬訂閲👩‍❤️‍👨￼相逢何必曾相識 {中文字幕} Subtitled | Thanks 10000 Subscribe MV | Malaysia Vlog | mm2h</v>
      </c>
      <c r="E2618" s="82">
        <v>44515.0</v>
      </c>
      <c r="F2618" s="80">
        <v>433.0</v>
      </c>
      <c r="G2618" s="80" t="s">
        <v>63</v>
      </c>
      <c r="I2618" s="80" t="s">
        <v>63</v>
      </c>
      <c r="J2618" s="80">
        <v>813.0</v>
      </c>
      <c r="K2618" s="80">
        <v>0.967857142857142</v>
      </c>
      <c r="L2618" s="80" t="s">
        <v>91</v>
      </c>
    </row>
    <row r="2619">
      <c r="A2619" s="80" t="s">
        <v>245</v>
      </c>
      <c r="B2619" s="81" t="str">
        <f>HYPERLINK("https://www.youtube.com/channel/UCkZ3cOWgnhJheCK7Ywpiezw", "Eagen Kao")</f>
        <v>Eagen Kao</v>
      </c>
      <c r="C2619" s="80" t="s">
        <v>2961</v>
      </c>
      <c r="D2619" s="81" t="str">
        <f>HYPERLINK("https://youtube.com/watch?v=DEKazlltBS0", "[講TECH] Aqara Smart Home Set * Apple HomeKit 係唔係比較安全？又點樣設定？ | Gadget開箱")</f>
        <v>[講TECH] Aqara Smart Home Set * Apple HomeKit 係唔係比較安全？又點樣設定？ | Gadget開箱</v>
      </c>
      <c r="E2619" s="82">
        <v>44229.0</v>
      </c>
      <c r="F2619" s="80">
        <v>619.0</v>
      </c>
      <c r="G2619" s="80" t="s">
        <v>63</v>
      </c>
      <c r="I2619" s="80" t="s">
        <v>63</v>
      </c>
      <c r="J2619" s="80">
        <v>1664.0</v>
      </c>
      <c r="K2619" s="80">
        <v>0.604212055192447</v>
      </c>
      <c r="L2619" s="80" t="s">
        <v>64</v>
      </c>
    </row>
    <row r="2620">
      <c r="A2620" s="80" t="s">
        <v>2750</v>
      </c>
      <c r="B2620" s="81" t="str">
        <f>HYPERLINK("https://www.youtube.com/channel/UCSuH-OhqmtA_2OladWB56Xw", "Knight Lai")</f>
        <v>Knight Lai</v>
      </c>
      <c r="C2620" s="80" t="s">
        <v>2962</v>
      </c>
      <c r="D2620" s="81" t="str">
        <f>HYPERLINK("https://youtube.com/watch?v=DJZy_Fmx8Bc", "[潮文連環圖] [美食]有無人鐘意聞/食肚臍窿屎？")</f>
        <v>[潮文連環圖] [美食]有無人鐘意聞/食肚臍窿屎？</v>
      </c>
      <c r="E2620" s="82">
        <v>41472.0</v>
      </c>
      <c r="F2620" s="80">
        <v>117.0</v>
      </c>
      <c r="G2620" s="80" t="s">
        <v>63</v>
      </c>
      <c r="I2620" s="80" t="s">
        <v>63</v>
      </c>
      <c r="J2620" s="80">
        <v>343.0</v>
      </c>
      <c r="K2620" s="80">
        <v>0.977207977207977</v>
      </c>
      <c r="L2620" s="80" t="s">
        <v>64</v>
      </c>
    </row>
    <row r="2621">
      <c r="A2621" s="80" t="s">
        <v>1987</v>
      </c>
      <c r="B2621" s="81" t="str">
        <f>HYPERLINK("https://www.youtube.com/channel/UCgGUmm04nVyj-ftaCxVcyBg", "MangoHK大馬獅家")</f>
        <v>MangoHK大馬獅家</v>
      </c>
      <c r="C2621" s="80" t="s">
        <v>2963</v>
      </c>
      <c r="D2621" s="81" t="str">
        <f>HYPERLINK("https://youtube.com/watch?v=DKEXQy5oa5w", "【32】🐟海成發魚行🚢大馬版大澳！{中英字幕}  Subtitled | Malaysia Sea Food | Malaysia Vlog | mm2h")</f>
        <v>【32】🐟海成發魚行🚢大馬版大澳！{中英字幕}  Subtitled | Malaysia Sea Food | Malaysia Vlog | mm2h</v>
      </c>
      <c r="E2621" s="82">
        <v>44463.0</v>
      </c>
      <c r="F2621" s="80">
        <v>426.0</v>
      </c>
      <c r="G2621" s="80" t="s">
        <v>63</v>
      </c>
      <c r="I2621" s="80" t="s">
        <v>63</v>
      </c>
      <c r="J2621" s="80">
        <v>939.0</v>
      </c>
      <c r="K2621" s="80">
        <v>0.989462592202318</v>
      </c>
      <c r="L2621" s="80" t="s">
        <v>896</v>
      </c>
    </row>
    <row r="2622">
      <c r="A2622" s="80" t="s">
        <v>108</v>
      </c>
      <c r="B2622" s="81" t="str">
        <f>HYPERLINK("https://www.youtube.com/channel/UCZL6QN6Xs-ZrKY3y6Pv6Emg", "廢青 - 日賺3000")</f>
        <v>廢青 - 日賺3000</v>
      </c>
      <c r="C2622" s="80" t="s">
        <v>2964</v>
      </c>
      <c r="D2622" s="81" t="str">
        <f>HYPERLINK("https://youtube.com/watch?v=DO62FrlA2wU", "【未學投資👶🏻先開投資戶口的💨3大代價❗😥😥】(2020 期油教學EP7)【廢青-日賺3000】【點CC看中文字幕】")</f>
        <v>【未學投資👶🏻先開投資戶口的💨3大代價❗😥😥】(2020 期油教學EP7)【廢青-日賺3000】【點CC看中文字幕】</v>
      </c>
      <c r="E2622" s="82">
        <v>43567.0</v>
      </c>
      <c r="F2622" s="80">
        <v>368.0</v>
      </c>
      <c r="G2622" s="80" t="s">
        <v>63</v>
      </c>
      <c r="I2622" s="80" t="s">
        <v>63</v>
      </c>
      <c r="J2622" s="80">
        <v>1738.0</v>
      </c>
      <c r="K2622" s="80">
        <v>0.88268156424581</v>
      </c>
      <c r="L2622" s="80" t="s">
        <v>64</v>
      </c>
    </row>
    <row r="2623">
      <c r="A2623" s="80" t="s">
        <v>1260</v>
      </c>
      <c r="B2623" s="81" t="str">
        <f>HYPERLINK("https://www.youtube.com/channel/UCh1k4i86BpiXEO3nzJIYynw", "The Wave")</f>
        <v>The Wave</v>
      </c>
      <c r="C2623" s="80" t="s">
        <v>2965</v>
      </c>
      <c r="D2623" s="81" t="str">
        <f>HYPERLINK("https://youtube.com/watch?v=DP0uy9Txo8s", "TheWave | AMD Ryzen , Threadripper 算係諗得過")</f>
        <v>TheWave | AMD Ryzen , Threadripper 算係諗得過</v>
      </c>
      <c r="E2623" s="82">
        <v>43796.0</v>
      </c>
      <c r="F2623" s="80">
        <v>295.0</v>
      </c>
      <c r="G2623" s="80" t="s">
        <v>63</v>
      </c>
      <c r="H2623" s="80" t="s">
        <v>63</v>
      </c>
      <c r="I2623" s="80" t="s">
        <v>63</v>
      </c>
      <c r="J2623" s="80">
        <v>843.0</v>
      </c>
      <c r="K2623" s="80">
        <v>0.637670196671709</v>
      </c>
      <c r="L2623" s="80" t="s">
        <v>1634</v>
      </c>
    </row>
    <row r="2624">
      <c r="A2624" s="80" t="s">
        <v>2898</v>
      </c>
      <c r="B2624" s="81" t="str">
        <f>HYPERLINK("https://www.youtube.com/channel/UCy5bjMXbFPglSBNDXfivtOA", "消費者委員會")</f>
        <v>消費者委員會</v>
      </c>
      <c r="C2624" s="80" t="s">
        <v>2966</v>
      </c>
      <c r="D2624" s="81" t="str">
        <f>HYPERLINK("https://youtube.com/watch?v=DQ1as6xk4D0", "雙頭氣體煮食爐測試")</f>
        <v>雙頭氣體煮食爐測試</v>
      </c>
      <c r="E2624" s="82">
        <v>42808.0</v>
      </c>
      <c r="F2624" s="80">
        <v>190.0</v>
      </c>
      <c r="G2624" s="80" t="s">
        <v>63</v>
      </c>
      <c r="H2624" s="80" t="s">
        <v>63</v>
      </c>
      <c r="I2624" s="80" t="s">
        <v>63</v>
      </c>
      <c r="J2624" s="80">
        <v>625.0</v>
      </c>
      <c r="K2624" s="80">
        <v>0.995222929936305</v>
      </c>
      <c r="L2624" s="80" t="s">
        <v>2580</v>
      </c>
    </row>
    <row r="2625">
      <c r="A2625" s="80" t="s">
        <v>238</v>
      </c>
      <c r="B2625" s="81" t="str">
        <f>HYPERLINK("https://www.youtube.com/channel/UCSBkm4LwpgBmcA3MCtO8vqg", "Post76影音玩樂")</f>
        <v>Post76影音玩樂</v>
      </c>
      <c r="C2625" s="80" t="s">
        <v>2967</v>
      </c>
      <c r="D2625" s="81" t="str">
        <f>HYPERLINK("https://youtube.com/watch?v=DTa6FzTzmnQ", "沙田 AV Life 裝修後煥然一新 : 舒適地慢慢試真「4K電視同Soundbar」家中效果 | （附設中文字幕）粵語 【店鋪推介 | Post76.hk】")</f>
        <v>沙田 AV Life 裝修後煥然一新 : 舒適地慢慢試真「4K電視同Soundbar」家中效果 | （附設中文字幕）粵語 【店鋪推介 | Post76.hk】</v>
      </c>
      <c r="E2625" s="82">
        <v>44236.0</v>
      </c>
      <c r="F2625" s="80">
        <v>384.0</v>
      </c>
      <c r="G2625" s="80" t="s">
        <v>63</v>
      </c>
      <c r="H2625" s="80" t="s">
        <v>63</v>
      </c>
      <c r="I2625" s="80" t="s">
        <v>63</v>
      </c>
      <c r="J2625" s="80">
        <v>1459.0</v>
      </c>
      <c r="K2625" s="80">
        <v>0.764976958525345</v>
      </c>
      <c r="L2625" s="80" t="s">
        <v>236</v>
      </c>
    </row>
    <row r="2626">
      <c r="A2626" s="80" t="s">
        <v>127</v>
      </c>
      <c r="B2626" s="81" t="str">
        <f>HYPERLINK("https://www.youtube.com/channel/UC97oYK3XMf9RLtkc0lO8C-Q", "健康旦 HiEggo")</f>
        <v>健康旦 HiEggo</v>
      </c>
      <c r="C2626" s="80" t="s">
        <v>2968</v>
      </c>
      <c r="D2626" s="81" t="str">
        <f>HYPERLINK("https://youtube.com/watch?v=DUs584vq2O0", "阿旦踢爆老婆係「邊爐皇后」 中醫：打邊爐好熱氣 生冷食物降低免疫力 - 鄭丹瑞《健康旦》楊明霞中醫師 PART 5 (CC中文字幕)")</f>
        <v>阿旦踢爆老婆係「邊爐皇后」 中醫：打邊爐好熱氣 生冷食物降低免疫力 - 鄭丹瑞《健康旦》楊明霞中醫師 PART 5 (CC中文字幕)</v>
      </c>
      <c r="E2626" s="82">
        <v>43878.0</v>
      </c>
      <c r="F2626" s="80">
        <v>617.0</v>
      </c>
      <c r="G2626" s="80" t="s">
        <v>63</v>
      </c>
      <c r="I2626" s="80" t="s">
        <v>63</v>
      </c>
      <c r="J2626" s="80">
        <v>2610.0</v>
      </c>
      <c r="K2626" s="80">
        <v>0.986021911598035</v>
      </c>
      <c r="L2626" s="80" t="s">
        <v>102</v>
      </c>
    </row>
    <row r="2627">
      <c r="A2627" s="80" t="s">
        <v>1260</v>
      </c>
      <c r="B2627" s="81" t="str">
        <f>HYPERLINK("https://www.youtube.com/channel/UCh1k4i86BpiXEO3nzJIYynw", "The Wave")</f>
        <v>The Wave</v>
      </c>
      <c r="C2627" s="80" t="s">
        <v>2969</v>
      </c>
      <c r="D2627" s="81" t="str">
        <f>HYPERLINK("https://youtube.com/watch?v=DVFnPNg5heE", "TheWave | Apple iPhone 發佈會 | iPhone 11系列")</f>
        <v>TheWave | Apple iPhone 發佈會 | iPhone 11系列</v>
      </c>
      <c r="E2627" s="82">
        <v>43720.0</v>
      </c>
      <c r="F2627" s="80">
        <v>148.0</v>
      </c>
      <c r="G2627" s="80" t="s">
        <v>63</v>
      </c>
      <c r="H2627" s="80" t="s">
        <v>63</v>
      </c>
      <c r="I2627" s="80" t="s">
        <v>63</v>
      </c>
      <c r="J2627" s="80">
        <v>435.0</v>
      </c>
      <c r="K2627" s="80">
        <v>0.67391304347826</v>
      </c>
      <c r="L2627" s="80" t="s">
        <v>1634</v>
      </c>
    </row>
    <row r="2628">
      <c r="A2628" s="80" t="s">
        <v>106</v>
      </c>
      <c r="B2628" s="81" t="str">
        <f>HYPERLINK("https://www.youtube.com/channel/UC9jW6WpsAPgh-9HqDTvkFzg", "ValorGears")</f>
        <v>ValorGears</v>
      </c>
      <c r="C2628" s="80" t="s">
        <v>2970</v>
      </c>
      <c r="D2628" s="81" t="str">
        <f>HYPERLINK("https://youtube.com/watch?v=DXgw_NPleMk", "靚聲進化 - Razer Kraken 7.1 v2 極速開箱 (中字翻譯)")</f>
        <v>靚聲進化 - Razer Kraken 7.1 v2 極速開箱 (中字翻譯)</v>
      </c>
      <c r="E2628" s="82">
        <v>42837.0</v>
      </c>
      <c r="F2628" s="80">
        <v>125.0</v>
      </c>
      <c r="G2628" s="80" t="s">
        <v>63</v>
      </c>
      <c r="H2628" s="80" t="s">
        <v>63</v>
      </c>
      <c r="I2628" s="80" t="s">
        <v>63</v>
      </c>
      <c r="J2628" s="80">
        <v>591.0</v>
      </c>
      <c r="K2628" s="80">
        <v>0.829228243021346</v>
      </c>
      <c r="L2628" s="80" t="s">
        <v>86</v>
      </c>
    </row>
    <row r="2629">
      <c r="A2629" s="80" t="s">
        <v>2829</v>
      </c>
      <c r="B2629" s="81" t="str">
        <f>HYPERLINK("https://www.youtube.com/channel/UC7GnES6AEQlDzaP04UqtyjA", "SOLID IDEA")</f>
        <v>SOLID IDEA</v>
      </c>
      <c r="C2629" s="80" t="s">
        <v>2971</v>
      </c>
      <c r="D2629" s="81" t="str">
        <f>HYPERLINK("https://youtube.com/watch?v=DY0CSK5Vt4I", "[#實境拍攝] #GrandMarini #混搭的平衡藝術 | 室內設計 | 空間擺位 | SOLID IDEA | (CC中文字幕)")</f>
        <v>[#實境拍攝] #GrandMarini #混搭的平衡藝術 | 室內設計 | 空間擺位 | SOLID IDEA | (CC中文字幕)</v>
      </c>
      <c r="E2629" s="82">
        <v>44491.0</v>
      </c>
      <c r="F2629" s="80">
        <v>242.0</v>
      </c>
      <c r="G2629" s="80" t="s">
        <v>63</v>
      </c>
      <c r="I2629" s="80" t="s">
        <v>63</v>
      </c>
      <c r="J2629" s="80">
        <v>671.0</v>
      </c>
      <c r="K2629" s="80">
        <v>0.891102257636122</v>
      </c>
      <c r="L2629" s="80" t="s">
        <v>64</v>
      </c>
    </row>
    <row r="2630">
      <c r="A2630" s="80" t="s">
        <v>2972</v>
      </c>
      <c r="B2630" s="81" t="str">
        <f>HYPERLINK("https://www.youtube.com/channel/UCVMEQdIDLjHcKAsEwhVXEoQ", "Danny W.")</f>
        <v>Danny W.</v>
      </c>
      <c r="C2630" s="80" t="s">
        <v>2973</v>
      </c>
      <c r="D2630" s="81" t="str">
        <f>HYPERLINK("https://youtube.com/watch?v=Dj3t2Wr5ImM", "Apple 免費 iCloud+ 啟用")</f>
        <v>Apple 免費 iCloud+ 啟用</v>
      </c>
      <c r="E2630" s="82">
        <v>44357.0</v>
      </c>
      <c r="F2630" s="80">
        <v>19.0</v>
      </c>
      <c r="G2630" s="80" t="s">
        <v>63</v>
      </c>
      <c r="I2630" s="80" t="s">
        <v>63</v>
      </c>
      <c r="J2630" s="80">
        <v>30.0</v>
      </c>
      <c r="K2630" s="80">
        <v>0.508474576271186</v>
      </c>
      <c r="L2630" s="80" t="s">
        <v>102</v>
      </c>
    </row>
    <row r="2631">
      <c r="A2631" s="80" t="s">
        <v>2041</v>
      </c>
      <c r="B2631" s="81" t="str">
        <f>HYPERLINK("https://www.youtube.com/channel/UCO6pB-ZN4XJ6MVkibvuEe0A", "SingSingTracker 星昇財經指標")</f>
        <v>SingSingTracker 星昇財經指標</v>
      </c>
      <c r="C2631" s="80" t="s">
        <v>2974</v>
      </c>
      <c r="D2631" s="81" t="str">
        <f>HYPERLINK("https://youtube.com/watch?v=DkG69DfNrd8", "【小米一日瘋賺20億的秘密❓】 小米新logo 200萬【點CC中文字幕】#小米 #FWCChannel​​")</f>
        <v>【小米一日瘋賺20億的秘密❓】 小米新logo 200萬【點CC中文字幕】#小米 #FWCChannel​​</v>
      </c>
      <c r="E2631" s="82">
        <v>44308.0</v>
      </c>
      <c r="F2631" s="80">
        <v>257.0</v>
      </c>
      <c r="G2631" s="80" t="s">
        <v>63</v>
      </c>
      <c r="I2631" s="80" t="s">
        <v>63</v>
      </c>
      <c r="J2631" s="80">
        <v>950.0</v>
      </c>
      <c r="K2631" s="80">
        <v>0.886194029850746</v>
      </c>
      <c r="L2631" s="80" t="s">
        <v>64</v>
      </c>
    </row>
    <row r="2632">
      <c r="A2632" s="80" t="s">
        <v>1390</v>
      </c>
      <c r="B2632" s="81" t="str">
        <f>HYPERLINK("https://www.youtube.com/channel/UCgwEJflQi4WnZ8PU0xdibZQ", "Kinson Ho")</f>
        <v>Kinson Ho</v>
      </c>
      <c r="C2632" s="80" t="s">
        <v>2975</v>
      </c>
      <c r="D2632" s="81" t="str">
        <f>HYPERLINK("https://youtube.com/watch?v=DkUiVpmoPO8", "K神任我行 - [CC字幕] 陸路過龍爪洞｜頭洲日落｜南灣｜中灣｜淺水灣｜航拍找哥斯拉")</f>
        <v>K神任我行 - [CC字幕] 陸路過龍爪洞｜頭洲日落｜南灣｜中灣｜淺水灣｜航拍找哥斯拉</v>
      </c>
      <c r="E2632" s="82">
        <v>44348.0</v>
      </c>
      <c r="F2632" s="80">
        <v>1180.0</v>
      </c>
      <c r="G2632" s="80" t="s">
        <v>63</v>
      </c>
      <c r="I2632" s="80" t="s">
        <v>63</v>
      </c>
      <c r="J2632" s="80">
        <v>1508.0</v>
      </c>
      <c r="K2632" s="80">
        <v>0.994722955145118</v>
      </c>
      <c r="L2632" s="80" t="s">
        <v>64</v>
      </c>
    </row>
    <row r="2633">
      <c r="A2633" s="80" t="s">
        <v>1606</v>
      </c>
      <c r="B2633" s="81" t="str">
        <f>HYPERLINK("https://www.youtube.com/channel/UCk25FUc8pLiP3A6Zniknxbg", "希治閣【遊戲情報科】")</f>
        <v>希治閣【遊戲情報科】</v>
      </c>
      <c r="C2633" s="80" t="s">
        <v>2976</v>
      </c>
      <c r="D2633" s="81" t="str">
        <f>HYPERLINK("https://youtube.com/watch?v=DnLwepUzaZo", "Logitech G413 入門鍵盤 不專業開箱 - 遊戲情報科")</f>
        <v>Logitech G413 入門鍵盤 不專業開箱 - 遊戲情報科</v>
      </c>
      <c r="E2633" s="82">
        <v>42891.0</v>
      </c>
      <c r="F2633" s="80">
        <v>134.0</v>
      </c>
      <c r="G2633" s="80" t="s">
        <v>63</v>
      </c>
      <c r="I2633" s="80" t="s">
        <v>63</v>
      </c>
      <c r="J2633" s="80">
        <v>489.0</v>
      </c>
      <c r="K2633" s="80">
        <v>0.674482758620689</v>
      </c>
      <c r="L2633" s="80" t="s">
        <v>745</v>
      </c>
    </row>
    <row r="2634">
      <c r="A2634" s="80" t="s">
        <v>124</v>
      </c>
      <c r="B2634" s="81" t="str">
        <f>HYPERLINK("https://www.youtube.com/channel/UCg0vuSE0fBF_NvodyYhMcWg", "Wallace Studio HK")</f>
        <v>Wallace Studio HK</v>
      </c>
      <c r="C2634" s="80" t="s">
        <v>2977</v>
      </c>
      <c r="D2634" s="81" t="str">
        <f>HYPERLINK("https://youtube.com/watch?v=DoNg5Ag0IkY", "[NAS] NAS 選購 Part 3 Synology 揀岩冇難度")</f>
        <v>[NAS] NAS 選購 Part 3 Synology 揀岩冇難度</v>
      </c>
      <c r="E2634" s="82">
        <v>44391.0</v>
      </c>
      <c r="F2634" s="80">
        <v>507.0</v>
      </c>
      <c r="G2634" s="80" t="s">
        <v>63</v>
      </c>
      <c r="H2634" s="80" t="s">
        <v>63</v>
      </c>
      <c r="I2634" s="80" t="s">
        <v>63</v>
      </c>
      <c r="J2634" s="80">
        <v>1795.0</v>
      </c>
      <c r="K2634" s="80">
        <v>0.729674796747967</v>
      </c>
      <c r="L2634" s="80" t="s">
        <v>86</v>
      </c>
    </row>
    <row r="2635">
      <c r="A2635" s="80" t="s">
        <v>2041</v>
      </c>
      <c r="B2635" s="81" t="str">
        <f>HYPERLINK("https://www.youtube.com/channel/UCO6pB-ZN4XJ6MVkibvuEe0A", "SingSingTracker 星昇財經指標")</f>
        <v>SingSingTracker 星昇財經指標</v>
      </c>
      <c r="C2635" s="80" t="s">
        <v>2978</v>
      </c>
      <c r="D2635" s="81" t="str">
        <f>HYPERLINK("https://youtube.com/watch?v=Dp1C3ZU6-JE", "【如何做到「財息兼收？」-香港篇】學揀收息股成為最強被動收入｜明天開始炒老闆｜教你Reits是什麼 ｜高息股2021   #高息股 #港股收息 #公用股")</f>
        <v>【如何做到「財息兼收？」-香港篇】學揀收息股成為最強被動收入｜明天開始炒老闆｜教你Reits是什麼 ｜高息股2021   #高息股 #港股收息 #公用股</v>
      </c>
      <c r="E2635" s="82">
        <v>44349.0</v>
      </c>
      <c r="F2635" s="80">
        <v>323.0</v>
      </c>
      <c r="G2635" s="80" t="s">
        <v>63</v>
      </c>
      <c r="I2635" s="80" t="s">
        <v>63</v>
      </c>
      <c r="J2635" s="80">
        <v>1167.0</v>
      </c>
      <c r="K2635" s="80">
        <v>0.895625479662317</v>
      </c>
      <c r="L2635" s="80" t="s">
        <v>64</v>
      </c>
    </row>
    <row r="2636">
      <c r="A2636" s="80" t="s">
        <v>127</v>
      </c>
      <c r="B2636" s="81" t="str">
        <f>HYPERLINK("https://www.youtube.com/channel/UC97oYK3XMf9RLtkc0lO8C-Q", "健康旦 HiEggo")</f>
        <v>健康旦 HiEggo</v>
      </c>
      <c r="C2636" s="80" t="s">
        <v>2979</v>
      </c>
      <c r="D2636" s="81" t="str">
        <f>HYPERLINK("https://youtube.com/watch?v=DsF9bB0ydz0", "泡菜發酵不當可致癌 咖啡灌腸過密影響免疫系統 納豆、泡菜汁最多益生菌  - 鄭丹瑞《健康旦》 #李維恩 博士 Part 22 (CC中文字幕)")</f>
        <v>泡菜發酵不當可致癌 咖啡灌腸過密影響免疫系統 納豆、泡菜汁最多益生菌  - 鄭丹瑞《健康旦》 #李維恩 博士 Part 22 (CC中文字幕)</v>
      </c>
      <c r="E2636" s="82">
        <v>44096.0</v>
      </c>
      <c r="F2636" s="80">
        <v>836.0</v>
      </c>
      <c r="G2636" s="80" t="s">
        <v>63</v>
      </c>
      <c r="I2636" s="80" t="s">
        <v>63</v>
      </c>
      <c r="J2636" s="80">
        <v>2803.0</v>
      </c>
      <c r="K2636" s="80">
        <v>0.964556090846524</v>
      </c>
      <c r="L2636" s="80" t="s">
        <v>64</v>
      </c>
    </row>
    <row r="2637">
      <c r="A2637" s="80" t="s">
        <v>1260</v>
      </c>
      <c r="B2637" s="81" t="str">
        <f t="shared" ref="B2637:B2638" si="129">HYPERLINK("https://www.youtube.com/channel/UCh1k4i86BpiXEO3nzJIYynw", "The Wave")</f>
        <v>The Wave</v>
      </c>
      <c r="C2637" s="80" t="s">
        <v>2980</v>
      </c>
      <c r="D2637" s="81" t="str">
        <f>HYPERLINK("https://youtube.com/watch?v=DtT0xiDUY5c", "TheWave |  真。假多鏡頭 | 真。假 960fps")</f>
        <v>TheWave |  真。假多鏡頭 | 真。假 960fps</v>
      </c>
      <c r="E2637" s="82">
        <v>43431.0</v>
      </c>
      <c r="F2637" s="80">
        <v>236.0</v>
      </c>
      <c r="G2637" s="80" t="s">
        <v>63</v>
      </c>
      <c r="H2637" s="80" t="s">
        <v>63</v>
      </c>
      <c r="I2637" s="80" t="s">
        <v>63</v>
      </c>
      <c r="J2637" s="80">
        <v>710.0</v>
      </c>
      <c r="K2637" s="80">
        <v>0.704453441295546</v>
      </c>
      <c r="L2637" s="80" t="s">
        <v>120</v>
      </c>
    </row>
    <row r="2638">
      <c r="A2638" s="80" t="s">
        <v>1260</v>
      </c>
      <c r="B2638" s="81" t="str">
        <f t="shared" si="129"/>
        <v>The Wave</v>
      </c>
      <c r="C2638" s="80" t="s">
        <v>2981</v>
      </c>
      <c r="D2638" s="81" t="str">
        <f>HYPERLINK("https://youtube.com/watch?v=Du7Z8PkEAiY", "TheWave | 點揀router?")</f>
        <v>TheWave | 點揀router?</v>
      </c>
      <c r="E2638" s="82">
        <v>43585.0</v>
      </c>
      <c r="F2638" s="80">
        <v>269.0</v>
      </c>
      <c r="G2638" s="80" t="s">
        <v>63</v>
      </c>
      <c r="H2638" s="80" t="s">
        <v>63</v>
      </c>
      <c r="I2638" s="80" t="s">
        <v>63</v>
      </c>
      <c r="J2638" s="80">
        <v>963.0</v>
      </c>
      <c r="K2638" s="80">
        <v>0.809243697478991</v>
      </c>
      <c r="L2638" s="80" t="s">
        <v>1132</v>
      </c>
    </row>
    <row r="2639">
      <c r="A2639" s="80" t="s">
        <v>238</v>
      </c>
      <c r="B2639" s="81" t="str">
        <f t="shared" ref="B2639:B2640" si="130">HYPERLINK("https://www.youtube.com/channel/UCSBkm4LwpgBmcA3MCtO8vqg", "Post76影音玩樂")</f>
        <v>Post76影音玩樂</v>
      </c>
      <c r="C2639" s="80" t="s">
        <v>2982</v>
      </c>
      <c r="D2639" s="81" t="str">
        <f>HYPERLINK("https://youtube.com/watch?v=E-8s40s1Vck", "$5,000蚊唔使可玩 4K Dolby Vision!? Hisense HK50U7A(1000) 4K ULED 電視原生官方認證 Android TV | 粵語 | 自選雙中文字幕【電視評測】")</f>
        <v>$5,000蚊唔使可玩 4K Dolby Vision!? Hisense HK50U7A(1000) 4K ULED 電視原生官方認證 Android TV | 粵語 | 自選雙中文字幕【電視評測】</v>
      </c>
      <c r="E2639" s="82">
        <v>44149.0</v>
      </c>
      <c r="F2639" s="80">
        <v>674.0</v>
      </c>
      <c r="G2639" s="80" t="s">
        <v>63</v>
      </c>
      <c r="H2639" s="80" t="s">
        <v>63</v>
      </c>
      <c r="I2639" s="80" t="s">
        <v>63</v>
      </c>
      <c r="J2639" s="80">
        <v>2994.0</v>
      </c>
      <c r="K2639" s="80">
        <v>0.867826086956521</v>
      </c>
      <c r="L2639" s="80" t="s">
        <v>66</v>
      </c>
    </row>
    <row r="2640">
      <c r="A2640" s="80" t="s">
        <v>238</v>
      </c>
      <c r="B2640" s="81" t="str">
        <f t="shared" si="130"/>
        <v>Post76影音玩樂</v>
      </c>
      <c r="C2640" s="80" t="s">
        <v>2983</v>
      </c>
      <c r="D2640" s="81" t="str">
        <f>HYPERLINK("https://youtube.com/watch?v=E0W649iTq-Y", "沙田 AV Life 裝修後煥然一新 : 打造入門至發燒 Hi Fi「四面台」影音專區  | （附設中文字幕）粵語 【店鋪推介 | Post76.hk】")</f>
        <v>沙田 AV Life 裝修後煥然一新 : 打造入門至發燒 Hi Fi「四面台」影音專區  | （附設中文字幕）粵語 【店鋪推介 | Post76.hk】</v>
      </c>
      <c r="E2640" s="82">
        <v>44249.0</v>
      </c>
      <c r="F2640" s="80">
        <v>299.0</v>
      </c>
      <c r="G2640" s="80" t="s">
        <v>63</v>
      </c>
      <c r="H2640" s="80" t="s">
        <v>63</v>
      </c>
      <c r="I2640" s="80" t="s">
        <v>63</v>
      </c>
      <c r="J2640" s="80">
        <v>1224.0</v>
      </c>
      <c r="K2640" s="80">
        <v>0.847599164926931</v>
      </c>
      <c r="L2640" s="80" t="s">
        <v>236</v>
      </c>
    </row>
    <row r="2641">
      <c r="A2641" s="80" t="s">
        <v>127</v>
      </c>
      <c r="B2641" s="81" t="str">
        <f>HYPERLINK("https://www.youtube.com/channel/UC97oYK3XMf9RLtkc0lO8C-Q", "健康旦 HiEggo")</f>
        <v>健康旦 HiEggo</v>
      </c>
      <c r="C2641" s="80" t="s">
        <v>2984</v>
      </c>
      <c r="D2641" s="81" t="str">
        <f>HYPERLINK("https://youtube.com/watch?v=E1Koc4xBHR8", "嬰兒突然發燒抽筋 小兒高熱驚厥五歲前常見 如清醒後抽筋持續可能患腦膜炎 - 鄭丹瑞《健康旦》香港中文大學醫學院兒科學系榮譽臨床副教授 #洪之韻 Part 1 (CC中文字幕)")</f>
        <v>嬰兒突然發燒抽筋 小兒高熱驚厥五歲前常見 如清醒後抽筋持續可能患腦膜炎 - 鄭丹瑞《健康旦》香港中文大學醫學院兒科學系榮譽臨床副教授 #洪之韻 Part 1 (CC中文字幕)</v>
      </c>
      <c r="E2641" s="82">
        <v>44104.0</v>
      </c>
      <c r="F2641" s="80">
        <v>476.0</v>
      </c>
      <c r="G2641" s="80" t="s">
        <v>63</v>
      </c>
      <c r="I2641" s="80" t="s">
        <v>63</v>
      </c>
      <c r="J2641" s="80">
        <v>1586.0</v>
      </c>
      <c r="K2641" s="80">
        <v>0.973603437691835</v>
      </c>
      <c r="L2641" s="80" t="s">
        <v>2771</v>
      </c>
    </row>
    <row r="2642">
      <c r="A2642" s="80" t="s">
        <v>1390</v>
      </c>
      <c r="B2642" s="81" t="str">
        <f>HYPERLINK("https://www.youtube.com/channel/UCgwEJflQi4WnZ8PU0xdibZQ", "Kinson Ho")</f>
        <v>Kinson Ho</v>
      </c>
      <c r="C2642" s="80" t="s">
        <v>2985</v>
      </c>
      <c r="D2642" s="81" t="str">
        <f>HYPERLINK("https://youtube.com/watch?v=E7xWrOyL3zU", "K神任我行 - [CC字幕4K] 井頭村｜三杯酒｜烏洲｜榕樹澳魚排BBQ釣魚｜飛龍｜飛鳳｜航拍機失蹤事件｜失而復得｜三杯酒兩杯茶一舊飯")</f>
        <v>K神任我行 - [CC字幕4K] 井頭村｜三杯酒｜烏洲｜榕樹澳魚排BBQ釣魚｜飛龍｜飛鳳｜航拍機失蹤事件｜失而復得｜三杯酒兩杯茶一舊飯</v>
      </c>
      <c r="E2642" s="82">
        <v>44445.0</v>
      </c>
      <c r="F2642" s="80">
        <v>937.0</v>
      </c>
      <c r="G2642" s="80" t="s">
        <v>63</v>
      </c>
      <c r="I2642" s="80" t="s">
        <v>63</v>
      </c>
      <c r="J2642" s="80">
        <v>1845.0</v>
      </c>
      <c r="K2642" s="80">
        <v>0.978260869565217</v>
      </c>
      <c r="L2642" s="80" t="s">
        <v>64</v>
      </c>
    </row>
    <row r="2643">
      <c r="A2643" s="80" t="s">
        <v>1260</v>
      </c>
      <c r="B2643" s="81" t="str">
        <f>HYPERLINK("https://www.youtube.com/channel/UCh1k4i86BpiXEO3nzJIYynw", "The Wave")</f>
        <v>The Wave</v>
      </c>
      <c r="C2643" s="80" t="s">
        <v>2986</v>
      </c>
      <c r="D2643" s="81" t="str">
        <f>HYPERLINK("https://youtube.com/watch?v=E9x-Kl7efYA", "TheWave | 1TB MicroSD Card 開箱 | 1000GB！！！")</f>
        <v>TheWave | 1TB MicroSD Card 開箱 | 1000GB！！！</v>
      </c>
      <c r="E2643" s="82">
        <v>43811.0</v>
      </c>
      <c r="F2643" s="80">
        <v>160.0</v>
      </c>
      <c r="G2643" s="80" t="s">
        <v>63</v>
      </c>
      <c r="H2643" s="80" t="s">
        <v>63</v>
      </c>
      <c r="I2643" s="80" t="s">
        <v>63</v>
      </c>
      <c r="J2643" s="80">
        <v>332.0</v>
      </c>
      <c r="K2643" s="80">
        <v>0.650980392156862</v>
      </c>
      <c r="L2643" s="80" t="s">
        <v>1634</v>
      </c>
    </row>
    <row r="2644">
      <c r="A2644" s="80" t="s">
        <v>2829</v>
      </c>
      <c r="B2644" s="81" t="str">
        <f>HYPERLINK("https://www.youtube.com/channel/UC7GnES6AEQlDzaP04UqtyjA", "SOLID IDEA")</f>
        <v>SOLID IDEA</v>
      </c>
      <c r="C2644" s="80" t="s">
        <v>2987</v>
      </c>
      <c r="D2644" s="81" t="str">
        <f>HYPERLINK("https://youtube.com/watch?v=EANHQXYK2Ek", "[#實境拍攝] #上源 今次直接訪問客戶!  | 室內設計 | 空間擺位 | SOLID IDEA |")</f>
        <v>[#實境拍攝] #上源 今次直接訪問客戶!  | 室內設計 | 空間擺位 | SOLID IDEA |</v>
      </c>
      <c r="E2644" s="82">
        <v>44344.0</v>
      </c>
      <c r="F2644" s="80">
        <v>442.0</v>
      </c>
      <c r="G2644" s="80" t="s">
        <v>63</v>
      </c>
      <c r="I2644" s="80" t="s">
        <v>63</v>
      </c>
      <c r="J2644" s="80">
        <v>1340.0</v>
      </c>
      <c r="K2644" s="80">
        <v>0.954415954415954</v>
      </c>
      <c r="L2644" s="80" t="s">
        <v>64</v>
      </c>
    </row>
    <row r="2645">
      <c r="A2645" s="80" t="s">
        <v>98</v>
      </c>
      <c r="B2645" s="81" t="str">
        <f>HYPERLINK("https://www.youtube.com/channel/UCrquuQB6v1Ued2xyRKZreGQ", "Stephen Leung ")</f>
        <v>Stephen Leung </v>
      </c>
      <c r="C2645" s="80" t="s">
        <v>2988</v>
      </c>
      <c r="D2645" s="81" t="str">
        <f>HYPERLINK("https://youtube.com/watch?v=EBZ4tWUJY-c", "【香港美食】香港最豪華放題! 日本松葉蟹任食 宮崎特上和牛任食 高質日式放題 宴 尖沙咀 沖繩居酒屋 火鍋放題 | 吃喝玩樂")</f>
        <v>【香港美食】香港最豪華放題! 日本松葉蟹任食 宮崎特上和牛任食 高質日式放題 宴 尖沙咀 沖繩居酒屋 火鍋放題 | 吃喝玩樂</v>
      </c>
      <c r="E2645" s="82">
        <v>44304.0</v>
      </c>
      <c r="F2645" s="80">
        <v>787.0</v>
      </c>
      <c r="G2645" s="80" t="s">
        <v>63</v>
      </c>
      <c r="I2645" s="80" t="s">
        <v>63</v>
      </c>
      <c r="J2645" s="80">
        <v>1977.0</v>
      </c>
      <c r="K2645" s="80">
        <v>0.943675417661097</v>
      </c>
      <c r="L2645" s="80" t="s">
        <v>64</v>
      </c>
    </row>
    <row r="2646">
      <c r="A2646" s="80" t="s">
        <v>293</v>
      </c>
      <c r="B2646" s="81" t="str">
        <f>HYPERLINK("https://www.youtube.com/channel/UCXRcbXqjORdIvl63I7MtOLQ", "趁熱 Kerry 's kitchen")</f>
        <v>趁熱 Kerry 's kitchen</v>
      </c>
      <c r="C2646" s="80" t="s">
        <v>2989</v>
      </c>
      <c r="D2646" s="81" t="str">
        <f>HYPERLINK("https://youtube.com/watch?v=EBiQVLPo7Vw", "煎魚 技巧/豉油皇煎紅衫魚/香港菜/煎魚不黏鑊技巧/簡單冇得輸/粵語/中字/")</f>
        <v>煎魚 技巧/豉油皇煎紅衫魚/香港菜/煎魚不黏鑊技巧/簡單冇得輸/粵語/中字/</v>
      </c>
      <c r="E2646" s="82">
        <v>44365.0</v>
      </c>
      <c r="F2646" s="80">
        <v>587.0</v>
      </c>
      <c r="G2646" s="80" t="s">
        <v>63</v>
      </c>
      <c r="I2646" s="80" t="s">
        <v>63</v>
      </c>
      <c r="J2646" s="80">
        <v>1521.0</v>
      </c>
      <c r="K2646" s="80">
        <v>0.985742060920285</v>
      </c>
      <c r="L2646" s="80" t="s">
        <v>64</v>
      </c>
    </row>
    <row r="2647">
      <c r="A2647" s="80" t="s">
        <v>1987</v>
      </c>
      <c r="B2647" s="81" t="str">
        <f t="shared" ref="B2647:B2649" si="131">HYPERLINK("https://www.youtube.com/channel/UCgGUmm04nVyj-ftaCxVcyBg", "MangoHK大馬獅家")</f>
        <v>MangoHK大馬獅家</v>
      </c>
      <c r="C2647" s="80" t="s">
        <v>2990</v>
      </c>
      <c r="D2647" s="81" t="str">
        <f>HYPERLINK("https://youtube.com/watch?v=ED4x-rgergM", "【104】🚘半山豪宅Casaman👁大眼板麵家  {中英字幕} Subtitled | Malaysia DPC Casaman | Malaysia Vlog | mm2h")</f>
        <v>【104】🚘半山豪宅Casaman👁大眼板麵家  {中英字幕} Subtitled | Malaysia DPC Casaman | Malaysia Vlog | mm2h</v>
      </c>
      <c r="E2647" s="82">
        <v>44530.0</v>
      </c>
      <c r="F2647" s="80">
        <v>965.0</v>
      </c>
      <c r="G2647" s="80" t="s">
        <v>63</v>
      </c>
      <c r="I2647" s="80" t="s">
        <v>63</v>
      </c>
      <c r="J2647" s="80">
        <v>2697.0</v>
      </c>
      <c r="K2647" s="80">
        <v>0.929359062715368</v>
      </c>
      <c r="L2647" s="80" t="s">
        <v>896</v>
      </c>
    </row>
    <row r="2648">
      <c r="A2648" s="80" t="s">
        <v>1987</v>
      </c>
      <c r="B2648" s="81" t="str">
        <f t="shared" si="131"/>
        <v>MangoHK大馬獅家</v>
      </c>
      <c r="C2648" s="80" t="s">
        <v>2991</v>
      </c>
      <c r="D2648" s="81" t="str">
        <f>HYPERLINK("https://youtube.com/watch?v=EGGAD0650u8", "【41】👩🏻‍❤️‍💋‍👨🏻 戀戀情人橋🏝雪邦黃金海岸！{字幕}  Subtitled | Malaysia Sepang Goldcoast | Malaysia Vlog | mm2h")</f>
        <v>【41】👩🏻‍❤️‍💋‍👨🏻 戀戀情人橋🏝雪邦黃金海岸！{字幕}  Subtitled | Malaysia Sepang Goldcoast | Malaysia Vlog | mm2h</v>
      </c>
      <c r="E2648" s="82">
        <v>44470.0</v>
      </c>
      <c r="F2648" s="80">
        <v>488.0</v>
      </c>
      <c r="G2648" s="80" t="s">
        <v>63</v>
      </c>
      <c r="I2648" s="80" t="s">
        <v>63</v>
      </c>
      <c r="J2648" s="80">
        <v>1259.0</v>
      </c>
      <c r="K2648" s="80">
        <v>0.914970930232558</v>
      </c>
      <c r="L2648" s="80" t="s">
        <v>896</v>
      </c>
    </row>
    <row r="2649">
      <c r="A2649" s="80" t="s">
        <v>1987</v>
      </c>
      <c r="B2649" s="81" t="str">
        <f t="shared" si="131"/>
        <v>MangoHK大馬獅家</v>
      </c>
      <c r="C2649" s="80" t="s">
        <v>2992</v>
      </c>
      <c r="D2649" s="81" t="str">
        <f>HYPERLINK("https://youtube.com/watch?v=ELURK60uy1o", "【49】🇭🇰香港好地地🚀點解要移居? {中英字幕}  Subtitled | Why Malaysia MM2H | Malaysia Vlog | mm2h")</f>
        <v>【49】🇭🇰香港好地地🚀點解要移居? {中英字幕}  Subtitled | Why Malaysia MM2H | Malaysia Vlog | mm2h</v>
      </c>
      <c r="E2649" s="82">
        <v>44477.0</v>
      </c>
      <c r="F2649" s="80">
        <v>489.0</v>
      </c>
      <c r="G2649" s="80" t="s">
        <v>63</v>
      </c>
      <c r="I2649" s="80" t="s">
        <v>63</v>
      </c>
      <c r="J2649" s="80">
        <v>1502.0</v>
      </c>
      <c r="K2649" s="80">
        <v>0.986859395532194</v>
      </c>
      <c r="L2649" s="80" t="s">
        <v>896</v>
      </c>
    </row>
    <row r="2650">
      <c r="A2650" s="80" t="s">
        <v>2374</v>
      </c>
      <c r="B2650" s="81" t="str">
        <f>HYPERLINK("https://www.youtube.com/channel/UC0lbhIloP3pcKJT07YosZlQ", "講豬hi speakchuhi")</f>
        <v>講豬hi speakchuhi</v>
      </c>
      <c r="C2650" s="80" t="s">
        <v>2993</v>
      </c>
      <c r="D2650" s="81" t="str">
        <f>HYPERLINK("https://youtube.com/watch?v=EPc1DILqgcI", "[去台灣做人工受孕全過程分享] 2019 IUI/IVF 香港人工受孕一係等太耐❗️一係太貴❗️ [粵語中文字幕][CC]")</f>
        <v>[去台灣做人工受孕全過程分享] 2019 IUI/IVF 香港人工受孕一係等太耐❗️一係太貴❗️ [粵語中文字幕][CC]</v>
      </c>
      <c r="E2650" s="82">
        <v>43769.0</v>
      </c>
      <c r="F2650" s="80">
        <v>915.0</v>
      </c>
      <c r="G2650" s="80" t="s">
        <v>63</v>
      </c>
      <c r="I2650" s="80" t="s">
        <v>63</v>
      </c>
      <c r="J2650" s="80">
        <v>2547.0</v>
      </c>
      <c r="K2650" s="80">
        <v>0.917837837837837</v>
      </c>
      <c r="L2650" s="80" t="s">
        <v>64</v>
      </c>
    </row>
    <row r="2651">
      <c r="A2651" s="80" t="s">
        <v>238</v>
      </c>
      <c r="B2651" s="81" t="str">
        <f>HYPERLINK("https://www.youtube.com/channel/UCSBkm4LwpgBmcA3MCtO8vqg", "Post76影音玩樂")</f>
        <v>Post76影音玩樂</v>
      </c>
      <c r="C2651" s="80" t="s">
        <v>2994</v>
      </c>
      <c r="D2651" s="81" t="str">
        <f>HYPERLINK("https://youtube.com/watch?v=ESgVVoqEI1s", "AUVI x MIIK Studio-G 真無線藍牙耳機實試 – 突破 50ms 超低延遲封印 | 粵語 | 中文字幕【 耳機評測 | Post76.hk 】")</f>
        <v>AUVI x MIIK Studio-G 真無線藍牙耳機實試 – 突破 50ms 超低延遲封印 | 粵語 | 中文字幕【 耳機評測 | Post76.hk 】</v>
      </c>
      <c r="E2651" s="82">
        <v>44223.0</v>
      </c>
      <c r="F2651" s="80">
        <v>564.0</v>
      </c>
      <c r="G2651" s="80" t="s">
        <v>63</v>
      </c>
      <c r="H2651" s="80" t="s">
        <v>63</v>
      </c>
      <c r="I2651" s="80" t="s">
        <v>63</v>
      </c>
      <c r="J2651" s="80">
        <v>2349.0</v>
      </c>
      <c r="K2651" s="80">
        <v>0.906949806949807</v>
      </c>
      <c r="L2651" s="80" t="s">
        <v>236</v>
      </c>
    </row>
    <row r="2652">
      <c r="A2652" s="80" t="s">
        <v>1987</v>
      </c>
      <c r="B2652" s="81" t="str">
        <f>HYPERLINK("https://www.youtube.com/channel/UCgGUmm04nVyj-ftaCxVcyBg", "MangoHK大馬獅家")</f>
        <v>MangoHK大馬獅家</v>
      </c>
      <c r="C2652" s="80" t="s">
        <v>2995</v>
      </c>
      <c r="D2652" s="81" t="str">
        <f>HYPERLINK("https://youtube.com/watch?v=EUNYgtBnqlU", "【43】🚝鐵路初體驗😎野生捕獲周潤發！{中英字幕}  Subtitled | Malaysia MRT | Malaysia Vlog | mm2h")</f>
        <v>【43】🚝鐵路初體驗😎野生捕獲周潤發！{中英字幕}  Subtitled | Malaysia MRT | Malaysia Vlog | mm2h</v>
      </c>
      <c r="E2652" s="82">
        <v>44471.0</v>
      </c>
      <c r="F2652" s="80">
        <v>483.0</v>
      </c>
      <c r="G2652" s="80" t="s">
        <v>63</v>
      </c>
      <c r="I2652" s="80" t="s">
        <v>63</v>
      </c>
      <c r="J2652" s="80">
        <v>1356.0</v>
      </c>
      <c r="K2652" s="80">
        <v>0.952916373858046</v>
      </c>
      <c r="L2652" s="80" t="s">
        <v>896</v>
      </c>
    </row>
    <row r="2653">
      <c r="A2653" s="80" t="s">
        <v>248</v>
      </c>
      <c r="B2653" s="81" t="str">
        <f t="shared" ref="B2653:B2654" si="132">HYPERLINK("https://www.youtube.com/channel/UCUEJok-GiWaGlv5nIPwk-GQ", "Price.com.hk 香港格價網")</f>
        <v>Price.com.hk 香港格價網</v>
      </c>
      <c r="C2653" s="80" t="s">
        <v>2996</v>
      </c>
      <c r="D2653" s="81" t="str">
        <f>HYPERLINK("https://youtube.com/watch?v=EUgjIUYUNfY", "買無線耳機前要知！一次試聽晒SBC、AAC、aptX、LDAC 藍牙編碼音質｜Bluetooth｜Codec｜TWS｜試聲｜廣東話【Price.com.hk產品評測】")</f>
        <v>買無線耳機前要知！一次試聽晒SBC、AAC、aptX、LDAC 藍牙編碼音質｜Bluetooth｜Codec｜TWS｜試聲｜廣東話【Price.com.hk產品評測】</v>
      </c>
      <c r="E2653" s="82">
        <v>44525.0</v>
      </c>
      <c r="F2653" s="80">
        <v>630.0</v>
      </c>
      <c r="G2653" s="80" t="s">
        <v>63</v>
      </c>
      <c r="I2653" s="80" t="s">
        <v>63</v>
      </c>
      <c r="J2653" s="80">
        <v>1588.0</v>
      </c>
      <c r="K2653" s="80">
        <v>0.701413427561837</v>
      </c>
      <c r="L2653" s="80" t="s">
        <v>64</v>
      </c>
    </row>
    <row r="2654">
      <c r="A2654" s="80" t="s">
        <v>248</v>
      </c>
      <c r="B2654" s="81" t="str">
        <f t="shared" si="132"/>
        <v>Price.com.hk 香港格價網</v>
      </c>
      <c r="C2654" s="80" t="s">
        <v>2997</v>
      </c>
      <c r="D2654" s="81" t="str">
        <f>HYPERLINK("https://youtube.com/watch?v=EVPh2HbfSps", "iPhone 12 壞機無得1換1？．入門電影機 Sony FX3 傳下周發佈．《鬼滅之刃》第二季今年有得睇｜廣東話【Price Weekly #50 2021年2月 】")</f>
        <v>iPhone 12 壞機無得1換1？．入門電影機 Sony FX3 傳下周發佈．《鬼滅之刃》第二季今年有得睇｜廣東話【Price Weekly #50 2021年2月 】</v>
      </c>
      <c r="E2654" s="82">
        <v>44246.0</v>
      </c>
      <c r="F2654" s="80">
        <v>374.0</v>
      </c>
      <c r="G2654" s="80" t="s">
        <v>63</v>
      </c>
      <c r="I2654" s="80" t="s">
        <v>63</v>
      </c>
      <c r="J2654" s="80">
        <v>1224.0</v>
      </c>
      <c r="K2654" s="80">
        <v>0.716627634660421</v>
      </c>
      <c r="L2654" s="80" t="s">
        <v>64</v>
      </c>
    </row>
    <row r="2655">
      <c r="A2655" s="80" t="s">
        <v>127</v>
      </c>
      <c r="B2655" s="81" t="str">
        <f t="shared" ref="B2655:B2657" si="133">HYPERLINK("https://www.youtube.com/channel/UC97oYK3XMf9RLtkc0lO8C-Q", "健康旦 HiEggo")</f>
        <v>健康旦 HiEggo</v>
      </c>
      <c r="C2655" s="80" t="s">
        <v>2998</v>
      </c>
      <c r="D2655" s="81" t="str">
        <f>HYPERLINK("https://youtube.com/watch?v=EX3mvkTn1k4", "阿旦即打流感針  胡志遠醫生提你著擋水性高嘅衫 愈近門口愈要消毒 - 鄭丹瑞《健康旦》胡志遠醫生 PART 2 (CC中文字幕)")</f>
        <v>阿旦即打流感針  胡志遠醫生提你著擋水性高嘅衫 愈近門口愈要消毒 - 鄭丹瑞《健康旦》胡志遠醫生 PART 2 (CC中文字幕)</v>
      </c>
      <c r="E2655" s="82">
        <v>43879.0</v>
      </c>
      <c r="F2655" s="80">
        <v>815.0</v>
      </c>
      <c r="G2655" s="80" t="s">
        <v>63</v>
      </c>
      <c r="I2655" s="80" t="s">
        <v>63</v>
      </c>
      <c r="J2655" s="80">
        <v>2789.0</v>
      </c>
      <c r="K2655" s="80">
        <v>0.990411931818181</v>
      </c>
      <c r="L2655" s="80" t="s">
        <v>102</v>
      </c>
    </row>
    <row r="2656">
      <c r="A2656" s="80" t="s">
        <v>127</v>
      </c>
      <c r="B2656" s="81" t="str">
        <f t="shared" si="133"/>
        <v>健康旦 HiEggo</v>
      </c>
      <c r="C2656" s="80" t="s">
        <v>2999</v>
      </c>
      <c r="D2656" s="81" t="str">
        <f>HYPERLINK("https://youtube.com/watch?v=EXSjM7ga-q4", "脊醫朱銘謙解釋肩梗膊痛背後原因 練力帶運動幫文員拉鬆背肌 - 鄭丹瑞《健康旦》脊醫朱銘謙 Part 2 (CC中文字幕)")</f>
        <v>脊醫朱銘謙解釋肩梗膊痛背後原因 練力帶運動幫文員拉鬆背肌 - 鄭丹瑞《健康旦》脊醫朱銘謙 Part 2 (CC中文字幕)</v>
      </c>
      <c r="E2656" s="82">
        <v>43949.0</v>
      </c>
      <c r="F2656" s="80">
        <v>656.0</v>
      </c>
      <c r="G2656" s="80" t="s">
        <v>63</v>
      </c>
      <c r="I2656" s="80" t="s">
        <v>63</v>
      </c>
      <c r="J2656" s="80">
        <v>2385.0</v>
      </c>
      <c r="K2656" s="80">
        <v>0.990859991690901</v>
      </c>
      <c r="L2656" s="80" t="s">
        <v>64</v>
      </c>
    </row>
    <row r="2657">
      <c r="A2657" s="80" t="s">
        <v>127</v>
      </c>
      <c r="B2657" s="81" t="str">
        <f t="shared" si="133"/>
        <v>健康旦 HiEggo</v>
      </c>
      <c r="C2657" s="80" t="s">
        <v>3000</v>
      </c>
      <c r="D2657" s="81" t="str">
        <f>HYPERLINK("https://youtube.com/watch?v=EXojXKybgPg", "【號外】薛家燕與你齊心抗疫 祝香港人身體健康 - 鄭丹瑞 旦Vlog (CC中文字幕)")</f>
        <v>【號外】薛家燕與你齊心抗疫 祝香港人身體健康 - 鄭丹瑞 旦Vlog (CC中文字幕)</v>
      </c>
      <c r="E2657" s="82">
        <v>44041.0</v>
      </c>
      <c r="F2657" s="80">
        <v>48.0</v>
      </c>
      <c r="G2657" s="80" t="s">
        <v>63</v>
      </c>
      <c r="I2657" s="80" t="s">
        <v>63</v>
      </c>
      <c r="J2657" s="80">
        <v>99.0</v>
      </c>
      <c r="K2657" s="80">
        <v>0.970588235294117</v>
      </c>
      <c r="L2657" s="80" t="s">
        <v>64</v>
      </c>
    </row>
    <row r="2658">
      <c r="A2658" s="80" t="s">
        <v>1987</v>
      </c>
      <c r="B2658" s="81" t="str">
        <f>HYPERLINK("https://www.youtube.com/channel/UCgGUmm04nVyj-ftaCxVcyBg", "MangoHK大馬獅家")</f>
        <v>MangoHK大馬獅家</v>
      </c>
      <c r="C2658" s="80" t="s">
        <v>3001</v>
      </c>
      <c r="D2658" s="81" t="str">
        <f>HYPERLINK("https://youtube.com/watch?v=EYHaA6QPda4", "【37】💒周末睇地屋📅回顧MM2H批核！{中英字幕}  Subtitled | Malaysia land house | Malaysia Vlog | mm2h")</f>
        <v>【37】💒周末睇地屋📅回顧MM2H批核！{中英字幕}  Subtitled | Malaysia land house | Malaysia Vlog | mm2h</v>
      </c>
      <c r="E2658" s="82">
        <v>44467.0</v>
      </c>
      <c r="F2658" s="80">
        <v>487.0</v>
      </c>
      <c r="G2658" s="80" t="s">
        <v>63</v>
      </c>
      <c r="I2658" s="80" t="s">
        <v>63</v>
      </c>
      <c r="J2658" s="80">
        <v>1132.0</v>
      </c>
      <c r="K2658" s="80">
        <v>0.976704055220017</v>
      </c>
      <c r="L2658" s="80" t="s">
        <v>896</v>
      </c>
    </row>
    <row r="2659">
      <c r="A2659" s="80" t="s">
        <v>1260</v>
      </c>
      <c r="B2659" s="81" t="str">
        <f>HYPERLINK("https://www.youtube.com/channel/UCh1k4i86BpiXEO3nzJIYynw", "The Wave")</f>
        <v>The Wave</v>
      </c>
      <c r="C2659" s="80" t="s">
        <v>3002</v>
      </c>
      <c r="D2659" s="81" t="str">
        <f>HYPERLINK("https://youtube.com/watch?v=E_aO25Tx25E", "TheWave | Sony CES 2020 | 2分鐘")</f>
        <v>TheWave | Sony CES 2020 | 2分鐘</v>
      </c>
      <c r="E2659" s="82">
        <v>43839.0</v>
      </c>
      <c r="F2659" s="80">
        <v>125.0</v>
      </c>
      <c r="G2659" s="80" t="s">
        <v>63</v>
      </c>
      <c r="H2659" s="80" t="s">
        <v>63</v>
      </c>
      <c r="I2659" s="80" t="s">
        <v>63</v>
      </c>
      <c r="J2659" s="80">
        <v>425.0</v>
      </c>
      <c r="K2659" s="80">
        <v>0.80188679245283</v>
      </c>
      <c r="L2659" s="80" t="s">
        <v>1634</v>
      </c>
    </row>
    <row r="2660">
      <c r="A2660" s="80" t="s">
        <v>1987</v>
      </c>
      <c r="B2660" s="81" t="str">
        <f>HYPERLINK("https://www.youtube.com/channel/UCgGUmm04nVyj-ftaCxVcyBg", "MangoHK大馬獅家")</f>
        <v>MangoHK大馬獅家</v>
      </c>
      <c r="C2660" s="80" t="s">
        <v>3003</v>
      </c>
      <c r="D2660" s="81" t="str">
        <f>HYPERLINK("https://youtube.com/watch?v=EbobMstfF0w", "【98】⛴獨立旅遊篇👦🏻兩個背包行 {中英字幕} Subtitled | Teach kid at Shanghai | Malaysia Vlog | mm2h")</f>
        <v>【98】⛴獨立旅遊篇👦🏻兩個背包行 {中英字幕} Subtitled | Teach kid at Shanghai | Malaysia Vlog | mm2h</v>
      </c>
      <c r="E2660" s="82">
        <v>44525.0</v>
      </c>
      <c r="F2660" s="80">
        <v>799.0</v>
      </c>
      <c r="G2660" s="80" t="s">
        <v>63</v>
      </c>
      <c r="I2660" s="80" t="s">
        <v>63</v>
      </c>
      <c r="J2660" s="80">
        <v>1344.0</v>
      </c>
      <c r="K2660" s="80">
        <v>0.999256505576208</v>
      </c>
      <c r="L2660" s="80" t="s">
        <v>896</v>
      </c>
    </row>
    <row r="2661">
      <c r="A2661" s="80" t="s">
        <v>108</v>
      </c>
      <c r="B2661" s="81" t="str">
        <f>HYPERLINK("https://www.youtube.com/channel/UCZL6QN6Xs-ZrKY3y6Pv6Emg", "廢青 - 日賺3000")</f>
        <v>廢青 - 日賺3000</v>
      </c>
      <c r="C2661" s="80" t="s">
        <v>3004</v>
      </c>
      <c r="D2661" s="81" t="str">
        <f>HYPERLINK("https://youtube.com/watch?v=EbxN2p_PzII", "廢青On9ineTrain藍圖 🗺️📍 - 廢青的財務自由藏寶圖【點CC看中文字幕】-【廢友限定】")</f>
        <v>廢青On9ineTrain藍圖 🗺️📍 - 廢青的財務自由藏寶圖【點CC看中文字幕】-【廢友限定】</v>
      </c>
      <c r="E2661" s="82">
        <v>44008.0</v>
      </c>
      <c r="F2661" s="80">
        <v>983.0</v>
      </c>
      <c r="G2661" s="80" t="s">
        <v>63</v>
      </c>
      <c r="I2661" s="80" t="s">
        <v>63</v>
      </c>
      <c r="J2661" s="80">
        <v>4027.0</v>
      </c>
      <c r="K2661" s="80">
        <v>0.853358762449671</v>
      </c>
      <c r="L2661" s="80" t="s">
        <v>64</v>
      </c>
    </row>
    <row r="2662">
      <c r="A2662" s="80" t="s">
        <v>293</v>
      </c>
      <c r="B2662" s="81" t="str">
        <f>HYPERLINK("https://www.youtube.com/channel/UCXRcbXqjORdIvl63I7MtOLQ", "趁熱 Kerry 's kitchen")</f>
        <v>趁熱 Kerry 's kitchen</v>
      </c>
      <c r="C2662" s="80" t="s">
        <v>3005</v>
      </c>
      <c r="D2662" s="81" t="str">
        <f>HYPERLINK("https://youtube.com/watch?v=Eiz5iABkUf0", "薏米 湯/去濕湯/瑞士火腿薏米湯/瑞士家常菜/簡單 家做/新手 入門/廣東話/中字")</f>
        <v>薏米 湯/去濕湯/瑞士火腿薏米湯/瑞士家常菜/簡單 家做/新手 入門/廣東話/中字</v>
      </c>
      <c r="E2662" s="82">
        <v>44469.0</v>
      </c>
      <c r="F2662" s="80">
        <v>395.0</v>
      </c>
      <c r="G2662" s="80" t="s">
        <v>63</v>
      </c>
      <c r="I2662" s="80" t="s">
        <v>63</v>
      </c>
      <c r="J2662" s="80">
        <v>563.0</v>
      </c>
      <c r="K2662" s="80">
        <v>0.977430555555555</v>
      </c>
      <c r="L2662" s="80" t="s">
        <v>64</v>
      </c>
    </row>
    <row r="2663">
      <c r="A2663" s="80" t="s">
        <v>127</v>
      </c>
      <c r="B2663" s="81" t="str">
        <f>HYPERLINK("https://www.youtube.com/channel/UC97oYK3XMf9RLtkc0lO8C-Q", "健康旦 HiEggo")</f>
        <v>健康旦 HiEggo</v>
      </c>
      <c r="C2663" s="80" t="s">
        <v>3006</v>
      </c>
      <c r="D2663" s="81" t="str">
        <f>HYPERLINK("https://youtube.com/watch?v=EsuIfUBkmus", "科技推動自然療法 李維恩教授話你知 大大小小血管問題 - 鄭丹瑞《健康旦》 李維恩教授 Part 5 (CC中文字幕)")</f>
        <v>科技推動自然療法 李維恩教授話你知 大大小小血管問題 - 鄭丹瑞《健康旦》 李維恩教授 Part 5 (CC中文字幕)</v>
      </c>
      <c r="E2663" s="82">
        <v>43893.0</v>
      </c>
      <c r="F2663" s="80">
        <v>812.0</v>
      </c>
      <c r="G2663" s="80" t="s">
        <v>63</v>
      </c>
      <c r="I2663" s="80" t="s">
        <v>63</v>
      </c>
      <c r="J2663" s="80">
        <v>2843.0</v>
      </c>
      <c r="K2663" s="80">
        <v>0.974297464016449</v>
      </c>
      <c r="L2663" s="80" t="s">
        <v>102</v>
      </c>
    </row>
    <row r="2664">
      <c r="A2664" s="80" t="s">
        <v>293</v>
      </c>
      <c r="B2664" s="81" t="str">
        <f>HYPERLINK("https://www.youtube.com/channel/UCXRcbXqjORdIvl63I7MtOLQ", "趁熱 Kerry 's kitchen")</f>
        <v>趁熱 Kerry 's kitchen</v>
      </c>
      <c r="C2664" s="80" t="s">
        <v>3007</v>
      </c>
      <c r="D2664" s="81" t="str">
        <f>HYPERLINK("https://youtube.com/watch?v=EwQvfoEsBxQ", "街頭 美味/碗仔翅/地道香港/簡單 家做/新手 入門/粵語/請打開右下角字幕,提供中字幕,,")</f>
        <v>街頭 美味/碗仔翅/地道香港/簡單 家做/新手 入門/粵語/請打開右下角字幕,提供中字幕,,</v>
      </c>
      <c r="E2664" s="82">
        <v>44368.0</v>
      </c>
      <c r="F2664" s="80">
        <v>298.0</v>
      </c>
      <c r="G2664" s="80" t="s">
        <v>63</v>
      </c>
      <c r="I2664" s="80" t="s">
        <v>63</v>
      </c>
      <c r="J2664" s="80">
        <v>829.0</v>
      </c>
      <c r="K2664" s="80">
        <v>0.960602549246813</v>
      </c>
      <c r="L2664" s="80" t="s">
        <v>64</v>
      </c>
    </row>
    <row r="2665">
      <c r="A2665" s="80" t="s">
        <v>3008</v>
      </c>
      <c r="B2665" s="81" t="str">
        <f>HYPERLINK("https://www.youtube.com/channel/UC_kQIuKI5cZjV3OZsSuaj_Q", "Kofgym")</f>
        <v>Kofgym</v>
      </c>
      <c r="C2665" s="80" t="s">
        <v>3009</v>
      </c>
      <c r="D2665" s="81" t="str">
        <f>HYPERLINK("https://youtube.com/watch?v=Ewi1FADGwIM", "爆石時間｜巨大壓力下你還能突破嗎?")</f>
        <v>爆石時間｜巨大壓力下你還能突破嗎?</v>
      </c>
      <c r="E2665" s="82">
        <v>44456.0</v>
      </c>
      <c r="F2665" s="80">
        <v>87.0</v>
      </c>
      <c r="G2665" s="80" t="s">
        <v>63</v>
      </c>
      <c r="I2665" s="80" t="s">
        <v>63</v>
      </c>
      <c r="J2665" s="80">
        <v>103.0</v>
      </c>
      <c r="K2665" s="80">
        <v>0.7984496124031</v>
      </c>
      <c r="L2665" s="80" t="s">
        <v>64</v>
      </c>
    </row>
    <row r="2666">
      <c r="A2666" s="80" t="s">
        <v>127</v>
      </c>
      <c r="B2666" s="81" t="str">
        <f>HYPERLINK("https://www.youtube.com/channel/UC97oYK3XMf9RLtkc0lO8C-Q", "健康旦 HiEggo")</f>
        <v>健康旦 HiEggo</v>
      </c>
      <c r="C2666" s="80" t="s">
        <v>3010</v>
      </c>
      <c r="D2666" s="81" t="str">
        <f>HYPERLINK("https://youtube.com/watch?v=EyscoLMK8Ko", "大女鄭瑤去慈山寺修習慈心 阿旦反建議老婆去學 鍛煉心量改變處事態度 - 鄭丹瑞《健康旦》旦Vlog")</f>
        <v>大女鄭瑤去慈山寺修習慈心 阿旦反建議老婆去學 鍛煉心量改變處事態度 - 鄭丹瑞《健康旦》旦Vlog</v>
      </c>
      <c r="E2666" s="82">
        <v>43976.0</v>
      </c>
      <c r="F2666" s="80">
        <v>674.0</v>
      </c>
      <c r="G2666" s="80" t="s">
        <v>63</v>
      </c>
      <c r="I2666" s="80" t="s">
        <v>63</v>
      </c>
      <c r="J2666" s="80">
        <v>2625.0</v>
      </c>
      <c r="K2666" s="80">
        <v>0.986842105263157</v>
      </c>
      <c r="L2666" s="80" t="s">
        <v>64</v>
      </c>
    </row>
    <row r="2667">
      <c r="A2667" s="80" t="s">
        <v>2753</v>
      </c>
      <c r="B2667" s="81" t="str">
        <f>HYPERLINK("https://www.youtube.com/channel/UCxRXNy5P6fLtHYpawxoiqJQ", "焦點視頻")</f>
        <v>焦點視頻</v>
      </c>
      <c r="C2667" s="80" t="s">
        <v>3011</v>
      </c>
      <c r="D2667" s="81" t="str">
        <f>HYPERLINK("https://youtube.com/watch?v=F3O3KzpQYKc", "香港97回歸八字分析2022壬寅年現象《李應聰風水命理》 #香港八字 #2022 #壬寅年 #中港通關 #移民 #李應聰 EP121 20211128")</f>
        <v>香港97回歸八字分析2022壬寅年現象《李應聰風水命理》 #香港八字 #2022 #壬寅年 #中港通關 #移民 #李應聰 EP121 20211128</v>
      </c>
      <c r="E2667" s="82">
        <v>44527.0</v>
      </c>
      <c r="F2667" s="80">
        <v>1916.0</v>
      </c>
      <c r="G2667" s="80" t="s">
        <v>63</v>
      </c>
      <c r="I2667" s="80" t="s">
        <v>63</v>
      </c>
      <c r="J2667" s="80">
        <v>8473.0</v>
      </c>
      <c r="K2667" s="80">
        <v>0.992270757699964</v>
      </c>
      <c r="L2667" s="80" t="s">
        <v>3012</v>
      </c>
    </row>
    <row r="2668">
      <c r="A2668" s="80" t="s">
        <v>2793</v>
      </c>
      <c r="B2668" s="81" t="str">
        <f>HYPERLINK("https://www.youtube.com/channel/UC03mRlT2h1B4LohYaIj9lHg", "Messiah2048")</f>
        <v>Messiah2048</v>
      </c>
      <c r="C2668" s="80" t="s">
        <v>3013</v>
      </c>
      <c r="D2668" s="81" t="str">
        <f>HYPERLINK("https://youtube.com/watch?v=F4WfkEbO5UQ", "郭榮鏗：所有法律界人士都以你為恥！『李家超』『鄭若驊』發言，都加了『字幕』】")</f>
        <v>郭榮鏗：所有法律界人士都以你為恥！『李家超』『鄭若驊』發言，都加了『字幕』】</v>
      </c>
      <c r="E2668" s="82">
        <v>43616.0</v>
      </c>
      <c r="F2668" s="80">
        <v>550.0</v>
      </c>
      <c r="G2668" s="80" t="s">
        <v>63</v>
      </c>
      <c r="I2668" s="80" t="s">
        <v>63</v>
      </c>
      <c r="J2668" s="80">
        <v>1072.0</v>
      </c>
      <c r="K2668" s="80">
        <v>0.970135746606334</v>
      </c>
      <c r="L2668" s="80" t="s">
        <v>64</v>
      </c>
    </row>
    <row r="2669">
      <c r="A2669" s="80" t="s">
        <v>1139</v>
      </c>
      <c r="B2669" s="81" t="str">
        <f>HYPERLINK("https://www.youtube.com/channel/UCw51gVFijIewmXH4tIR0ufw", "Crystal Zen")</f>
        <v>Crystal Zen</v>
      </c>
      <c r="C2669" s="80" t="s">
        <v>3014</v>
      </c>
      <c r="D2669" s="81" t="str">
        <f>HYPERLINK("https://youtube.com/watch?v=F4gHplatyT4", "有啲嘢，淨係戴水晶係唔會幫到你。婚姻危機 | 結婚 | 離婚 | 夫妻關係 | 生育  (按CC制開啟字幕)")</f>
        <v>有啲嘢，淨係戴水晶係唔會幫到你。婚姻危機 | 結婚 | 離婚 | 夫妻關係 | 生育  (按CC制開啟字幕)</v>
      </c>
      <c r="E2669" s="82">
        <v>44499.0</v>
      </c>
      <c r="F2669" s="80">
        <v>569.0</v>
      </c>
      <c r="G2669" s="80" t="s">
        <v>63</v>
      </c>
      <c r="I2669" s="80" t="s">
        <v>63</v>
      </c>
      <c r="J2669" s="80">
        <v>2008.0</v>
      </c>
      <c r="K2669" s="80">
        <v>0.970986460348162</v>
      </c>
      <c r="L2669" s="80" t="s">
        <v>64</v>
      </c>
    </row>
    <row r="2670">
      <c r="A2670" s="80" t="s">
        <v>2972</v>
      </c>
      <c r="B2670" s="81" t="str">
        <f>HYPERLINK("https://www.youtube.com/channel/UCVMEQdIDLjHcKAsEwhVXEoQ", "Danny W.")</f>
        <v>Danny W.</v>
      </c>
      <c r="C2670" s="80" t="s">
        <v>3015</v>
      </c>
      <c r="D2670" s="81" t="str">
        <f>HYPERLINK("https://youtube.com/watch?v=F5Dve-q0A4k", "DSE Math Error 第一集")</f>
        <v>DSE Math Error 第一集</v>
      </c>
      <c r="E2670" s="82">
        <v>44327.0</v>
      </c>
      <c r="F2670" s="80">
        <v>106.0</v>
      </c>
      <c r="G2670" s="80" t="s">
        <v>63</v>
      </c>
      <c r="I2670" s="80" t="s">
        <v>63</v>
      </c>
      <c r="J2670" s="80">
        <v>217.0</v>
      </c>
      <c r="K2670" s="80">
        <v>0.5425</v>
      </c>
      <c r="L2670" s="80" t="s">
        <v>102</v>
      </c>
    </row>
    <row r="2671">
      <c r="A2671" s="80" t="s">
        <v>98</v>
      </c>
      <c r="B2671" s="81" t="str">
        <f>HYPERLINK("https://www.youtube.com/channel/UCrquuQB6v1Ued2xyRKZreGQ", "Stephen Leung ")</f>
        <v>Stephen Leung </v>
      </c>
      <c r="C2671" s="80" t="s">
        <v>3016</v>
      </c>
      <c r="D2671" s="81" t="str">
        <f>HYPERLINK("https://youtube.com/watch?v=F8V3edK_WNo", "【香港美食】平價 抵食之選 $178 全包!!!  酒店自助餐 美國生蠔 燒羊腿 海南雞飯 雪糕 甜品 旺角仕德福酒店 德福閣 午市自助餐 | 吃喝玩樂  香港好去處 香港youtuber")</f>
        <v>【香港美食】平價 抵食之選 $178 全包!!!  酒店自助餐 美國生蠔 燒羊腿 海南雞飯 雪糕 甜品 旺角仕德福酒店 德福閣 午市自助餐 | 吃喝玩樂  香港好去處 香港youtuber</v>
      </c>
      <c r="E2671" s="82">
        <v>44494.0</v>
      </c>
      <c r="F2671" s="80">
        <v>734.0</v>
      </c>
      <c r="G2671" s="80" t="s">
        <v>63</v>
      </c>
      <c r="I2671" s="80" t="s">
        <v>63</v>
      </c>
      <c r="J2671" s="80">
        <v>1636.0</v>
      </c>
      <c r="K2671" s="80">
        <v>0.967474866942637</v>
      </c>
      <c r="L2671" s="80" t="s">
        <v>64</v>
      </c>
    </row>
    <row r="2672">
      <c r="A2672" s="80" t="s">
        <v>2041</v>
      </c>
      <c r="B2672" s="81" t="str">
        <f>HYPERLINK("https://www.youtube.com/channel/UCO6pB-ZN4XJ6MVkibvuEe0A", "SingSingTracker 星昇財經指標")</f>
        <v>SingSingTracker 星昇財經指標</v>
      </c>
      <c r="C2672" s="80" t="s">
        <v>3017</v>
      </c>
      <c r="D2672" s="81" t="str">
        <f>HYPERLINK("https://youtube.com/watch?v=FAXHyd4JKLw", "【中概股風暴🌪,神秘賣家揭曉❓】如何一夜之間破人類單日輸錢紀錄【點CC中文字幕】#FWCChannel")</f>
        <v>【中概股風暴🌪,神秘賣家揭曉❓】如何一夜之間破人類單日輸錢紀錄【點CC中文字幕】#FWCChannel</v>
      </c>
      <c r="E2672" s="82">
        <v>44287.0</v>
      </c>
      <c r="F2672" s="80">
        <v>281.0</v>
      </c>
      <c r="G2672" s="80" t="s">
        <v>63</v>
      </c>
      <c r="I2672" s="80" t="s">
        <v>63</v>
      </c>
      <c r="J2672" s="80">
        <v>931.0</v>
      </c>
      <c r="K2672" s="80">
        <v>0.879131255901794</v>
      </c>
      <c r="L2672" s="80" t="s">
        <v>64</v>
      </c>
    </row>
    <row r="2673">
      <c r="A2673" s="80" t="s">
        <v>288</v>
      </c>
      <c r="B2673" s="81" t="str">
        <f>HYPERLINK("https://www.youtube.com/channel/UCDWOYEhVnyD4IHZGVAMLc0g", "Brendan 毛爸")</f>
        <v>Brendan 毛爸</v>
      </c>
      <c r="C2673" s="80" t="s">
        <v>3018</v>
      </c>
      <c r="D2673" s="81" t="str">
        <f>HYPERLINK("https://youtube.com/watch?v=FBNsTDPZqhE", "【豆豉鯪魚炒苦瓜 】 炒苦瓜秘訣分享｜減少苦瓜苦味｜保持苦瓜翠綠｜簡單家常小菜｜超簡易｜【毛飯家庭EP17】(CC 中文字幕）")</f>
        <v>【豆豉鯪魚炒苦瓜 】 炒苦瓜秘訣分享｜減少苦瓜苦味｜保持苦瓜翠綠｜簡單家常小菜｜超簡易｜【毛飯家庭EP17】(CC 中文字幕）</v>
      </c>
      <c r="E2673" s="82">
        <v>44040.0</v>
      </c>
      <c r="F2673" s="80">
        <v>235.0</v>
      </c>
      <c r="G2673" s="80" t="s">
        <v>63</v>
      </c>
      <c r="I2673" s="80" t="s">
        <v>63</v>
      </c>
      <c r="J2673" s="80">
        <v>834.0</v>
      </c>
      <c r="K2673" s="80">
        <v>0.97429906542056</v>
      </c>
      <c r="L2673" s="80" t="s">
        <v>64</v>
      </c>
    </row>
    <row r="2674">
      <c r="A2674" s="80" t="s">
        <v>291</v>
      </c>
      <c r="B2674" s="81" t="str">
        <f>HYPERLINK("https://www.youtube.com/channel/UClSNJbCUCp_W4yrS3DlCmjw", "飛馬 PEGASUS")</f>
        <v>飛馬 PEGASUS</v>
      </c>
      <c r="C2674" s="80" t="s">
        <v>3019</v>
      </c>
      <c r="D2674" s="81" t="str">
        <f>HYPERLINK("https://youtube.com/watch?v=FEjRpDwyY9Y", "[砌機新手 EP1] Intel i3 i5 i7 i9 CPU 應該點揀? (CC中文字幕) (2020 重製版)")</f>
        <v>[砌機新手 EP1] Intel i3 i5 i7 i9 CPU 應該點揀? (CC中文字幕) (2020 重製版)</v>
      </c>
      <c r="E2674" s="82">
        <v>43970.0</v>
      </c>
      <c r="F2674" s="80">
        <v>314.0</v>
      </c>
      <c r="G2674" s="80" t="s">
        <v>63</v>
      </c>
      <c r="I2674" s="80" t="s">
        <v>63</v>
      </c>
      <c r="J2674" s="80">
        <v>1054.0</v>
      </c>
      <c r="K2674" s="80">
        <v>0.752857142857142</v>
      </c>
      <c r="L2674" s="80" t="s">
        <v>64</v>
      </c>
    </row>
    <row r="2675">
      <c r="A2675" s="80" t="s">
        <v>127</v>
      </c>
      <c r="B2675" s="81" t="str">
        <f>HYPERLINK("https://www.youtube.com/channel/UC97oYK3XMf9RLtkc0lO8C-Q", "健康旦 HiEggo")</f>
        <v>健康旦 HiEggo</v>
      </c>
      <c r="C2675" s="80" t="s">
        <v>3020</v>
      </c>
      <c r="D2675" s="81" t="str">
        <f>HYPERLINK("https://youtube.com/watch?v=FK_B8bKLSfg", "小肥計劃進攻 YouTube！大讚澳門政府疫情應變快 - 鄭丹瑞《健康旦》小肥 Part1 (CC中文字幕)")</f>
        <v>小肥計劃進攻 YouTube！大讚澳門政府疫情應變快 - 鄭丹瑞《健康旦》小肥 Part1 (CC中文字幕)</v>
      </c>
      <c r="E2675" s="82">
        <v>43910.0</v>
      </c>
      <c r="F2675" s="80">
        <v>789.0</v>
      </c>
      <c r="G2675" s="80" t="s">
        <v>63</v>
      </c>
      <c r="I2675" s="80" t="s">
        <v>63</v>
      </c>
      <c r="J2675" s="80">
        <v>3129.0</v>
      </c>
      <c r="K2675" s="80">
        <v>0.993648777389647</v>
      </c>
      <c r="L2675" s="80" t="s">
        <v>102</v>
      </c>
    </row>
    <row r="2676">
      <c r="A2676" s="80" t="s">
        <v>3021</v>
      </c>
      <c r="B2676" s="81" t="str">
        <f>HYPERLINK("https://www.youtube.com/channel/UCEZ8fnigqno2a1z2_JSYjxQ", "9up Youtuber")</f>
        <v>9up Youtuber</v>
      </c>
      <c r="C2676" s="80" t="s">
        <v>3022</v>
      </c>
      <c r="D2676" s="81" t="str">
        <f>HYPERLINK("https://youtube.com/watch?v=FKl1-QW9C5s", "面容分析對錯？！|屎萊姆VS大J|層壓式夾公仔機風暴|Youtuber格鬥大賽 |9up分析")</f>
        <v>面容分析對錯？！|屎萊姆VS大J|層壓式夾公仔機風暴|Youtuber格鬥大賽 |9up分析</v>
      </c>
      <c r="E2676" s="82">
        <v>43936.0</v>
      </c>
      <c r="F2676" s="80">
        <v>197.0</v>
      </c>
      <c r="G2676" s="80" t="s">
        <v>63</v>
      </c>
      <c r="I2676" s="80" t="s">
        <v>63</v>
      </c>
      <c r="J2676" s="80">
        <v>178.0</v>
      </c>
      <c r="K2676" s="80">
        <v>0.824074074074074</v>
      </c>
      <c r="L2676" s="80" t="s">
        <v>64</v>
      </c>
    </row>
    <row r="2677">
      <c r="A2677" s="80" t="s">
        <v>84</v>
      </c>
      <c r="B2677" s="81" t="str">
        <f>HYPERLINK("https://www.youtube.com/channel/UCs6fW24aVjefTsognevmDnA", "PakTil 拍跳")</f>
        <v>PakTil 拍跳</v>
      </c>
      <c r="C2677" s="80" t="s">
        <v>3023</v>
      </c>
      <c r="D2677" s="81" t="str">
        <f>HYPERLINK("https://youtube.com/watch?v=FMPO8xSQ0yU", "【拍跳短跑】酒不醉人人自醉")</f>
        <v>【拍跳短跑】酒不醉人人自醉</v>
      </c>
      <c r="E2677" s="82">
        <v>44014.0</v>
      </c>
      <c r="F2677" s="80">
        <v>41.0</v>
      </c>
      <c r="G2677" s="80" t="s">
        <v>63</v>
      </c>
      <c r="I2677" s="80" t="s">
        <v>63</v>
      </c>
      <c r="J2677" s="80">
        <v>70.0</v>
      </c>
      <c r="K2677" s="80">
        <v>0.786516853932584</v>
      </c>
      <c r="L2677" s="80" t="s">
        <v>64</v>
      </c>
    </row>
    <row r="2678">
      <c r="A2678" s="80" t="s">
        <v>127</v>
      </c>
      <c r="B2678" s="81" t="str">
        <f>HYPERLINK("https://www.youtube.com/channel/UC97oYK3XMf9RLtkc0lO8C-Q", "健康旦 HiEggo")</f>
        <v>健康旦 HiEggo</v>
      </c>
      <c r="C2678" s="80" t="s">
        <v>3024</v>
      </c>
      <c r="D2678" s="81" t="str">
        <f>HYPERLINK("https://youtube.com/watch?v=FMwL-nmI6Qw", "濕疹成因與免疫系統有關 特殊飲食組合可舒緩 納豆泡菜乳酪食物含豐富益生菌 - 鄭丹瑞《健康旦》#李維恩 教授 Part 15 (CC中文字幕)")</f>
        <v>濕疹成因與免疫系統有關 特殊飲食組合可舒緩 納豆泡菜乳酪食物含豐富益生菌 - 鄭丹瑞《健康旦》#李維恩 教授 Part 15 (CC中文字幕)</v>
      </c>
      <c r="E2678" s="82">
        <v>43998.0</v>
      </c>
      <c r="F2678" s="80">
        <v>946.0</v>
      </c>
      <c r="G2678" s="80" t="s">
        <v>63</v>
      </c>
      <c r="I2678" s="80" t="s">
        <v>63</v>
      </c>
      <c r="J2678" s="80">
        <v>3468.0</v>
      </c>
      <c r="K2678" s="80">
        <v>0.95642581356867</v>
      </c>
      <c r="L2678" s="80" t="s">
        <v>2771</v>
      </c>
    </row>
    <row r="2679">
      <c r="A2679" s="80" t="s">
        <v>2764</v>
      </c>
      <c r="B2679" s="81" t="str">
        <f>HYPERLINK("https://www.youtube.com/channel/UCejZUW4khvxoA4uL2Afz20g", "Housik Laanfei 好食懶飛")</f>
        <v>Housik Laanfei 好食懶飛</v>
      </c>
      <c r="C2679" s="80" t="s">
        <v>3025</v>
      </c>
      <c r="D2679" s="81" t="str">
        <f>HYPERLINK("https://youtube.com/watch?v=FN1uJKY_KWo", "[簡易頹飯] 親子丼 | CC: 廣東話/繁中/ENG SUB | COOKING VLOG")</f>
        <v>[簡易頹飯] 親子丼 | CC: 廣東話/繁中/ENG SUB | COOKING VLOG</v>
      </c>
      <c r="E2679" s="82">
        <v>44371.0</v>
      </c>
      <c r="F2679" s="80">
        <v>221.0</v>
      </c>
      <c r="G2679" s="80" t="s">
        <v>63</v>
      </c>
      <c r="H2679" s="80" t="s">
        <v>63</v>
      </c>
      <c r="I2679" s="80" t="s">
        <v>63</v>
      </c>
      <c r="J2679" s="80">
        <v>237.0</v>
      </c>
      <c r="K2679" s="80">
        <v>0.904580152671755</v>
      </c>
      <c r="L2679" s="80" t="s">
        <v>80</v>
      </c>
    </row>
    <row r="2680">
      <c r="A2680" s="80" t="s">
        <v>127</v>
      </c>
      <c r="B2680" s="81" t="str">
        <f>HYPERLINK("https://www.youtube.com/channel/UC97oYK3XMf9RLtkc0lO8C-Q", "健康旦 HiEggo")</f>
        <v>健康旦 HiEggo</v>
      </c>
      <c r="C2680" s="80" t="s">
        <v>3026</v>
      </c>
      <c r="D2680" s="81" t="str">
        <f>HYPERLINK("https://youtube.com/watch?v=FPODeS_0yd4", "換蠶絲被舒緩哮喘  蚯蚓內含酵素可對付哮喘  趙汝威博士：居家必備血氧計隨時檢查血含氧量 - 鄭丹瑞《健康旦》#趙汝威 博士 Part 14 (CC中文字幕)")</f>
        <v>換蠶絲被舒緩哮喘  蚯蚓內含酵素可對付哮喘  趙汝威博士：居家必備血氧計隨時檢查血含氧量 - 鄭丹瑞《健康旦》#趙汝威 博士 Part 14 (CC中文字幕)</v>
      </c>
      <c r="E2680" s="82">
        <v>44050.0</v>
      </c>
      <c r="F2680" s="80">
        <v>612.0</v>
      </c>
      <c r="G2680" s="80" t="s">
        <v>63</v>
      </c>
      <c r="I2680" s="80" t="s">
        <v>63</v>
      </c>
      <c r="J2680" s="80">
        <v>2477.0</v>
      </c>
      <c r="K2680" s="80">
        <v>0.989612465041949</v>
      </c>
      <c r="L2680" s="80" t="s">
        <v>2771</v>
      </c>
    </row>
    <row r="2681">
      <c r="A2681" s="80" t="s">
        <v>108</v>
      </c>
      <c r="B2681" s="81" t="str">
        <f>HYPERLINK("https://www.youtube.com/channel/UCZL6QN6Xs-ZrKY3y6Pv6Emg", "廢青 - 日賺3000")</f>
        <v>廢青 - 日賺3000</v>
      </c>
      <c r="C2681" s="80" t="s">
        <v>3027</v>
      </c>
      <c r="D2681" s="81" t="str">
        <f>HYPERLINK("https://youtube.com/watch?v=FQi3kAMQ-_Y", "財務自由 終極方法!!  2 STEPS 🔥🔥  2020 財務自由教學EP21【廢青 日賺3000】【點CC看中文字幕】")</f>
        <v>財務自由 終極方法!!  2 STEPS 🔥🔥  2020 財務自由教學EP21【廢青 日賺3000】【點CC看中文字幕】</v>
      </c>
      <c r="E2681" s="82">
        <v>44050.0</v>
      </c>
      <c r="F2681" s="80">
        <v>827.0</v>
      </c>
      <c r="G2681" s="80" t="s">
        <v>63</v>
      </c>
      <c r="I2681" s="80" t="s">
        <v>63</v>
      </c>
      <c r="J2681" s="80">
        <v>3079.0</v>
      </c>
      <c r="K2681" s="80">
        <v>0.877958368976333</v>
      </c>
      <c r="L2681" s="80" t="s">
        <v>64</v>
      </c>
    </row>
    <row r="2682">
      <c r="A2682" s="80" t="s">
        <v>238</v>
      </c>
      <c r="B2682" s="81" t="str">
        <f>HYPERLINK("https://www.youtube.com/channel/UCSBkm4LwpgBmcA3MCtO8vqg", "Post76影音玩樂")</f>
        <v>Post76影音玩樂</v>
      </c>
      <c r="C2682" s="80" t="s">
        <v>3028</v>
      </c>
      <c r="D2682" s="81" t="str">
        <f>HYPERLINK("https://youtube.com/watch?v=FSKyA1v4ACM", "【十分鐘精華】2021 Sony Bravia XR 全球首創認知智能電視列陣遂個數｜Z9J｜A9J｜A8J｜X95J｜X90J｜X85J｜X80J｜（附設中文字幕）粵語 【我的罪大學院網上講座】")</f>
        <v>【十分鐘精華】2021 Sony Bravia XR 全球首創認知智能電視列陣遂個數｜Z9J｜A9J｜A8J｜X95J｜X90J｜X85J｜X80J｜（附設中文字幕）粵語 【我的罪大學院網上講座】</v>
      </c>
      <c r="E2682" s="82">
        <v>44346.0</v>
      </c>
      <c r="F2682" s="80">
        <v>608.0</v>
      </c>
      <c r="G2682" s="80" t="s">
        <v>63</v>
      </c>
      <c r="H2682" s="80" t="s">
        <v>63</v>
      </c>
      <c r="I2682" s="80" t="s">
        <v>63</v>
      </c>
      <c r="J2682" s="80">
        <v>2369.0</v>
      </c>
      <c r="K2682" s="80">
        <v>0.801736613603473</v>
      </c>
      <c r="L2682" s="80" t="s">
        <v>66</v>
      </c>
    </row>
    <row r="2683">
      <c r="A2683" s="80" t="s">
        <v>2898</v>
      </c>
      <c r="B2683" s="81" t="str">
        <f>HYPERLINK("https://www.youtube.com/channel/UCy5bjMXbFPglSBNDXfivtOA", "消費者委員會")</f>
        <v>消費者委員會</v>
      </c>
      <c r="C2683" s="80" t="s">
        <v>3029</v>
      </c>
      <c r="D2683" s="81" t="str">
        <f>HYPERLINK("https://youtube.com/watch?v=FWPZOX3CaXM", "《借錢來電 一招搞掂！》想同我分身家！？")</f>
        <v>《借錢來電 一招搞掂！》想同我分身家！？</v>
      </c>
      <c r="E2683" s="82">
        <v>43066.0</v>
      </c>
      <c r="F2683" s="80">
        <v>110.0</v>
      </c>
      <c r="G2683" s="80" t="s">
        <v>63</v>
      </c>
      <c r="I2683" s="80" t="s">
        <v>63</v>
      </c>
      <c r="J2683" s="80">
        <v>325.0</v>
      </c>
      <c r="K2683" s="80">
        <v>0.978915662650602</v>
      </c>
      <c r="L2683" s="80" t="s">
        <v>64</v>
      </c>
    </row>
    <row r="2684">
      <c r="A2684" s="80" t="s">
        <v>124</v>
      </c>
      <c r="B2684" s="81" t="str">
        <f>HYPERLINK("https://www.youtube.com/channel/UCg0vuSE0fBF_NvodyYhMcWg", "Wallace Studio HK")</f>
        <v>Wallace Studio HK</v>
      </c>
      <c r="C2684" s="80" t="s">
        <v>3030</v>
      </c>
      <c r="D2684" s="81" t="str">
        <f>HYPERLINK("https://youtube.com/watch?v=FWT7xBzXz08", "小米11T 系列 發佈會| DisplayMate A+螢幕 | AI電影級拍攝 | 1億8百萬像素鏡頭| 120W超級快充 !")</f>
        <v>小米11T 系列 發佈會| DisplayMate A+螢幕 | AI電影級拍攝 | 1億8百萬像素鏡頭| 120W超級快充 !</v>
      </c>
      <c r="E2684" s="82">
        <v>44468.0</v>
      </c>
      <c r="F2684" s="80">
        <v>653.0</v>
      </c>
      <c r="G2684" s="80" t="s">
        <v>63</v>
      </c>
      <c r="H2684" s="80" t="s">
        <v>63</v>
      </c>
      <c r="I2684" s="80" t="s">
        <v>63</v>
      </c>
      <c r="J2684" s="80">
        <v>1442.0</v>
      </c>
      <c r="K2684" s="80">
        <v>0.81885292447473</v>
      </c>
      <c r="L2684" s="80" t="s">
        <v>86</v>
      </c>
    </row>
    <row r="2685">
      <c r="A2685" s="80" t="s">
        <v>106</v>
      </c>
      <c r="B2685" s="81" t="str">
        <f>HYPERLINK("https://www.youtube.com/channel/UC9jW6WpsAPgh-9HqDTvkFzg", "ValorGears")</f>
        <v>ValorGears</v>
      </c>
      <c r="C2685" s="80" t="s">
        <v>3031</v>
      </c>
      <c r="D2685" s="81" t="str">
        <f>HYPERLINK("https://youtube.com/watch?v=FYn2anSUupU", "【預告】Tech系 Youtuber 玩轉 2020 Price  網上電腦節")</f>
        <v>【預告】Tech系 Youtuber 玩轉 2020 Price  網上電腦節</v>
      </c>
      <c r="E2685" s="82">
        <v>44051.0</v>
      </c>
      <c r="F2685" s="80">
        <v>65.0</v>
      </c>
      <c r="G2685" s="80" t="s">
        <v>63</v>
      </c>
      <c r="I2685" s="80" t="s">
        <v>63</v>
      </c>
      <c r="J2685" s="80">
        <v>216.0</v>
      </c>
      <c r="K2685" s="80">
        <v>0.546835443037974</v>
      </c>
      <c r="L2685" s="80" t="s">
        <v>64</v>
      </c>
    </row>
    <row r="2686">
      <c r="A2686" s="80" t="s">
        <v>127</v>
      </c>
      <c r="B2686" s="81" t="str">
        <f>HYPERLINK("https://www.youtube.com/channel/UC97oYK3XMf9RLtkc0lO8C-Q", "健康旦 HiEggo")</f>
        <v>健康旦 HiEggo</v>
      </c>
      <c r="C2686" s="80" t="s">
        <v>3032</v>
      </c>
      <c r="D2686" s="81" t="str">
        <f>HYPERLINK("https://youtube.com/watch?v=FZf3ZadEZOE", "歐盟認證紫外線消毒機 四分鐘殺金黃葡萄球菌、大腸桿菌 不殘留任何有毒物質 - 鄭丹瑞《健康旦》Betake Marketing創作總監 #AlexLeung (CC中文字幕)")</f>
        <v>歐盟認證紫外線消毒機 四分鐘殺金黃葡萄球菌、大腸桿菌 不殘留任何有毒物質 - 鄭丹瑞《健康旦》Betake Marketing創作總監 #AlexLeung (CC中文字幕)</v>
      </c>
      <c r="E2686" s="82">
        <v>44103.0</v>
      </c>
      <c r="F2686" s="80">
        <v>631.0</v>
      </c>
      <c r="G2686" s="80" t="s">
        <v>63</v>
      </c>
      <c r="I2686" s="80" t="s">
        <v>63</v>
      </c>
      <c r="J2686" s="80">
        <v>2619.0</v>
      </c>
      <c r="K2686" s="80">
        <v>0.966777408637873</v>
      </c>
      <c r="L2686" s="80" t="s">
        <v>2771</v>
      </c>
    </row>
    <row r="2687">
      <c r="A2687" s="80" t="s">
        <v>293</v>
      </c>
      <c r="B2687" s="81" t="str">
        <f>HYPERLINK("https://www.youtube.com/channel/UCXRcbXqjORdIvl63I7MtOLQ", "趁熱 Kerry 's kitchen")</f>
        <v>趁熱 Kerry 's kitchen</v>
      </c>
      <c r="C2687" s="80" t="s">
        <v>3033</v>
      </c>
      <c r="D2687" s="81" t="str">
        <f>HYPERLINK("https://youtube.com/watch?v=FZrB9RsJI-k", "通菜 牛肉/蝦醬通菜炒牛肉/純天然方法醃軟牛肉/簡單 家做/#廣東話/中字")</f>
        <v>通菜 牛肉/蝦醬通菜炒牛肉/純天然方法醃軟牛肉/簡單 家做/#廣東話/中字</v>
      </c>
      <c r="E2687" s="82">
        <v>44384.0</v>
      </c>
      <c r="F2687" s="80">
        <v>542.0</v>
      </c>
      <c r="G2687" s="80" t="s">
        <v>63</v>
      </c>
      <c r="I2687" s="80" t="s">
        <v>63</v>
      </c>
      <c r="J2687" s="80">
        <v>1439.0</v>
      </c>
      <c r="K2687" s="80">
        <v>0.983595352016404</v>
      </c>
      <c r="L2687" s="80" t="s">
        <v>64</v>
      </c>
    </row>
    <row r="2688">
      <c r="A2688" s="80" t="s">
        <v>2374</v>
      </c>
      <c r="B2688" s="81" t="str">
        <f>HYPERLINK("https://www.youtube.com/channel/UC0lbhIloP3pcKJT07YosZlQ", "講豬hi speakchuhi")</f>
        <v>講豬hi speakchuhi</v>
      </c>
      <c r="C2688" s="80" t="s">
        <v>3034</v>
      </c>
      <c r="D2688" s="81" t="str">
        <f>HYPERLINK("https://youtube.com/watch?v=F_caOHp9cOk", "曼谷自由行 美食🇹🇭日本生鮮市場❗️即點即做魚生丼❗️2019 泰國食日本餐❗️[粵語中文字幕][CC] Thailand Bangkok BTS Thonglor")</f>
        <v>曼谷自由行 美食🇹🇭日本生鮮市場❗️即點即做魚生丼❗️2019 泰國食日本餐❗️[粵語中文字幕][CC] Thailand Bangkok BTS Thonglor</v>
      </c>
      <c r="E2688" s="82">
        <v>43817.0</v>
      </c>
      <c r="F2688" s="80">
        <v>291.0</v>
      </c>
      <c r="G2688" s="80" t="s">
        <v>63</v>
      </c>
      <c r="I2688" s="80" t="s">
        <v>63</v>
      </c>
      <c r="J2688" s="80">
        <v>591.0</v>
      </c>
      <c r="K2688" s="80">
        <v>0.895454545454545</v>
      </c>
      <c r="L2688" s="80" t="s">
        <v>102</v>
      </c>
    </row>
    <row r="2689">
      <c r="A2689" s="80" t="s">
        <v>1260</v>
      </c>
      <c r="B2689" s="81" t="str">
        <f>HYPERLINK("https://www.youtube.com/channel/UCh1k4i86BpiXEO3nzJIYynw", "The Wave")</f>
        <v>The Wave</v>
      </c>
      <c r="C2689" s="80" t="s">
        <v>3035</v>
      </c>
      <c r="D2689" s="81" t="str">
        <f>HYPERLINK("https://youtube.com/watch?v=FalcqV7OriE", "TheWave | 長榮皇璽桂冠艙 香港國際機場紫荊堂 體驗 | 波音787 | 真係第一次見到駕駛艙！！！")</f>
        <v>TheWave | 長榮皇璽桂冠艙 香港國際機場紫荊堂 體驗 | 波音787 | 真係第一次見到駕駛艙！！！</v>
      </c>
      <c r="E2689" s="82">
        <v>43614.0</v>
      </c>
      <c r="F2689" s="80">
        <v>373.0</v>
      </c>
      <c r="G2689" s="80" t="s">
        <v>63</v>
      </c>
      <c r="H2689" s="80" t="s">
        <v>63</v>
      </c>
      <c r="I2689" s="80" t="s">
        <v>63</v>
      </c>
      <c r="J2689" s="80">
        <v>1306.0</v>
      </c>
      <c r="K2689" s="80">
        <v>0.958180484225972</v>
      </c>
      <c r="L2689" s="80" t="s">
        <v>1132</v>
      </c>
    </row>
    <row r="2690">
      <c r="A2690" s="80" t="s">
        <v>2764</v>
      </c>
      <c r="B2690" s="81" t="str">
        <f>HYPERLINK("https://www.youtube.com/channel/UCejZUW4khvxoA4uL2Afz20g", "Housik Laanfei 好食懶飛")</f>
        <v>Housik Laanfei 好食懶飛</v>
      </c>
      <c r="C2690" s="80" t="s">
        <v>3036</v>
      </c>
      <c r="D2690" s="81" t="str">
        <f>HYPERLINK("https://youtube.com/watch?v=FcT3DytiN_g", "[大人口味] 梅菜炆五花腩 | CC: 廣東話/繁中/ENG SUB | COOKING VLOG")</f>
        <v>[大人口味] 梅菜炆五花腩 | CC: 廣東話/繁中/ENG SUB | COOKING VLOG</v>
      </c>
      <c r="E2690" s="82">
        <v>44126.0</v>
      </c>
      <c r="F2690" s="80">
        <v>361.0</v>
      </c>
      <c r="G2690" s="80" t="s">
        <v>63</v>
      </c>
      <c r="H2690" s="80" t="s">
        <v>63</v>
      </c>
      <c r="I2690" s="80" t="s">
        <v>63</v>
      </c>
      <c r="J2690" s="80">
        <v>197.0</v>
      </c>
      <c r="K2690" s="80">
        <v>0.985</v>
      </c>
      <c r="L2690" s="80" t="s">
        <v>120</v>
      </c>
    </row>
    <row r="2691">
      <c r="A2691" s="80" t="s">
        <v>2898</v>
      </c>
      <c r="B2691" s="81" t="str">
        <f>HYPERLINK("https://www.youtube.com/channel/UCy5bjMXbFPglSBNDXfivtOA", "消費者委員會")</f>
        <v>消費者委員會</v>
      </c>
      <c r="C2691" s="80" t="s">
        <v>3037</v>
      </c>
      <c r="D2691" s="81" t="str">
        <f>HYPERLINK("https://youtube.com/watch?v=FdNdynqGhYw", "朱晨麗 x 洗潔精測試")</f>
        <v>朱晨麗 x 洗潔精測試</v>
      </c>
      <c r="E2691" s="82">
        <v>43174.0</v>
      </c>
      <c r="F2691" s="80">
        <v>237.0</v>
      </c>
      <c r="G2691" s="80" t="s">
        <v>63</v>
      </c>
      <c r="I2691" s="80" t="s">
        <v>63</v>
      </c>
      <c r="J2691" s="80">
        <v>797.0</v>
      </c>
      <c r="K2691" s="80">
        <v>0.94431279620853</v>
      </c>
      <c r="L2691" s="80" t="s">
        <v>64</v>
      </c>
    </row>
    <row r="2692">
      <c r="A2692" s="80" t="s">
        <v>248</v>
      </c>
      <c r="B2692" s="81" t="str">
        <f>HYPERLINK("https://www.youtube.com/channel/UCUEJok-GiWaGlv5nIPwk-GQ", "Price.com.hk 香港格價網")</f>
        <v>Price.com.hk 香港格價網</v>
      </c>
      <c r="C2692" s="80" t="s">
        <v>3038</v>
      </c>
      <c r="D2692" s="81" t="str">
        <f>HYPERLINK("https://youtube.com/watch?v=FdtLKGCueg8", "音樂迷必愛上！Bowers &amp; Wilkins 首款真無線耳機 PI7、PI5 深入評測 充電盒可變成無線DAC？！丨特約專題【Price.com.hk產品評測】")</f>
        <v>音樂迷必愛上！Bowers &amp; Wilkins 首款真無線耳機 PI7、PI5 深入評測 充電盒可變成無線DAC？！丨特約專題【Price.com.hk產品評測】</v>
      </c>
      <c r="E2692" s="82">
        <v>44462.0</v>
      </c>
      <c r="F2692" s="80">
        <v>595.0</v>
      </c>
      <c r="G2692" s="80" t="s">
        <v>63</v>
      </c>
      <c r="I2692" s="80" t="s">
        <v>63</v>
      </c>
      <c r="J2692" s="80">
        <v>2080.0</v>
      </c>
      <c r="K2692" s="80">
        <v>0.8</v>
      </c>
      <c r="L2692" s="80" t="s">
        <v>64</v>
      </c>
    </row>
    <row r="2693">
      <c r="A2693" s="80" t="s">
        <v>2041</v>
      </c>
      <c r="B2693" s="81" t="str">
        <f>HYPERLINK("https://www.youtube.com/channel/UCO6pB-ZN4XJ6MVkibvuEe0A", "SingSingTracker 星昇財經指標")</f>
        <v>SingSingTracker 星昇財經指標</v>
      </c>
      <c r="C2693" s="80" t="s">
        <v>3039</v>
      </c>
      <c r="D2693" s="81" t="str">
        <f>HYPERLINK("https://youtube.com/watch?v=FehHiHD4k5Y", "【  預示市場股災將至？  】股災幾時黎？｜美國股災歷史 ｜打工仔逃生指南 #大跌市 #美國股災 #歷年股災")</f>
        <v>【  預示市場股災將至？  】股災幾時黎？｜美國股災歷史 ｜打工仔逃生指南 #大跌市 #美國股災 #歷年股災</v>
      </c>
      <c r="E2693" s="82">
        <v>44400.0</v>
      </c>
      <c r="F2693" s="80">
        <v>252.0</v>
      </c>
      <c r="G2693" s="80" t="s">
        <v>63</v>
      </c>
      <c r="I2693" s="80" t="s">
        <v>63</v>
      </c>
      <c r="J2693" s="80">
        <v>980.0</v>
      </c>
      <c r="K2693" s="80">
        <v>0.915887850467289</v>
      </c>
      <c r="L2693" s="80" t="s">
        <v>64</v>
      </c>
    </row>
    <row r="2694">
      <c r="A2694" s="80" t="s">
        <v>127</v>
      </c>
      <c r="B2694" s="81" t="str">
        <f t="shared" ref="B2694:B2695" si="134">HYPERLINK("https://www.youtube.com/channel/UC97oYK3XMf9RLtkc0lO8C-Q", "健康旦 HiEggo")</f>
        <v>健康旦 HiEggo</v>
      </c>
      <c r="C2694" s="80" t="s">
        <v>3040</v>
      </c>
      <c r="D2694" s="81" t="str">
        <f>HYPERLINK("https://youtube.com/watch?v=FfU4g5WHwXM", "心臟病倍增因餅店慣用菜油製月餅、蛋糕 鷹嘴豆蛋黃月餅皮橄欖油製 趙汝威博士：最失敗得半個蛋黃  - 鄭丹瑞《健康旦》 #趙汝威 博士 Part 16 (CC中文字幕)")</f>
        <v>心臟病倍增因餅店慣用菜油製月餅、蛋糕 鷹嘴豆蛋黃月餅皮橄欖油製 趙汝威博士：最失敗得半個蛋黃  - 鄭丹瑞《健康旦》 #趙汝威 博士 Part 16 (CC中文字幕)</v>
      </c>
      <c r="E2694" s="82">
        <v>44078.0</v>
      </c>
      <c r="F2694" s="80">
        <v>681.0</v>
      </c>
      <c r="G2694" s="80" t="s">
        <v>63</v>
      </c>
      <c r="I2694" s="80" t="s">
        <v>63</v>
      </c>
      <c r="J2694" s="80">
        <v>2487.0</v>
      </c>
      <c r="K2694" s="80">
        <v>0.951779563719862</v>
      </c>
      <c r="L2694" s="80" t="s">
        <v>2771</v>
      </c>
    </row>
    <row r="2695">
      <c r="A2695" s="80" t="s">
        <v>127</v>
      </c>
      <c r="B2695" s="81" t="str">
        <f t="shared" si="134"/>
        <v>健康旦 HiEggo</v>
      </c>
      <c r="C2695" s="80" t="s">
        <v>3041</v>
      </c>
      <c r="D2695" s="81" t="str">
        <f>HYPERLINK("https://youtube.com/watch?v=FfiuVt_Oaso", "氣管敏感宜多食淮山陳皮 大閘蟹寒涼可配薑茶中和 湯水藥材愈煲得長藥效愈易出 - 鄭丹瑞《健康旦》註冊中醫師 #徐澤昌 博士 Part 7 (CC中文字幕)")</f>
        <v>氣管敏感宜多食淮山陳皮 大閘蟹寒涼可配薑茶中和 湯水藥材愈煲得長藥效愈易出 - 鄭丹瑞《健康旦》註冊中醫師 #徐澤昌 博士 Part 7 (CC中文字幕)</v>
      </c>
      <c r="E2695" s="82">
        <v>44130.0</v>
      </c>
      <c r="F2695" s="80">
        <v>611.0</v>
      </c>
      <c r="G2695" s="80" t="s">
        <v>63</v>
      </c>
      <c r="I2695" s="80" t="s">
        <v>63</v>
      </c>
      <c r="J2695" s="80">
        <v>2495.0</v>
      </c>
      <c r="K2695" s="80">
        <v>0.970062208398133</v>
      </c>
      <c r="L2695" s="80" t="s">
        <v>64</v>
      </c>
    </row>
    <row r="2696">
      <c r="A2696" s="80" t="s">
        <v>293</v>
      </c>
      <c r="B2696" s="81" t="str">
        <f>HYPERLINK("https://www.youtube.com/channel/UCXRcbXqjORdIvl63I7MtOLQ", "趁熱 Kerry 's kitchen")</f>
        <v>趁熱 Kerry 's kitchen</v>
      </c>
      <c r="C2696" s="80" t="s">
        <v>3042</v>
      </c>
      <c r="D2696" s="81" t="str">
        <f>HYPERLINK("https://youtube.com/watch?v=FgH-aB1mFGM", "生炒 糯米飯/廣東話/中文字幕/15分鐘炒完/簡單 家做/浸完米收工做都得/重點 講解 /新手 入門")</f>
        <v>生炒 糯米飯/廣東話/中文字幕/15分鐘炒完/簡單 家做/浸完米收工做都得/重點 講解 /新手 入門</v>
      </c>
      <c r="E2696" s="82">
        <v>44575.0</v>
      </c>
      <c r="F2696" s="80">
        <v>497.0</v>
      </c>
      <c r="G2696" s="80" t="s">
        <v>63</v>
      </c>
      <c r="I2696" s="80" t="s">
        <v>63</v>
      </c>
      <c r="J2696" s="80">
        <v>638.0</v>
      </c>
      <c r="K2696" s="80">
        <v>0.981538461538461</v>
      </c>
      <c r="L2696" s="80" t="s">
        <v>64</v>
      </c>
    </row>
    <row r="2697">
      <c r="A2697" s="80" t="s">
        <v>127</v>
      </c>
      <c r="B2697" s="81" t="str">
        <f>HYPERLINK("https://www.youtube.com/channel/UC97oYK3XMf9RLtkc0lO8C-Q", "健康旦 HiEggo")</f>
        <v>健康旦 HiEggo</v>
      </c>
      <c r="C2697" s="80" t="s">
        <v>3043</v>
      </c>
      <c r="D2697" s="81" t="str">
        <f>HYPERLINK("https://youtube.com/watch?v=FhI2-VfrZOs", "方曉嵐甘草煲薑驅寒潤肺 附食譜教煲生薑芥菜滾大魚頭湯 - 鄭丹瑞《健康旦》方曉嵐 Part 7（CC中文字幕）")</f>
        <v>方曉嵐甘草煲薑驅寒潤肺 附食譜教煲生薑芥菜滾大魚頭湯 - 鄭丹瑞《健康旦》方曉嵐 Part 7（CC中文字幕）</v>
      </c>
      <c r="E2697" s="82">
        <v>43944.0</v>
      </c>
      <c r="F2697" s="80">
        <v>637.0</v>
      </c>
      <c r="G2697" s="80" t="s">
        <v>63</v>
      </c>
      <c r="I2697" s="80" t="s">
        <v>63</v>
      </c>
      <c r="J2697" s="80">
        <v>2128.0</v>
      </c>
      <c r="K2697" s="80">
        <v>0.99625468164794</v>
      </c>
      <c r="L2697" s="80" t="s">
        <v>64</v>
      </c>
    </row>
    <row r="2698">
      <c r="A2698" s="80" t="s">
        <v>293</v>
      </c>
      <c r="B2698" s="81" t="str">
        <f>HYPERLINK("https://www.youtube.com/channel/UCXRcbXqjORdIvl63I7MtOLQ", "趁熱 Kerry 's kitchen")</f>
        <v>趁熱 Kerry 's kitchen</v>
      </c>
      <c r="C2698" s="80" t="s">
        <v>3044</v>
      </c>
      <c r="D2698" s="81" t="str">
        <f>HYPERLINK("https://youtube.com/watch?v=FieGJ55GWYw", "皮蛋瘦肉粥/7分鐘煮好皮蛋瘦肉粥/效果綿密/不用看火/新手也能做/冇得輸/廣東話/中字")</f>
        <v>皮蛋瘦肉粥/7分鐘煮好皮蛋瘦肉粥/效果綿密/不用看火/新手也能做/冇得輸/廣東話/中字</v>
      </c>
      <c r="E2698" s="82">
        <v>44412.0</v>
      </c>
      <c r="F2698" s="80">
        <v>485.0</v>
      </c>
      <c r="G2698" s="80" t="s">
        <v>63</v>
      </c>
      <c r="I2698" s="80" t="s">
        <v>63</v>
      </c>
      <c r="J2698" s="80">
        <v>1433.0</v>
      </c>
      <c r="K2698" s="80">
        <v>0.991009681881051</v>
      </c>
      <c r="L2698" s="80" t="s">
        <v>64</v>
      </c>
    </row>
    <row r="2699">
      <c r="A2699" s="80" t="s">
        <v>127</v>
      </c>
      <c r="B2699" s="81" t="str">
        <f>HYPERLINK("https://www.youtube.com/channel/UC97oYK3XMf9RLtkc0lO8C-Q", "健康旦 HiEggo")</f>
        <v>健康旦 HiEggo</v>
      </c>
      <c r="C2699" s="80" t="s">
        <v>3045</v>
      </c>
      <c r="D2699" s="81" t="str">
        <f>HYPERLINK("https://youtube.com/watch?v=Fj5mBM4oTsY", "號外丨健康旦開心千人大派對完滿落幕 感謝各位觀眾朋友支持 - 鄭丹瑞《健康旦》 (CC中文字幕)")</f>
        <v>號外丨健康旦開心千人大派對完滿落幕 感謝各位觀眾朋友支持 - 鄭丹瑞《健康旦》 (CC中文字幕)</v>
      </c>
      <c r="E2699" s="82">
        <v>44536.0</v>
      </c>
      <c r="F2699" s="80">
        <v>191.0</v>
      </c>
      <c r="G2699" s="80" t="s">
        <v>63</v>
      </c>
      <c r="I2699" s="80" t="s">
        <v>63</v>
      </c>
      <c r="J2699" s="80">
        <v>475.0</v>
      </c>
      <c r="K2699" s="80">
        <v>0.991649269311064</v>
      </c>
      <c r="L2699" s="80" t="s">
        <v>64</v>
      </c>
    </row>
    <row r="2700">
      <c r="A2700" s="80" t="s">
        <v>3046</v>
      </c>
      <c r="B2700" s="81" t="str">
        <f>HYPERLINK("https://www.youtube.com/channel/UCk9_geXNUStgv0wjm75vX5Q", "蘇斯克 Ole So")</f>
        <v>蘇斯克 Ole So</v>
      </c>
      <c r="C2700" s="80" t="s">
        <v>3047</v>
      </c>
      <c r="D2700" s="81" t="str">
        <f>HYPERLINK("https://youtube.com/watch?v=Ax0Ufi_KWv8", "蘇斯克查時代的終結﹖ | The end of Ole Gunnar Solskjaer's era?")</f>
        <v>蘇斯克查時代的終結﹖ | The end of Ole Gunnar Solskjaer's era?</v>
      </c>
      <c r="E2700" s="82">
        <v>44520.0</v>
      </c>
      <c r="F2700" s="80">
        <v>306.0</v>
      </c>
      <c r="G2700" s="80" t="s">
        <v>63</v>
      </c>
      <c r="I2700" s="80" t="s">
        <v>63</v>
      </c>
      <c r="J2700" s="80">
        <v>865.0</v>
      </c>
      <c r="K2700" s="80">
        <v>0.912447257383966</v>
      </c>
      <c r="L2700" s="80" t="s">
        <v>64</v>
      </c>
    </row>
    <row r="2701">
      <c r="A2701" s="80" t="s">
        <v>3048</v>
      </c>
      <c r="B2701" s="81" t="str">
        <f t="shared" ref="B2701:B2702" si="135">HYPERLINK("https://www.youtube.com/channel/UCHiP6GctzJdIkYP20_9k-zg", "英倫。美景 about.the.england")</f>
        <v>英倫。美景 about.the.england</v>
      </c>
      <c r="C2701" s="80" t="s">
        <v>3049</v>
      </c>
      <c r="D2701" s="81" t="str">
        <f>HYPERLINK("https://youtube.com/watch?v=0sz1jHnFbd0", "英國最大手工藝零售公司💁hobbycraft🧩👩‍🎨簡單分享")</f>
        <v>英國最大手工藝零售公司💁hobbycraft🧩👩‍🎨簡單分享</v>
      </c>
      <c r="E2701" s="82">
        <v>44242.0</v>
      </c>
      <c r="F2701" s="80">
        <v>553.0</v>
      </c>
      <c r="G2701" s="80" t="s">
        <v>63</v>
      </c>
      <c r="I2701" s="80" t="s">
        <v>63</v>
      </c>
      <c r="J2701" s="80">
        <v>1270.0</v>
      </c>
      <c r="K2701" s="80">
        <v>0.909090909090909</v>
      </c>
      <c r="L2701" s="80" t="s">
        <v>64</v>
      </c>
    </row>
    <row r="2702">
      <c r="A2702" s="80" t="s">
        <v>3048</v>
      </c>
      <c r="B2702" s="81" t="str">
        <f t="shared" si="135"/>
        <v>英倫。美景 about.the.england</v>
      </c>
      <c r="C2702" s="80" t="s">
        <v>3050</v>
      </c>
      <c r="D2702" s="81" t="str">
        <f>HYPERLINK("https://youtube.com/watch?v=1nsS94z-EvM", "如何身處英國並在網上申請Lloyds Bank過程分享😌")</f>
        <v>如何身處英國並在網上申請Lloyds Bank過程分享😌</v>
      </c>
      <c r="E2702" s="82">
        <v>44159.0</v>
      </c>
      <c r="F2702" s="80">
        <v>355.0</v>
      </c>
      <c r="G2702" s="80" t="s">
        <v>63</v>
      </c>
      <c r="I2702" s="80" t="s">
        <v>63</v>
      </c>
      <c r="J2702" s="80">
        <v>902.0</v>
      </c>
      <c r="K2702" s="80">
        <v>0.807520143240823</v>
      </c>
      <c r="L2702" s="80" t="s">
        <v>64</v>
      </c>
    </row>
    <row r="2703">
      <c r="A2703" s="80" t="s">
        <v>3051</v>
      </c>
      <c r="B2703" s="81" t="str">
        <f t="shared" ref="B2703:B2707" si="136">HYPERLINK("https://www.youtube.com/channel/UCvE0FPIL24o2mnUQIqcSHYA", "柴犬春卷的英國日常 Shiba Harumaki in UK")</f>
        <v>柴犬春卷的英國日常 Shiba Harumaki in UK</v>
      </c>
      <c r="C2703" s="80" t="s">
        <v>3052</v>
      </c>
      <c r="D2703" s="81" t="str">
        <f>HYPERLINK("https://youtube.com/watch?v=26vRj9MwKVg", "【柴犬春卷移民英國】🇬🇧｜曼城市中心Shopping狗狗坐巴士｜寵物移民英國｜柴犬春卷移民英國｜狗狗移民｜ Shiba Inu Pet Relocation｜【廣東話 繁體中字 UK GB")</f>
        <v>【柴犬春卷移民英國】🇬🇧｜曼城市中心Shopping狗狗坐巴士｜寵物移民英國｜柴犬春卷移民英國｜狗狗移民｜ Shiba Inu Pet Relocation｜【廣東話 繁體中字 UK GB</v>
      </c>
      <c r="E2703" s="82">
        <v>44456.0</v>
      </c>
      <c r="F2703" s="80">
        <v>573.0</v>
      </c>
      <c r="G2703" s="80" t="s">
        <v>63</v>
      </c>
      <c r="I2703" s="80" t="s">
        <v>63</v>
      </c>
      <c r="J2703" s="80">
        <v>1666.0</v>
      </c>
      <c r="K2703" s="80">
        <v>0.928133704735376</v>
      </c>
      <c r="L2703" s="80" t="s">
        <v>64</v>
      </c>
    </row>
    <row r="2704">
      <c r="A2704" s="80" t="s">
        <v>3051</v>
      </c>
      <c r="B2704" s="81" t="str">
        <f t="shared" si="136"/>
        <v>柴犬春卷的英國日常 Shiba Harumaki in UK</v>
      </c>
      <c r="C2704" s="80" t="s">
        <v>3053</v>
      </c>
      <c r="D2704" s="81" t="str">
        <f>HYPERLINK("https://youtube.com/watch?v=2om5Ztmeut8", "【春卷York之旅】英國約克Part2｜上水站港式餐廳｜乾炒牛河｜第一次英國旅行｜約克城牆｜柴犬春卷移民英國｜寵物移民｜Shiba Inu Manchester｜中英字幕Eng Sub uk 🇬🇧")</f>
        <v>【春卷York之旅】英國約克Part2｜上水站港式餐廳｜乾炒牛河｜第一次英國旅行｜約克城牆｜柴犬春卷移民英國｜寵物移民｜Shiba Inu Manchester｜中英字幕Eng Sub uk 🇬🇧</v>
      </c>
      <c r="E2704" s="82">
        <v>44516.0</v>
      </c>
      <c r="F2704" s="80">
        <v>714.0</v>
      </c>
      <c r="G2704" s="80" t="s">
        <v>63</v>
      </c>
      <c r="I2704" s="80" t="s">
        <v>63</v>
      </c>
      <c r="J2704" s="80">
        <v>2306.0</v>
      </c>
      <c r="K2704" s="80">
        <v>0.949361877315767</v>
      </c>
      <c r="L2704" s="80" t="s">
        <v>521</v>
      </c>
    </row>
    <row r="2705">
      <c r="A2705" s="80" t="s">
        <v>3051</v>
      </c>
      <c r="B2705" s="81" t="str">
        <f t="shared" si="136"/>
        <v>柴犬春卷的英國日常 Shiba Harumaki in UK</v>
      </c>
      <c r="C2705" s="80" t="s">
        <v>3054</v>
      </c>
      <c r="D2705" s="81" t="str">
        <f>HYPERLINK("https://youtube.com/watch?v=319Cts6WQv4", "【柴犬春卷移民英國】🇬🇧｜被困24小時終於到步英國倫敦｜寵物移民英國｜柴犬春卷移民英國｜狗狗移民｜ Shiba Inu Pet Relocation｜寵物移民DIY｜廣東話繁體中文字幕 UK GB")</f>
        <v>【柴犬春卷移民英國】🇬🇧｜被困24小時終於到步英國倫敦｜寵物移民英國｜柴犬春卷移民英國｜狗狗移民｜ Shiba Inu Pet Relocation｜寵物移民DIY｜廣東話繁體中文字幕 UK GB</v>
      </c>
      <c r="E2705" s="82">
        <v>44452.0</v>
      </c>
      <c r="F2705" s="80">
        <v>457.0</v>
      </c>
      <c r="G2705" s="80" t="s">
        <v>63</v>
      </c>
      <c r="I2705" s="80" t="s">
        <v>63</v>
      </c>
      <c r="J2705" s="80">
        <v>788.0</v>
      </c>
      <c r="K2705" s="80">
        <v>0.903669724770642</v>
      </c>
      <c r="L2705" s="80" t="s">
        <v>64</v>
      </c>
    </row>
    <row r="2706">
      <c r="A2706" s="80" t="s">
        <v>3051</v>
      </c>
      <c r="B2706" s="81" t="str">
        <f t="shared" si="136"/>
        <v>柴犬春卷的英國日常 Shiba Harumaki in UK</v>
      </c>
      <c r="C2706" s="80" t="s">
        <v>3055</v>
      </c>
      <c r="D2706" s="81" t="str">
        <f>HYPERLINK("https://youtube.com/watch?v=3VVsWrj7V48", "【柴犬春卷移民英國】我的兩歲生日會｜香港歡送會｜Salford Quays｜寵物曼城｜My 2nd years old bday party｜Shiba Inu Manchester｜繁體中字UK")</f>
        <v>【柴犬春卷移民英國】我的兩歲生日會｜香港歡送會｜Salford Quays｜寵物曼城｜My 2nd years old bday party｜Shiba Inu Manchester｜繁體中字UK</v>
      </c>
      <c r="E2706" s="82">
        <v>44487.0</v>
      </c>
      <c r="F2706" s="80">
        <v>743.0</v>
      </c>
      <c r="G2706" s="80" t="s">
        <v>63</v>
      </c>
      <c r="I2706" s="80" t="s">
        <v>63</v>
      </c>
      <c r="J2706" s="80">
        <v>1709.0</v>
      </c>
      <c r="K2706" s="80">
        <v>0.839803439803439</v>
      </c>
      <c r="L2706" s="80" t="s">
        <v>1071</v>
      </c>
    </row>
    <row r="2707">
      <c r="A2707" s="80" t="s">
        <v>3051</v>
      </c>
      <c r="B2707" s="81" t="str">
        <f t="shared" si="136"/>
        <v>柴犬春卷的英國日常 Shiba Harumaki in UK</v>
      </c>
      <c r="C2707" s="80" t="s">
        <v>3056</v>
      </c>
      <c r="D2707" s="81" t="str">
        <f>HYPERLINK("https://youtube.com/watch?v=3Wl1fg-EBEA", "【柴犬春卷移民英國】🇬🇧｜倫敦第二天London Bridge打卡｜寵物移民英國｜柴犬春卷移民英國｜狗狗移民｜ Shiba Inu Pet｜寵物移民DIY｜【廣東話 繁體中文字幕UK GB")</f>
        <v>【柴犬春卷移民英國】🇬🇧｜倫敦第二天London Bridge打卡｜寵物移民英國｜柴犬春卷移民英國｜狗狗移民｜ Shiba Inu Pet｜寵物移民DIY｜【廣東話 繁體中文字幕UK GB</v>
      </c>
      <c r="E2707" s="82">
        <v>44454.0</v>
      </c>
      <c r="F2707" s="80">
        <v>652.0</v>
      </c>
      <c r="G2707" s="80" t="s">
        <v>63</v>
      </c>
      <c r="I2707" s="80" t="s">
        <v>63</v>
      </c>
      <c r="J2707" s="80">
        <v>596.0</v>
      </c>
      <c r="K2707" s="80">
        <v>0.855093256814921</v>
      </c>
      <c r="L2707" s="80" t="s">
        <v>64</v>
      </c>
    </row>
    <row r="2708">
      <c r="A2708" s="80" t="s">
        <v>3048</v>
      </c>
      <c r="B2708" s="81" t="str">
        <f>HYPERLINK("https://www.youtube.com/channel/UCHiP6GctzJdIkYP20_9k-zg", "英倫。美景 about.the.england")</f>
        <v>英倫。美景 about.the.england</v>
      </c>
      <c r="C2708" s="80" t="s">
        <v>3057</v>
      </c>
      <c r="D2708" s="81" t="str">
        <f>HYPERLINK("https://youtube.com/watch?v=4GjfHCzpSP8", "英國【Kingston】 食街&amp;周圍環境")</f>
        <v>英國【Kingston】 食街&amp;周圍環境</v>
      </c>
      <c r="E2708" s="82">
        <v>44392.0</v>
      </c>
      <c r="F2708" s="80">
        <v>921.0</v>
      </c>
      <c r="G2708" s="80" t="s">
        <v>63</v>
      </c>
      <c r="I2708" s="80" t="s">
        <v>63</v>
      </c>
      <c r="J2708" s="80">
        <v>1445.0</v>
      </c>
      <c r="K2708" s="80">
        <v>0.900872817955112</v>
      </c>
      <c r="L2708" s="80" t="s">
        <v>64</v>
      </c>
    </row>
    <row r="2709">
      <c r="A2709" s="80" t="s">
        <v>3051</v>
      </c>
      <c r="B2709" s="81" t="str">
        <f t="shared" ref="B2709:B2711" si="137">HYPERLINK("https://www.youtube.com/channel/UCvE0FPIL24o2mnUQIqcSHYA", "柴犬春卷的英國日常 Shiba Harumaki in UK")</f>
        <v>柴犬春卷的英國日常 Shiba Harumaki in UK</v>
      </c>
      <c r="C2709" s="80" t="s">
        <v>3058</v>
      </c>
      <c r="D2709" s="81" t="str">
        <f>HYPERLINK("https://youtube.com/watch?v=6FK4sfvoy00", "【春爸英國買咩車】春卷有車坐｜唔洗坐的士｜電車定油車｜買左幾錢｜柴犬春卷移民英國｜寵物移民英國曼城｜狗狗移民｜Shiba Inu Manchester｜【廣東話 中英字幕Eng Sub】UK GB")</f>
        <v>【春爸英國買咩車】春卷有車坐｜唔洗坐的士｜電車定油車｜買左幾錢｜柴犬春卷移民英國｜寵物移民英國曼城｜狗狗移民｜Shiba Inu Manchester｜【廣東話 中英字幕Eng Sub】UK GB</v>
      </c>
      <c r="E2709" s="82">
        <v>44506.0</v>
      </c>
      <c r="F2709" s="80">
        <v>641.0</v>
      </c>
      <c r="G2709" s="80" t="s">
        <v>63</v>
      </c>
      <c r="I2709" s="80" t="s">
        <v>63</v>
      </c>
      <c r="J2709" s="80">
        <v>1605.0</v>
      </c>
      <c r="K2709" s="80">
        <v>0.941901408450704</v>
      </c>
      <c r="L2709" s="80" t="s">
        <v>521</v>
      </c>
    </row>
    <row r="2710">
      <c r="A2710" s="80" t="s">
        <v>3051</v>
      </c>
      <c r="B2710" s="81" t="str">
        <f t="shared" si="137"/>
        <v>柴犬春卷的英國日常 Shiba Harumaki in UK</v>
      </c>
      <c r="C2710" s="80" t="s">
        <v>3059</v>
      </c>
      <c r="D2710" s="81" t="str">
        <f>HYPERLINK("https://youtube.com/watch?v=7gdiXXRfO5E", "【柴犬春卷移民英國】🇬🇧｜我的英國戰車｜寵物移民英國｜柴犬春卷移民英國｜狗狗移民｜ Shiba Inu Pet Relocation｜曼城Manchester ｜【廣東話 繁體中文字幕】UK GB")</f>
        <v>【柴犬春卷移民英國】🇬🇧｜我的英國戰車｜寵物移民英國｜柴犬春卷移民英國｜狗狗移民｜ Shiba Inu Pet Relocation｜曼城Manchester ｜【廣東話 繁體中文字幕】UK GB</v>
      </c>
      <c r="E2710" s="82">
        <v>44460.0</v>
      </c>
      <c r="F2710" s="80">
        <v>533.0</v>
      </c>
      <c r="G2710" s="80" t="s">
        <v>63</v>
      </c>
      <c r="I2710" s="80" t="s">
        <v>63</v>
      </c>
      <c r="J2710" s="80">
        <v>1233.0</v>
      </c>
      <c r="K2710" s="80">
        <v>0.928463855421686</v>
      </c>
      <c r="L2710" s="80" t="s">
        <v>64</v>
      </c>
    </row>
    <row r="2711">
      <c r="A2711" s="80" t="s">
        <v>3051</v>
      </c>
      <c r="B2711" s="81" t="str">
        <f t="shared" si="137"/>
        <v>柴犬春卷的英國日常 Shiba Harumaki in UK</v>
      </c>
      <c r="C2711" s="80" t="s">
        <v>3060</v>
      </c>
      <c r="D2711" s="81" t="str">
        <f>HYPERLINK("https://youtube.com/watch?v=7uvDIk8EcPk", "【柴犬春卷移民英國】春卷移民去英國 Part I寵物移民 || Shiba Inu Pet Relocation || 英国へのペットの移転 【廣東話中文字幕】UK GB")</f>
        <v>【柴犬春卷移民英國】春卷移民去英國 Part I寵物移民 || Shiba Inu Pet Relocation || 英国へのペットの移転 【廣東話中文字幕】UK GB</v>
      </c>
      <c r="E2711" s="82">
        <v>44448.0</v>
      </c>
      <c r="F2711" s="80">
        <v>486.0</v>
      </c>
      <c r="G2711" s="80" t="s">
        <v>63</v>
      </c>
      <c r="I2711" s="80" t="s">
        <v>63</v>
      </c>
      <c r="J2711" s="80">
        <v>870.0</v>
      </c>
      <c r="K2711" s="80">
        <v>0.97752808988764</v>
      </c>
      <c r="L2711" s="80" t="s">
        <v>64</v>
      </c>
    </row>
    <row r="2712">
      <c r="A2712" s="80" t="s">
        <v>3048</v>
      </c>
      <c r="B2712" s="81" t="str">
        <f>HYPERLINK("https://www.youtube.com/channel/UCHiP6GctzJdIkYP20_9k-zg", "英倫。美景 about.the.england")</f>
        <v>英倫。美景 about.the.england</v>
      </c>
      <c r="C2712" s="80" t="s">
        <v>3061</v>
      </c>
      <c r="D2712" s="81" t="str">
        <f>HYPERLINK("https://youtube.com/watch?v=8V27-mTmPKo", "英國🎄聖誕市集&amp;嘉年華 2021【威爾斯首都：卡迪夫】 Capital city of Wales: Cardiff Christmas Market &amp; Winter wonderland 2021")</f>
        <v>英國🎄聖誕市集&amp;嘉年華 2021【威爾斯首都：卡迪夫】 Capital city of Wales: Cardiff Christmas Market &amp; Winter wonderland 2021</v>
      </c>
      <c r="E2712" s="82">
        <v>44532.0</v>
      </c>
      <c r="F2712" s="80">
        <v>461.0</v>
      </c>
      <c r="G2712" s="80" t="s">
        <v>63</v>
      </c>
      <c r="I2712" s="80" t="s">
        <v>63</v>
      </c>
      <c r="J2712" s="80">
        <v>1149.0</v>
      </c>
      <c r="K2712" s="80">
        <v>0.956702747710241</v>
      </c>
      <c r="L2712" s="80" t="s">
        <v>64</v>
      </c>
    </row>
    <row r="2713">
      <c r="A2713" s="80" t="s">
        <v>3062</v>
      </c>
      <c r="B2713" s="81" t="str">
        <f>HYPERLINK("https://www.youtube.com/channel/UCpCqWazROmkURP9Jy8mVvEg", "RedisPolly")</f>
        <v>RedisPolly</v>
      </c>
      <c r="C2713" s="80" t="s">
        <v>3063</v>
      </c>
      <c r="D2713" s="81" t="str">
        <f>HYPERLINK("https://youtube.com/watch?v=8a3sx_7-3WI", "🏠ROOMTOUR終於來了!!!我的房間大公開2018｜RedisPolly")</f>
        <v>🏠ROOMTOUR終於來了!!!我的房間大公開2018｜RedisPolly</v>
      </c>
      <c r="E2713" s="82">
        <v>43190.0</v>
      </c>
      <c r="F2713" s="80">
        <v>1412.0</v>
      </c>
      <c r="G2713" s="80" t="s">
        <v>63</v>
      </c>
      <c r="I2713" s="80" t="s">
        <v>63</v>
      </c>
      <c r="J2713" s="80">
        <v>430.0</v>
      </c>
      <c r="K2713" s="80">
        <v>0.802238805970149</v>
      </c>
      <c r="L2713" s="80" t="s">
        <v>64</v>
      </c>
    </row>
    <row r="2714">
      <c r="A2714" s="80" t="s">
        <v>3051</v>
      </c>
      <c r="B2714" s="81" t="str">
        <f>HYPERLINK("https://www.youtube.com/channel/UCvE0FPIL24o2mnUQIqcSHYA", "柴犬春卷的英國日常 Shiba Harumaki in UK")</f>
        <v>柴犬春卷的英國日常 Shiba Harumaki in UK</v>
      </c>
      <c r="C2714" s="80" t="s">
        <v>3064</v>
      </c>
      <c r="D2714" s="81" t="str">
        <f>HYPERLINK("https://youtube.com/watch?v=9R_HJR81H3A", "【柴犬春卷移民英國】春卷移民去英國 Part II寵物移民 || Shiba Inu Pet Relocation || 英国へのペットの移転 【廣東話】UK GB")</f>
        <v>【柴犬春卷移民英國】春卷移民去英國 Part II寵物移民 || Shiba Inu Pet Relocation || 英国へのペットの移転 【廣東話】UK GB</v>
      </c>
      <c r="E2714" s="82">
        <v>44450.0</v>
      </c>
      <c r="F2714" s="80">
        <v>373.0</v>
      </c>
      <c r="G2714" s="80" t="s">
        <v>63</v>
      </c>
      <c r="I2714" s="80" t="s">
        <v>63</v>
      </c>
      <c r="J2714" s="80">
        <v>613.0</v>
      </c>
      <c r="K2714" s="80">
        <v>0.914925373134328</v>
      </c>
      <c r="L2714" s="80" t="s">
        <v>64</v>
      </c>
    </row>
    <row r="2715">
      <c r="A2715" s="80" t="s">
        <v>293</v>
      </c>
      <c r="B2715" s="81" t="str">
        <f>HYPERLINK("https://www.youtube.com/channel/UCXRcbXqjORdIvl63I7MtOLQ", "趁熱 Kerry 's kitchen")</f>
        <v>趁熱 Kerry 's kitchen</v>
      </c>
      <c r="C2715" s="80" t="s">
        <v>3065</v>
      </c>
      <c r="D2715" s="81" t="str">
        <f>HYPERLINK("https://youtube.com/watch?v=FlekK08XI80", "煎 排骨/京都骨/大牌檔風味/急凍排骨做法/不用炸/簡單 家做/廣東話/中文字幕")</f>
        <v>煎 排骨/京都骨/大牌檔風味/急凍排骨做法/不用炸/簡單 家做/廣東話/中文字幕</v>
      </c>
      <c r="E2715" s="82">
        <v>44435.0</v>
      </c>
      <c r="F2715" s="80">
        <v>697.0</v>
      </c>
      <c r="G2715" s="80" t="s">
        <v>63</v>
      </c>
      <c r="I2715" s="80" t="s">
        <v>63</v>
      </c>
      <c r="J2715" s="80">
        <v>1769.0</v>
      </c>
      <c r="K2715" s="80">
        <v>0.975192943770672</v>
      </c>
      <c r="L2715" s="80" t="s">
        <v>64</v>
      </c>
    </row>
    <row r="2716">
      <c r="A2716" s="80" t="s">
        <v>127</v>
      </c>
      <c r="B2716" s="81" t="str">
        <f>HYPERLINK("https://www.youtube.com/channel/UC97oYK3XMf9RLtkc0lO8C-Q", "健康旦 HiEggo")</f>
        <v>健康旦 HiEggo</v>
      </c>
      <c r="C2716" s="80" t="s">
        <v>3066</v>
      </c>
      <c r="D2716" s="81" t="str">
        <f>HYPERLINK("https://youtube.com/watch?v=Flqx4m1YexU", "中央肥胖易患脂肪肝、高血壓 深蹲熱身練下半身肌群 鍛煉腹肌勿用錯頸肌 - 鄭丹瑞《健康旦》註冊中醫師 #徐澤昌 Part 6 (CC中文字幕)")</f>
        <v>中央肥胖易患脂肪肝、高血壓 深蹲熱身練下半身肌群 鍛煉腹肌勿用錯頸肌 - 鄭丹瑞《健康旦》註冊中醫師 #徐澤昌 Part 6 (CC中文字幕)</v>
      </c>
      <c r="E2716" s="82">
        <v>44118.0</v>
      </c>
      <c r="F2716" s="80">
        <v>588.0</v>
      </c>
      <c r="G2716" s="80" t="s">
        <v>63</v>
      </c>
      <c r="I2716" s="80" t="s">
        <v>63</v>
      </c>
      <c r="J2716" s="80">
        <v>2171.0</v>
      </c>
      <c r="K2716" s="80">
        <v>0.95849889624724</v>
      </c>
      <c r="L2716" s="80" t="s">
        <v>3067</v>
      </c>
    </row>
    <row r="2717">
      <c r="A2717" s="80" t="s">
        <v>3048</v>
      </c>
      <c r="B2717" s="81" t="str">
        <f>HYPERLINK("https://www.youtube.com/channel/UCHiP6GctzJdIkYP20_9k-zg", "英倫。美景 about.the.england")</f>
        <v>英倫。美景 about.the.england</v>
      </c>
      <c r="C2717" s="80" t="s">
        <v>3068</v>
      </c>
      <c r="D2717" s="81" t="str">
        <f>HYPERLINK("https://youtube.com/watch?v=9nzYV2k6hv4", "英國Costco Wholesale 😊大型批發超市😍種類數量多到驚人😲廣東話💁🏻part 1")</f>
        <v>英國Costco Wholesale 😊大型批發超市😍種類數量多到驚人😲廣東話💁🏻part 1</v>
      </c>
      <c r="E2717" s="82">
        <v>44179.0</v>
      </c>
      <c r="F2717" s="80">
        <v>574.0</v>
      </c>
      <c r="G2717" s="80" t="s">
        <v>63</v>
      </c>
      <c r="I2717" s="80" t="s">
        <v>63</v>
      </c>
      <c r="J2717" s="80">
        <v>998.0</v>
      </c>
      <c r="K2717" s="80">
        <v>0.897482014388489</v>
      </c>
      <c r="L2717" s="80" t="s">
        <v>64</v>
      </c>
    </row>
    <row r="2718">
      <c r="A2718" s="80" t="s">
        <v>3051</v>
      </c>
      <c r="B2718" s="81" t="str">
        <f>HYPERLINK("https://www.youtube.com/channel/UCvE0FPIL24o2mnUQIqcSHYA", "柴犬春卷的英國日常 Shiba Harumaki in UK")</f>
        <v>柴犬春卷的英國日常 Shiba Harumaki in UK</v>
      </c>
      <c r="C2718" s="80" t="s">
        <v>3069</v>
      </c>
      <c r="D2718" s="81" t="str">
        <f>HYPERLINK("https://youtube.com/watch?v=CtFuzAydLa4", "【春卷倫敦遊】第一年的英國聖誕｜ London Christmas Market ｜相約柴犬Milk｜柴犬春卷移民英國曼城｜寵物移民｜Shiba Inu Manchester｜廣東話中字ENG Sub")</f>
        <v>【春卷倫敦遊】第一年的英國聖誕｜ London Christmas Market ｜相約柴犬Milk｜柴犬春卷移民英國曼城｜寵物移民｜Shiba Inu Manchester｜廣東話中字ENG Sub</v>
      </c>
      <c r="E2718" s="82">
        <v>44556.0</v>
      </c>
      <c r="F2718" s="80">
        <v>900.0</v>
      </c>
      <c r="G2718" s="80" t="s">
        <v>63</v>
      </c>
      <c r="I2718" s="80" t="s">
        <v>63</v>
      </c>
      <c r="J2718" s="80">
        <v>2055.0</v>
      </c>
      <c r="K2718" s="80">
        <v>0.86417157275021</v>
      </c>
      <c r="L2718" s="80" t="s">
        <v>521</v>
      </c>
    </row>
    <row r="2719">
      <c r="A2719" s="80" t="s">
        <v>3048</v>
      </c>
      <c r="B2719" s="81" t="str">
        <f>HYPERLINK("https://www.youtube.com/channel/UCHiP6GctzJdIkYP20_9k-zg", "英倫。美景 about.the.england")</f>
        <v>英倫。美景 about.the.england</v>
      </c>
      <c r="C2719" s="80" t="s">
        <v>3070</v>
      </c>
      <c r="D2719" s="81" t="str">
        <f>HYPERLINK("https://youtube.com/watch?v=DLUPk60c-GQ", "英國平價服飾連鎖店👗Primark👠花多眼亂👀廣東話 1080p")</f>
        <v>英國平價服飾連鎖店👗Primark👠花多眼亂👀廣東話 1080p</v>
      </c>
      <c r="E2719" s="82">
        <v>44135.0</v>
      </c>
      <c r="F2719" s="80">
        <v>404.0</v>
      </c>
      <c r="G2719" s="80" t="s">
        <v>63</v>
      </c>
      <c r="I2719" s="80" t="s">
        <v>63</v>
      </c>
      <c r="J2719" s="80">
        <v>587.0</v>
      </c>
      <c r="K2719" s="80">
        <v>0.869629629629629</v>
      </c>
      <c r="L2719" s="80" t="s">
        <v>64</v>
      </c>
    </row>
    <row r="2720">
      <c r="A2720" s="80" t="s">
        <v>127</v>
      </c>
      <c r="B2720" s="81" t="str">
        <f>HYPERLINK("https://www.youtube.com/channel/UC97oYK3XMf9RLtkc0lO8C-Q", "健康旦 HiEggo")</f>
        <v>健康旦 HiEggo</v>
      </c>
      <c r="C2720" s="80" t="s">
        <v>3071</v>
      </c>
      <c r="D2720" s="81" t="str">
        <f>HYPERLINK("https://youtube.com/watch?v=FmoDEP78plk", "舒緩月經痛症 靠古方薑療調理身體 驅除頭風減少頭痛 ￼- 鄭丹瑞《健康旦》#PaullyIp 美客養生專家 Part 2 (CC中文字幕)")</f>
        <v>舒緩月經痛症 靠古方薑療調理身體 驅除頭風減少頭痛 ￼- 鄭丹瑞《健康旦》#PaullyIp 美客養生專家 Part 2 (CC中文字幕)</v>
      </c>
      <c r="E2720" s="82">
        <v>44003.0</v>
      </c>
      <c r="F2720" s="80">
        <v>666.0</v>
      </c>
      <c r="G2720" s="80" t="s">
        <v>63</v>
      </c>
      <c r="I2720" s="80" t="s">
        <v>63</v>
      </c>
      <c r="J2720" s="80">
        <v>2702.0</v>
      </c>
      <c r="K2720" s="80">
        <v>0.986851716581446</v>
      </c>
      <c r="L2720" s="80" t="s">
        <v>2771</v>
      </c>
    </row>
    <row r="2721">
      <c r="A2721" s="80" t="s">
        <v>3048</v>
      </c>
      <c r="B2721" s="81" t="str">
        <f>HYPERLINK("https://www.youtube.com/channel/UCHiP6GctzJdIkYP20_9k-zg", "英倫。美景 about.the.england")</f>
        <v>英倫。美景 about.the.england</v>
      </c>
      <c r="C2721" s="80" t="s">
        <v>3072</v>
      </c>
      <c r="D2721" s="81" t="str">
        <f>HYPERLINK("https://youtube.com/watch?v=GbqKMq3GTbY", "分享如何申請NI number過程及教學😃英國國民保險號(NINO)🧐")</f>
        <v>分享如何申請NI number過程及教學😃英國國民保險號(NINO)🧐</v>
      </c>
      <c r="E2721" s="82">
        <v>44251.0</v>
      </c>
      <c r="F2721" s="80">
        <v>343.0</v>
      </c>
      <c r="G2721" s="80" t="s">
        <v>63</v>
      </c>
      <c r="I2721" s="80" t="s">
        <v>63</v>
      </c>
      <c r="J2721" s="80">
        <v>1167.0</v>
      </c>
      <c r="K2721" s="80">
        <v>0.867013372956909</v>
      </c>
      <c r="L2721" s="80" t="s">
        <v>64</v>
      </c>
    </row>
    <row r="2722">
      <c r="A2722" s="80" t="s">
        <v>3051</v>
      </c>
      <c r="B2722" s="81" t="str">
        <f t="shared" ref="B2722:B2723" si="138">HYPERLINK("https://www.youtube.com/channel/UCvE0FPIL24o2mnUQIqcSHYA", "柴犬春卷的英國日常 Shiba Harumaki in UK")</f>
        <v>柴犬春卷的英國日常 Shiba Harumaki in UK</v>
      </c>
      <c r="C2722" s="80" t="s">
        <v>3073</v>
      </c>
      <c r="D2722" s="81" t="str">
        <f>HYPERLINK("https://youtube.com/watch?v=H1ACklDDYqg", "【柴犬春卷移民英國】帶你行曼城市中心商場Manchester Arndale｜英國Five Guys好無食｜治安好唔好｜寵物移民英國曼城｜Shiba Inu Manchester｜繁體中字】UK GB")</f>
        <v>【柴犬春卷移民英國】帶你行曼城市中心商場Manchester Arndale｜英國Five Guys好無食｜治安好唔好｜寵物移民英國曼城｜Shiba Inu Manchester｜繁體中字】UK GB</v>
      </c>
      <c r="E2722" s="82">
        <v>44492.0</v>
      </c>
      <c r="F2722" s="80">
        <v>833.0</v>
      </c>
      <c r="G2722" s="80" t="s">
        <v>63</v>
      </c>
      <c r="I2722" s="80" t="s">
        <v>63</v>
      </c>
      <c r="J2722" s="80">
        <v>1373.0</v>
      </c>
      <c r="K2722" s="80">
        <v>0.89621409921671</v>
      </c>
      <c r="L2722" s="80" t="s">
        <v>64</v>
      </c>
    </row>
    <row r="2723">
      <c r="A2723" s="80" t="s">
        <v>3051</v>
      </c>
      <c r="B2723" s="81" t="str">
        <f t="shared" si="138"/>
        <v>柴犬春卷的英國日常 Shiba Harumaki in UK</v>
      </c>
      <c r="C2723" s="80" t="s">
        <v>3074</v>
      </c>
      <c r="D2723" s="81" t="str">
        <f>HYPERLINK("https://youtube.com/watch?v=IjtT8io9PVI", "平安夜的英國街上無人行?【聖誕特輯第二集 EP2最終回】夜晚出街治安? ｜Christmas eve in UK｜Boxing Day大特價有咩買?｜柴犬春卷移民英國曼城｜Shiba Inu【廣東話】")</f>
        <v>平安夜的英國街上無人行?【聖誕特輯第二集 EP2最終回】夜晚出街治安? ｜Christmas eve in UK｜Boxing Day大特價有咩買?｜柴犬春卷移民英國曼城｜Shiba Inu【廣東話】</v>
      </c>
      <c r="E2723" s="82">
        <v>44558.0</v>
      </c>
      <c r="F2723" s="80">
        <v>910.0</v>
      </c>
      <c r="G2723" s="80" t="s">
        <v>63</v>
      </c>
      <c r="I2723" s="80" t="s">
        <v>63</v>
      </c>
      <c r="J2723" s="80">
        <v>719.0</v>
      </c>
      <c r="K2723" s="80">
        <v>0.892059553349876</v>
      </c>
      <c r="L2723" s="80" t="s">
        <v>64</v>
      </c>
    </row>
    <row r="2724">
      <c r="A2724" s="80" t="s">
        <v>3048</v>
      </c>
      <c r="B2724" s="81" t="str">
        <f>HYPERLINK("https://www.youtube.com/channel/UCHiP6GctzJdIkYP20_9k-zg", "英倫。美景 about.the.england")</f>
        <v>英倫。美景 about.the.england</v>
      </c>
      <c r="C2724" s="80" t="s">
        <v>3075</v>
      </c>
      <c r="D2724" s="81" t="str">
        <f>HYPERLINK("https://youtube.com/watch?v=K6YIf3CT7n4", "英國必去博物館之一👩‍🎨【大英博物館 British Museum 】✨part 1")</f>
        <v>英國必去博物館之一👩‍🎨【大英博物館 British Museum 】✨part 1</v>
      </c>
      <c r="E2724" s="82">
        <v>44560.0</v>
      </c>
      <c r="F2724" s="80">
        <v>508.0</v>
      </c>
      <c r="G2724" s="80" t="s">
        <v>63</v>
      </c>
      <c r="I2724" s="80" t="s">
        <v>63</v>
      </c>
      <c r="J2724" s="80">
        <v>1454.0</v>
      </c>
      <c r="K2724" s="80">
        <v>0.942931258106355</v>
      </c>
      <c r="L2724" s="80" t="s">
        <v>64</v>
      </c>
    </row>
    <row r="2725">
      <c r="A2725" s="80" t="s">
        <v>3051</v>
      </c>
      <c r="B2725" s="81" t="str">
        <f t="shared" ref="B2725:B2727" si="139">HYPERLINK("https://www.youtube.com/channel/UCvE0FPIL24o2mnUQIqcSHYA", "柴犬春卷的英國日常 Shiba Harumaki in UK")</f>
        <v>柴犬春卷的英國日常 Shiba Harumaki in UK</v>
      </c>
      <c r="C2725" s="80" t="s">
        <v>3076</v>
      </c>
      <c r="D2725" s="81" t="str">
        <f>HYPERLINK("https://youtube.com/watch?v=KVhVnx2HaTg", "到埗英國去邊度一次過買生活用品?【英國B&amp;M】移民英國到埗必去舖頭｜屋企大廈都有Christmas Market｜柴犬春卷移民英國曼城｜寵物移民｜Shiba Inu Manchester｜廣東話 UK")</f>
        <v>到埗英國去邊度一次過買生活用品?【英國B&amp;M】移民英國到埗必去舖頭｜屋企大廈都有Christmas Market｜柴犬春卷移民英國曼城｜寵物移民｜Shiba Inu Manchester｜廣東話 UK</v>
      </c>
      <c r="E2725" s="82">
        <v>44535.0</v>
      </c>
      <c r="F2725" s="80">
        <v>916.0</v>
      </c>
      <c r="G2725" s="80" t="s">
        <v>63</v>
      </c>
      <c r="I2725" s="80" t="s">
        <v>63</v>
      </c>
      <c r="J2725" s="80">
        <v>1188.0</v>
      </c>
      <c r="K2725" s="80">
        <v>0.925954793452844</v>
      </c>
      <c r="L2725" s="80" t="s">
        <v>64</v>
      </c>
    </row>
    <row r="2726">
      <c r="A2726" s="80" t="s">
        <v>3051</v>
      </c>
      <c r="B2726" s="81" t="str">
        <f t="shared" si="139"/>
        <v>柴犬春卷的英國日常 Shiba Harumaki in UK</v>
      </c>
      <c r="C2726" s="80" t="s">
        <v>3077</v>
      </c>
      <c r="D2726" s="81" t="str">
        <f>HYPERLINK("https://youtube.com/watch?v=Ld7hQPW4n6I", "倫敦Borough Market 食生蠔｜戴妃婚禮場地聖保羅座堂｜Hyde Park做咩好｜【倫敦遊最終回】柴犬春卷移民英國曼城｜寵物移民｜Shiba Inu Manchester｜中字ENG Sub")</f>
        <v>倫敦Borough Market 食生蠔｜戴妃婚禮場地聖保羅座堂｜Hyde Park做咩好｜【倫敦遊最終回】柴犬春卷移民英國曼城｜寵物移民｜Shiba Inu Manchester｜中字ENG Sub</v>
      </c>
      <c r="E2726" s="82">
        <v>44567.0</v>
      </c>
      <c r="F2726" s="80">
        <v>862.0</v>
      </c>
      <c r="G2726" s="80" t="s">
        <v>63</v>
      </c>
      <c r="I2726" s="80" t="s">
        <v>63</v>
      </c>
      <c r="J2726" s="80">
        <v>2096.0</v>
      </c>
      <c r="K2726" s="80">
        <v>0.938647559337214</v>
      </c>
      <c r="L2726" s="80" t="s">
        <v>521</v>
      </c>
    </row>
    <row r="2727">
      <c r="A2727" s="80" t="s">
        <v>3051</v>
      </c>
      <c r="B2727" s="81" t="str">
        <f t="shared" si="139"/>
        <v>柴犬春卷的英國日常 Shiba Harumaki in UK</v>
      </c>
      <c r="C2727" s="80" t="s">
        <v>3078</v>
      </c>
      <c r="D2727" s="81" t="str">
        <f>HYPERLINK("https://youtube.com/watch?v=M6n4V05oLeY", "【柴犬春卷移民英國】🇬🇧｜出發去曼城屋企｜包車如何｜寵物移民英國｜柴犬春卷移民英國｜狗狗移民｜ Shiba Inu Pet Relocation｜寵物移民DIY｜【廣東話 繁體中文字幕】UK GB")</f>
        <v>【柴犬春卷移民英國】🇬🇧｜出發去曼城屋企｜包車如何｜寵物移民英國｜柴犬春卷移民英國｜狗狗移民｜ Shiba Inu Pet Relocation｜寵物移民DIY｜【廣東話 繁體中文字幕】UK GB</v>
      </c>
      <c r="E2727" s="82">
        <v>44455.0</v>
      </c>
      <c r="F2727" s="80">
        <v>560.0</v>
      </c>
      <c r="G2727" s="80" t="s">
        <v>63</v>
      </c>
      <c r="I2727" s="80" t="s">
        <v>63</v>
      </c>
      <c r="J2727" s="80">
        <v>1504.0</v>
      </c>
      <c r="K2727" s="80">
        <v>0.901138406231276</v>
      </c>
      <c r="L2727" s="80" t="s">
        <v>64</v>
      </c>
    </row>
    <row r="2728">
      <c r="A2728" s="80" t="s">
        <v>3048</v>
      </c>
      <c r="B2728" s="81" t="str">
        <f>HYPERLINK("https://www.youtube.com/channel/UCHiP6GctzJdIkYP20_9k-zg", "英倫。美景 about.the.england")</f>
        <v>英倫。美景 about.the.england</v>
      </c>
      <c r="C2728" s="80" t="s">
        <v>3079</v>
      </c>
      <c r="D2728" s="81" t="str">
        <f>HYPERLINK("https://youtube.com/watch?v=PUrfmnBbg0Q", "英國第二大連鎖超市公司😎Sainsbury's👔 part 1👕產品超多🥳廣東話 1080p")</f>
        <v>英國第二大連鎖超市公司😎Sainsbury's👔 part 1👕產品超多🥳廣東話 1080p</v>
      </c>
      <c r="E2728" s="82">
        <v>44144.0</v>
      </c>
      <c r="F2728" s="80">
        <v>710.0</v>
      </c>
      <c r="G2728" s="80" t="s">
        <v>63</v>
      </c>
      <c r="I2728" s="80" t="s">
        <v>63</v>
      </c>
      <c r="J2728" s="80">
        <v>1260.0</v>
      </c>
      <c r="K2728" s="80">
        <v>0.939597315436241</v>
      </c>
      <c r="L2728" s="80" t="s">
        <v>64</v>
      </c>
    </row>
    <row r="2729">
      <c r="A2729" s="80" t="s">
        <v>3051</v>
      </c>
      <c r="B2729" s="81" t="str">
        <f t="shared" ref="B2729:B2732" si="140">HYPERLINK("https://www.youtube.com/channel/UCvE0FPIL24o2mnUQIqcSHYA", "柴犬春卷的英國日常 Shiba Harumaki in UK")</f>
        <v>柴犬春卷的英國日常 Shiba Harumaki in UK</v>
      </c>
      <c r="C2729" s="80" t="s">
        <v>3080</v>
      </c>
      <c r="D2729" s="81" t="str">
        <f>HYPERLINK("https://youtube.com/watch?v=PjWcOSoB6oY", "【曼城唐人街+曼城Christmas Market】食叉燒唔預春卷｜聖誕市場有咩睇｜柴犬春卷移民英國曼城｜Shiba Inu Manchester｜【廣東話 中英字幕Eng Sub】UK GB")</f>
        <v>【曼城唐人街+曼城Christmas Market】食叉燒唔預春卷｜聖誕市場有咩睇｜柴犬春卷移民英國曼城｜Shiba Inu Manchester｜【廣東話 中英字幕Eng Sub】UK GB</v>
      </c>
      <c r="E2729" s="82">
        <v>44545.0</v>
      </c>
      <c r="F2729" s="80">
        <v>660.0</v>
      </c>
      <c r="G2729" s="80" t="s">
        <v>63</v>
      </c>
      <c r="I2729" s="80" t="s">
        <v>63</v>
      </c>
      <c r="J2729" s="80">
        <v>1472.0</v>
      </c>
      <c r="K2729" s="80">
        <v>0.934603174603174</v>
      </c>
      <c r="L2729" s="80" t="s">
        <v>521</v>
      </c>
    </row>
    <row r="2730">
      <c r="A2730" s="80" t="s">
        <v>3051</v>
      </c>
      <c r="B2730" s="81" t="str">
        <f t="shared" si="140"/>
        <v>柴犬春卷的英國日常 Shiba Harumaki in UK</v>
      </c>
      <c r="C2730" s="80" t="s">
        <v>3081</v>
      </c>
      <c r="D2730" s="81" t="str">
        <f>HYPERLINK("https://youtube.com/watch?v=Q2zWRXirbuc", "【柴犬春卷移民英國】英國糧食短缺｜超市減100蚊｜寵物移民英國曼城｜狗狗移民｜ Shiba Inu Manchester｜Food shortages in UK｜廣東話 繁體中文字幕】UK GB")</f>
        <v>【柴犬春卷移民英國】英國糧食短缺｜超市減100蚊｜寵物移民英國曼城｜狗狗移民｜ Shiba Inu Manchester｜Food shortages in UK｜廣東話 繁體中文字幕】UK GB</v>
      </c>
      <c r="E2730" s="82">
        <v>44467.0</v>
      </c>
      <c r="F2730" s="80">
        <v>552.0</v>
      </c>
      <c r="G2730" s="80" t="s">
        <v>63</v>
      </c>
      <c r="I2730" s="80" t="s">
        <v>63</v>
      </c>
      <c r="J2730" s="80">
        <v>1378.0</v>
      </c>
      <c r="K2730" s="80">
        <v>0.902423051735428</v>
      </c>
      <c r="L2730" s="80" t="s">
        <v>64</v>
      </c>
    </row>
    <row r="2731">
      <c r="A2731" s="80" t="s">
        <v>3051</v>
      </c>
      <c r="B2731" s="81" t="str">
        <f t="shared" si="140"/>
        <v>柴犬春卷的英國日常 Shiba Harumaki in UK</v>
      </c>
      <c r="C2731" s="80" t="s">
        <v>3082</v>
      </c>
      <c r="D2731" s="81" t="str">
        <f>HYPERLINK("https://youtube.com/watch?v=RrT1sxQFRQo", "【英國睇樓】曼城頂層複式3房Apartment Penthouse🇬🇧｜幾錢租｜春卷被嚇親｜Salford｜寵物移民｜狗狗移民｜Shiba Inu Manchester｜廣東話 繁體中字UK GB")</f>
        <v>【英國睇樓】曼城頂層複式3房Apartment Penthouse🇬🇧｜幾錢租｜春卷被嚇親｜Salford｜寵物移民｜狗狗移民｜Shiba Inu Manchester｜廣東話 繁體中字UK GB</v>
      </c>
      <c r="E2731" s="82">
        <v>44490.0</v>
      </c>
      <c r="F2731" s="80">
        <v>685.0</v>
      </c>
      <c r="G2731" s="80" t="s">
        <v>63</v>
      </c>
      <c r="I2731" s="80" t="s">
        <v>63</v>
      </c>
      <c r="J2731" s="80">
        <v>1931.0</v>
      </c>
      <c r="K2731" s="80">
        <v>0.947962690230731</v>
      </c>
      <c r="L2731" s="80" t="s">
        <v>64</v>
      </c>
    </row>
    <row r="2732">
      <c r="A2732" s="80" t="s">
        <v>3051</v>
      </c>
      <c r="B2732" s="81" t="str">
        <f t="shared" si="140"/>
        <v>柴犬春卷的英國日常 Shiba Harumaki in UK</v>
      </c>
      <c r="C2732" s="80" t="s">
        <v>3083</v>
      </c>
      <c r="D2732" s="81" t="str">
        <f>HYPERLINK("https://youtube.com/watch?v=S6ayAOiF0R4", "【柴犬春卷移民英國】🇬🇧｜你係咪好淒涼呀｜寵物移民英國｜柴犬春卷移民英國｜狗狗移民｜ Shiba Inu Pet Relocation｜寵物移民DIY｜【廣東話 繁體中文字幕】UK GB")</f>
        <v>【柴犬春卷移民英國】🇬🇧｜你係咪好淒涼呀｜寵物移民英國｜柴犬春卷移民英國｜狗狗移民｜ Shiba Inu Pet Relocation｜寵物移民DIY｜【廣東話 繁體中文字幕】UK GB</v>
      </c>
      <c r="E2732" s="82">
        <v>44458.0</v>
      </c>
      <c r="F2732" s="80">
        <v>466.0</v>
      </c>
      <c r="G2732" s="80" t="s">
        <v>63</v>
      </c>
      <c r="I2732" s="80" t="s">
        <v>63</v>
      </c>
      <c r="J2732" s="80">
        <v>1139.0</v>
      </c>
      <c r="K2732" s="80">
        <v>0.929037520391517</v>
      </c>
      <c r="L2732" s="80" t="s">
        <v>64</v>
      </c>
    </row>
    <row r="2733">
      <c r="A2733" s="80" t="s">
        <v>3048</v>
      </c>
      <c r="B2733" s="81" t="str">
        <f t="shared" ref="B2733:B2734" si="141">HYPERLINK("https://www.youtube.com/channel/UCHiP6GctzJdIkYP20_9k-zg", "英倫。美景 about.the.england")</f>
        <v>英倫。美景 about.the.england</v>
      </c>
      <c r="C2733" s="80" t="s">
        <v>3084</v>
      </c>
      <c r="D2733" s="81" t="str">
        <f>HYPERLINK("https://youtube.com/watch?v=SKwj05_nmmU", "未考車牌就黎咗英國點算好呢?😲申請英國臨時駕駛執照先啦!😉好有用嫁!")</f>
        <v>未考車牌就黎咗英國點算好呢?😲申請英國臨時駕駛執照先啦!😉好有用嫁!</v>
      </c>
      <c r="E2733" s="82">
        <v>44264.0</v>
      </c>
      <c r="F2733" s="80">
        <v>546.0</v>
      </c>
      <c r="G2733" s="80" t="s">
        <v>63</v>
      </c>
      <c r="I2733" s="80" t="s">
        <v>63</v>
      </c>
      <c r="J2733" s="80">
        <v>1800.0</v>
      </c>
      <c r="K2733" s="80">
        <v>0.851466414380321</v>
      </c>
      <c r="L2733" s="80" t="s">
        <v>64</v>
      </c>
    </row>
    <row r="2734">
      <c r="A2734" s="80" t="s">
        <v>3048</v>
      </c>
      <c r="B2734" s="81" t="str">
        <f t="shared" si="141"/>
        <v>英倫。美景 about.the.england</v>
      </c>
      <c r="C2734" s="80" t="s">
        <v>3085</v>
      </c>
      <c r="D2734" s="81" t="str">
        <f>HYPERLINK("https://youtube.com/watch?v=SUVD5ascxqg", "英國🤓網上購買火車票過程簡單分享🤖National Rail")</f>
        <v>英國🤓網上購買火車票過程簡單分享🤖National Rail</v>
      </c>
      <c r="E2734" s="82">
        <v>44478.0</v>
      </c>
      <c r="F2734" s="80">
        <v>398.0</v>
      </c>
      <c r="G2734" s="80" t="s">
        <v>63</v>
      </c>
      <c r="I2734" s="80" t="s">
        <v>63</v>
      </c>
      <c r="J2734" s="80">
        <v>1087.0</v>
      </c>
      <c r="K2734" s="80">
        <v>0.797505502567865</v>
      </c>
      <c r="L2734" s="80" t="s">
        <v>64</v>
      </c>
    </row>
    <row r="2735">
      <c r="A2735" s="80" t="s">
        <v>3051</v>
      </c>
      <c r="B2735" s="81" t="str">
        <f>HYPERLINK("https://www.youtube.com/channel/UCvE0FPIL24o2mnUQIqcSHYA", "柴犬春卷的英國日常 Shiba Harumaki in UK")</f>
        <v>柴犬春卷的英國日常 Shiba Harumaki in UK</v>
      </c>
      <c r="C2735" s="80" t="s">
        <v>3086</v>
      </c>
      <c r="D2735" s="81" t="str">
        <f>HYPERLINK("https://youtube.com/watch?v=SfCeIiZiHkw", "【英國行公園】春卷草地遊系列 ｜唔洗Shopping好happy｜柴犬春卷移民英國｜寵物狗狗移民英國｜Shiba Inu Manchester Oldham｜【廣東話 繁體中字Eng Sub】 UK")</f>
        <v>【英國行公園】春卷草地遊系列 ｜唔洗Shopping好happy｜柴犬春卷移民英國｜寵物狗狗移民英國｜Shiba Inu Manchester Oldham｜【廣東話 繁體中字Eng Sub】 UK</v>
      </c>
      <c r="E2735" s="82">
        <v>44526.0</v>
      </c>
      <c r="F2735" s="80">
        <v>557.0</v>
      </c>
      <c r="G2735" s="80" t="s">
        <v>63</v>
      </c>
      <c r="I2735" s="80" t="s">
        <v>63</v>
      </c>
      <c r="J2735" s="80">
        <v>1396.0</v>
      </c>
      <c r="K2735" s="80">
        <v>0.899484536082474</v>
      </c>
      <c r="L2735" s="80" t="s">
        <v>521</v>
      </c>
    </row>
    <row r="2736">
      <c r="A2736" s="80" t="s">
        <v>3048</v>
      </c>
      <c r="B2736" s="81" t="str">
        <f t="shared" ref="B2736:B2739" si="142">HYPERLINK("https://www.youtube.com/channel/UCHiP6GctzJdIkYP20_9k-zg", "英倫。美景 about.the.england")</f>
        <v>英倫。美景 about.the.england</v>
      </c>
      <c r="C2736" s="80" t="s">
        <v>3087</v>
      </c>
      <c r="D2736" s="81" t="str">
        <f>HYPERLINK("https://youtube.com/watch?v=Ub4VcWLwN5w", "英國華人超市介紹😀龍鳳行🌽🍤廣東話🥩")</f>
        <v>英國華人超市介紹😀龍鳳行🌽🍤廣東話🥩</v>
      </c>
      <c r="E2736" s="82">
        <v>44173.0</v>
      </c>
      <c r="F2736" s="80">
        <v>368.0</v>
      </c>
      <c r="G2736" s="80" t="s">
        <v>63</v>
      </c>
      <c r="I2736" s="80" t="s">
        <v>63</v>
      </c>
      <c r="J2736" s="80">
        <v>657.0</v>
      </c>
      <c r="K2736" s="80">
        <v>0.980597014925373</v>
      </c>
      <c r="L2736" s="80" t="s">
        <v>64</v>
      </c>
    </row>
    <row r="2737">
      <c r="A2737" s="80" t="s">
        <v>3048</v>
      </c>
      <c r="B2737" s="81" t="str">
        <f t="shared" si="142"/>
        <v>英倫。美景 about.the.england</v>
      </c>
      <c r="C2737" s="80" t="s">
        <v>3088</v>
      </c>
      <c r="D2737" s="81" t="str">
        <f>HYPERLINK("https://youtube.com/watch?v=VNafHULE7MM", "聖誕Lockdown前行一轉garden centres🌷")</f>
        <v>聖誕Lockdown前行一轉garden centres🌷</v>
      </c>
      <c r="E2737" s="82">
        <v>44215.0</v>
      </c>
      <c r="F2737" s="80">
        <v>581.0</v>
      </c>
      <c r="G2737" s="80" t="s">
        <v>63</v>
      </c>
      <c r="I2737" s="80" t="s">
        <v>63</v>
      </c>
      <c r="J2737" s="80">
        <v>1148.0</v>
      </c>
      <c r="K2737" s="80">
        <v>0.899686520376175</v>
      </c>
      <c r="L2737" s="80" t="s">
        <v>64</v>
      </c>
    </row>
    <row r="2738">
      <c r="A2738" s="80" t="s">
        <v>3048</v>
      </c>
      <c r="B2738" s="81" t="str">
        <f t="shared" si="142"/>
        <v>英倫。美景 about.the.england</v>
      </c>
      <c r="C2738" s="80" t="s">
        <v>3089</v>
      </c>
      <c r="D2738" s="81" t="str">
        <f>HYPERLINK("https://youtube.com/watch?v=VZiGBuAhd00", "簡單分享LOCKDOWN前🙂elmsleigh Shopping Centre🤩廣東話")</f>
        <v>簡單分享LOCKDOWN前🙂elmsleigh Shopping Centre🤩廣東話</v>
      </c>
      <c r="E2738" s="82">
        <v>44166.0</v>
      </c>
      <c r="F2738" s="80">
        <v>254.0</v>
      </c>
      <c r="G2738" s="80" t="s">
        <v>63</v>
      </c>
      <c r="I2738" s="80" t="s">
        <v>63</v>
      </c>
      <c r="J2738" s="80">
        <v>540.0</v>
      </c>
      <c r="K2738" s="80">
        <v>0.889621087314662</v>
      </c>
      <c r="L2738" s="80" t="s">
        <v>64</v>
      </c>
    </row>
    <row r="2739">
      <c r="A2739" s="80" t="s">
        <v>3048</v>
      </c>
      <c r="B2739" s="81" t="str">
        <f t="shared" si="142"/>
        <v>英倫。美景 about.the.england</v>
      </c>
      <c r="C2739" s="80" t="s">
        <v>3090</v>
      </c>
      <c r="D2739" s="81" t="str">
        <f>HYPERLINK("https://youtube.com/watch?v=W7LmHNMTeSM", "英國啲產品係米好貴呢??英國第二大連鎖超市公司 Sainsbury's  part 2")</f>
        <v>英國啲產品係米好貴呢??英國第二大連鎖超市公司 Sainsbury's  part 2</v>
      </c>
      <c r="E2739" s="82">
        <v>44146.0</v>
      </c>
      <c r="F2739" s="80">
        <v>854.0</v>
      </c>
      <c r="G2739" s="80" t="s">
        <v>63</v>
      </c>
      <c r="I2739" s="80" t="s">
        <v>63</v>
      </c>
      <c r="J2739" s="80">
        <v>1580.0</v>
      </c>
      <c r="K2739" s="80">
        <v>0.91860465116279</v>
      </c>
      <c r="L2739" s="80" t="s">
        <v>64</v>
      </c>
    </row>
    <row r="2740">
      <c r="A2740" s="80" t="s">
        <v>3051</v>
      </c>
      <c r="B2740" s="81" t="str">
        <f>HYPERLINK("https://www.youtube.com/channel/UCvE0FPIL24o2mnUQIqcSHYA", "柴犬春卷的英國日常 Shiba Harumaki in UK")</f>
        <v>柴犬春卷的英國日常 Shiba Harumaki in UK</v>
      </c>
      <c r="C2740" s="80" t="s">
        <v>3091</v>
      </c>
      <c r="D2740" s="81" t="str">
        <f>HYPERLINK("https://youtube.com/watch?v=YcCYMeL8Xik", "【英國IKEA宜家】窮爸爸遊宜家｜IKEA有咩行｜曼城宜家傢俬｜柴犬春卷移民英國曼城｜寵物移民｜Shiba Inu Manchester｜【廣東話 中英字幕Eng Sub】UK GB")</f>
        <v>【英國IKEA宜家】窮爸爸遊宜家｜IKEA有咩行｜曼城宜家傢俬｜柴犬春卷移民英國曼城｜寵物移民｜Shiba Inu Manchester｜【廣東話 中英字幕Eng Sub】UK GB</v>
      </c>
      <c r="E2740" s="82">
        <v>44531.0</v>
      </c>
      <c r="F2740" s="80">
        <v>654.0</v>
      </c>
      <c r="G2740" s="80" t="s">
        <v>63</v>
      </c>
      <c r="I2740" s="80" t="s">
        <v>63</v>
      </c>
      <c r="J2740" s="80">
        <v>1722.0</v>
      </c>
      <c r="K2740" s="80">
        <v>0.947716015410016</v>
      </c>
      <c r="L2740" s="80" t="s">
        <v>521</v>
      </c>
    </row>
    <row r="2741">
      <c r="A2741" s="80" t="s">
        <v>288</v>
      </c>
      <c r="B2741" s="81" t="str">
        <f>HYPERLINK("https://www.youtube.com/channel/UCDWOYEhVnyD4IHZGVAMLc0g", "Brendan 毛爸")</f>
        <v>Brendan 毛爸</v>
      </c>
      <c r="C2741" s="80" t="s">
        <v>3092</v>
      </c>
      <c r="D2741" s="81" t="str">
        <f>HYPERLINK("https://youtube.com/watch?v=FrsRjWDFYjA", "【口罩保存方法】防止發霉，蛀蟲！超實用、簡單！《密實袋真空》防潮法！不用特別道具！輕鬆簡易 ！[請打開CC 查看中文字幕]")</f>
        <v>【口罩保存方法】防止發霉，蛀蟲！超實用、簡單！《密實袋真空》防潮法！不用特別道具！輕鬆簡易 ！[請打開CC 查看中文字幕]</v>
      </c>
      <c r="E2741" s="82">
        <v>43899.0</v>
      </c>
      <c r="F2741" s="80">
        <v>232.0</v>
      </c>
      <c r="G2741" s="80" t="s">
        <v>63</v>
      </c>
      <c r="I2741" s="80" t="s">
        <v>63</v>
      </c>
      <c r="J2741" s="80">
        <v>614.0</v>
      </c>
      <c r="K2741" s="80">
        <v>0.963893249607535</v>
      </c>
      <c r="L2741" s="80" t="s">
        <v>64</v>
      </c>
    </row>
    <row r="2742">
      <c r="A2742" s="80" t="s">
        <v>3048</v>
      </c>
      <c r="B2742" s="81" t="str">
        <f>HYPERLINK("https://www.youtube.com/channel/UCHiP6GctzJdIkYP20_9k-zg", "英倫。美景 about.the.england")</f>
        <v>英倫。美景 about.the.england</v>
      </c>
      <c r="C2742" s="80" t="s">
        <v>3093</v>
      </c>
      <c r="D2742" s="81" t="str">
        <f>HYPERLINK("https://youtube.com/watch?v=ZNoqHeazB-E", "英國Costco Wholesale 😊大型批發超市😲廣東話💁🏻part 2")</f>
        <v>英國Costco Wholesale 😊大型批發超市😲廣東話💁🏻part 2</v>
      </c>
      <c r="E2742" s="82">
        <v>44186.0</v>
      </c>
      <c r="F2742" s="80">
        <v>1074.0</v>
      </c>
      <c r="G2742" s="80" t="s">
        <v>63</v>
      </c>
      <c r="I2742" s="80" t="s">
        <v>63</v>
      </c>
      <c r="J2742" s="80">
        <v>1374.0</v>
      </c>
      <c r="K2742" s="80">
        <v>0.929634641407307</v>
      </c>
      <c r="L2742" s="80" t="s">
        <v>64</v>
      </c>
    </row>
    <row r="2743">
      <c r="A2743" s="80" t="s">
        <v>3051</v>
      </c>
      <c r="B2743" s="81" t="str">
        <f t="shared" ref="B2743:B2746" si="143">HYPERLINK("https://www.youtube.com/channel/UCvE0FPIL24o2mnUQIqcSHYA", "柴犬春卷的英國日常 Shiba Harumaki in UK")</f>
        <v>柴犬春卷的英國日常 Shiba Harumaki in UK</v>
      </c>
      <c r="C2743" s="80" t="s">
        <v>3094</v>
      </c>
      <c r="D2743" s="81" t="str">
        <f>HYPERLINK("https://youtube.com/watch?v=asBK5wI3HcI", "【柴犬春卷移民英國】超似去左日本公園見柴犬朋友| 狼性一面盡現｜英國飲茶貴唔貴｜行中超多唔多野買｜寵物移民英國曼城｜狗狗移民｜Shiba Inu Manchester｜【廣東話 繁體中字】UK GB")</f>
        <v>【柴犬春卷移民英國】超似去左日本公園見柴犬朋友| 狼性一面盡現｜英國飲茶貴唔貴｜行中超多唔多野買｜寵物移民英國曼城｜狗狗移民｜Shiba Inu Manchester｜【廣東話 繁體中字】UK GB</v>
      </c>
      <c r="E2743" s="82">
        <v>44499.0</v>
      </c>
      <c r="F2743" s="80">
        <v>691.0</v>
      </c>
      <c r="G2743" s="80" t="s">
        <v>63</v>
      </c>
      <c r="I2743" s="80" t="s">
        <v>63</v>
      </c>
      <c r="J2743" s="80">
        <v>1040.0</v>
      </c>
      <c r="K2743" s="80">
        <v>0.947176684881602</v>
      </c>
      <c r="L2743" s="80" t="s">
        <v>64</v>
      </c>
    </row>
    <row r="2744">
      <c r="A2744" s="80" t="s">
        <v>3051</v>
      </c>
      <c r="B2744" s="81" t="str">
        <f t="shared" si="143"/>
        <v>柴犬春卷的英國日常 Shiba Harumaki in UK</v>
      </c>
      <c r="C2744" s="80" t="s">
        <v>3095</v>
      </c>
      <c r="D2744" s="81" t="str">
        <f>HYPERLINK("https://youtube.com/watch?v=awoXYf5LATI", "【柴犬春卷移民英國】曼城Media City食Fish &amp; Chips｜Salford Quays｜寵物移民英國曼城｜ Shiba Inu Manchester【廣東話 繁體中文字幕】UK GB")</f>
        <v>【柴犬春卷移民英國】曼城Media City食Fish &amp; Chips｜Salford Quays｜寵物移民英國曼城｜ Shiba Inu Manchester【廣東話 繁體中文字幕】UK GB</v>
      </c>
      <c r="E2744" s="82">
        <v>44479.0</v>
      </c>
      <c r="F2744" s="80">
        <v>821.0</v>
      </c>
      <c r="G2744" s="80" t="s">
        <v>63</v>
      </c>
      <c r="I2744" s="80" t="s">
        <v>63</v>
      </c>
      <c r="J2744" s="80">
        <v>1542.0</v>
      </c>
      <c r="K2744" s="80">
        <v>0.829924650161464</v>
      </c>
      <c r="L2744" s="80" t="s">
        <v>64</v>
      </c>
    </row>
    <row r="2745">
      <c r="A2745" s="80" t="s">
        <v>3051</v>
      </c>
      <c r="B2745" s="81" t="str">
        <f t="shared" si="143"/>
        <v>柴犬春卷的英國日常 Shiba Harumaki in UK</v>
      </c>
      <c r="C2745" s="80" t="s">
        <v>3096</v>
      </c>
      <c r="D2745" s="81" t="str">
        <f>HYPERLINK("https://youtube.com/watch?v=bFaVilwbAqg", "【春卷草地遊系列】英國電話卡介紹｜邊個台好用？寵物移民英國｜柴犬春卷移民英國｜狗狗移民｜ Shiba Inu Pet Relocation｜【廣東話 繁體中字 ENG Sub】UK GB VOXI")</f>
        <v>【春卷草地遊系列】英國電話卡介紹｜邊個台好用？寵物移民英國｜柴犬春卷移民英國｜狗狗移民｜ Shiba Inu Pet Relocation｜【廣東話 繁體中字 ENG Sub】UK GB VOXI</v>
      </c>
      <c r="E2745" s="82">
        <v>44538.0</v>
      </c>
      <c r="F2745" s="80">
        <v>530.0</v>
      </c>
      <c r="G2745" s="80" t="s">
        <v>63</v>
      </c>
      <c r="I2745" s="80" t="s">
        <v>63</v>
      </c>
      <c r="J2745" s="80">
        <v>1091.0</v>
      </c>
      <c r="K2745" s="80">
        <v>0.830289193302892</v>
      </c>
      <c r="L2745" s="80" t="s">
        <v>521</v>
      </c>
    </row>
    <row r="2746">
      <c r="A2746" s="80" t="s">
        <v>3051</v>
      </c>
      <c r="B2746" s="81" t="str">
        <f t="shared" si="143"/>
        <v>柴犬春卷的英國日常 Shiba Harumaki in UK</v>
      </c>
      <c r="C2746" s="80" t="s">
        <v>3097</v>
      </c>
      <c r="D2746" s="81" t="str">
        <f>HYPERLINK("https://youtube.com/watch?v=bp_r5mpX__M", "【柴犬春卷移民英國】🇬🇧｜曼城新樓會所｜新居有咩唔好夜晚治安如何｜今集一次過話你知｜柴犬春卷移民英國｜狗狗移民｜ Shiba Inu 寵物移民DIY 廣東話 繁體中字UK GB")</f>
        <v>【柴犬春卷移民英國】🇬🇧｜曼城新樓會所｜新居有咩唔好夜晚治安如何｜今集一次過話你知｜柴犬春卷移民英國｜狗狗移民｜ Shiba Inu 寵物移民DIY 廣東話 繁體中字UK GB</v>
      </c>
      <c r="E2746" s="82">
        <v>44476.0</v>
      </c>
      <c r="F2746" s="80">
        <v>996.0</v>
      </c>
      <c r="G2746" s="80" t="s">
        <v>63</v>
      </c>
      <c r="I2746" s="80" t="s">
        <v>63</v>
      </c>
      <c r="J2746" s="80">
        <v>2806.0</v>
      </c>
      <c r="K2746" s="80">
        <v>0.880451835582052</v>
      </c>
      <c r="L2746" s="80" t="s">
        <v>64</v>
      </c>
    </row>
    <row r="2747">
      <c r="A2747" s="80" t="s">
        <v>108</v>
      </c>
      <c r="B2747" s="81" t="str">
        <f>HYPERLINK("https://www.youtube.com/channel/UCZL6QN6Xs-ZrKY3y6Pv6Emg", "廢青 - 日賺3000")</f>
        <v>廢青 - 日賺3000</v>
      </c>
      <c r="C2747" s="80" t="s">
        <v>3098</v>
      </c>
      <c r="D2747" s="81" t="str">
        <f>HYPERLINK("https://youtube.com/watch?v=Fsv-o0GsTlI", "3個花錢不可不知的秘密 | 愈識花錢愈賺錢！💰💰😍 2020 財務自由教學EP16【廢青 日賺3000】【點CC看中文字幕】")</f>
        <v>3個花錢不可不知的秘密 | 愈識花錢愈賺錢！💰💰😍 2020 財務自由教學EP16【廢青 日賺3000】【點CC看中文字幕】</v>
      </c>
      <c r="E2747" s="82">
        <v>44014.0</v>
      </c>
      <c r="F2747" s="80">
        <v>608.0</v>
      </c>
      <c r="G2747" s="80" t="s">
        <v>63</v>
      </c>
      <c r="I2747" s="80" t="s">
        <v>63</v>
      </c>
      <c r="J2747" s="80">
        <v>2725.0</v>
      </c>
      <c r="K2747" s="80">
        <v>0.939655172413793</v>
      </c>
      <c r="L2747" s="80" t="s">
        <v>64</v>
      </c>
    </row>
    <row r="2748">
      <c r="A2748" s="80" t="s">
        <v>3051</v>
      </c>
      <c r="B2748" s="81" t="str">
        <f>HYPERLINK("https://www.youtube.com/channel/UCvE0FPIL24o2mnUQIqcSHYA", "柴犬春卷的英國日常 Shiba Harumaki in UK")</f>
        <v>柴犬春卷的英國日常 Shiba Harumaki in UK</v>
      </c>
      <c r="C2748" s="80" t="s">
        <v>3099</v>
      </c>
      <c r="D2748" s="81" t="str">
        <f>HYPERLINK("https://youtube.com/watch?v=cTlBuG43FD4", "【移民英國】🇬🇧｜柴犬春卷曼城行街街Regent Retail Park TK Maxx寵物移民英國｜Manchester Shiba Inu Pet Relocation廣東話 中字幕UK GB")</f>
        <v>【移民英國】🇬🇧｜柴犬春卷曼城行街街Regent Retail Park TK Maxx寵物移民英國｜Manchester Shiba Inu Pet Relocation廣東話 中字幕UK GB</v>
      </c>
      <c r="E2748" s="82">
        <v>44462.0</v>
      </c>
      <c r="F2748" s="80">
        <v>697.0</v>
      </c>
      <c r="G2748" s="80" t="s">
        <v>63</v>
      </c>
      <c r="I2748" s="80" t="s">
        <v>63</v>
      </c>
      <c r="J2748" s="80">
        <v>1217.0</v>
      </c>
      <c r="K2748" s="80">
        <v>0.879335260115606</v>
      </c>
      <c r="L2748" s="80" t="s">
        <v>64</v>
      </c>
    </row>
    <row r="2749">
      <c r="A2749" s="80" t="s">
        <v>3048</v>
      </c>
      <c r="B2749" s="81" t="str">
        <f t="shared" ref="B2749:B2752" si="144">HYPERLINK("https://www.youtube.com/channel/UCHiP6GctzJdIkYP20_9k-zg", "英倫。美景 about.the.england")</f>
        <v>英倫。美景 about.the.england</v>
      </c>
      <c r="C2749" s="80" t="s">
        <v>3100</v>
      </c>
      <c r="D2749" s="81" t="str">
        <f>HYPERLINK("https://youtube.com/watch?v=eLfklrKnQ3A", "如何網上申請新款Oyster card?輕鬆小教學😉英國搭車用")</f>
        <v>如何網上申請新款Oyster card?輕鬆小教學😉英國搭車用</v>
      </c>
      <c r="E2749" s="82">
        <v>44151.0</v>
      </c>
      <c r="F2749" s="80">
        <v>310.0</v>
      </c>
      <c r="G2749" s="80" t="s">
        <v>63</v>
      </c>
      <c r="I2749" s="80" t="s">
        <v>63</v>
      </c>
      <c r="J2749" s="80">
        <v>947.0</v>
      </c>
      <c r="K2749" s="80">
        <v>0.807331628303495</v>
      </c>
      <c r="L2749" s="80" t="s">
        <v>64</v>
      </c>
    </row>
    <row r="2750">
      <c r="A2750" s="80" t="s">
        <v>3048</v>
      </c>
      <c r="B2750" s="81" t="str">
        <f t="shared" si="144"/>
        <v>英倫。美景 about.the.england</v>
      </c>
      <c r="C2750" s="80" t="s">
        <v>3101</v>
      </c>
      <c r="D2750" s="81" t="str">
        <f>HYPERLINK("https://youtube.com/watch?v=hPG2GgzoTl4", "Tesco extra shopping day😁去超市行街🦵🏻行到腳軟💁🏻‍♀️part 1(上集)")</f>
        <v>Tesco extra shopping day😁去超市行街🦵🏻行到腳軟💁🏻‍♀️part 1(上集)</v>
      </c>
      <c r="E2750" s="82">
        <v>44281.0</v>
      </c>
      <c r="F2750" s="80">
        <v>998.0</v>
      </c>
      <c r="G2750" s="80" t="s">
        <v>63</v>
      </c>
      <c r="I2750" s="80" t="s">
        <v>63</v>
      </c>
      <c r="J2750" s="80">
        <v>2179.0</v>
      </c>
      <c r="K2750" s="80">
        <v>0.861946202531645</v>
      </c>
      <c r="L2750" s="80" t="s">
        <v>64</v>
      </c>
    </row>
    <row r="2751">
      <c r="A2751" s="80" t="s">
        <v>3048</v>
      </c>
      <c r="B2751" s="81" t="str">
        <f t="shared" si="144"/>
        <v>英倫。美景 about.the.england</v>
      </c>
      <c r="C2751" s="80" t="s">
        <v>3102</v>
      </c>
      <c r="D2751" s="81" t="str">
        <f>HYPERLINK("https://youtube.com/watch?v=hsAnOuRxSjY", "簡單易整~🦐自製蝦米 Homemade dried shrimps✨")</f>
        <v>簡單易整~🦐自製蝦米 Homemade dried shrimps✨</v>
      </c>
      <c r="E2751" s="82">
        <v>44522.0</v>
      </c>
      <c r="F2751" s="80">
        <v>189.0</v>
      </c>
      <c r="G2751" s="80" t="s">
        <v>63</v>
      </c>
      <c r="I2751" s="80" t="s">
        <v>63</v>
      </c>
      <c r="J2751" s="80">
        <v>388.0</v>
      </c>
      <c r="K2751" s="80">
        <v>0.97</v>
      </c>
      <c r="L2751" s="80" t="s">
        <v>64</v>
      </c>
    </row>
    <row r="2752">
      <c r="A2752" s="80" t="s">
        <v>3048</v>
      </c>
      <c r="B2752" s="81" t="str">
        <f t="shared" si="144"/>
        <v>英倫。美景 about.the.england</v>
      </c>
      <c r="C2752" s="80" t="s">
        <v>3103</v>
      </c>
      <c r="D2752" s="81" t="str">
        <f>HYPERLINK("https://youtube.com/watch?v=iLUackU7Ars", "👨‍⚕️分享在英國用網上預約睇醫生💁NHS、IHS、GP分別👩‍⚕️急症室服務又會係點?")</f>
        <v>👨‍⚕️分享在英國用網上預約睇醫生💁NHS、IHS、GP分別👩‍⚕️急症室服務又會係點?</v>
      </c>
      <c r="E2752" s="82">
        <v>44224.0</v>
      </c>
      <c r="F2752" s="80">
        <v>385.0</v>
      </c>
      <c r="G2752" s="80" t="s">
        <v>63</v>
      </c>
      <c r="I2752" s="80" t="s">
        <v>63</v>
      </c>
      <c r="J2752" s="80">
        <v>1282.0</v>
      </c>
      <c r="K2752" s="80">
        <v>0.894002789400278</v>
      </c>
      <c r="L2752" s="80" t="s">
        <v>64</v>
      </c>
    </row>
    <row r="2753">
      <c r="A2753" s="80" t="s">
        <v>3051</v>
      </c>
      <c r="B2753" s="81" t="str">
        <f t="shared" ref="B2753:B2754" si="145">HYPERLINK("https://www.youtube.com/channel/UCvE0FPIL24o2mnUQIqcSHYA", "柴犬春卷的英國日常 Shiba Harumaki in UK")</f>
        <v>柴犬春卷的英國日常 Shiba Harumaki in UK</v>
      </c>
      <c r="C2753" s="80" t="s">
        <v>3104</v>
      </c>
      <c r="D2753" s="81" t="str">
        <f>HYPERLINK("https://youtube.com/watch?v=jdeuy5bbWsQ", "【春卷遊倫敦Part2】寵物友善火車地鐵｜白金漢宮 西敏寺 唐人街｜柴犬春卷移民英國曼城｜寵物移民｜Shiba Inu Manchester｜【廣東話中字ENG Sub】UK GB")</f>
        <v>【春卷遊倫敦Part2】寵物友善火車地鐵｜白金漢宮 西敏寺 唐人街｜柴犬春卷移民英國曼城｜寵物移民｜Shiba Inu Manchester｜【廣東話中字ENG Sub】UK GB</v>
      </c>
      <c r="E2753" s="82">
        <v>44563.0</v>
      </c>
      <c r="F2753" s="80">
        <v>883.0</v>
      </c>
      <c r="G2753" s="80" t="s">
        <v>63</v>
      </c>
      <c r="I2753" s="80" t="s">
        <v>63</v>
      </c>
      <c r="J2753" s="80">
        <v>2029.0</v>
      </c>
      <c r="K2753" s="80">
        <v>0.91191011235955</v>
      </c>
      <c r="L2753" s="80" t="s">
        <v>521</v>
      </c>
    </row>
    <row r="2754">
      <c r="A2754" s="80" t="s">
        <v>3051</v>
      </c>
      <c r="B2754" s="81" t="str">
        <f t="shared" si="145"/>
        <v>柴犬春卷的英國日常 Shiba Harumaki in UK</v>
      </c>
      <c r="C2754" s="80" t="s">
        <v>3105</v>
      </c>
      <c r="D2754" s="81" t="str">
        <f>HYPERLINK("https://youtube.com/watch?v=lFOnylCcw8g", "【寵物移民要幾錢】柴犬春卷移民英國方法及過程｜GB Health Cert大公開｜搵邊間獸醫好｜狗狗移民費用｜寵物移民要點做｜曼城｜Shiba Inu Manchester｜廣東話 中文字幕UK GB")</f>
        <v>【寵物移民要幾錢】柴犬春卷移民英國方法及過程｜GB Health Cert大公開｜搵邊間獸醫好｜狗狗移民費用｜寵物移民要點做｜曼城｜Shiba Inu Manchester｜廣東話 中文字幕UK GB</v>
      </c>
      <c r="E2754" s="82">
        <v>44520.0</v>
      </c>
      <c r="F2754" s="80">
        <v>792.0</v>
      </c>
      <c r="G2754" s="80" t="s">
        <v>63</v>
      </c>
      <c r="I2754" s="80" t="s">
        <v>63</v>
      </c>
      <c r="J2754" s="80">
        <v>2847.0</v>
      </c>
      <c r="K2754" s="80">
        <v>0.817164179104477</v>
      </c>
      <c r="L2754" s="80" t="s">
        <v>64</v>
      </c>
    </row>
    <row r="2755">
      <c r="A2755" s="80" t="s">
        <v>94</v>
      </c>
      <c r="B2755" s="81" t="str">
        <f>HYPERLINK("https://www.youtube.com/channel/UCT_dMyI3pNselsmfR6FC8tQ", "PrideLab")</f>
        <v>PrideLab</v>
      </c>
      <c r="C2755" s="80" t="s">
        <v>3106</v>
      </c>
      <c r="D2755" s="81" t="str">
        <f>HYPERLINK("https://youtube.com/watch?v=meLNOMPxeXc", "女同志性玩具新手速入門")</f>
        <v>女同志性玩具新手速入門</v>
      </c>
      <c r="E2755" s="82">
        <v>43489.0</v>
      </c>
      <c r="F2755" s="80">
        <v>672.0</v>
      </c>
      <c r="G2755" s="80" t="s">
        <v>63</v>
      </c>
      <c r="I2755" s="80" t="s">
        <v>63</v>
      </c>
      <c r="J2755" s="80">
        <v>3255.0</v>
      </c>
      <c r="K2755" s="80">
        <v>0.968173706127305</v>
      </c>
      <c r="L2755" s="80" t="s">
        <v>64</v>
      </c>
    </row>
    <row r="2756">
      <c r="A2756" s="80" t="s">
        <v>3048</v>
      </c>
      <c r="B2756" s="81" t="str">
        <f>HYPERLINK("https://www.youtube.com/channel/UCHiP6GctzJdIkYP20_9k-zg", "英倫。美景 about.the.england")</f>
        <v>英倫。美景 about.the.england</v>
      </c>
      <c r="C2756" s="80" t="s">
        <v>3107</v>
      </c>
      <c r="D2756" s="81" t="str">
        <f>HYPERLINK("https://youtube.com/watch?v=ndUAKjA7XRo", "英國大型DIY家庭與園藝工具材料連鎖店【B&amp;Q】")</f>
        <v>英國大型DIY家庭與園藝工具材料連鎖店【B&amp;Q】</v>
      </c>
      <c r="E2756" s="82">
        <v>44553.0</v>
      </c>
      <c r="F2756" s="80">
        <v>1135.0</v>
      </c>
      <c r="G2756" s="80" t="s">
        <v>63</v>
      </c>
      <c r="I2756" s="80" t="s">
        <v>63</v>
      </c>
      <c r="J2756" s="80">
        <v>2740.0</v>
      </c>
      <c r="K2756" s="80">
        <v>0.919771735481705</v>
      </c>
      <c r="L2756" s="80" t="s">
        <v>64</v>
      </c>
    </row>
    <row r="2757">
      <c r="A2757" s="80" t="s">
        <v>3046</v>
      </c>
      <c r="B2757" s="81" t="str">
        <f>HYPERLINK("https://www.youtube.com/channel/UCk9_geXNUStgv0wjm75vX5Q", "蘇斯克 Ole So")</f>
        <v>蘇斯克 Ole So</v>
      </c>
      <c r="C2757" s="80" t="s">
        <v>3108</v>
      </c>
      <c r="D2757" s="81" t="str">
        <f>HYPERLINK("https://youtube.com/watch?v=BAzJcaKAtUE", "英國．曼徹斯特 | 所有曼聯球迷夢寐以求所到嘅城市")</f>
        <v>英國．曼徹斯特 | 所有曼聯球迷夢寐以求所到嘅城市</v>
      </c>
      <c r="E2757" s="82">
        <v>43513.0</v>
      </c>
      <c r="F2757" s="80">
        <v>200.0</v>
      </c>
      <c r="G2757" s="80" t="s">
        <v>63</v>
      </c>
      <c r="I2757" s="80" t="s">
        <v>63</v>
      </c>
      <c r="J2757" s="80">
        <v>732.0</v>
      </c>
      <c r="K2757" s="80">
        <v>0.729810568295114</v>
      </c>
      <c r="L2757" s="80" t="s">
        <v>64</v>
      </c>
    </row>
    <row r="2758">
      <c r="A2758" s="80" t="s">
        <v>3051</v>
      </c>
      <c r="B2758" s="81" t="str">
        <f>HYPERLINK("https://www.youtube.com/channel/UCvE0FPIL24o2mnUQIqcSHYA", "柴犬春卷的英國日常 Shiba Harumaki in UK")</f>
        <v>柴犬春卷的英國日常 Shiba Harumaki in UK</v>
      </c>
      <c r="C2758" s="80" t="s">
        <v>3109</v>
      </c>
      <c r="D2758" s="81" t="str">
        <f>HYPERLINK("https://youtube.com/watch?v=q7sOpWTlRFw", "【移民英國】春卷去搵曼聯C朗拿度｜寵物移民英國｜柴犬春卷移民英國｜狗狗移民｜ Shiba Inu Manchester United Cristiano Ronaldo｜廣東話 繁體中文字幕UK GB")</f>
        <v>【移民英國】春卷去搵曼聯C朗拿度｜寵物移民英國｜柴犬春卷移民英國｜狗狗移民｜ Shiba Inu Manchester United Cristiano Ronaldo｜廣東話 繁體中文字幕UK GB</v>
      </c>
      <c r="E2758" s="82">
        <v>44465.0</v>
      </c>
      <c r="F2758" s="80">
        <v>714.0</v>
      </c>
      <c r="G2758" s="80" t="s">
        <v>63</v>
      </c>
      <c r="I2758" s="80" t="s">
        <v>63</v>
      </c>
      <c r="J2758" s="80">
        <v>1143.0</v>
      </c>
      <c r="K2758" s="80">
        <v>0.936885245901639</v>
      </c>
      <c r="L2758" s="80" t="s">
        <v>64</v>
      </c>
    </row>
    <row r="2759">
      <c r="A2759" s="80" t="s">
        <v>3048</v>
      </c>
      <c r="B2759" s="81" t="str">
        <f>HYPERLINK("https://www.youtube.com/channel/UCHiP6GctzJdIkYP20_9k-zg", "英倫。美景 about.the.england")</f>
        <v>英倫。美景 about.the.england</v>
      </c>
      <c r="C2759" s="80" t="s">
        <v>3110</v>
      </c>
      <c r="D2759" s="81" t="str">
        <f>HYPERLINK("https://youtube.com/watch?v=qUCmPcn42FQ", "英國😉文化深度遊🏛自然歷史博物館【Natural History Museum】🏃‍♂️part 2")</f>
        <v>英國😉文化深度遊🏛自然歷史博物館【Natural History Museum】🏃‍♂️part 2</v>
      </c>
      <c r="E2759" s="82">
        <v>44434.0</v>
      </c>
      <c r="F2759" s="80">
        <v>737.0</v>
      </c>
      <c r="G2759" s="80" t="s">
        <v>63</v>
      </c>
      <c r="I2759" s="80" t="s">
        <v>63</v>
      </c>
      <c r="J2759" s="80">
        <v>1508.0</v>
      </c>
      <c r="K2759" s="80">
        <v>0.882387361029842</v>
      </c>
      <c r="L2759" s="80" t="s">
        <v>64</v>
      </c>
    </row>
    <row r="2760">
      <c r="A2760" s="80" t="s">
        <v>3051</v>
      </c>
      <c r="B2760" s="81" t="str">
        <f>HYPERLINK("https://www.youtube.com/channel/UCvE0FPIL24o2mnUQIqcSHYA", "柴犬春卷的英國日常 Shiba Harumaki in UK")</f>
        <v>柴犬春卷的英國日常 Shiba Harumaki in UK</v>
      </c>
      <c r="C2760" s="80" t="s">
        <v>3111</v>
      </c>
      <c r="D2760" s="81" t="str">
        <f>HYPERLINK("https://youtube.com/watch?v=rxDZmSiucgA", "【柴犬春卷移民英國】🇬🇧｜到埗英國後第一日｜倫敦做乜好｜寵物移民英國｜寵物移民DIY｜柴犬春卷移民英國計劃過程｜ Shiba Inu Pet Relocation｜廣東話 繁體中文字幕】UK GB")</f>
        <v>【柴犬春卷移民英國】🇬🇧｜到埗英國後第一日｜倫敦做乜好｜寵物移民英國｜寵物移民DIY｜柴犬春卷移民英國計劃過程｜ Shiba Inu Pet Relocation｜廣東話 繁體中文字幕】UK GB</v>
      </c>
      <c r="E2760" s="82">
        <v>44453.0</v>
      </c>
      <c r="F2760" s="80">
        <v>513.0</v>
      </c>
      <c r="G2760" s="80" t="s">
        <v>63</v>
      </c>
      <c r="I2760" s="80" t="s">
        <v>63</v>
      </c>
      <c r="J2760" s="80">
        <v>903.0</v>
      </c>
      <c r="K2760" s="80">
        <v>0.909365558912386</v>
      </c>
      <c r="L2760" s="80" t="s">
        <v>64</v>
      </c>
    </row>
    <row r="2761">
      <c r="A2761" s="80" t="s">
        <v>3048</v>
      </c>
      <c r="B2761" s="81" t="str">
        <f t="shared" ref="B2761:B2763" si="146">HYPERLINK("https://www.youtube.com/channel/UCHiP6GctzJdIkYP20_9k-zg", "英倫。美景 about.the.england")</f>
        <v>英倫。美景 about.the.england</v>
      </c>
      <c r="C2761" s="80" t="s">
        <v>3112</v>
      </c>
      <c r="D2761" s="81" t="str">
        <f>HYPERLINK("https://youtube.com/watch?v=s2yc-ELLA38", "身處英國👩‍🏫用特區護照/ 需要去分行申請Lloyds bank過程分享😀")</f>
        <v>身處英國👩‍🏫用特區護照/ 需要去分行申請Lloyds bank過程分享😀</v>
      </c>
      <c r="E2761" s="82">
        <v>44483.0</v>
      </c>
      <c r="F2761" s="80">
        <v>451.0</v>
      </c>
      <c r="G2761" s="80" t="s">
        <v>63</v>
      </c>
      <c r="I2761" s="80" t="s">
        <v>63</v>
      </c>
      <c r="J2761" s="80">
        <v>1307.0</v>
      </c>
      <c r="K2761" s="80">
        <v>0.784043191361727</v>
      </c>
      <c r="L2761" s="80" t="s">
        <v>64</v>
      </c>
    </row>
    <row r="2762">
      <c r="A2762" s="80" t="s">
        <v>3048</v>
      </c>
      <c r="B2762" s="81" t="str">
        <f t="shared" si="146"/>
        <v>英倫。美景 about.the.england</v>
      </c>
      <c r="C2762" s="80" t="s">
        <v>3113</v>
      </c>
      <c r="D2762" s="81" t="str">
        <f>HYPERLINK("https://youtube.com/watch?v=sCfe3ZZEraU", "最新全程網上申請NI number過程及教學 ver.3✨英國國民保險號(NINO)🧐")</f>
        <v>最新全程網上申請NI number過程及教學 ver.3✨英國國民保險號(NINO)🧐</v>
      </c>
      <c r="E2762" s="82">
        <v>44567.0</v>
      </c>
      <c r="F2762" s="80">
        <v>266.0</v>
      </c>
      <c r="G2762" s="80" t="s">
        <v>63</v>
      </c>
      <c r="I2762" s="80" t="s">
        <v>63</v>
      </c>
      <c r="J2762" s="80">
        <v>771.0</v>
      </c>
      <c r="K2762" s="80">
        <v>0.69522091974752</v>
      </c>
      <c r="L2762" s="80" t="s">
        <v>64</v>
      </c>
    </row>
    <row r="2763">
      <c r="A2763" s="80" t="s">
        <v>3048</v>
      </c>
      <c r="B2763" s="81" t="str">
        <f t="shared" si="146"/>
        <v>英倫。美景 about.the.england</v>
      </c>
      <c r="C2763" s="80" t="s">
        <v>3114</v>
      </c>
      <c r="D2763" s="81" t="str">
        <f>HYPERLINK("https://youtube.com/watch?v=tkNyrHTMekc", "英國大型雜貨零售商之一【B&amp;M】part 2😃繼續shopping")</f>
        <v>英國大型雜貨零售商之一【B&amp;M】part 2😃繼續shopping</v>
      </c>
      <c r="E2763" s="82">
        <v>44517.0</v>
      </c>
      <c r="F2763" s="80">
        <v>729.0</v>
      </c>
      <c r="G2763" s="80" t="s">
        <v>63</v>
      </c>
      <c r="I2763" s="80" t="s">
        <v>63</v>
      </c>
      <c r="J2763" s="80">
        <v>1295.0</v>
      </c>
      <c r="K2763" s="80">
        <v>0.898058252427184</v>
      </c>
      <c r="L2763" s="80" t="s">
        <v>64</v>
      </c>
    </row>
    <row r="2764">
      <c r="A2764" s="80" t="s">
        <v>3115</v>
      </c>
      <c r="B2764" s="81" t="str">
        <f>HYPERLINK("https://www.youtube.com/channel/UCo4ZdGbAJUKfBYIQ8JJ1pWg", "佩男Puinam")</f>
        <v>佩男Puinam</v>
      </c>
      <c r="C2764" s="80" t="s">
        <v>3116</v>
      </c>
      <c r="D2764" s="81" t="str">
        <f>HYPERLINK("https://youtube.com/watch?v=vL3DK7evxGs", "星期三家姐假期|IG決定我的一天 兩姐妹啪啪啪大混戰！？")</f>
        <v>星期三家姐假期|IG決定我的一天 兩姐妹啪啪啪大混戰！？</v>
      </c>
      <c r="E2764" s="82">
        <v>43656.0</v>
      </c>
      <c r="F2764" s="80">
        <v>473.0</v>
      </c>
      <c r="G2764" s="80" t="s">
        <v>63</v>
      </c>
      <c r="I2764" s="80" t="s">
        <v>63</v>
      </c>
      <c r="J2764" s="80">
        <v>33.0</v>
      </c>
      <c r="K2764" s="80">
        <v>0.478260869565217</v>
      </c>
      <c r="L2764" s="80" t="s">
        <v>64</v>
      </c>
    </row>
    <row r="2765">
      <c r="A2765" s="80" t="s">
        <v>3117</v>
      </c>
      <c r="B2765" s="81" t="str">
        <f>HYPERLINK("https://www.youtube.com/channel/UCKEsq3qTGKScljpPMrGqFxQ", "Jinnie Jinnie")</f>
        <v>Jinnie Jinnie</v>
      </c>
      <c r="C2765" s="80" t="s">
        <v>3118</v>
      </c>
      <c r="D2765" s="81" t="str">
        <f>HYPERLINK("https://youtube.com/watch?v=BGiEdOUpkXk", "2018 Israel Ep2-進入巴勒斯坦Palastine！！宗教重地：伯利恆 Bethleham")</f>
        <v>2018 Israel Ep2-進入巴勒斯坦Palastine！！宗教重地：伯利恆 Bethleham</v>
      </c>
      <c r="E2765" s="82">
        <v>43138.0</v>
      </c>
      <c r="F2765" s="80">
        <v>602.0</v>
      </c>
      <c r="G2765" s="80" t="s">
        <v>63</v>
      </c>
      <c r="I2765" s="80" t="s">
        <v>63</v>
      </c>
      <c r="J2765" s="80">
        <v>639.0</v>
      </c>
      <c r="K2765" s="80">
        <v>0.977064220183486</v>
      </c>
      <c r="L2765" s="80" t="s">
        <v>64</v>
      </c>
    </row>
    <row r="2766">
      <c r="A2766" s="80" t="s">
        <v>3051</v>
      </c>
      <c r="B2766" s="81" t="str">
        <f>HYPERLINK("https://www.youtube.com/channel/UCvE0FPIL24o2mnUQIqcSHYA", "柴犬春卷的英國日常 Shiba Harumaki in UK")</f>
        <v>柴犬春卷的英國日常 Shiba Harumaki in UK</v>
      </c>
      <c r="C2766" s="80" t="s">
        <v>3119</v>
      </c>
      <c r="D2766" s="81" t="str">
        <f>HYPERLINK("https://youtube.com/watch?v=wovH8YAHRLg", "【柴犬春卷移民英國】曼城新屋Home Tour 曝光🇬🇧｜ Apartment月租大公開｜寵物移民英國曼城｜狗狗移民｜ Shiba Inu Manchester｜廣東話 繁體中文字幕】UK GB")</f>
        <v>【柴犬春卷移民英國】曼城新屋Home Tour 曝光🇬🇧｜ Apartment月租大公開｜寵物移民英國曼城｜狗狗移民｜ Shiba Inu Manchester｜廣東話 繁體中文字幕】UK GB</v>
      </c>
      <c r="E2766" s="82">
        <v>44472.0</v>
      </c>
      <c r="F2766" s="80">
        <v>1008.0</v>
      </c>
      <c r="G2766" s="80" t="s">
        <v>63</v>
      </c>
      <c r="I2766" s="80" t="s">
        <v>63</v>
      </c>
      <c r="J2766" s="80">
        <v>3251.0</v>
      </c>
      <c r="K2766" s="80">
        <v>0.911410148584244</v>
      </c>
      <c r="L2766" s="80" t="s">
        <v>64</v>
      </c>
    </row>
    <row r="2767">
      <c r="A2767" s="80" t="s">
        <v>3048</v>
      </c>
      <c r="B2767" s="81" t="str">
        <f t="shared" ref="B2767:B2768" si="147">HYPERLINK("https://www.youtube.com/channel/UCHiP6GctzJdIkYP20_9k-zg", "英倫。美景 about.the.england")</f>
        <v>英倫。美景 about.the.england</v>
      </c>
      <c r="C2767" s="80" t="s">
        <v>3120</v>
      </c>
      <c r="D2767" s="81" t="str">
        <f>HYPERLINK("https://youtube.com/watch?v=zOT83SxW6y8", "黎到英國想買韓國食品😋韓國超市H MART💁🏻簡單分享😊廣東話")</f>
        <v>黎到英國想買韓國食品😋韓國超市H MART💁🏻簡單分享😊廣東話</v>
      </c>
      <c r="E2767" s="82">
        <v>44198.0</v>
      </c>
      <c r="F2767" s="80">
        <v>461.0</v>
      </c>
      <c r="G2767" s="80" t="s">
        <v>63</v>
      </c>
      <c r="I2767" s="80" t="s">
        <v>63</v>
      </c>
      <c r="J2767" s="80">
        <v>806.0</v>
      </c>
      <c r="K2767" s="80">
        <v>0.979343863912515</v>
      </c>
      <c r="L2767" s="80" t="s">
        <v>64</v>
      </c>
    </row>
    <row r="2768">
      <c r="A2768" s="80" t="s">
        <v>3048</v>
      </c>
      <c r="B2768" s="81" t="str">
        <f t="shared" si="147"/>
        <v>英倫。美景 about.the.england</v>
      </c>
      <c r="C2768" s="80" t="s">
        <v>3121</v>
      </c>
      <c r="D2768" s="81" t="str">
        <f>HYPERLINK("https://youtube.com/watch?v=9l8-fn4mxg0", "自製叉燒(氣炸鍋)😋homemade Char siu🤩好味")</f>
        <v>自製叉燒(氣炸鍋)😋homemade Char siu🤩好味</v>
      </c>
      <c r="E2768" s="82">
        <v>44526.0</v>
      </c>
      <c r="F2768" s="80">
        <v>502.0</v>
      </c>
      <c r="G2768" s="80" t="s">
        <v>63</v>
      </c>
      <c r="I2768" s="80" t="s">
        <v>63</v>
      </c>
      <c r="J2768" s="80">
        <v>988.0</v>
      </c>
      <c r="K2768" s="80">
        <v>0.979187314172448</v>
      </c>
      <c r="L2768" s="80" t="s">
        <v>64</v>
      </c>
    </row>
    <row r="2769">
      <c r="A2769" s="80" t="s">
        <v>3051</v>
      </c>
      <c r="B2769" s="81" t="str">
        <f t="shared" ref="B2769:B2770" si="148">HYPERLINK("https://www.youtube.com/channel/UCvE0FPIL24o2mnUQIqcSHYA", "柴犬春卷的英國日常 Shiba Harumaki in UK")</f>
        <v>柴犬春卷的英國日常 Shiba Harumaki in UK</v>
      </c>
      <c r="C2769" s="80" t="s">
        <v>3122</v>
      </c>
      <c r="D2769" s="81" t="str">
        <f>HYPERLINK("https://youtube.com/watch?v=EYktHu69oJA", "【柴犬春卷】移民要幾多錢｜移民支出大公開 ｜春爸搵工未? ｜ Halloween玩咩｜寵物移民英國曼城｜狗狗移民｜移民支出｜ Shiba Inu Manchester｜【廣東話 繁體中字】UK GB")</f>
        <v>【柴犬春卷】移民要幾多錢｜移民支出大公開 ｜春爸搵工未? ｜ Halloween玩咩｜寵物移民英國曼城｜狗狗移民｜移民支出｜ Shiba Inu Manchester｜【廣東話 繁體中字】UK GB</v>
      </c>
      <c r="E2769" s="82">
        <v>44501.0</v>
      </c>
      <c r="F2769" s="80">
        <v>513.0</v>
      </c>
      <c r="G2769" s="80" t="s">
        <v>63</v>
      </c>
      <c r="I2769" s="80" t="s">
        <v>63</v>
      </c>
      <c r="J2769" s="80">
        <v>883.0</v>
      </c>
      <c r="K2769" s="80">
        <v>0.853965183752417</v>
      </c>
      <c r="L2769" s="80" t="s">
        <v>64</v>
      </c>
    </row>
    <row r="2770">
      <c r="A2770" s="80" t="s">
        <v>3051</v>
      </c>
      <c r="B2770" s="81" t="str">
        <f t="shared" si="148"/>
        <v>柴犬春卷的英國日常 Shiba Harumaki in UK</v>
      </c>
      <c r="C2770" s="80" t="s">
        <v>3123</v>
      </c>
      <c r="D2770" s="81" t="str">
        <f>HYPERLINK("https://youtube.com/watch?v=MHcN07zuSGA", "【柴犬春卷】香港禮物空運到英國｜英國又點寄野返香港? ｜香港郵政得唔得｜英國Royal Mail｜移民英國｜寵物移民英國曼城｜狗狗移民｜Shiba Inu Manchester｜廣東話 繁體中字UK")</f>
        <v>【柴犬春卷】香港禮物空運到英國｜英國又點寄野返香港? ｜香港郵政得唔得｜英國Royal Mail｜移民英國｜寵物移民英國曼城｜狗狗移民｜Shiba Inu Manchester｜廣東話 繁體中字UK</v>
      </c>
      <c r="E2770" s="82">
        <v>44495.0</v>
      </c>
      <c r="F2770" s="80">
        <v>587.0</v>
      </c>
      <c r="G2770" s="80" t="s">
        <v>63</v>
      </c>
      <c r="I2770" s="80" t="s">
        <v>63</v>
      </c>
      <c r="J2770" s="80">
        <v>867.0</v>
      </c>
      <c r="K2770" s="80">
        <v>0.903125</v>
      </c>
      <c r="L2770" s="80" t="s">
        <v>64</v>
      </c>
    </row>
    <row r="2771">
      <c r="A2771" s="80" t="s">
        <v>3048</v>
      </c>
      <c r="B2771" s="81" t="str">
        <f>HYPERLINK("https://www.youtube.com/channel/UCHiP6GctzJdIkYP20_9k-zg", "英倫。美景 about.the.england")</f>
        <v>英倫。美景 about.the.england</v>
      </c>
      <c r="C2771" s="80" t="s">
        <v>3124</v>
      </c>
      <c r="D2771" s="81" t="str">
        <f>HYPERLINK("https://youtube.com/watch?v=NZLdBR2dSSw", "英國NI number申請過程及教學😃網上申請版本💻英國國民保險號(NINO)🧐")</f>
        <v>英國NI number申請過程及教學😃網上申請版本💻英國國民保險號(NINO)🧐</v>
      </c>
      <c r="E2771" s="82">
        <v>44536.0</v>
      </c>
      <c r="F2771" s="80">
        <v>263.0</v>
      </c>
      <c r="G2771" s="80" t="s">
        <v>63</v>
      </c>
      <c r="I2771" s="80" t="s">
        <v>63</v>
      </c>
      <c r="J2771" s="80">
        <v>799.0</v>
      </c>
      <c r="K2771" s="80">
        <v>0.692974848222029</v>
      </c>
      <c r="L2771" s="80" t="s">
        <v>64</v>
      </c>
    </row>
    <row r="2772">
      <c r="A2772" s="80" t="s">
        <v>3051</v>
      </c>
      <c r="B2772" s="81" t="str">
        <f t="shared" ref="B2772:B2773" si="149">HYPERLINK("https://www.youtube.com/channel/UCvE0FPIL24o2mnUQIqcSHYA", "柴犬春卷的英國日常 Shiba Harumaki in UK")</f>
        <v>柴犬春卷的英國日常 Shiba Harumaki in UK</v>
      </c>
      <c r="C2772" s="80" t="s">
        <v>3125</v>
      </c>
      <c r="D2772" s="81" t="str">
        <f>HYPERLINK("https://youtube.com/watch?v=QizIjZ-0cyo", "【春卷York Staycation】約克York兩日一夜｜第一次英國旅行｜哈利波特斜角巷Shambles｜柴犬春卷移民英國曼城｜Shiba Inu Manchester｜廣東話 中字幕Eng Sub")</f>
        <v>【春卷York Staycation】約克York兩日一夜｜第一次英國旅行｜哈利波特斜角巷Shambles｜柴犬春卷移民英國曼城｜Shiba Inu Manchester｜廣東話 中字幕Eng Sub</v>
      </c>
      <c r="E2772" s="82">
        <v>44512.0</v>
      </c>
      <c r="F2772" s="80">
        <v>948.0</v>
      </c>
      <c r="G2772" s="80" t="s">
        <v>63</v>
      </c>
      <c r="I2772" s="80" t="s">
        <v>63</v>
      </c>
      <c r="J2772" s="80">
        <v>2807.0</v>
      </c>
      <c r="K2772" s="80">
        <v>0.881318681318681</v>
      </c>
      <c r="L2772" s="80" t="s">
        <v>521</v>
      </c>
    </row>
    <row r="2773">
      <c r="A2773" s="80" t="s">
        <v>3051</v>
      </c>
      <c r="B2773" s="81" t="str">
        <f t="shared" si="149"/>
        <v>柴犬春卷的英國日常 Shiba Harumaki in UK</v>
      </c>
      <c r="C2773" s="80" t="s">
        <v>3126</v>
      </c>
      <c r="D2773" s="81" t="str">
        <f>HYPERLINK("https://youtube.com/watch?v=j4NOUVyShxs", "【柴犬春卷移民英國】曼城寵物用品店Pets at home｜Regent Retail Park Salford｜寵物狗狗移民｜ Shiba Inu Manchester｜廣東話 繁體中字UK GB")</f>
        <v>【柴犬春卷移民英國】曼城寵物用品店Pets at home｜Regent Retail Park Salford｜寵物狗狗移民｜ Shiba Inu Manchester｜廣東話 繁體中字UK GB</v>
      </c>
      <c r="E2773" s="82">
        <v>44483.0</v>
      </c>
      <c r="F2773" s="80">
        <v>1222.0</v>
      </c>
      <c r="G2773" s="80" t="s">
        <v>63</v>
      </c>
      <c r="I2773" s="80" t="s">
        <v>63</v>
      </c>
      <c r="J2773" s="80">
        <v>1949.0</v>
      </c>
      <c r="K2773" s="80">
        <v>0.953056234718826</v>
      </c>
      <c r="L2773" s="80" t="s">
        <v>64</v>
      </c>
    </row>
    <row r="2774">
      <c r="A2774" s="80" t="s">
        <v>3048</v>
      </c>
      <c r="B2774" s="81" t="str">
        <f>HYPERLINK("https://www.youtube.com/channel/UCHiP6GctzJdIkYP20_9k-zg", "英倫。美景 about.the.england")</f>
        <v>英倫。美景 about.the.england</v>
      </c>
      <c r="C2774" s="80" t="s">
        <v>3127</v>
      </c>
      <c r="D2774" s="81" t="str">
        <f>HYPERLINK("https://youtube.com/watch?v=m1cwc8qHXsg", "英國😉文化深度遊🏛自然歷史博物館【Natural History Museum】🏃‍♂️part 1")</f>
        <v>英國😉文化深度遊🏛自然歷史博物館【Natural History Museum】🏃‍♂️part 1</v>
      </c>
      <c r="E2774" s="82">
        <v>44412.0</v>
      </c>
      <c r="F2774" s="80">
        <v>1098.0</v>
      </c>
      <c r="G2774" s="80" t="s">
        <v>63</v>
      </c>
      <c r="I2774" s="80" t="s">
        <v>63</v>
      </c>
      <c r="J2774" s="80">
        <v>2099.0</v>
      </c>
      <c r="K2774" s="80">
        <v>0.85221274868047</v>
      </c>
      <c r="L2774" s="80" t="s">
        <v>64</v>
      </c>
    </row>
    <row r="2775">
      <c r="A2775" s="80" t="s">
        <v>3051</v>
      </c>
      <c r="B2775" s="81" t="str">
        <f>HYPERLINK("https://www.youtube.com/channel/UCvE0FPIL24o2mnUQIqcSHYA", "柴犬春卷的英國日常 Shiba Harumaki in UK")</f>
        <v>柴犬春卷的英國日常 Shiba Harumaki in UK</v>
      </c>
      <c r="C2775" s="80" t="s">
        <v>3128</v>
      </c>
      <c r="D2775" s="81" t="str">
        <f>HYPERLINK("https://youtube.com/watch?v=u5DGvdiiqHE", "【英國曼城最大商場Trafford Centre】春媽買左乜野？柴犬春卷陪Shopping｜移民英國曼城｜Shiba Inu Manchester｜中字 ft. #GastonLuga #北歐背囊")</f>
        <v>【英國曼城最大商場Trafford Centre】春媽買左乜野？柴犬春卷陪Shopping｜移民英國曼城｜Shiba Inu Manchester｜中字 ft. #GastonLuga #北歐背囊</v>
      </c>
      <c r="E2775" s="82">
        <v>44523.0</v>
      </c>
      <c r="F2775" s="80">
        <v>694.0</v>
      </c>
      <c r="G2775" s="80" t="s">
        <v>63</v>
      </c>
      <c r="I2775" s="80" t="s">
        <v>63</v>
      </c>
      <c r="J2775" s="80">
        <v>1556.0</v>
      </c>
      <c r="K2775" s="80">
        <v>0.890669719519175</v>
      </c>
      <c r="L2775" s="80" t="s">
        <v>64</v>
      </c>
    </row>
    <row r="2776">
      <c r="A2776" s="80" t="s">
        <v>3048</v>
      </c>
      <c r="B2776" s="81" t="str">
        <f>HYPERLINK("https://www.youtube.com/channel/UCHiP6GctzJdIkYP20_9k-zg", "英倫。美景 about.the.england")</f>
        <v>英倫。美景 about.the.england</v>
      </c>
      <c r="C2776" s="80" t="s">
        <v>3129</v>
      </c>
      <c r="D2776" s="81" t="str">
        <f>HYPERLINK("https://youtube.com/watch?v=y6PKP-4EtoI", "英國大型雜貨零售商之一【B&amp;M】Part 1😃好多野買")</f>
        <v>英國大型雜貨零售商之一【B&amp;M】Part 1😃好多野買</v>
      </c>
      <c r="E2776" s="82">
        <v>44513.0</v>
      </c>
      <c r="F2776" s="80">
        <v>854.0</v>
      </c>
      <c r="G2776" s="80" t="s">
        <v>63</v>
      </c>
      <c r="I2776" s="80" t="s">
        <v>63</v>
      </c>
      <c r="J2776" s="80">
        <v>2154.0</v>
      </c>
      <c r="K2776" s="80">
        <v>0.927249246663796</v>
      </c>
      <c r="L2776" s="80" t="s">
        <v>64</v>
      </c>
    </row>
    <row r="2777">
      <c r="A2777" s="80" t="s">
        <v>2764</v>
      </c>
      <c r="B2777" s="81" t="str">
        <f>HYPERLINK("https://www.youtube.com/channel/UCejZUW4khvxoA4uL2Afz20g", "Housik Laanfei 好食懶飛")</f>
        <v>Housik Laanfei 好食懶飛</v>
      </c>
      <c r="C2777" s="80" t="s">
        <v>3130</v>
      </c>
      <c r="D2777" s="81" t="str">
        <f>HYPERLINK("https://youtube.com/watch?v=FwaczZ4JhtY", "[去飲最愛] 瑤柱蛋白炒飯 | CC: 廣東話/繁中/ENG SUB | COOKING VLOG")</f>
        <v>[去飲最愛] 瑤柱蛋白炒飯 | CC: 廣東話/繁中/ENG SUB | COOKING VLOG</v>
      </c>
      <c r="E2777" s="82">
        <v>44098.0</v>
      </c>
      <c r="F2777" s="80">
        <v>244.0</v>
      </c>
      <c r="G2777" s="80" t="s">
        <v>63</v>
      </c>
      <c r="H2777" s="80" t="s">
        <v>63</v>
      </c>
      <c r="I2777" s="80" t="s">
        <v>63</v>
      </c>
      <c r="J2777" s="80">
        <v>296.0</v>
      </c>
      <c r="K2777" s="80">
        <v>0.989966555183946</v>
      </c>
      <c r="L2777" s="80" t="s">
        <v>120</v>
      </c>
    </row>
    <row r="2778">
      <c r="A2778" s="80" t="s">
        <v>1390</v>
      </c>
      <c r="B2778" s="81" t="str">
        <f>HYPERLINK("https://www.youtube.com/channel/UCgwEJflQi4WnZ8PU0xdibZQ", "Kinson Ho")</f>
        <v>Kinson Ho</v>
      </c>
      <c r="C2778" s="80" t="s">
        <v>3131</v>
      </c>
      <c r="D2778" s="81" t="str">
        <f>HYPERLINK("https://youtube.com/watch?v=Fx_0CPdePiw", "K神任我行 -  [CC字幕4K] 東龍島｜睇浪都可睇一日｜噴水岩｜佛堂門燈塔｜上角頂｜航拍")</f>
        <v>K神任我行 -  [CC字幕4K] 東龍島｜睇浪都可睇一日｜噴水岩｜佛堂門燈塔｜上角頂｜航拍</v>
      </c>
      <c r="E2778" s="82">
        <v>44544.0</v>
      </c>
      <c r="F2778" s="80">
        <v>1033.0</v>
      </c>
      <c r="G2778" s="80" t="s">
        <v>63</v>
      </c>
      <c r="I2778" s="80" t="s">
        <v>63</v>
      </c>
      <c r="J2778" s="80">
        <v>901.0</v>
      </c>
      <c r="K2778" s="80">
        <v>0.981481481481481</v>
      </c>
      <c r="L2778" s="80" t="s">
        <v>64</v>
      </c>
    </row>
    <row r="2779">
      <c r="A2779" s="80" t="s">
        <v>238</v>
      </c>
      <c r="B2779" s="81" t="str">
        <f>HYPERLINK("https://www.youtube.com/channel/UCSBkm4LwpgBmcA3MCtO8vqg", "Post76影音玩樂")</f>
        <v>Post76影音玩樂</v>
      </c>
      <c r="C2779" s="80" t="s">
        <v>3132</v>
      </c>
      <c r="D2779" s="81" t="str">
        <f>HYPERLINK("https://youtube.com/watch?v=Fyg6_gpw6s8", "打機繪圖通殺！ZOHO Z17PD 17.3 吋全高清觸控流動Mon逐樣試（附設中文字幕）粵語 【便攜熒幕評測 | Post76.hk】")</f>
        <v>打機繪圖通殺！ZOHO Z17PD 17.3 吋全高清觸控流動Mon逐樣試（附設中文字幕）粵語 【便攜熒幕評測 | Post76.hk】</v>
      </c>
      <c r="E2779" s="82">
        <v>44272.0</v>
      </c>
      <c r="F2779" s="80">
        <v>379.0</v>
      </c>
      <c r="G2779" s="80" t="s">
        <v>63</v>
      </c>
      <c r="H2779" s="80" t="s">
        <v>63</v>
      </c>
      <c r="I2779" s="80" t="s">
        <v>63</v>
      </c>
      <c r="J2779" s="80">
        <v>1325.0</v>
      </c>
      <c r="K2779" s="80">
        <v>0.886067261496225</v>
      </c>
      <c r="L2779" s="80" t="s">
        <v>66</v>
      </c>
    </row>
    <row r="2780">
      <c r="A2780" s="80" t="s">
        <v>98</v>
      </c>
      <c r="B2780" s="81" t="str">
        <f>HYPERLINK("https://www.youtube.com/channel/UCrquuQB6v1Ued2xyRKZreGQ", "Stephen Leung ")</f>
        <v>Stephen Leung </v>
      </c>
      <c r="C2780" s="80" t="s">
        <v>3133</v>
      </c>
      <c r="D2780" s="81" t="str">
        <f>HYPERLINK("https://youtube.com/watch?v=G1D_tnHpm9o", "【香港美食】灣仔高質海鮮火鍋 蟶子 肉蟹 生蝦 各款魚類 香港本土懷舊風 觀眾送原條𩶘魚刺身 杜老誌大飯店 | 吃喝玩樂 香港好去處 電子消費券 2021")</f>
        <v>【香港美食】灣仔高質海鮮火鍋 蟶子 肉蟹 生蝦 各款魚類 香港本土懷舊風 觀眾送原條𩶘魚刺身 杜老誌大飯店 | 吃喝玩樂 香港好去處 電子消費券 2021</v>
      </c>
      <c r="E2780" s="82">
        <v>44410.0</v>
      </c>
      <c r="F2780" s="80">
        <v>456.0</v>
      </c>
      <c r="G2780" s="80" t="s">
        <v>63</v>
      </c>
      <c r="I2780" s="80" t="s">
        <v>63</v>
      </c>
      <c r="J2780" s="80">
        <v>1060.0</v>
      </c>
      <c r="K2780" s="80">
        <v>0.964513193812556</v>
      </c>
      <c r="L2780" s="80" t="s">
        <v>64</v>
      </c>
    </row>
    <row r="2781">
      <c r="A2781" s="80" t="s">
        <v>3134</v>
      </c>
      <c r="B2781" s="81" t="str">
        <f>HYPERLINK("https://www.youtube.com/channel/UC_vZsUCJrwYrbIRPHacAS_Q", "Coco哥")</f>
        <v>Coco哥</v>
      </c>
      <c r="C2781" s="80" t="s">
        <v>3135</v>
      </c>
      <c r="D2781" s="81" t="str">
        <f>HYPERLINK("https://youtube.com/watch?v=-z67EAxrGMc", "澳洲昆士蘭布里斯本 Ep2 | $5000一晚的房間?! 【W Brisbane】 Stay Queensland Australia")</f>
        <v>澳洲昆士蘭布里斯本 Ep2 | $5000一晚的房間?! 【W Brisbane】 Stay Queensland Australia</v>
      </c>
      <c r="E2781" s="82">
        <v>43418.0</v>
      </c>
      <c r="F2781" s="80">
        <v>646.0</v>
      </c>
      <c r="G2781" s="80" t="s">
        <v>63</v>
      </c>
      <c r="I2781" s="80" t="s">
        <v>63</v>
      </c>
      <c r="J2781" s="80">
        <v>1081.0</v>
      </c>
      <c r="K2781" s="80">
        <v>0.855221518987341</v>
      </c>
      <c r="L2781" s="80" t="s">
        <v>1013</v>
      </c>
    </row>
    <row r="2782">
      <c r="A2782" s="80" t="s">
        <v>295</v>
      </c>
      <c r="B2782" s="81" t="str">
        <f>HYPERLINK("https://www.youtube.com/channel/UCIotQRUz6c4H-BRsouLt4YQ", "Captain and his squad")</f>
        <v>Captain and his squad</v>
      </c>
      <c r="C2782" s="80" t="s">
        <v>3136</v>
      </c>
      <c r="D2782" s="81" t="str">
        <f>HYPERLINK("https://youtube.com/watch?v=G8mx_nBcD-E", "【 生活 ep.03 : 🚨傳聞🚨狗狗有啲部位係絕對唔可以摸?✋🏻🚫否則一摸即咬? 】隊長嘅出身來歷｜快問快答所有關於 Captain 一隻被領養嘅黑色唐狗《Captain 生活日常》(cc中英字幕)")</f>
        <v>【 生活 ep.03 : 🚨傳聞🚨狗狗有啲部位係絕對唔可以摸?✋🏻🚫否則一摸即咬? 】隊長嘅出身來歷｜快問快答所有關於 Captain 一隻被領養嘅黑色唐狗《Captain 生活日常》(cc中英字幕)</v>
      </c>
      <c r="E2782" s="82">
        <v>44108.0</v>
      </c>
      <c r="F2782" s="80">
        <v>814.0</v>
      </c>
      <c r="G2782" s="80" t="s">
        <v>63</v>
      </c>
      <c r="H2782" s="80" t="s">
        <v>63</v>
      </c>
      <c r="I2782" s="80" t="s">
        <v>63</v>
      </c>
      <c r="J2782" s="80">
        <v>3200.0</v>
      </c>
      <c r="K2782" s="80">
        <v>0.91523922031896</v>
      </c>
      <c r="L2782" s="80" t="s">
        <v>240</v>
      </c>
    </row>
    <row r="2783">
      <c r="A2783" s="80" t="s">
        <v>248</v>
      </c>
      <c r="B2783" s="81" t="str">
        <f>HYPERLINK("https://www.youtube.com/channel/UCUEJok-GiWaGlv5nIPwk-GQ", "Price.com.hk 香港格價網")</f>
        <v>Price.com.hk 香港格價網</v>
      </c>
      <c r="C2783" s="80" t="s">
        <v>3137</v>
      </c>
      <c r="D2783" s="81" t="str">
        <f>HYPERLINK("https://youtube.com/watch?v=GBCBLSNM9vg", "傳iPhone 14 Pro被迫改用USB-C??．Galaxy Tab S8加入瀏海設計!!．Tidal推免費聽歌Plan｜廣東話｜繁中字幕【Price Weekly #90 2021年11月 】")</f>
        <v>傳iPhone 14 Pro被迫改用USB-C??．Galaxy Tab S8加入瀏海設計!!．Tidal推免費聽歌Plan｜廣東話｜繁中字幕【Price Weekly #90 2021年11月 】</v>
      </c>
      <c r="E2783" s="82">
        <v>44527.0</v>
      </c>
      <c r="F2783" s="80">
        <v>598.0</v>
      </c>
      <c r="G2783" s="80" t="s">
        <v>63</v>
      </c>
      <c r="I2783" s="80" t="s">
        <v>63</v>
      </c>
      <c r="J2783" s="80">
        <v>1882.0</v>
      </c>
      <c r="K2783" s="80">
        <v>0.66927453769559</v>
      </c>
      <c r="L2783" s="80" t="s">
        <v>64</v>
      </c>
    </row>
    <row r="2784">
      <c r="A2784" s="80" t="s">
        <v>127</v>
      </c>
      <c r="B2784" s="81" t="str">
        <f>HYPERLINK("https://www.youtube.com/channel/UC97oYK3XMf9RLtkc0lO8C-Q", "健康旦 HiEggo")</f>
        <v>健康旦 HiEggo</v>
      </c>
      <c r="C2784" s="80" t="s">
        <v>3138</v>
      </c>
      <c r="D2784" s="81" t="str">
        <f>HYPERLINK("https://youtube.com/watch?v=GCxdphA1j2A", "阿旦準備畀老婆扭耳仔！飲完方曉嵐煲五指⽑桃豬腱湯：「老婆呢啲先叫做味㗎嘛」  - 鄭丹瑞《健康旦》方曉嵐 Part 2 (CC中文字幕)")</f>
        <v>阿旦準備畀老婆扭耳仔！飲完方曉嵐煲五指⽑桃豬腱湯：「老婆呢啲先叫做味㗎嘛」  - 鄭丹瑞《健康旦》方曉嵐 Part 2 (CC中文字幕)</v>
      </c>
      <c r="E2784" s="82">
        <v>43922.0</v>
      </c>
      <c r="F2784" s="80">
        <v>602.0</v>
      </c>
      <c r="G2784" s="80" t="s">
        <v>63</v>
      </c>
      <c r="I2784" s="80" t="s">
        <v>63</v>
      </c>
      <c r="J2784" s="80">
        <v>2091.0</v>
      </c>
      <c r="K2784" s="80">
        <v>0.99476688867745</v>
      </c>
      <c r="L2784" s="80" t="s">
        <v>102</v>
      </c>
    </row>
    <row r="2785">
      <c r="A2785" s="80" t="s">
        <v>3139</v>
      </c>
      <c r="B2785" s="81" t="str">
        <f t="shared" ref="B2785:B2786" si="150">HYPERLINK("https://www.youtube.com/channel/UCThO2xnH7XMg6plE8OgJm_w", "choyuen草原")</f>
        <v>choyuen草原</v>
      </c>
      <c r="C2785" s="80" t="s">
        <v>3140</v>
      </c>
      <c r="D2785" s="81" t="str">
        <f>HYPERLINK("https://youtube.com/watch?v=0VYxhQsujnI", "『廣東話』霍士電視台假膠陰謀論: 我們有冇曾經登月? FOX TV abuse of conspiracy theory: Did we land on the moon?【陰謀妄想症】")</f>
        <v>『廣東話』霍士電視台假膠陰謀論: 我們有冇曾經登月? FOX TV abuse of conspiracy theory: Did we land on the moon?【陰謀妄想症】</v>
      </c>
      <c r="E2785" s="82">
        <v>43389.0</v>
      </c>
      <c r="F2785" s="80">
        <v>188.0</v>
      </c>
      <c r="G2785" s="80" t="s">
        <v>63</v>
      </c>
      <c r="I2785" s="80" t="s">
        <v>63</v>
      </c>
      <c r="J2785" s="80">
        <v>594.0</v>
      </c>
      <c r="K2785" s="80">
        <v>0.865889212827988</v>
      </c>
      <c r="L2785" s="80" t="s">
        <v>64</v>
      </c>
    </row>
    <row r="2786">
      <c r="A2786" s="80" t="s">
        <v>3139</v>
      </c>
      <c r="B2786" s="81" t="str">
        <f t="shared" si="150"/>
        <v>choyuen草原</v>
      </c>
      <c r="C2786" s="80" t="s">
        <v>3141</v>
      </c>
      <c r="D2786" s="81" t="str">
        <f>HYPERLINK("https://youtube.com/watch?v=0WkDpxOCaDY", "『廣東話』共濟會古惑仔老餅想當年前傳之7000年巴別塔 Freemason gangsters good old old days: Babel Tower 7000 years【禁忌的傳說】")</f>
        <v>『廣東話』共濟會古惑仔老餅想當年前傳之7000年巴別塔 Freemason gangsters good old old days: Babel Tower 7000 years【禁忌的傳說】</v>
      </c>
      <c r="E2786" s="82">
        <v>43265.0</v>
      </c>
      <c r="F2786" s="80">
        <v>254.0</v>
      </c>
      <c r="G2786" s="80" t="s">
        <v>63</v>
      </c>
      <c r="I2786" s="80" t="s">
        <v>63</v>
      </c>
      <c r="J2786" s="80">
        <v>738.0</v>
      </c>
      <c r="K2786" s="80">
        <v>0.88701923076923</v>
      </c>
      <c r="L2786" s="80" t="s">
        <v>64</v>
      </c>
    </row>
    <row r="2787">
      <c r="A2787" s="80" t="s">
        <v>3142</v>
      </c>
      <c r="B2787" s="81" t="str">
        <f>HYPERLINK("https://www.youtube.com/channel/UCO4mttl54gQ0UW-DqyVrvLQ", "陳怡ChanYee")</f>
        <v>陳怡ChanYee</v>
      </c>
      <c r="C2787" s="80" t="s">
        <v>3143</v>
      </c>
      <c r="D2787" s="81" t="str">
        <f>HYPERLINK("https://youtube.com/watch?v=0Zlymg0sm6E", "第一次在FANS MEETING中收到的禮物！｜陳怡 ChanYee")</f>
        <v>第一次在FANS MEETING中收到的禮物！｜陳怡 ChanYee</v>
      </c>
      <c r="E2787" s="82">
        <v>42934.0</v>
      </c>
      <c r="F2787" s="80">
        <v>325.0</v>
      </c>
      <c r="G2787" s="80" t="s">
        <v>63</v>
      </c>
      <c r="I2787" s="80" t="s">
        <v>63</v>
      </c>
      <c r="J2787" s="80">
        <v>1108.0</v>
      </c>
      <c r="K2787" s="80">
        <v>0.866301798279906</v>
      </c>
      <c r="L2787" s="80" t="s">
        <v>64</v>
      </c>
    </row>
    <row r="2788">
      <c r="A2788" s="80" t="s">
        <v>3144</v>
      </c>
      <c r="B2788" s="81" t="str">
        <f t="shared" ref="B2788:B2789" si="151">HYPERLINK("https://www.youtube.com/channel/UCZVmFDfn5WnixrHNf25MeJQ", "〈職人吹水〉@SingSingKitchen")</f>
        <v>〈職人吹水〉@SingSingKitchen</v>
      </c>
      <c r="C2788" s="80" t="s">
        <v>3145</v>
      </c>
      <c r="D2788" s="81" t="str">
        <f>HYPERLINK("https://youtube.com/watch?v=0cSDh3YLc3U", "〈職人吹水〉 中秋節快樂  魚露鹹香雞 私房製作 /中秋過節餸菜/惹味手切薑蓉/ 適合/白切雞/ 貴妃雞/ 豉油雞/ 桶子油雞/ 海南雞 /手撕雞/ #職人吹水燻蹄 附上中文字幕")</f>
        <v>〈職人吹水〉 中秋節快樂  魚露鹹香雞 私房製作 /中秋過節餸菜/惹味手切薑蓉/ 適合/白切雞/ 貴妃雞/ 豉油雞/ 桶子油雞/ 海南雞 /手撕雞/ #職人吹水燻蹄 附上中文字幕</v>
      </c>
      <c r="E2788" s="82">
        <v>44455.0</v>
      </c>
      <c r="F2788" s="80">
        <v>1423.0</v>
      </c>
      <c r="G2788" s="80" t="s">
        <v>63</v>
      </c>
      <c r="I2788" s="80" t="s">
        <v>63</v>
      </c>
      <c r="J2788" s="80">
        <v>2203.0</v>
      </c>
      <c r="K2788" s="80">
        <v>0.981729055258467</v>
      </c>
      <c r="L2788" s="80" t="s">
        <v>745</v>
      </c>
    </row>
    <row r="2789">
      <c r="A2789" s="80" t="s">
        <v>3144</v>
      </c>
      <c r="B2789" s="81" t="str">
        <f t="shared" si="151"/>
        <v>〈職人吹水〉@SingSingKitchen</v>
      </c>
      <c r="C2789" s="80" t="s">
        <v>3146</v>
      </c>
      <c r="D2789" s="81" t="str">
        <f>HYPERLINK("https://youtube.com/watch?v=0dA6YLYk3_k", "〈職人吹水〉 六十萬訂閱台慶 特約 紅燒乳鴿 /炸乳鴿技巧/ 鹵水調配技巧 /淮鹽製作/ 紅燒乳鴿/ 鹵水乳鴿 /涼拌乳鴿/ 炸乳鴿 附上中文字幕")</f>
        <v>〈職人吹水〉 六十萬訂閱台慶 特約 紅燒乳鴿 /炸乳鴿技巧/ 鹵水調配技巧 /淮鹽製作/ 紅燒乳鴿/ 鹵水乳鴿 /涼拌乳鴿/ 炸乳鴿 附上中文字幕</v>
      </c>
      <c r="E2789" s="82">
        <v>44515.0</v>
      </c>
      <c r="F2789" s="80">
        <v>1685.0</v>
      </c>
      <c r="G2789" s="80" t="s">
        <v>63</v>
      </c>
      <c r="I2789" s="80" t="s">
        <v>63</v>
      </c>
      <c r="J2789" s="80">
        <v>3991.0</v>
      </c>
      <c r="K2789" s="80">
        <v>0.990322580645161</v>
      </c>
      <c r="L2789" s="80" t="s">
        <v>745</v>
      </c>
    </row>
    <row r="2790">
      <c r="A2790" s="80" t="s">
        <v>127</v>
      </c>
      <c r="B2790" s="81" t="str">
        <f>HYPERLINK("https://www.youtube.com/channel/UC97oYK3XMf9RLtkc0lO8C-Q", "健康旦 HiEggo")</f>
        <v>健康旦 HiEggo</v>
      </c>
      <c r="C2790" s="80" t="s">
        <v>3147</v>
      </c>
      <c r="D2790" s="81" t="str">
        <f>HYPERLINK("https://youtube.com/watch?v=GFGWCFWX0qg", "蒸餾水礦物質不足對人無幫助 趙汝威：山澗天然泉水比蒸餾更好 最靚泉水係用溶岩煲 - 鄭丹瑞《健康旦》 #趙汝威 博士 Part 19 (CC中文字幕)")</f>
        <v>蒸餾水礦物質不足對人無幫助 趙汝威：山澗天然泉水比蒸餾更好 最靚泉水係用溶岩煲 - 鄭丹瑞《健康旦》 #趙汝威 博士 Part 19 (CC中文字幕)</v>
      </c>
      <c r="E2790" s="82">
        <v>44118.0</v>
      </c>
      <c r="F2790" s="80">
        <v>671.0</v>
      </c>
      <c r="G2790" s="80" t="s">
        <v>63</v>
      </c>
      <c r="I2790" s="80" t="s">
        <v>63</v>
      </c>
      <c r="J2790" s="80">
        <v>2701.0</v>
      </c>
      <c r="K2790" s="80">
        <v>0.965332380271622</v>
      </c>
      <c r="L2790" s="80" t="s">
        <v>64</v>
      </c>
    </row>
    <row r="2791">
      <c r="A2791" s="80" t="s">
        <v>238</v>
      </c>
      <c r="B2791" s="81" t="str">
        <f>HYPERLINK("https://www.youtube.com/channel/UCSBkm4LwpgBmcA3MCtO8vqg", "Post76影音玩樂")</f>
        <v>Post76影音玩樂</v>
      </c>
      <c r="C2791" s="80" t="s">
        <v>3148</v>
      </c>
      <c r="D2791" s="81" t="str">
        <f>HYPERLINK("https://youtube.com/watch?v=GHW8DQlaLr8", "Nakamichi Soundstation 10X Pro 2.1 Soundbar - 純白簡約設計   攞批文入屋之選  | 粵語 【Soundbar評測 | Post76.hk】")</f>
        <v>Nakamichi Soundstation 10X Pro 2.1 Soundbar - 純白簡約設計   攞批文入屋之選  | 粵語 【Soundbar評測 | Post76.hk】</v>
      </c>
      <c r="E2791" s="82">
        <v>44332.0</v>
      </c>
      <c r="F2791" s="80">
        <v>386.0</v>
      </c>
      <c r="G2791" s="80" t="s">
        <v>63</v>
      </c>
      <c r="H2791" s="80" t="s">
        <v>63</v>
      </c>
      <c r="I2791" s="80" t="s">
        <v>63</v>
      </c>
      <c r="J2791" s="80">
        <v>1341.0</v>
      </c>
      <c r="K2791" s="80">
        <v>0.720580333154218</v>
      </c>
      <c r="L2791" s="80" t="s">
        <v>66</v>
      </c>
    </row>
    <row r="2792">
      <c r="A2792" s="80" t="s">
        <v>1987</v>
      </c>
      <c r="B2792" s="81" t="str">
        <f>HYPERLINK("https://www.youtube.com/channel/UCgGUmm04nVyj-ftaCxVcyBg", "MangoHK大馬獅家")</f>
        <v>MangoHK大馬獅家</v>
      </c>
      <c r="C2792" s="80" t="s">
        <v>3149</v>
      </c>
      <c r="D2792" s="81" t="str">
        <f>HYPERLINK("https://youtube.com/watch?v=GHyVtYj_NXE", "【44】👜亞洲最大商場👩🏻‍🦰港人嫁怡保！{中英字幕}  Subtitled | Malaysia Hong Kong Friends | Malaysia Vlog | mm2h")</f>
        <v>【44】👜亞洲最大商場👩🏻‍🦰港人嫁怡保！{中英字幕}  Subtitled | Malaysia Hong Kong Friends | Malaysia Vlog | mm2h</v>
      </c>
      <c r="E2792" s="82">
        <v>44472.0</v>
      </c>
      <c r="F2792" s="80">
        <v>451.0</v>
      </c>
      <c r="G2792" s="80" t="s">
        <v>63</v>
      </c>
      <c r="I2792" s="80" t="s">
        <v>63</v>
      </c>
      <c r="J2792" s="80">
        <v>950.0</v>
      </c>
      <c r="K2792" s="80">
        <v>0.927734375</v>
      </c>
      <c r="L2792" s="80" t="s">
        <v>896</v>
      </c>
    </row>
    <row r="2793">
      <c r="A2793" s="80" t="s">
        <v>288</v>
      </c>
      <c r="B2793" s="81" t="str">
        <f>HYPERLINK("https://www.youtube.com/channel/UCDWOYEhVnyD4IHZGVAMLc0g", "Brendan 毛爸")</f>
        <v>Brendan 毛爸</v>
      </c>
      <c r="C2793" s="80" t="s">
        <v>3150</v>
      </c>
      <c r="D2793" s="81" t="str">
        <f>HYPERLINK("https://youtube.com/watch?v=GNThTVw5WGw", "[毛爸談] 再見了我的最好夥伴。多謝你一直以來的陪伴（請打開CC 中文字幕）")</f>
        <v>[毛爸談] 再見了我的最好夥伴。多謝你一直以來的陪伴（請打開CC 中文字幕）</v>
      </c>
      <c r="E2793" s="82">
        <v>43970.0</v>
      </c>
      <c r="F2793" s="80">
        <v>198.0</v>
      </c>
      <c r="G2793" s="80" t="s">
        <v>63</v>
      </c>
      <c r="I2793" s="80" t="s">
        <v>63</v>
      </c>
      <c r="J2793" s="80">
        <v>590.0</v>
      </c>
      <c r="K2793" s="80">
        <v>0.891238670694864</v>
      </c>
      <c r="L2793" s="80" t="s">
        <v>64</v>
      </c>
    </row>
    <row r="2794">
      <c r="A2794" s="80" t="s">
        <v>3151</v>
      </c>
      <c r="B2794" s="81" t="str">
        <f>HYPERLINK("https://www.youtube.com/channel/UCARY68c_VZHHXPsEDg9Bptw", "耀佳金融集團Yaw Kai Financial Group")</f>
        <v>耀佳金融集團Yaw Kai Financial Group</v>
      </c>
      <c r="C2794" s="80" t="s">
        <v>3152</v>
      </c>
      <c r="D2794" s="81" t="str">
        <f>HYPERLINK("https://youtube.com/watch?v=0u0QoyQ2s64", "【新股點評】歐康維視生物(1477.HK) 抽唔抽得過?")</f>
        <v>【新股點評】歐康維視生物(1477.HK) 抽唔抽得過?</v>
      </c>
      <c r="E2794" s="82">
        <v>44011.0</v>
      </c>
      <c r="F2794" s="80">
        <v>315.0</v>
      </c>
      <c r="G2794" s="80" t="s">
        <v>63</v>
      </c>
      <c r="I2794" s="80" t="s">
        <v>63</v>
      </c>
      <c r="J2794" s="80">
        <v>904.0</v>
      </c>
      <c r="K2794" s="80">
        <v>0.961702127659574</v>
      </c>
      <c r="L2794" s="80" t="s">
        <v>64</v>
      </c>
    </row>
    <row r="2795">
      <c r="A2795" s="80" t="s">
        <v>3144</v>
      </c>
      <c r="B2795" s="81" t="str">
        <f>HYPERLINK("https://www.youtube.com/channel/UCZVmFDfn5WnixrHNf25MeJQ", "〈職人吹水〉@SingSingKitchen")</f>
        <v>〈職人吹水〉@SingSingKitchen</v>
      </c>
      <c r="C2795" s="80" t="s">
        <v>3153</v>
      </c>
      <c r="D2795" s="81" t="str">
        <f>HYPERLINK("https://youtube.com/watch?v=1-7OjH59f30", "〈職人吹水〉 焦香煲仔飯 北菇滑雞 煲仔飯 配秘製豉油 附上中文字幕")</f>
        <v>〈職人吹水〉 焦香煲仔飯 北菇滑雞 煲仔飯 配秘製豉油 附上中文字幕</v>
      </c>
      <c r="E2795" s="82">
        <v>44163.0</v>
      </c>
      <c r="F2795" s="80">
        <v>1229.0</v>
      </c>
      <c r="G2795" s="80" t="s">
        <v>63</v>
      </c>
      <c r="I2795" s="80" t="s">
        <v>63</v>
      </c>
      <c r="J2795" s="80">
        <v>1899.0</v>
      </c>
      <c r="K2795" s="80">
        <v>0.990610328638497</v>
      </c>
      <c r="L2795" s="80" t="s">
        <v>745</v>
      </c>
    </row>
    <row r="2796">
      <c r="A2796" s="80" t="s">
        <v>1260</v>
      </c>
      <c r="B2796" s="81" t="str">
        <f>HYPERLINK("https://www.youtube.com/channel/UCh1k4i86BpiXEO3nzJIYynw", "The Wave")</f>
        <v>The Wave</v>
      </c>
      <c r="C2796" s="80" t="s">
        <v>3154</v>
      </c>
      <c r="D2796" s="81" t="str">
        <f>HYPERLINK("https://youtube.com/watch?v=GQ44wechJB0", "TheWave ∣ Sony Xperia XZ2 Premium 開箱 【香港】")</f>
        <v>TheWave ∣ Sony Xperia XZ2 Premium 開箱 【香港】</v>
      </c>
      <c r="E2796" s="82">
        <v>43301.0</v>
      </c>
      <c r="F2796" s="80">
        <v>100.0</v>
      </c>
      <c r="G2796" s="80" t="s">
        <v>63</v>
      </c>
      <c r="I2796" s="80" t="s">
        <v>63</v>
      </c>
      <c r="J2796" s="80">
        <v>343.0</v>
      </c>
      <c r="K2796" s="80">
        <v>0.702868852459016</v>
      </c>
      <c r="L2796" s="80" t="s">
        <v>521</v>
      </c>
    </row>
    <row r="2797">
      <c r="A2797" s="80" t="s">
        <v>3144</v>
      </c>
      <c r="B2797" s="81" t="str">
        <f>HYPERLINK("https://www.youtube.com/channel/UCZVmFDfn5WnixrHNf25MeJQ", "〈職人吹水〉@SingSingKitchen")</f>
        <v>〈職人吹水〉@SingSingKitchen</v>
      </c>
      <c r="C2797" s="80" t="s">
        <v>3155</v>
      </c>
      <c r="D2797" s="81" t="str">
        <f>HYPERLINK("https://youtube.com/watch?v=11wScCKKTeg", "〈職人吹水〉 秋季時令 養生湯 茨實鮮淮山蘋果煲雞湯 滋陰潤燥")</f>
        <v>〈職人吹水〉 秋季時令 養生湯 茨實鮮淮山蘋果煲雞湯 滋陰潤燥</v>
      </c>
      <c r="E2797" s="82">
        <v>44532.0</v>
      </c>
      <c r="F2797" s="80">
        <v>840.0</v>
      </c>
      <c r="G2797" s="80" t="s">
        <v>63</v>
      </c>
      <c r="I2797" s="80" t="s">
        <v>63</v>
      </c>
      <c r="J2797" s="80">
        <v>2598.0</v>
      </c>
      <c r="K2797" s="80">
        <v>0.986707178123813</v>
      </c>
      <c r="L2797" s="80" t="s">
        <v>745</v>
      </c>
    </row>
    <row r="2798">
      <c r="A2798" s="80" t="s">
        <v>3046</v>
      </c>
      <c r="B2798" s="81" t="str">
        <f>HYPERLINK("https://www.youtube.com/channel/UCk9_geXNUStgv0wjm75vX5Q", "蘇斯克 Ole So")</f>
        <v>蘇斯克 Ole So</v>
      </c>
      <c r="C2798" s="80" t="s">
        <v>3156</v>
      </c>
      <c r="D2798" s="81" t="str">
        <f>HYPERLINK("https://youtube.com/watch?v=16Af_HF_BMc", "C朗浪子回家 · 夏季轉會窗總結 · 仲有最後一簽？")</f>
        <v>C朗浪子回家 · 夏季轉會窗總結 · 仲有最後一簽？</v>
      </c>
      <c r="E2798" s="82">
        <v>44437.0</v>
      </c>
      <c r="F2798" s="80">
        <v>281.0</v>
      </c>
      <c r="G2798" s="80" t="s">
        <v>63</v>
      </c>
      <c r="I2798" s="80" t="s">
        <v>63</v>
      </c>
      <c r="J2798" s="80">
        <v>820.0</v>
      </c>
      <c r="K2798" s="80">
        <v>0.841025641025641</v>
      </c>
      <c r="L2798" s="80" t="s">
        <v>64</v>
      </c>
    </row>
    <row r="2799">
      <c r="A2799" s="80" t="s">
        <v>2825</v>
      </c>
      <c r="B2799" s="81" t="str">
        <f>HYPERLINK("https://www.youtube.com/channel/UCP7XhYDgUbvjvaHxIhjTd_g", "Maviskuku 雞蛋妹")</f>
        <v>Maviskuku 雞蛋妹</v>
      </c>
      <c r="C2799" s="80" t="s">
        <v>3157</v>
      </c>
      <c r="D2799" s="81" t="str">
        <f>HYPERLINK("https://youtube.com/watch?v=GRWhlU9Agbg", "Apple iOS 15 更新試用感想｜冷門但十分好用的功能＋常用功能介紹🤳")</f>
        <v>Apple iOS 15 更新試用感想｜冷門但十分好用的功能＋常用功能介紹🤳</v>
      </c>
      <c r="E2799" s="82">
        <v>44452.0</v>
      </c>
      <c r="F2799" s="80">
        <v>489.0</v>
      </c>
      <c r="G2799" s="80" t="s">
        <v>63</v>
      </c>
      <c r="H2799" s="80" t="s">
        <v>63</v>
      </c>
      <c r="I2799" s="80" t="s">
        <v>63</v>
      </c>
      <c r="J2799" s="80">
        <v>1566.0</v>
      </c>
      <c r="K2799" s="80">
        <v>0.794897959183673</v>
      </c>
      <c r="L2799" s="80" t="s">
        <v>66</v>
      </c>
    </row>
    <row r="2800">
      <c r="A2800" s="80" t="s">
        <v>3158</v>
      </c>
      <c r="B2800" s="81" t="str">
        <f>HYPERLINK("https://www.youtube.com/channel/UCldJqbxFCPolSR6V9lszWDA", "魚波 Yu Ball")</f>
        <v>魚波 Yu Ball</v>
      </c>
      <c r="C2800" s="80" t="s">
        <v>3159</v>
      </c>
      <c r="D2800" s="81" t="str">
        <f>HYPERLINK("https://youtube.com/watch?v=1Dz67XzsDyw", "[慶祝1000訂閱] 愛爾蘭石蠔+蒜香蜆肉意粉 | 網友常問我的Q&amp;A+我的期望+想法 [CN Sub]  | 魚波煮")</f>
        <v>[慶祝1000訂閱] 愛爾蘭石蠔+蒜香蜆肉意粉 | 網友常問我的Q&amp;A+我的期望+想法 [CN Sub]  | 魚波煮</v>
      </c>
      <c r="E2800" s="82">
        <v>43542.0</v>
      </c>
      <c r="F2800" s="80">
        <v>1068.0</v>
      </c>
      <c r="G2800" s="80" t="s">
        <v>63</v>
      </c>
      <c r="H2800" s="80" t="s">
        <v>63</v>
      </c>
      <c r="I2800" s="80" t="s">
        <v>63</v>
      </c>
      <c r="J2800" s="80">
        <v>4994.0</v>
      </c>
      <c r="K2800" s="80">
        <v>0.957273256943095</v>
      </c>
      <c r="L2800" s="80" t="s">
        <v>3160</v>
      </c>
    </row>
    <row r="2801">
      <c r="A2801" s="80" t="s">
        <v>98</v>
      </c>
      <c r="B2801" s="81" t="str">
        <f>HYPERLINK("https://www.youtube.com/channel/UCrquuQB6v1Ued2xyRKZreGQ", "Stephen Leung ")</f>
        <v>Stephen Leung </v>
      </c>
      <c r="C2801" s="80" t="s">
        <v>3161</v>
      </c>
      <c r="D2801" s="81" t="str">
        <f>HYPERLINK("https://youtube.com/watch?v=GTC8X_pVmVw", "【香港美食】極罕 放題! 高質壽司放題 小童半價! 松葉蟹肉 拖羅 海膽 帶子 任食 鮨政 日式放題 感謝祭第三波 $2000 酒店優惠 Giveaway!! | 吃喝玩樂")</f>
        <v>【香港美食】極罕 放題! 高質壽司放題 小童半價! 松葉蟹肉 拖羅 海膽 帶子 任食 鮨政 日式放題 感謝祭第三波 $2000 酒店優惠 Giveaway!! | 吃喝玩樂</v>
      </c>
      <c r="E2801" s="82">
        <v>44297.0</v>
      </c>
      <c r="F2801" s="80">
        <v>743.0</v>
      </c>
      <c r="G2801" s="80" t="s">
        <v>63</v>
      </c>
      <c r="I2801" s="80" t="s">
        <v>63</v>
      </c>
      <c r="J2801" s="80">
        <v>1514.0</v>
      </c>
      <c r="K2801" s="80">
        <v>0.975515463917525</v>
      </c>
      <c r="L2801" s="80" t="s">
        <v>64</v>
      </c>
    </row>
    <row r="2802">
      <c r="A2802" s="80" t="s">
        <v>3162</v>
      </c>
      <c r="B2802" s="81" t="str">
        <f>HYPERLINK("https://www.youtube.com/channel/UCwz2_BsHZOaUO1zvS5zJBTw", "跟Theo一起爬坂道丨Theo Cheong")</f>
        <v>跟Theo一起爬坂道丨Theo Cheong</v>
      </c>
      <c r="C2802" s="80" t="s">
        <v>3163</v>
      </c>
      <c r="D2802" s="81" t="str">
        <f>HYPERLINK("https://youtube.com/watch?v=1FCrb-ohsNk", "走過大步危 腳震震的藤橋 德島  - 四國遊| Working Holiday | 窮毒L遊日本 Ep.14 | Travel | Vlog | Theo")</f>
        <v>走過大步危 腳震震的藤橋 德島  - 四國遊| Working Holiday | 窮毒L遊日本 Ep.14 | Travel | Vlog | Theo</v>
      </c>
      <c r="E2802" s="82">
        <v>43643.0</v>
      </c>
      <c r="F2802" s="80">
        <v>434.0</v>
      </c>
      <c r="G2802" s="80" t="s">
        <v>63</v>
      </c>
      <c r="I2802" s="80" t="s">
        <v>63</v>
      </c>
      <c r="J2802" s="80">
        <v>953.0</v>
      </c>
      <c r="K2802" s="80">
        <v>0.911089866156787</v>
      </c>
      <c r="L2802" s="80" t="s">
        <v>820</v>
      </c>
    </row>
    <row r="2803">
      <c r="A2803" s="80" t="s">
        <v>127</v>
      </c>
      <c r="B2803" s="81" t="str">
        <f>HYPERLINK("https://www.youtube.com/channel/UC97oYK3XMf9RLtkc0lO8C-Q", "健康旦 HiEggo")</f>
        <v>健康旦 HiEggo</v>
      </c>
      <c r="C2803" s="80" t="s">
        <v>3164</v>
      </c>
      <c r="D2803" s="81" t="str">
        <f>HYPERLINK("https://youtube.com/watch?v=GYTS7EkYBqk", "長者練太極可促進血液循環 倪秉郎：調節副交感神經助入睡 伸展多組不常用肌肉筋骨 - 鄭丹瑞《健康旦》倪秉郎 # Part 2 (CC中文字幕)")</f>
        <v>長者練太極可促進血液循環 倪秉郎：調節副交感神經助入睡 伸展多組不常用肌肉筋骨 - 鄭丹瑞《健康旦》倪秉郎 # Part 2 (CC中文字幕)</v>
      </c>
      <c r="E2803" s="82">
        <v>44125.0</v>
      </c>
      <c r="F2803" s="80">
        <v>481.0</v>
      </c>
      <c r="G2803" s="80" t="s">
        <v>63</v>
      </c>
      <c r="I2803" s="80" t="s">
        <v>63</v>
      </c>
      <c r="J2803" s="80">
        <v>1822.0</v>
      </c>
      <c r="K2803" s="80">
        <v>0.987533875338753</v>
      </c>
      <c r="L2803" s="80" t="s">
        <v>2771</v>
      </c>
    </row>
    <row r="2804">
      <c r="A2804" s="80" t="s">
        <v>3165</v>
      </c>
      <c r="B2804" s="81" t="str">
        <f>HYPERLINK("https://www.youtube.com/channel/UCKmwhu-hyadoBCzzM0TBDHQ", "好易煮 oe cook")</f>
        <v>好易煮 oe cook</v>
      </c>
      <c r="C2804" s="80" t="s">
        <v>3166</v>
      </c>
      <c r="D2804" s="81" t="str">
        <f>HYPERLINK("https://youtube.com/watch?v=1cWkLG-vAp0", "蛋餃豆腐粉絲煲 Egg Dumpling Pot With Bean Curd &amp; Glass Noodles(有字幕 With Subtitles)")</f>
        <v>蛋餃豆腐粉絲煲 Egg Dumpling Pot With Bean Curd &amp; Glass Noodles(有字幕 With Subtitles)</v>
      </c>
      <c r="E2804" s="82">
        <v>43817.0</v>
      </c>
      <c r="F2804" s="80">
        <v>473.0</v>
      </c>
      <c r="G2804" s="80" t="s">
        <v>63</v>
      </c>
      <c r="I2804" s="80" t="s">
        <v>63</v>
      </c>
      <c r="J2804" s="80">
        <v>755.0</v>
      </c>
      <c r="K2804" s="80">
        <v>0.994729907773386</v>
      </c>
      <c r="L2804" s="80" t="s">
        <v>3167</v>
      </c>
    </row>
    <row r="2805">
      <c r="A2805" s="80" t="s">
        <v>293</v>
      </c>
      <c r="B2805" s="81" t="str">
        <f>HYPERLINK("https://www.youtube.com/channel/UCXRcbXqjORdIvl63I7MtOLQ", "趁熱 Kerry 's kitchen")</f>
        <v>趁熱 Kerry 's kitchen</v>
      </c>
      <c r="C2805" s="80" t="s">
        <v>3168</v>
      </c>
      <c r="D2805" s="81" t="str">
        <f>HYPERLINK("https://youtube.com/watch?v=G_-UiPkxqmw", "豬肉絲 炒麵/煎脆 面/天使面兩面黃/簡單 家做/茶記味道/新手 入門/粵語/中字/請打開cc字幕提供英語及多國語言翻譯")</f>
        <v>豬肉絲 炒麵/煎脆 面/天使面兩面黃/簡單 家做/茶記味道/新手 入門/粵語/中字/請打開cc字幕提供英語及多國語言翻譯</v>
      </c>
      <c r="E2805" s="82">
        <v>44335.0</v>
      </c>
      <c r="F2805" s="80">
        <v>628.0</v>
      </c>
      <c r="G2805" s="80" t="s">
        <v>63</v>
      </c>
      <c r="I2805" s="80" t="s">
        <v>63</v>
      </c>
      <c r="J2805" s="80">
        <v>1654.0</v>
      </c>
      <c r="K2805" s="80">
        <v>0.982185273159145</v>
      </c>
      <c r="L2805" s="80" t="s">
        <v>64</v>
      </c>
    </row>
    <row r="2806">
      <c r="A2806" s="80" t="s">
        <v>3162</v>
      </c>
      <c r="B2806" s="81" t="str">
        <f>HYPERLINK("https://www.youtube.com/channel/UCwz2_BsHZOaUO1zvS5zJBTw", "跟Theo一起爬坂道丨Theo Cheong")</f>
        <v>跟Theo一起爬坂道丨Theo Cheong</v>
      </c>
      <c r="C2806" s="80" t="s">
        <v>3169</v>
      </c>
      <c r="D2806" s="81" t="str">
        <f>HYPERLINK("https://youtube.com/watch?v=1x092LM3wuM", "超級一人遊樂園 富士急過山車一日遊 | N4 Working Holiday | 窮毒L遊日本 Ep.9 | Travel | Theo")</f>
        <v>超級一人遊樂園 富士急過山車一日遊 | N4 Working Holiday | 窮毒L遊日本 Ep.9 | Travel | Theo</v>
      </c>
      <c r="E2806" s="82">
        <v>43600.0</v>
      </c>
      <c r="F2806" s="80">
        <v>396.0</v>
      </c>
      <c r="G2806" s="80" t="s">
        <v>63</v>
      </c>
      <c r="I2806" s="80" t="s">
        <v>63</v>
      </c>
      <c r="J2806" s="80">
        <v>1362.0</v>
      </c>
      <c r="K2806" s="80">
        <v>0.926530612244898</v>
      </c>
      <c r="L2806" s="80" t="s">
        <v>64</v>
      </c>
    </row>
    <row r="2807">
      <c r="A2807" s="80" t="s">
        <v>3170</v>
      </c>
      <c r="B2807" s="81" t="str">
        <f>HYPERLINK("https://www.youtube.com/channel/UC4sYIzNtzgaJudHQcDGtuJA", "CC漫遊")</f>
        <v>CC漫遊</v>
      </c>
      <c r="C2807" s="80" t="s">
        <v>3171</v>
      </c>
      <c r="D2807" s="81" t="str">
        <f>HYPERLINK("https://youtube.com/watch?v=G_ia90B9mQA", "【香港打卡好去處】金鐘後山嘅神秘打卡點｜前身係軍火庫？免費入場？｜古蹟+藝術館+國際級建築")</f>
        <v>【香港打卡好去處】金鐘後山嘅神秘打卡點｜前身係軍火庫？免費入場？｜古蹟+藝術館+國際級建築</v>
      </c>
      <c r="E2807" s="82">
        <v>44495.0</v>
      </c>
      <c r="F2807" s="80">
        <v>569.0</v>
      </c>
      <c r="G2807" s="80" t="s">
        <v>63</v>
      </c>
      <c r="I2807" s="80" t="s">
        <v>63</v>
      </c>
      <c r="J2807" s="80">
        <v>1837.0</v>
      </c>
      <c r="K2807" s="80">
        <v>0.981303418803418</v>
      </c>
      <c r="L2807" s="80" t="s">
        <v>287</v>
      </c>
    </row>
    <row r="2808">
      <c r="A2808" s="80" t="s">
        <v>3172</v>
      </c>
      <c r="B2808" s="81" t="str">
        <f>HYPERLINK("https://www.youtube.com/channel/UCahNh5t4wkQhSjS2-u0vSlA", "Henry Ng")</f>
        <v>Henry Ng</v>
      </c>
      <c r="C2808" s="80" t="s">
        <v>3173</v>
      </c>
      <c r="D2808" s="81" t="str">
        <f>HYPERLINK("https://youtube.com/watch?v=23iwI7UhK4s", "古巴 藝術 - 2017年7月《亨利自由行》")</f>
        <v>古巴 藝術 - 2017年7月《亨利自由行》</v>
      </c>
      <c r="E2808" s="82">
        <v>43193.0</v>
      </c>
      <c r="F2808" s="80">
        <v>303.0</v>
      </c>
      <c r="G2808" s="80" t="s">
        <v>63</v>
      </c>
      <c r="I2808" s="80" t="s">
        <v>63</v>
      </c>
      <c r="J2808" s="80">
        <v>577.0</v>
      </c>
      <c r="K2808" s="80">
        <v>0.891808346213292</v>
      </c>
      <c r="L2808" s="80" t="s">
        <v>64</v>
      </c>
    </row>
    <row r="2809">
      <c r="A2809" s="80" t="s">
        <v>2942</v>
      </c>
      <c r="B2809" s="81" t="str">
        <f>HYPERLINK("https://www.youtube.com/channel/UCFOFvhsNWMPHwvbfHl7K6qw", "司徒文進 CROSSBONE")</f>
        <v>司徒文進 CROSSBONE</v>
      </c>
      <c r="C2809" s="80" t="s">
        <v>3174</v>
      </c>
      <c r="D2809" s="81" t="str">
        <f>HYPERLINK("https://youtube.com/watch?v=GiO7DtWimvk", "(中字)《賭場科普》賭場公關 II（開賭廳系列vol.6）")</f>
        <v>(中字)《賭場科普》賭場公關 II（開賭廳系列vol.6）</v>
      </c>
      <c r="E2809" s="82">
        <v>44562.0</v>
      </c>
      <c r="F2809" s="80">
        <v>1282.0</v>
      </c>
      <c r="G2809" s="80" t="s">
        <v>63</v>
      </c>
      <c r="I2809" s="80" t="s">
        <v>63</v>
      </c>
      <c r="J2809" s="80">
        <v>4951.0</v>
      </c>
      <c r="K2809" s="80">
        <v>0.977685624012638</v>
      </c>
      <c r="L2809" s="80" t="s">
        <v>820</v>
      </c>
    </row>
    <row r="2810">
      <c r="A2810" s="80" t="s">
        <v>124</v>
      </c>
      <c r="B2810" s="81" t="str">
        <f>HYPERLINK("https://www.youtube.com/channel/UCg0vuSE0fBF_NvodyYhMcWg", "Wallace Studio HK")</f>
        <v>Wallace Studio HK</v>
      </c>
      <c r="C2810" s="80" t="s">
        <v>3175</v>
      </c>
      <c r="D2810" s="81" t="str">
        <f>HYPERLINK("https://youtube.com/watch?v=Glveu8qF6_o", "[NAS選購] 選購Part 4 QNAP NAS選購指南")</f>
        <v>[NAS選購] 選購Part 4 QNAP NAS選購指南</v>
      </c>
      <c r="E2810" s="82">
        <v>44400.0</v>
      </c>
      <c r="F2810" s="80">
        <v>769.0</v>
      </c>
      <c r="G2810" s="80" t="s">
        <v>63</v>
      </c>
      <c r="H2810" s="80" t="s">
        <v>63</v>
      </c>
      <c r="I2810" s="80" t="s">
        <v>63</v>
      </c>
      <c r="J2810" s="80">
        <v>2511.0</v>
      </c>
      <c r="K2810" s="80">
        <v>0.720643123743898</v>
      </c>
      <c r="L2810" s="80" t="s">
        <v>86</v>
      </c>
    </row>
    <row r="2811">
      <c r="A2811" s="80" t="s">
        <v>288</v>
      </c>
      <c r="B2811" s="81" t="str">
        <f>HYPERLINK("https://www.youtube.com/channel/UCDWOYEhVnyD4IHZGVAMLc0g", "Brendan 毛爸")</f>
        <v>Brendan 毛爸</v>
      </c>
      <c r="C2811" s="80" t="s">
        <v>3176</v>
      </c>
      <c r="D2811" s="81" t="str">
        <f>HYPERLINK("https://youtube.com/watch?v=Gn7zTCJGgNI", "飛滋豆豆救星! 蒙面蜂蜜苦瓜汁！消暑！清熱！解毒！[CC 打開中文字幕] 【毛飯家庭 -EP2】")</f>
        <v>飛滋豆豆救星! 蒙面蜂蜜苦瓜汁！消暑！清熱！解毒！[CC 打開中文字幕] 【毛飯家庭 -EP2】</v>
      </c>
      <c r="E2811" s="82">
        <v>43743.0</v>
      </c>
      <c r="F2811" s="80">
        <v>259.0</v>
      </c>
      <c r="G2811" s="80" t="s">
        <v>63</v>
      </c>
      <c r="I2811" s="80" t="s">
        <v>63</v>
      </c>
      <c r="J2811" s="80">
        <v>756.0</v>
      </c>
      <c r="K2811" s="80">
        <v>0.978007761966364</v>
      </c>
      <c r="L2811" s="80" t="s">
        <v>64</v>
      </c>
    </row>
    <row r="2812">
      <c r="A2812" s="80" t="s">
        <v>127</v>
      </c>
      <c r="B2812" s="81" t="str">
        <f>HYPERLINK("https://www.youtube.com/channel/UC97oYK3XMf9RLtkc0lO8C-Q", "健康旦 HiEggo")</f>
        <v>健康旦 HiEggo</v>
      </c>
      <c r="C2812" s="80" t="s">
        <v>3177</v>
      </c>
      <c r="D2812" s="81" t="str">
        <f>HYPERLINK("https://youtube.com/watch?v=GnV4_Pwzg2s", "浸大黃煥忠教授上堂唔只耕田 新興農科課程學持久平衡發展 多出路畢業唔怕搵唔到工 - 鄭丹瑞《健康旦》黃煥忠 Part 2")</f>
        <v>浸大黃煥忠教授上堂唔只耕田 新興農科課程學持久平衡發展 多出路畢業唔怕搵唔到工 - 鄭丹瑞《健康旦》黃煥忠 Part 2</v>
      </c>
      <c r="E2812" s="82">
        <v>43963.0</v>
      </c>
      <c r="F2812" s="80">
        <v>613.0</v>
      </c>
      <c r="G2812" s="80" t="s">
        <v>63</v>
      </c>
      <c r="I2812" s="80" t="s">
        <v>63</v>
      </c>
      <c r="J2812" s="80">
        <v>2325.0</v>
      </c>
      <c r="K2812" s="80">
        <v>0.997854077253218</v>
      </c>
      <c r="L2812" s="80" t="s">
        <v>64</v>
      </c>
    </row>
    <row r="2813">
      <c r="A2813" s="80" t="s">
        <v>1987</v>
      </c>
      <c r="B2813" s="81" t="str">
        <f>HYPERLINK("https://www.youtube.com/channel/UCgGUmm04nVyj-ftaCxVcyBg", "MangoHK大馬獅家")</f>
        <v>MangoHK大馬獅家</v>
      </c>
      <c r="C2813" s="80" t="s">
        <v>3178</v>
      </c>
      <c r="D2813" s="81" t="str">
        <f>HYPERLINK("https://youtube.com/watch?v=GoXpv-5y4H8", "【73】🥰大馬人情味🐤手包糯米雞 {中英字幕}  Subtitled | Malaysia human kindness | Malaysia Vlog | mm2h")</f>
        <v>【73】🥰大馬人情味🐤手包糯米雞 {中英字幕}  Subtitled | Malaysia human kindness | Malaysia Vlog | mm2h</v>
      </c>
      <c r="E2813" s="82">
        <v>44500.0</v>
      </c>
      <c r="F2813" s="80">
        <v>481.0</v>
      </c>
      <c r="G2813" s="80" t="s">
        <v>63</v>
      </c>
      <c r="I2813" s="80" t="s">
        <v>63</v>
      </c>
      <c r="J2813" s="80">
        <v>1394.0</v>
      </c>
      <c r="K2813" s="80">
        <v>0.994293865905848</v>
      </c>
      <c r="L2813" s="80" t="s">
        <v>896</v>
      </c>
    </row>
    <row r="2814">
      <c r="A2814" s="80" t="s">
        <v>124</v>
      </c>
      <c r="B2814" s="81" t="str">
        <f>HYPERLINK("https://www.youtube.com/channel/UCg0vuSE0fBF_NvodyYhMcWg", "Wallace Studio HK")</f>
        <v>Wallace Studio HK</v>
      </c>
      <c r="C2814" s="80" t="s">
        <v>3179</v>
      </c>
      <c r="D2814" s="81" t="str">
        <f>HYPERLINK("https://youtube.com/watch?v=GpsKMEGwzXU", "2021 大學生手提電腦選購指南| 輕薄機款選購|MOSS| 消費券買手提電腦 (香港)")</f>
        <v>2021 大學生手提電腦選購指南| 輕薄機款選購|MOSS| 消費券買手提電腦 (香港)</v>
      </c>
      <c r="E2814" s="82">
        <v>44444.0</v>
      </c>
      <c r="F2814" s="80">
        <v>725.0</v>
      </c>
      <c r="G2814" s="80" t="s">
        <v>63</v>
      </c>
      <c r="H2814" s="80" t="s">
        <v>63</v>
      </c>
      <c r="I2814" s="80" t="s">
        <v>63</v>
      </c>
      <c r="J2814" s="80">
        <v>2654.0</v>
      </c>
      <c r="K2814" s="80">
        <v>0.72772141486153</v>
      </c>
      <c r="L2814" s="80" t="s">
        <v>86</v>
      </c>
    </row>
    <row r="2815">
      <c r="A2815" s="80" t="s">
        <v>3144</v>
      </c>
      <c r="B2815" s="81" t="str">
        <f>HYPERLINK("https://www.youtube.com/channel/UCZVmFDfn5WnixrHNf25MeJQ", "〈職人吹水〉@SingSingKitchen")</f>
        <v>〈職人吹水〉@SingSingKitchen</v>
      </c>
      <c r="C2815" s="80" t="s">
        <v>3180</v>
      </c>
      <c r="D2815" s="81" t="str">
        <f>HYPERLINK("https://youtube.com/watch?v=3H_lWtpWErg", "〈職人吹水〉 爆膏 頂角膏蟹如何選擇 油鹽焗烹調技巧/ 薑蔥油鹽焗膏蟹/ 鹽焗黃油蟹/ 鹽焗奄仔蟹/ 可以用同一烹調方法 附上中文字幕")</f>
        <v>〈職人吹水〉 爆膏 頂角膏蟹如何選擇 油鹽焗烹調技巧/ 薑蔥油鹽焗膏蟹/ 鹽焗黃油蟹/ 鹽焗奄仔蟹/ 可以用同一烹調方法 附上中文字幕</v>
      </c>
      <c r="E2815" s="82">
        <v>44453.0</v>
      </c>
      <c r="F2815" s="80">
        <v>1098.0</v>
      </c>
      <c r="G2815" s="80" t="s">
        <v>63</v>
      </c>
      <c r="I2815" s="80" t="s">
        <v>63</v>
      </c>
      <c r="J2815" s="80">
        <v>3392.0</v>
      </c>
      <c r="K2815" s="80">
        <v>0.990075890251021</v>
      </c>
      <c r="L2815" s="80" t="s">
        <v>745</v>
      </c>
    </row>
    <row r="2816">
      <c r="A2816" s="80" t="s">
        <v>3162</v>
      </c>
      <c r="B2816" s="81" t="str">
        <f>HYPERLINK("https://www.youtube.com/channel/UCwz2_BsHZOaUO1zvS5zJBTw", "跟Theo一起爬坂道丨Theo Cheong")</f>
        <v>跟Theo一起爬坂道丨Theo Cheong</v>
      </c>
      <c r="C2816" s="80" t="s">
        <v>3181</v>
      </c>
      <c r="D2816" s="81" t="str">
        <f>HYPERLINK("https://youtube.com/watch?v=3J76D-vnRRg", "[開箱] Su-pen 轉硃筆 Pad高手專用| N4 Working Holiday | Vlog | Osaka")</f>
        <v>[開箱] Su-pen 轉硃筆 Pad高手專用| N4 Working Holiday | Vlog | Osaka</v>
      </c>
      <c r="E2816" s="82">
        <v>43493.0</v>
      </c>
      <c r="F2816" s="80">
        <v>282.0</v>
      </c>
      <c r="G2816" s="80" t="s">
        <v>63</v>
      </c>
      <c r="I2816" s="80" t="s">
        <v>63</v>
      </c>
      <c r="J2816" s="80">
        <v>588.0</v>
      </c>
      <c r="K2816" s="80">
        <v>0.827004219409282</v>
      </c>
      <c r="L2816" s="80" t="s">
        <v>64</v>
      </c>
    </row>
    <row r="2817">
      <c r="A2817" s="80" t="s">
        <v>2780</v>
      </c>
      <c r="B2817" s="81" t="str">
        <f>HYPERLINK("https://www.youtube.com/channel/UC0CojhLcc0VESgaG633m5kA", "RainErs")</f>
        <v>RainErs</v>
      </c>
      <c r="C2817" s="80" t="s">
        <v>3182</v>
      </c>
      <c r="D2817" s="81" t="str">
        <f>HYPERLINK("https://youtube.com/watch?v=Gt1qF0kIh7E", "[恐怖咩] 短篇恐怖鬼故---原來一直有人匿埋喺你...屋企...衣櫃??建議夜晚聽更有效果[有CC字幕]")</f>
        <v>[恐怖咩] 短篇恐怖鬼故---原來一直有人匿埋喺你...屋企...衣櫃??建議夜晚聽更有效果[有CC字幕]</v>
      </c>
      <c r="E2817" s="82">
        <v>44313.0</v>
      </c>
      <c r="F2817" s="80">
        <v>973.0</v>
      </c>
      <c r="G2817" s="80" t="s">
        <v>63</v>
      </c>
      <c r="I2817" s="80" t="s">
        <v>63</v>
      </c>
      <c r="J2817" s="80">
        <v>2829.0</v>
      </c>
      <c r="K2817" s="80">
        <v>0.984684998259658</v>
      </c>
      <c r="L2817" s="80" t="s">
        <v>64</v>
      </c>
    </row>
    <row r="2818">
      <c r="A2818" s="80" t="s">
        <v>127</v>
      </c>
      <c r="B2818" s="81" t="str">
        <f t="shared" ref="B2818:B2819" si="152">HYPERLINK("https://www.youtube.com/channel/UC97oYK3XMf9RLtkc0lO8C-Q", "健康旦 HiEggo")</f>
        <v>健康旦 HiEggo</v>
      </c>
      <c r="C2818" s="80" t="s">
        <v>3183</v>
      </c>
      <c r="D2818" s="81" t="str">
        <f>HYPERLINK("https://youtube.com/watch?v=GxDzSjPg38k", "食蛋黃可減輕偏頭痛 月食 15 日止痛藥 用藥過多可致反效果 - 鄭丹瑞《健康旦》#馮斌熙 醫生 PART 1  (CC中文字幕)")</f>
        <v>食蛋黃可減輕偏頭痛 月食 15 日止痛藥 用藥過多可致反效果 - 鄭丹瑞《健康旦》#馮斌熙 醫生 PART 1  (CC中文字幕)</v>
      </c>
      <c r="E2818" s="82">
        <v>44007.0</v>
      </c>
      <c r="F2818" s="80">
        <v>623.0</v>
      </c>
      <c r="G2818" s="80" t="s">
        <v>63</v>
      </c>
      <c r="I2818" s="80" t="s">
        <v>63</v>
      </c>
      <c r="J2818" s="80">
        <v>2604.0</v>
      </c>
      <c r="K2818" s="80">
        <v>0.936353829557713</v>
      </c>
      <c r="L2818" s="80" t="s">
        <v>64</v>
      </c>
    </row>
    <row r="2819">
      <c r="A2819" s="80" t="s">
        <v>127</v>
      </c>
      <c r="B2819" s="81" t="str">
        <f t="shared" si="152"/>
        <v>健康旦 HiEggo</v>
      </c>
      <c r="C2819" s="80" t="s">
        <v>3184</v>
      </c>
      <c r="D2819" s="81" t="str">
        <f>HYPERLINK("https://youtube.com/watch?v=GxzY9Lf5BLw", "坐骨神經痛避免竅門 紥馬鍛鍊胸背大腿肌肉  對付腰酸骨痛 - 鄭丹瑞《健康旦》 跌打醫師 #甘澤民 博士 Part 2 (CC中文字幕)")</f>
        <v>坐骨神經痛避免竅門 紥馬鍛鍊胸背大腿肌肉  對付腰酸骨痛 - 鄭丹瑞《健康旦》 跌打醫師 #甘澤民 博士 Part 2 (CC中文字幕)</v>
      </c>
      <c r="E2819" s="82">
        <v>44044.0</v>
      </c>
      <c r="F2819" s="80">
        <v>637.0</v>
      </c>
      <c r="G2819" s="80" t="s">
        <v>63</v>
      </c>
      <c r="I2819" s="80" t="s">
        <v>63</v>
      </c>
      <c r="J2819" s="80">
        <v>2838.0</v>
      </c>
      <c r="K2819" s="80">
        <v>0.992654774396642</v>
      </c>
      <c r="L2819" s="80" t="s">
        <v>2771</v>
      </c>
    </row>
    <row r="2820">
      <c r="A2820" s="80" t="s">
        <v>3139</v>
      </c>
      <c r="B2820" s="81" t="str">
        <f>HYPERLINK("https://www.youtube.com/channel/UCThO2xnH7XMg6plE8OgJm_w", "choyuen草原")</f>
        <v>choyuen草原</v>
      </c>
      <c r="C2820" s="80" t="s">
        <v>3185</v>
      </c>
      <c r="D2820" s="81" t="str">
        <f>HYPERLINK("https://youtube.com/watch?v=3lr_ou2iRtQ", "『廣東話』歷史書實冇話你知人類第一個文明◤蘇美爾◢有3樣野勁到離譜 History books rule out╳3 things╳of the 1st civilization【禁忌的傳說】")</f>
        <v>『廣東話』歷史書實冇話你知人類第一個文明◤蘇美爾◢有3樣野勁到離譜 History books rule out╳3 things╳of the 1st civilization【禁忌的傳說】</v>
      </c>
      <c r="E2820" s="82">
        <v>43524.0</v>
      </c>
      <c r="F2820" s="80">
        <v>470.0</v>
      </c>
      <c r="G2820" s="80" t="s">
        <v>63</v>
      </c>
      <c r="I2820" s="80" t="s">
        <v>63</v>
      </c>
      <c r="J2820" s="80">
        <v>1376.0</v>
      </c>
      <c r="K2820" s="80">
        <v>0.891191709844559</v>
      </c>
      <c r="L2820" s="80" t="s">
        <v>64</v>
      </c>
    </row>
    <row r="2821">
      <c r="A2821" s="80" t="s">
        <v>238</v>
      </c>
      <c r="B2821" s="81" t="str">
        <f>HYPERLINK("https://www.youtube.com/channel/UCSBkm4LwpgBmcA3MCtO8vqg", "Post76影音玩樂")</f>
        <v>Post76影音玩樂</v>
      </c>
      <c r="C2821" s="80" t="s">
        <v>3186</v>
      </c>
      <c r="D2821" s="81" t="str">
        <f>HYPERLINK("https://youtube.com/watch?v=H-fU56XID2g", "ZIDOO Z1000 PRO 4K Media Player : 支援 Dolby Vision 輸出發揮訊源潛力｜新操作系統穩定度提升| 粵語 | 自選雙中文字幕【影音評測｜Post76.hk】")</f>
        <v>ZIDOO Z1000 PRO 4K Media Player : 支援 Dolby Vision 輸出發揮訊源潛力｜新操作系統穩定度提升| 粵語 | 自選雙中文字幕【影音評測｜Post76.hk】</v>
      </c>
      <c r="E2821" s="82">
        <v>44152.0</v>
      </c>
      <c r="F2821" s="80">
        <v>405.0</v>
      </c>
      <c r="G2821" s="80" t="s">
        <v>63</v>
      </c>
      <c r="H2821" s="80" t="s">
        <v>63</v>
      </c>
      <c r="I2821" s="80" t="s">
        <v>63</v>
      </c>
      <c r="J2821" s="80">
        <v>1568.0</v>
      </c>
      <c r="K2821" s="80">
        <v>0.883939038686987</v>
      </c>
      <c r="L2821" s="80" t="s">
        <v>66</v>
      </c>
    </row>
    <row r="2822">
      <c r="A2822" s="80" t="s">
        <v>127</v>
      </c>
      <c r="B2822" s="81" t="str">
        <f>HYPERLINK("https://www.youtube.com/channel/UC97oYK3XMf9RLtkc0lO8C-Q", "健康旦 HiEggo")</f>
        <v>健康旦 HiEggo</v>
      </c>
      <c r="C2822" s="80" t="s">
        <v>3187</v>
      </c>
      <c r="D2822" s="81" t="str">
        <f>HYPERLINK("https://youtube.com/watch?v=H2Na_RgOdEE", "長者上樓梯無力、腰背前傾 肌肉繃緊易失平衡 坐式運動提升大腿小腿肌力 - 鄭丹瑞《健康旦》坐式徒手運動導師 #PaulLau Part 3 (CC中文字幕)")</f>
        <v>長者上樓梯無力、腰背前傾 肌肉繃緊易失平衡 坐式運動提升大腿小腿肌力 - 鄭丹瑞《健康旦》坐式徒手運動導師 #PaulLau Part 3 (CC中文字幕)</v>
      </c>
      <c r="E2822" s="82">
        <v>44037.0</v>
      </c>
      <c r="F2822" s="80">
        <v>615.0</v>
      </c>
      <c r="G2822" s="80" t="s">
        <v>63</v>
      </c>
      <c r="I2822" s="80" t="s">
        <v>63</v>
      </c>
      <c r="J2822" s="80">
        <v>2266.0</v>
      </c>
      <c r="K2822" s="80">
        <v>0.987794245858762</v>
      </c>
      <c r="L2822" s="80" t="s">
        <v>2771</v>
      </c>
    </row>
    <row r="2823">
      <c r="A2823" s="80" t="s">
        <v>2753</v>
      </c>
      <c r="B2823" s="81" t="str">
        <f>HYPERLINK("https://www.youtube.com/channel/UCxRXNy5P6fLtHYpawxoiqJQ", "焦點視頻")</f>
        <v>焦點視頻</v>
      </c>
      <c r="C2823" s="80" t="s">
        <v>3188</v>
      </c>
      <c r="D2823" s="81" t="str">
        <f>HYPERLINK("https://youtube.com/watch?v=H320yL7lqho", "(中字) 這3個生肖2022年你們一定發大達！︱玄學大師吳佩孚師傅《焦點視頻 x 開運王》")</f>
        <v>(中字) 這3個生肖2022年你們一定發大達！︱玄學大師吳佩孚師傅《焦點視頻 x 開運王》</v>
      </c>
      <c r="E2823" s="82">
        <v>44530.0</v>
      </c>
      <c r="F2823" s="80">
        <v>255.0</v>
      </c>
      <c r="G2823" s="80" t="s">
        <v>63</v>
      </c>
      <c r="I2823" s="80" t="s">
        <v>63</v>
      </c>
      <c r="J2823" s="80">
        <v>1240.0</v>
      </c>
      <c r="K2823" s="80">
        <v>0.995184590690208</v>
      </c>
      <c r="L2823" s="80" t="s">
        <v>3012</v>
      </c>
    </row>
    <row r="2824">
      <c r="A2824" s="80" t="s">
        <v>3172</v>
      </c>
      <c r="B2824" s="81" t="str">
        <f>HYPERLINK("https://www.youtube.com/channel/UCahNh5t4wkQhSjS2-u0vSlA", "Henry Ng")</f>
        <v>Henry Ng</v>
      </c>
      <c r="C2824" s="80" t="s">
        <v>3189</v>
      </c>
      <c r="D2824" s="81" t="str">
        <f>HYPERLINK("https://youtube.com/watch?v=4IXWR09i4D8", "意大利 羅馬 - 2018年5月《亨利自由行》")</f>
        <v>意大利 羅馬 - 2018年5月《亨利自由行》</v>
      </c>
      <c r="E2824" s="82">
        <v>43932.0</v>
      </c>
      <c r="F2824" s="80">
        <v>359.0</v>
      </c>
      <c r="G2824" s="80" t="s">
        <v>63</v>
      </c>
      <c r="I2824" s="80" t="s">
        <v>63</v>
      </c>
      <c r="J2824" s="80">
        <v>470.0</v>
      </c>
      <c r="K2824" s="80">
        <v>0.824561403508771</v>
      </c>
      <c r="L2824" s="80" t="s">
        <v>64</v>
      </c>
    </row>
    <row r="2825">
      <c r="A2825" s="80" t="s">
        <v>288</v>
      </c>
      <c r="B2825" s="81" t="str">
        <f>HYPERLINK("https://www.youtube.com/channel/UCDWOYEhVnyD4IHZGVAMLc0g", "Brendan 毛爸")</f>
        <v>Brendan 毛爸</v>
      </c>
      <c r="C2825" s="80" t="s">
        <v>3190</v>
      </c>
      <c r="D2825" s="81" t="str">
        <f>HYPERLINK("https://youtube.com/watch?v=H7crgmnGLSA", "『誠實食評』- 壽司郎！極抵食！日本第一壽司連鎖店！長沙灣新店！必食推介！「食大個胃第8步」[請打開CC 查看中文字幕]")</f>
        <v>『誠實食評』- 壽司郎！極抵食！日本第一壽司連鎖店！長沙灣新店！必食推介！「食大個胃第8步」[請打開CC 查看中文字幕]</v>
      </c>
      <c r="E2825" s="82">
        <v>43958.0</v>
      </c>
      <c r="F2825" s="80">
        <v>604.0</v>
      </c>
      <c r="G2825" s="80" t="s">
        <v>63</v>
      </c>
      <c r="I2825" s="80" t="s">
        <v>63</v>
      </c>
      <c r="J2825" s="80">
        <v>2080.0</v>
      </c>
      <c r="K2825" s="80">
        <v>0.971508640822045</v>
      </c>
      <c r="L2825" s="80" t="s">
        <v>64</v>
      </c>
    </row>
    <row r="2826">
      <c r="A2826" s="80" t="s">
        <v>98</v>
      </c>
      <c r="B2826" s="81" t="str">
        <f>HYPERLINK("https://www.youtube.com/channel/UCrquuQB6v1Ued2xyRKZreGQ", "Stephen Leung ")</f>
        <v>Stephen Leung </v>
      </c>
      <c r="C2826" s="80" t="s">
        <v>3191</v>
      </c>
      <c r="D2826" s="81" t="str">
        <f>HYPERLINK("https://youtube.com/watch?v=H8mW7OuygGg", "【睇樓王】買樓竟然帶我睇 1億 市區樓? 💸 連2個車位！幾多錢一呎？ 究竟香港樓市 有幾誇張？ | 吃喝玩樂 日日有樓睇")</f>
        <v>【睇樓王】買樓竟然帶我睇 1億 市區樓? 💸 連2個車位！幾多錢一呎？ 究竟香港樓市 有幾誇張？ | 吃喝玩樂 日日有樓睇</v>
      </c>
      <c r="E2826" s="82">
        <v>44422.0</v>
      </c>
      <c r="F2826" s="80">
        <v>771.0</v>
      </c>
      <c r="G2826" s="80" t="s">
        <v>63</v>
      </c>
      <c r="I2826" s="80" t="s">
        <v>63</v>
      </c>
      <c r="J2826" s="80">
        <v>2316.0</v>
      </c>
      <c r="K2826" s="80">
        <v>0.975568660488626</v>
      </c>
      <c r="L2826" s="80" t="s">
        <v>64</v>
      </c>
    </row>
    <row r="2827">
      <c r="A2827" s="80" t="s">
        <v>108</v>
      </c>
      <c r="B2827" s="81" t="str">
        <f>HYPERLINK("https://www.youtube.com/channel/UCZL6QN6Xs-ZrKY3y6Pv6Emg", "廢青 - 日賺3000")</f>
        <v>廢青 - 日賺3000</v>
      </c>
      <c r="C2827" s="80" t="s">
        <v>3192</v>
      </c>
      <c r="D2827" s="81" t="str">
        <f>HYPERLINK("https://youtube.com/watch?v=H9P72xYfyaQ", "美股股災❗一個月玩完 ⁉️ 🇺🇸 🤨 2020下半年如何部署? EP02【廢青 日賺3000】【點CC看中文字幕】")</f>
        <v>美股股災❗一個月玩完 ⁉️ 🇺🇸 🤨 2020下半年如何部署? EP02【廢青 日賺3000】【點CC看中文字幕】</v>
      </c>
      <c r="E2827" s="82">
        <v>43994.0</v>
      </c>
      <c r="F2827" s="80">
        <v>677.0</v>
      </c>
      <c r="G2827" s="80" t="s">
        <v>63</v>
      </c>
      <c r="I2827" s="80" t="s">
        <v>63</v>
      </c>
      <c r="J2827" s="80">
        <v>2523.0</v>
      </c>
      <c r="K2827" s="80">
        <v>0.89626998223801</v>
      </c>
      <c r="L2827" s="80" t="s">
        <v>64</v>
      </c>
    </row>
    <row r="2828">
      <c r="A2828" s="80" t="s">
        <v>98</v>
      </c>
      <c r="B2828" s="81" t="str">
        <f>HYPERLINK("https://www.youtube.com/channel/UCrquuQB6v1Ued2xyRKZreGQ", "Stephen Leung ")</f>
        <v>Stephen Leung </v>
      </c>
      <c r="C2828" s="80" t="s">
        <v>3193</v>
      </c>
      <c r="D2828" s="81" t="str">
        <f>HYPERLINK("https://youtube.com/watch?v=HAeK9GsIVVo", "【香港美食】$94 食米芝蓮一星 中菜廳!!! 明閣下午茶 名菜四小碟 至尊蜜汁叉燒 龍帶玉梨香 芹香馬蹄海蜇頭 松茸金菇蟲草花 康德思酒店 明閣 | 吃喝玩樂")</f>
        <v>【香港美食】$94 食米芝蓮一星 中菜廳!!! 明閣下午茶 名菜四小碟 至尊蜜汁叉燒 龍帶玉梨香 芹香馬蹄海蜇頭 松茸金菇蟲草花 康德思酒店 明閣 | 吃喝玩樂</v>
      </c>
      <c r="E2828" s="82">
        <v>44293.0</v>
      </c>
      <c r="F2828" s="80">
        <v>518.0</v>
      </c>
      <c r="G2828" s="80" t="s">
        <v>63</v>
      </c>
      <c r="I2828" s="80" t="s">
        <v>63</v>
      </c>
      <c r="J2828" s="80">
        <v>1319.0</v>
      </c>
      <c r="K2828" s="80">
        <v>0.986537023186237</v>
      </c>
      <c r="L2828" s="80" t="s">
        <v>64</v>
      </c>
    </row>
    <row r="2829">
      <c r="A2829" s="80" t="s">
        <v>3194</v>
      </c>
      <c r="B2829" s="81" t="str">
        <f>HYPERLINK("https://www.youtube.com/channel/UCdEFfJveKJdmyeIBNg8zTCQ", "卡仙路玩玩下")</f>
        <v>卡仙路玩玩下</v>
      </c>
      <c r="C2829" s="80" t="s">
        <v>3195</v>
      </c>
      <c r="D2829" s="81" t="str">
        <f>HYPERLINK("https://youtube.com/watch?v=56knYim6NeE", "【食好西遊記】#03 深圳 厚切日式炸豬排 人均不需¥100")</f>
        <v>【食好西遊記】#03 深圳 厚切日式炸豬排 人均不需¥100</v>
      </c>
      <c r="E2829" s="82">
        <v>43582.0</v>
      </c>
      <c r="F2829" s="80">
        <v>336.0</v>
      </c>
      <c r="G2829" s="80" t="s">
        <v>63</v>
      </c>
      <c r="I2829" s="80" t="s">
        <v>63</v>
      </c>
      <c r="J2829" s="80">
        <v>900.0</v>
      </c>
      <c r="K2829" s="80">
        <v>0.983606557377049</v>
      </c>
      <c r="L2829" s="80" t="s">
        <v>64</v>
      </c>
    </row>
    <row r="2830">
      <c r="A2830" s="80" t="s">
        <v>2825</v>
      </c>
      <c r="B2830" s="81" t="str">
        <f>HYPERLINK("https://www.youtube.com/channel/UCP7XhYDgUbvjvaHxIhjTd_g", "Maviskuku 雞蛋妹")</f>
        <v>Maviskuku 雞蛋妹</v>
      </c>
      <c r="C2830" s="80" t="s">
        <v>3196</v>
      </c>
      <c r="D2830" s="81" t="str">
        <f>HYPERLINK("https://youtube.com/watch?v=HDIvDq6Y4NY", "【無線耳機王者】Sony WF-1000XM4 半個月用後感！超強降噪、支援 LDAC！女生用美中不足？")</f>
        <v>【無線耳機王者】Sony WF-1000XM4 半個月用後感！超強降噪、支援 LDAC！女生用美中不足？</v>
      </c>
      <c r="E2830" s="82">
        <v>44399.0</v>
      </c>
      <c r="F2830" s="80">
        <v>566.0</v>
      </c>
      <c r="G2830" s="80" t="s">
        <v>63</v>
      </c>
      <c r="H2830" s="80" t="s">
        <v>63</v>
      </c>
      <c r="I2830" s="80" t="s">
        <v>63</v>
      </c>
      <c r="J2830" s="80">
        <v>1812.0</v>
      </c>
      <c r="K2830" s="80">
        <v>0.889818002951303</v>
      </c>
      <c r="L2830" s="80" t="s">
        <v>86</v>
      </c>
    </row>
    <row r="2831">
      <c r="A2831" s="80" t="s">
        <v>3139</v>
      </c>
      <c r="B2831" s="81" t="str">
        <f>HYPERLINK("https://www.youtube.com/channel/UCThO2xnH7XMg6plE8OgJm_w", "choyuen草原")</f>
        <v>choyuen草原</v>
      </c>
      <c r="C2831" s="80" t="s">
        <v>3197</v>
      </c>
      <c r="D2831" s="81" t="str">
        <f>HYPERLINK("https://youtube.com/watch?v=57xZ1DMYwWU", "愛丁堡 – 石匠之城  Edinburgh -- City of Masonry")</f>
        <v>愛丁堡 – 石匠之城  Edinburgh -- City of Masonry</v>
      </c>
      <c r="E2831" s="82">
        <v>44425.0</v>
      </c>
      <c r="F2831" s="80">
        <v>300.0</v>
      </c>
      <c r="G2831" s="80" t="s">
        <v>63</v>
      </c>
      <c r="I2831" s="80" t="s">
        <v>63</v>
      </c>
      <c r="J2831" s="80">
        <v>508.0</v>
      </c>
      <c r="K2831" s="80">
        <v>0.814102564102564</v>
      </c>
      <c r="L2831" s="80" t="s">
        <v>64</v>
      </c>
    </row>
    <row r="2832">
      <c r="A2832" s="80" t="s">
        <v>248</v>
      </c>
      <c r="B2832" s="81" t="str">
        <f>HYPERLINK("https://www.youtube.com/channel/UCUEJok-GiWaGlv5nIPwk-GQ", "Price.com.hk 香港格價網")</f>
        <v>Price.com.hk 香港格價網</v>
      </c>
      <c r="C2832" s="80" t="s">
        <v>3198</v>
      </c>
      <c r="D2832" s="81" t="str">
        <f>HYPERLINK("https://youtube.com/watch?v=HI-Ovg4QD5s", "行山記錄實測 SUUNTO 9 Peak 郊遊應用｜特約專題｜廣東話【Price.com.hk產品介紹】")</f>
        <v>行山記錄實測 SUUNTO 9 Peak 郊遊應用｜特約專題｜廣東話【Price.com.hk產品介紹】</v>
      </c>
      <c r="E2832" s="82">
        <v>44433.0</v>
      </c>
      <c r="F2832" s="80">
        <v>320.0</v>
      </c>
      <c r="G2832" s="80" t="s">
        <v>63</v>
      </c>
      <c r="I2832" s="80" t="s">
        <v>63</v>
      </c>
      <c r="J2832" s="80">
        <v>1130.0</v>
      </c>
      <c r="K2832" s="80">
        <v>0.796897038081805</v>
      </c>
      <c r="L2832" s="80" t="s">
        <v>64</v>
      </c>
    </row>
    <row r="2833">
      <c r="A2833" s="80" t="s">
        <v>1987</v>
      </c>
      <c r="B2833" s="81" t="str">
        <f>HYPERLINK("https://www.youtube.com/channel/UCgGUmm04nVyj-ftaCxVcyBg", "MangoHK大馬獅家")</f>
        <v>MangoHK大馬獅家</v>
      </c>
      <c r="C2833" s="80" t="s">
        <v>3199</v>
      </c>
      <c r="D2833" s="81" t="str">
        <f>HYPERLINK("https://youtube.com/watch?v=HIo4m4Hvmj4", "【61】👚巴剎重開了🩴踢拖去吹水 {中英字幕}  Subtitled | Malaysia Wet Market | Malaysia Vlog | mm2h")</f>
        <v>【61】👚巴剎重開了🩴踢拖去吹水 {中英字幕}  Subtitled | Malaysia Wet Market | Malaysia Vlog | mm2h</v>
      </c>
      <c r="E2833" s="82">
        <v>44488.0</v>
      </c>
      <c r="F2833" s="80">
        <v>966.0</v>
      </c>
      <c r="G2833" s="80" t="s">
        <v>63</v>
      </c>
      <c r="I2833" s="80" t="s">
        <v>63</v>
      </c>
      <c r="J2833" s="80">
        <v>2131.0</v>
      </c>
      <c r="K2833" s="80">
        <v>0.9757326007326</v>
      </c>
      <c r="L2833" s="80" t="s">
        <v>896</v>
      </c>
    </row>
    <row r="2834">
      <c r="A2834" s="80" t="s">
        <v>3162</v>
      </c>
      <c r="B2834" s="81" t="str">
        <f>HYPERLINK("https://www.youtube.com/channel/UCwz2_BsHZOaUO1zvS5zJBTw", "跟Theo一起爬坂道丨Theo Cheong")</f>
        <v>跟Theo一起爬坂道丨Theo Cheong</v>
      </c>
      <c r="C2834" s="80" t="s">
        <v>3200</v>
      </c>
      <c r="D2834" s="81" t="str">
        <f>HYPERLINK("https://youtube.com/watch?v=5I7G2DA4UQU", "金澤一日遊 行茶屋街享受古街風味 睇網紅藝術品 | Working Holiday | Travel | Theo | 窮毒L遊記 Ep.7")</f>
        <v>金澤一日遊 行茶屋街享受古街風味 睇網紅藝術品 | Working Holiday | Travel | Theo | 窮毒L遊記 Ep.7</v>
      </c>
      <c r="E2834" s="82">
        <v>43587.0</v>
      </c>
      <c r="F2834" s="80">
        <v>368.0</v>
      </c>
      <c r="G2834" s="80" t="s">
        <v>63</v>
      </c>
      <c r="I2834" s="80" t="s">
        <v>63</v>
      </c>
      <c r="J2834" s="80">
        <v>1232.0</v>
      </c>
      <c r="K2834" s="80">
        <v>0.947692307692307</v>
      </c>
      <c r="L2834" s="80" t="s">
        <v>64</v>
      </c>
    </row>
    <row r="2835">
      <c r="A2835" s="80" t="s">
        <v>293</v>
      </c>
      <c r="B2835" s="81" t="str">
        <f>HYPERLINK("https://www.youtube.com/channel/UCXRcbXqjORdIvl63I7MtOLQ", "趁熱 Kerry 's kitchen")</f>
        <v>趁熱 Kerry 's kitchen</v>
      </c>
      <c r="C2835" s="80" t="s">
        <v>3201</v>
      </c>
      <c r="D2835" s="81" t="str">
        <f>HYPERLINK("https://youtube.com/watch?v=HLIQ6C_aWTk", "煎椰菜吞拿魚餅/超簡單材料/低碳/補鉀護肝/好送飯/低成本/新手 入門/小孩長者至愛/廣東話/中字")</f>
        <v>煎椰菜吞拿魚餅/超簡單材料/低碳/補鉀護肝/好送飯/低成本/新手 入門/小孩長者至愛/廣東話/中字</v>
      </c>
      <c r="E2835" s="82">
        <v>44454.0</v>
      </c>
      <c r="F2835" s="80">
        <v>608.0</v>
      </c>
      <c r="G2835" s="80" t="s">
        <v>63</v>
      </c>
      <c r="I2835" s="80" t="s">
        <v>63</v>
      </c>
      <c r="J2835" s="80">
        <v>1679.0</v>
      </c>
      <c r="K2835" s="80">
        <v>0.973897911832946</v>
      </c>
      <c r="L2835" s="80" t="s">
        <v>64</v>
      </c>
    </row>
    <row r="2836">
      <c r="A2836" s="80" t="s">
        <v>2898</v>
      </c>
      <c r="B2836" s="81" t="str">
        <f>HYPERLINK("https://www.youtube.com/channel/UCy5bjMXbFPglSBNDXfivtOA", "消費者委員會")</f>
        <v>消費者委員會</v>
      </c>
      <c r="C2836" s="80" t="s">
        <v>3202</v>
      </c>
      <c r="D2836" s="81" t="str">
        <f>HYPERLINK("https://youtube.com/watch?v=HLcEcJ8i9m0", "儲水式電熱水爐 邊隻得？")</f>
        <v>儲水式電熱水爐 邊隻得？</v>
      </c>
      <c r="E2836" s="82">
        <v>43387.0</v>
      </c>
      <c r="F2836" s="80">
        <v>217.0</v>
      </c>
      <c r="G2836" s="80" t="s">
        <v>63</v>
      </c>
      <c r="I2836" s="80" t="s">
        <v>63</v>
      </c>
      <c r="J2836" s="80">
        <v>704.0</v>
      </c>
      <c r="K2836" s="80">
        <v>0.977777777777777</v>
      </c>
      <c r="L2836" s="80" t="s">
        <v>64</v>
      </c>
    </row>
    <row r="2837">
      <c r="A2837" s="80" t="s">
        <v>3139</v>
      </c>
      <c r="B2837" s="81" t="str">
        <f>HYPERLINK("https://www.youtube.com/channel/UCThO2xnH7XMg6plE8OgJm_w", "choyuen草原")</f>
        <v>choyuen草原</v>
      </c>
      <c r="C2837" s="80" t="s">
        <v>3203</v>
      </c>
      <c r="D2837" s="81" t="str">
        <f>HYPERLINK("https://youtube.com/watch?v=6EX20ZAAgB4", "用個兜起金字塔都冇人講 (A. 現代移動巨石事件)  The pyramid was built by bowls (A. Modern Megalith Moving)")</f>
        <v>用個兜起金字塔都冇人講 (A. 現代移動巨石事件)  The pyramid was built by bowls (A. Modern Megalith Moving)</v>
      </c>
      <c r="E2837" s="82">
        <v>44540.0</v>
      </c>
      <c r="F2837" s="80">
        <v>235.0</v>
      </c>
      <c r="G2837" s="80" t="s">
        <v>63</v>
      </c>
      <c r="I2837" s="80" t="s">
        <v>63</v>
      </c>
      <c r="J2837" s="80">
        <v>654.0</v>
      </c>
      <c r="K2837" s="80">
        <v>0.903314917127071</v>
      </c>
      <c r="L2837" s="80" t="s">
        <v>64</v>
      </c>
    </row>
    <row r="2838">
      <c r="A2838" s="80" t="s">
        <v>3158</v>
      </c>
      <c r="B2838" s="81" t="str">
        <f>HYPERLINK("https://www.youtube.com/channel/UCldJqbxFCPolSR6V9lszWDA", "魚波 Yu Ball")</f>
        <v>魚波 Yu Ball</v>
      </c>
      <c r="C2838" s="80" t="s">
        <v>3204</v>
      </c>
      <c r="D2838" s="81" t="str">
        <f>HYPERLINK("https://youtube.com/watch?v=6PhTkkkcWzY", "魚波Motovlog EP.4 | 揸電單車買HIHI蟹蟹唉唉 | 差D比人呃9... (CN SUB)")</f>
        <v>魚波Motovlog EP.4 | 揸電單車買HIHI蟹蟹唉唉 | 差D比人呃9... (CN SUB)</v>
      </c>
      <c r="E2838" s="82">
        <v>43761.0</v>
      </c>
      <c r="F2838" s="80">
        <v>770.0</v>
      </c>
      <c r="G2838" s="80" t="s">
        <v>63</v>
      </c>
      <c r="I2838" s="80" t="s">
        <v>63</v>
      </c>
      <c r="J2838" s="80">
        <v>1867.0</v>
      </c>
      <c r="K2838" s="80">
        <v>0.895014381591562</v>
      </c>
      <c r="L2838" s="80" t="s">
        <v>64</v>
      </c>
    </row>
    <row r="2839">
      <c r="A2839" s="80" t="s">
        <v>3144</v>
      </c>
      <c r="B2839" s="81" t="str">
        <f>HYPERLINK("https://www.youtube.com/channel/UCZVmFDfn5WnixrHNf25MeJQ", "〈職人吹水〉@SingSingKitchen")</f>
        <v>〈職人吹水〉@SingSingKitchen</v>
      </c>
      <c r="C2839" s="80" t="s">
        <v>3205</v>
      </c>
      <c r="D2839" s="81" t="str">
        <f>HYPERLINK("https://youtube.com/watch?v=6VT0kdObJm4", "〈 職人吹水〉 女士們一定要睇 鮮淮山雞腳豬骨煲花膠湯Maw Chinese Man and Chicken leg Soup 中英文字幕")</f>
        <v>〈 職人吹水〉 女士們一定要睇 鮮淮山雞腳豬骨煲花膠湯Maw Chinese Man and Chicken leg Soup 中英文字幕</v>
      </c>
      <c r="E2839" s="82">
        <v>43350.0</v>
      </c>
      <c r="F2839" s="80">
        <v>417.0</v>
      </c>
      <c r="G2839" s="80" t="s">
        <v>63</v>
      </c>
      <c r="I2839" s="80" t="s">
        <v>63</v>
      </c>
      <c r="J2839" s="80">
        <v>925.0</v>
      </c>
      <c r="K2839" s="80">
        <v>0.989304812834224</v>
      </c>
      <c r="L2839" s="80" t="s">
        <v>64</v>
      </c>
    </row>
    <row r="2840">
      <c r="A2840" s="80" t="s">
        <v>3162</v>
      </c>
      <c r="B2840" s="81" t="str">
        <f>HYPERLINK("https://www.youtube.com/channel/UCwz2_BsHZOaUO1zvS5zJBTw", "跟Theo一起爬坂道丨Theo Cheong")</f>
        <v>跟Theo一起爬坂道丨Theo Cheong</v>
      </c>
      <c r="C2840" s="80" t="s">
        <v>3206</v>
      </c>
      <c r="D2840" s="81" t="str">
        <f>HYPERLINK("https://youtube.com/watch?v=6jOp36hnrVA", "新工的休息日 沖繩潛水Working Holiday | N4 Working Holiday | Theo | Vlog")</f>
        <v>新工的休息日 沖繩潛水Working Holiday | N4 Working Holiday | Theo | Vlog</v>
      </c>
      <c r="E2840" s="82">
        <v>43577.0</v>
      </c>
      <c r="F2840" s="80">
        <v>293.0</v>
      </c>
      <c r="G2840" s="80" t="s">
        <v>63</v>
      </c>
      <c r="I2840" s="80" t="s">
        <v>63</v>
      </c>
      <c r="J2840" s="80">
        <v>542.0</v>
      </c>
      <c r="K2840" s="80">
        <v>0.882736156351791</v>
      </c>
      <c r="L2840" s="80" t="s">
        <v>91</v>
      </c>
    </row>
    <row r="2841">
      <c r="A2841" s="80" t="s">
        <v>127</v>
      </c>
      <c r="B2841" s="81" t="str">
        <f>HYPERLINK("https://www.youtube.com/channel/UC97oYK3XMf9RLtkc0lO8C-Q", "健康旦 HiEggo")</f>
        <v>健康旦 HiEggo</v>
      </c>
      <c r="C2841" s="80" t="s">
        <v>3207</v>
      </c>
      <c r="D2841" s="81" t="str">
        <f>HYPERLINK("https://youtube.com/watch?v=HRmYdIRe9V0", "長戴口罩面留罩痕 星級化妝師RickyKAZAF 教墊薄紙巾減輕痕紋 口罩凸顯眼妝、眉妝重要 - 鄭丹瑞《健康旦》@RickyKAZAF Part 2")</f>
        <v>長戴口罩面留罩痕 星級化妝師RickyKAZAF 教墊薄紙巾減輕痕紋 口罩凸顯眼妝、眉妝重要 - 鄭丹瑞《健康旦》@RickyKAZAF Part 2</v>
      </c>
      <c r="E2841" s="82">
        <v>43902.0</v>
      </c>
      <c r="F2841" s="80">
        <v>620.0</v>
      </c>
      <c r="G2841" s="80" t="s">
        <v>63</v>
      </c>
      <c r="I2841" s="80" t="s">
        <v>63</v>
      </c>
      <c r="J2841" s="80">
        <v>2412.0</v>
      </c>
      <c r="K2841" s="80">
        <v>0.989741485432909</v>
      </c>
      <c r="L2841" s="80" t="s">
        <v>102</v>
      </c>
    </row>
    <row r="2842">
      <c r="A2842" s="80" t="s">
        <v>3139</v>
      </c>
      <c r="B2842" s="81" t="str">
        <f t="shared" ref="B2842:B2843" si="153">HYPERLINK("https://www.youtube.com/channel/UCThO2xnH7XMg6plE8OgJm_w", "choyuen草原")</f>
        <v>choyuen草原</v>
      </c>
      <c r="C2842" s="80" t="s">
        <v>3208</v>
      </c>
      <c r="D2842" s="81" t="str">
        <f>HYPERLINK("https://youtube.com/watch?v=6oVDjaqAHjU", "香港大學 - 李嘉誠風水局已破  HKU and Li Ka Shing - Symbolic intrusion")</f>
        <v>香港大學 - 李嘉誠風水局已破  HKU and Li Ka Shing - Symbolic intrusion</v>
      </c>
      <c r="E2842" s="82">
        <v>44314.0</v>
      </c>
      <c r="F2842" s="80">
        <v>274.0</v>
      </c>
      <c r="G2842" s="80" t="s">
        <v>63</v>
      </c>
      <c r="I2842" s="80" t="s">
        <v>63</v>
      </c>
      <c r="J2842" s="80">
        <v>699.0</v>
      </c>
      <c r="K2842" s="80">
        <v>0.978991596638655</v>
      </c>
      <c r="L2842" s="80" t="s">
        <v>64</v>
      </c>
    </row>
    <row r="2843">
      <c r="A2843" s="80" t="s">
        <v>3139</v>
      </c>
      <c r="B2843" s="81" t="str">
        <f t="shared" si="153"/>
        <v>choyuen草原</v>
      </c>
      <c r="C2843" s="80" t="s">
        <v>3209</v>
      </c>
      <c r="D2843" s="81" t="str">
        <f>HYPERLINK("https://youtube.com/watch?v=6qZG2leQgKA", "如果~疫苗能選擇~~  3 stories of Vaccine")</f>
        <v>如果~疫苗能選擇~~  3 stories of Vaccine</v>
      </c>
      <c r="E2843" s="82">
        <v>44178.0</v>
      </c>
      <c r="F2843" s="80">
        <v>253.0</v>
      </c>
      <c r="G2843" s="80" t="s">
        <v>63</v>
      </c>
      <c r="I2843" s="80" t="s">
        <v>63</v>
      </c>
      <c r="J2843" s="80">
        <v>675.0</v>
      </c>
      <c r="K2843" s="80">
        <v>0.787631271878646</v>
      </c>
      <c r="L2843" s="80" t="s">
        <v>64</v>
      </c>
    </row>
    <row r="2844">
      <c r="A2844" s="80" t="s">
        <v>3134</v>
      </c>
      <c r="B2844" s="81" t="str">
        <f>HYPERLINK("https://www.youtube.com/channel/UC_vZsUCJrwYrbIRPHacAS_Q", "Coco哥")</f>
        <v>Coco哥</v>
      </c>
      <c r="C2844" s="80" t="s">
        <v>3210</v>
      </c>
      <c r="D2844" s="81" t="str">
        <f>HYPERLINK("https://youtube.com/watch?v=76Sc0vIAyhM", "金融才俊末日！IT人搞fintech｜4年升11倍！顛覆金融業 Square 第二集")</f>
        <v>金融才俊末日！IT人搞fintech｜4年升11倍！顛覆金融業 Square 第二集</v>
      </c>
      <c r="E2844" s="82">
        <v>44020.0</v>
      </c>
      <c r="F2844" s="80">
        <v>840.0</v>
      </c>
      <c r="G2844" s="80" t="s">
        <v>63</v>
      </c>
      <c r="I2844" s="80" t="s">
        <v>63</v>
      </c>
      <c r="J2844" s="80">
        <v>2831.0</v>
      </c>
      <c r="K2844" s="80">
        <v>0.793219389184645</v>
      </c>
      <c r="L2844" s="80" t="s">
        <v>64</v>
      </c>
    </row>
    <row r="2845">
      <c r="A2845" s="80" t="s">
        <v>127</v>
      </c>
      <c r="B2845" s="81" t="str">
        <f>HYPERLINK("https://www.youtube.com/channel/UC97oYK3XMf9RLtkc0lO8C-Q", "健康旦 HiEggo")</f>
        <v>健康旦 HiEggo</v>
      </c>
      <c r="C2845" s="80" t="s">
        <v>3211</v>
      </c>
      <c r="D2845" s="81" t="str">
        <f>HYPERLINK("https://youtube.com/watch?v=H_2xl-4gQXo", "美國ASTM一級口罩夠日常用途 歐盟標準測量口罩衛生 K Kwong 鄺士山博士：撓度標準最重要 - 鄭丹瑞《健康旦》#鄜士山 博士 Part 2 (CC中文字幕)")</f>
        <v>美國ASTM一級口罩夠日常用途 歐盟標準測量口罩衛生 K Kwong 鄺士山博士：撓度標準最重要 - 鄭丹瑞《健康旦》#鄜士山 博士 Part 2 (CC中文字幕)</v>
      </c>
      <c r="E2845" s="82">
        <v>44063.0</v>
      </c>
      <c r="F2845" s="80">
        <v>793.0</v>
      </c>
      <c r="G2845" s="80" t="s">
        <v>63</v>
      </c>
      <c r="I2845" s="80" t="s">
        <v>63</v>
      </c>
      <c r="J2845" s="80">
        <v>3346.0</v>
      </c>
      <c r="K2845" s="80">
        <v>0.875</v>
      </c>
      <c r="L2845" s="80" t="s">
        <v>2771</v>
      </c>
    </row>
    <row r="2846">
      <c r="A2846" s="80" t="s">
        <v>3158</v>
      </c>
      <c r="B2846" s="81" t="str">
        <f>HYPERLINK("https://www.youtube.com/channel/UCldJqbxFCPolSR6V9lszWDA", "魚波 Yu Ball")</f>
        <v>魚波 Yu Ball</v>
      </c>
      <c r="C2846" s="80" t="s">
        <v>3212</v>
      </c>
      <c r="D2846" s="81" t="str">
        <f>HYPERLINK("https://youtube.com/watch?v=7nEhtYNr76g", "(一人晚餐) 蒜蓉焗蝦 - 其實煮飯唔難[CN Sub].. | 魚波煮")</f>
        <v>(一人晚餐) 蒜蓉焗蝦 - 其實煮飯唔難[CN Sub].. | 魚波煮</v>
      </c>
      <c r="E2846" s="82">
        <v>43564.0</v>
      </c>
      <c r="F2846" s="80">
        <v>601.0</v>
      </c>
      <c r="G2846" s="80" t="s">
        <v>63</v>
      </c>
      <c r="H2846" s="80" t="s">
        <v>63</v>
      </c>
      <c r="I2846" s="80" t="s">
        <v>63</v>
      </c>
      <c r="J2846" s="80">
        <v>1810.0</v>
      </c>
      <c r="K2846" s="80">
        <v>0.986025712688652</v>
      </c>
      <c r="L2846" s="80" t="s">
        <v>3160</v>
      </c>
    </row>
    <row r="2847">
      <c r="A2847" s="80" t="s">
        <v>2942</v>
      </c>
      <c r="B2847" s="81" t="str">
        <f>HYPERLINK("https://www.youtube.com/channel/UCFOFvhsNWMPHwvbfHl7K6qw", "司徒文進 CROSSBONE")</f>
        <v>司徒文進 CROSSBONE</v>
      </c>
      <c r="C2847" s="80" t="s">
        <v>3213</v>
      </c>
      <c r="D2847" s="81" t="str">
        <f>HYPERLINK("https://youtube.com/watch?v=HbE5POjLz4g", "(中文字幕)《醉新燒析》點解要抵制聖誕節？")</f>
        <v>(中文字幕)《醉新燒析》點解要抵制聖誕節？</v>
      </c>
      <c r="E2847" s="82">
        <v>44557.0</v>
      </c>
      <c r="F2847" s="80">
        <v>347.0</v>
      </c>
      <c r="G2847" s="80" t="s">
        <v>63</v>
      </c>
      <c r="I2847" s="80" t="s">
        <v>63</v>
      </c>
      <c r="J2847" s="80">
        <v>1492.0</v>
      </c>
      <c r="K2847" s="80">
        <v>0.96757457846952</v>
      </c>
      <c r="L2847" s="80" t="s">
        <v>820</v>
      </c>
    </row>
    <row r="2848">
      <c r="A2848" s="80" t="s">
        <v>3151</v>
      </c>
      <c r="B2848" s="81" t="str">
        <f>HYPERLINK("https://www.youtube.com/channel/UCARY68c_VZHHXPsEDg9Bptw", "耀佳金融集團Yaw Kai Financial Group")</f>
        <v>耀佳金融集團Yaw Kai Financial Group</v>
      </c>
      <c r="C2848" s="80" t="s">
        <v>3214</v>
      </c>
      <c r="D2848" s="81" t="str">
        <f>HYPERLINK("https://youtube.com/watch?v=8Djbelr9JrY", "【市場點評】中美貿易戰煙火再起? 未來10年最值得投資板塊?")</f>
        <v>【市場點評】中美貿易戰煙火再起? 未來10年最值得投資板塊?</v>
      </c>
      <c r="E2848" s="82">
        <v>44034.0</v>
      </c>
      <c r="F2848" s="80">
        <v>1522.0</v>
      </c>
      <c r="G2848" s="80" t="s">
        <v>63</v>
      </c>
      <c r="I2848" s="80" t="s">
        <v>63</v>
      </c>
      <c r="J2848" s="80">
        <v>4957.0</v>
      </c>
      <c r="K2848" s="80">
        <v>0.901764598872112</v>
      </c>
      <c r="L2848" s="80" t="s">
        <v>64</v>
      </c>
    </row>
    <row r="2849">
      <c r="A2849" s="80" t="s">
        <v>3134</v>
      </c>
      <c r="B2849" s="81" t="str">
        <f>HYPERLINK("https://www.youtube.com/channel/UC_vZsUCJrwYrbIRPHacAS_Q", "Coco哥")</f>
        <v>Coco哥</v>
      </c>
      <c r="C2849" s="80" t="s">
        <v>3215</v>
      </c>
      <c r="D2849" s="81" t="str">
        <f>HYPERLINK("https://youtube.com/watch?v=8JbJycSGBu0", "我們的香港｜同Margaret去長洲🏖沙灘游水")</f>
        <v>我們的香港｜同Margaret去長洲🏖沙灘游水</v>
      </c>
      <c r="E2849" s="82">
        <v>44017.0</v>
      </c>
      <c r="F2849" s="80">
        <v>837.0</v>
      </c>
      <c r="G2849" s="80" t="s">
        <v>63</v>
      </c>
      <c r="I2849" s="80" t="s">
        <v>63</v>
      </c>
      <c r="J2849" s="80">
        <v>1310.0</v>
      </c>
      <c r="K2849" s="80">
        <v>0.766530134581626</v>
      </c>
      <c r="L2849" s="80" t="s">
        <v>64</v>
      </c>
    </row>
    <row r="2850">
      <c r="A2850" s="80" t="s">
        <v>3162</v>
      </c>
      <c r="B2850" s="81" t="str">
        <f>HYPERLINK("https://www.youtube.com/channel/UCwz2_BsHZOaUO1zvS5zJBTw", "跟Theo一起爬坂道丨Theo Cheong")</f>
        <v>跟Theo一起爬坂道丨Theo Cheong</v>
      </c>
      <c r="C2850" s="80" t="s">
        <v>3216</v>
      </c>
      <c r="D2850" s="81" t="str">
        <f>HYPERLINK("https://youtube.com/watch?v=8arSA3GDp_g", "搬離大阪 行李超重要點寄番香港? 在留卡轉出點搞? | N4 Working Holiday | Vlog")</f>
        <v>搬離大阪 行李超重要點寄番香港? 在留卡轉出點搞? | N4 Working Holiday | Vlog</v>
      </c>
      <c r="E2850" s="82">
        <v>43535.0</v>
      </c>
      <c r="F2850" s="80">
        <v>288.0</v>
      </c>
      <c r="G2850" s="80" t="s">
        <v>63</v>
      </c>
      <c r="I2850" s="80" t="s">
        <v>63</v>
      </c>
      <c r="J2850" s="80">
        <v>996.0</v>
      </c>
      <c r="K2850" s="80">
        <v>0.950381679389313</v>
      </c>
      <c r="L2850" s="80" t="s">
        <v>64</v>
      </c>
    </row>
    <row r="2851">
      <c r="A2851" s="80" t="s">
        <v>3142</v>
      </c>
      <c r="B2851" s="81" t="str">
        <f>HYPERLINK("https://www.youtube.com/channel/UCO4mttl54gQ0UW-DqyVrvLQ", "陳怡ChanYee")</f>
        <v>陳怡ChanYee</v>
      </c>
      <c r="C2851" s="80" t="s">
        <v>3217</v>
      </c>
      <c r="D2851" s="81" t="str">
        <f>HYPERLINK("https://youtube.com/watch?v=8duRRzChXbo", "基督徒語錄《真實對白》｜陳怡 ChanYee")</f>
        <v>基督徒語錄《真實對白》｜陳怡 ChanYee</v>
      </c>
      <c r="E2851" s="82">
        <v>43270.0</v>
      </c>
      <c r="F2851" s="80">
        <v>110.0</v>
      </c>
      <c r="G2851" s="80" t="s">
        <v>63</v>
      </c>
      <c r="I2851" s="80" t="s">
        <v>63</v>
      </c>
      <c r="J2851" s="80">
        <v>472.0</v>
      </c>
      <c r="K2851" s="80">
        <v>1.0</v>
      </c>
      <c r="L2851" s="80" t="s">
        <v>64</v>
      </c>
    </row>
    <row r="2852">
      <c r="A2852" s="80" t="s">
        <v>1260</v>
      </c>
      <c r="B2852" s="81" t="str">
        <f>HYPERLINK("https://www.youtube.com/channel/UCh1k4i86BpiXEO3nzJIYynw", "The Wave")</f>
        <v>The Wave</v>
      </c>
      <c r="C2852" s="80" t="s">
        <v>3218</v>
      </c>
      <c r="D2852" s="81" t="str">
        <f>HYPERLINK("https://youtube.com/watch?v=Hm0E_UDc6bE", "TheWave | Xperia 10 Plus 4K HDR藍光電影 電力測試")</f>
        <v>TheWave | Xperia 10 Plus 4K HDR藍光電影 電力測試</v>
      </c>
      <c r="E2852" s="82">
        <v>43543.0</v>
      </c>
      <c r="F2852" s="80">
        <v>94.0</v>
      </c>
      <c r="G2852" s="80" t="s">
        <v>63</v>
      </c>
      <c r="H2852" s="80" t="s">
        <v>63</v>
      </c>
      <c r="I2852" s="80" t="s">
        <v>63</v>
      </c>
      <c r="J2852" s="80">
        <v>161.0</v>
      </c>
      <c r="K2852" s="80">
        <v>0.741935483870967</v>
      </c>
      <c r="L2852" s="80" t="s">
        <v>120</v>
      </c>
    </row>
    <row r="2853">
      <c r="A2853" s="80" t="s">
        <v>2942</v>
      </c>
      <c r="B2853" s="81" t="str">
        <f>HYPERLINK("https://www.youtube.com/channel/UCFOFvhsNWMPHwvbfHl7K6qw", "司徒文進 CROSSBONE")</f>
        <v>司徒文進 CROSSBONE</v>
      </c>
      <c r="C2853" s="80" t="s">
        <v>3219</v>
      </c>
      <c r="D2853" s="81" t="str">
        <f>HYPERLINK("https://youtube.com/watch?v=HmDdXwDpjIk", "(中字)《賭場科普》什麼是廳主？（開賭廳系列vol.3）")</f>
        <v>(中字)《賭場科普》什麼是廳主？（開賭廳系列vol.3）</v>
      </c>
      <c r="E2853" s="82">
        <v>44555.0</v>
      </c>
      <c r="F2853" s="80">
        <v>1074.0</v>
      </c>
      <c r="G2853" s="80" t="s">
        <v>63</v>
      </c>
      <c r="I2853" s="80" t="s">
        <v>63</v>
      </c>
      <c r="J2853" s="80">
        <v>4282.0</v>
      </c>
      <c r="K2853" s="80">
        <v>0.976065648506952</v>
      </c>
      <c r="L2853" s="80" t="s">
        <v>820</v>
      </c>
    </row>
    <row r="2854">
      <c r="A2854" s="80" t="s">
        <v>3139</v>
      </c>
      <c r="B2854" s="81" t="str">
        <f>HYPERLINK("https://www.youtube.com/channel/UCThO2xnH7XMg6plE8OgJm_w", "choyuen草原")</f>
        <v>choyuen草原</v>
      </c>
      <c r="C2854" s="80" t="s">
        <v>3220</v>
      </c>
      <c r="D2854" s="81" t="str">
        <f>HYPERLINK("https://youtube.com/watch?v=8m0R3UWhOSs", "顛覆 3 個觀念先進入佛學大門     3 Concept-checks on Buddhism")</f>
        <v>顛覆 3 個觀念先進入佛學大門     3 Concept-checks on Buddhism</v>
      </c>
      <c r="E2854" s="82">
        <v>44213.0</v>
      </c>
      <c r="F2854" s="80">
        <v>311.0</v>
      </c>
      <c r="G2854" s="80" t="s">
        <v>63</v>
      </c>
      <c r="I2854" s="80" t="s">
        <v>63</v>
      </c>
      <c r="J2854" s="80">
        <v>831.0</v>
      </c>
      <c r="K2854" s="80">
        <v>0.981109799291617</v>
      </c>
      <c r="L2854" s="80" t="s">
        <v>64</v>
      </c>
    </row>
    <row r="2855">
      <c r="A2855" s="80" t="s">
        <v>84</v>
      </c>
      <c r="B2855" s="81" t="str">
        <f>HYPERLINK("https://www.youtube.com/channel/UCs6fW24aVjefTsognevmDnA", "PakTil 拍跳")</f>
        <v>PakTil 拍跳</v>
      </c>
      <c r="C2855" s="80" t="s">
        <v>3221</v>
      </c>
      <c r="D2855" s="81" t="str">
        <f>HYPERLINK("https://youtube.com/watch?v=HpS9ZdaYboI", "【拍跳短跑】帶女友回家 同居朋友竟然唔爭氣！")</f>
        <v>【拍跳短跑】帶女友回家 同居朋友竟然唔爭氣！</v>
      </c>
      <c r="E2855" s="82">
        <v>44053.0</v>
      </c>
      <c r="F2855" s="80">
        <v>112.0</v>
      </c>
      <c r="G2855" s="80" t="s">
        <v>63</v>
      </c>
      <c r="I2855" s="80" t="s">
        <v>63</v>
      </c>
      <c r="J2855" s="80">
        <v>74.0</v>
      </c>
      <c r="K2855" s="80">
        <v>1.0</v>
      </c>
      <c r="L2855" s="80" t="s">
        <v>86</v>
      </c>
    </row>
    <row r="2856">
      <c r="A2856" s="80" t="s">
        <v>2825</v>
      </c>
      <c r="B2856" s="81" t="str">
        <f>HYPERLINK("https://www.youtube.com/channel/UCP7XhYDgUbvjvaHxIhjTd_g", "Maviskuku 雞蛋妹")</f>
        <v>Maviskuku 雞蛋妹</v>
      </c>
      <c r="C2856" s="80" t="s">
        <v>3222</v>
      </c>
      <c r="D2856" s="81" t="str">
        <f>HYPERLINK("https://youtube.com/watch?v=Hq0hnLgl77w", "【尋人啟事】新系列來了！達人屋企有 30 隻 keyboard？！絕美鍵盤收藏 | 自組鍵盤攻略 | 鍵盤 Typing test 比較")</f>
        <v>【尋人啟事】新系列來了！達人屋企有 30 隻 keyboard？！絕美鍵盤收藏 | 自組鍵盤攻略 | 鍵盤 Typing test 比較</v>
      </c>
      <c r="E2856" s="82">
        <v>44363.0</v>
      </c>
      <c r="F2856" s="80">
        <v>1154.0</v>
      </c>
      <c r="G2856" s="80" t="s">
        <v>63</v>
      </c>
      <c r="H2856" s="80" t="s">
        <v>63</v>
      </c>
      <c r="I2856" s="80" t="s">
        <v>63</v>
      </c>
      <c r="J2856" s="80">
        <v>4078.0</v>
      </c>
      <c r="K2856" s="80">
        <v>0.816253002401921</v>
      </c>
      <c r="L2856" s="80" t="s">
        <v>66</v>
      </c>
    </row>
    <row r="2857">
      <c r="A2857" s="80" t="s">
        <v>3139</v>
      </c>
      <c r="B2857" s="81" t="str">
        <f>HYPERLINK("https://www.youtube.com/channel/UCThO2xnH7XMg6plE8OgJm_w", "choyuen草原")</f>
        <v>choyuen草原</v>
      </c>
      <c r="C2857" s="80" t="s">
        <v>3223</v>
      </c>
      <c r="D2857" s="81" t="str">
        <f>HYPERLINK("https://youtube.com/watch?v=8ryiG-C_Lfk", "榮格話發夢其實係…      Carl G. Jung on Dreams")</f>
        <v>榮格話發夢其實係…      Carl G. Jung on Dreams</v>
      </c>
      <c r="E2857" s="82">
        <v>44469.0</v>
      </c>
      <c r="F2857" s="80">
        <v>430.0</v>
      </c>
      <c r="G2857" s="80" t="s">
        <v>63</v>
      </c>
      <c r="I2857" s="80" t="s">
        <v>63</v>
      </c>
      <c r="J2857" s="80">
        <v>1069.0</v>
      </c>
      <c r="K2857" s="80">
        <v>0.867694805194805</v>
      </c>
      <c r="L2857" s="80" t="s">
        <v>64</v>
      </c>
    </row>
    <row r="2858">
      <c r="A2858" s="80" t="s">
        <v>3172</v>
      </c>
      <c r="B2858" s="81" t="str">
        <f>HYPERLINK("https://www.youtube.com/channel/UCahNh5t4wkQhSjS2-u0vSlA", "Henry Ng")</f>
        <v>Henry Ng</v>
      </c>
      <c r="C2858" s="80" t="s">
        <v>3224</v>
      </c>
      <c r="D2858" s="81" t="str">
        <f>HYPERLINK("https://youtube.com/watch?v=8u-DWxOvhr4", "歐洲人的度假勝地 突尼西亞 蘇塞 - 2018年5月《亨利自由行》")</f>
        <v>歐洲人的度假勝地 突尼西亞 蘇塞 - 2018年5月《亨利自由行》</v>
      </c>
      <c r="E2858" s="82">
        <v>43945.0</v>
      </c>
      <c r="F2858" s="80">
        <v>355.0</v>
      </c>
      <c r="G2858" s="80" t="s">
        <v>63</v>
      </c>
      <c r="I2858" s="80" t="s">
        <v>63</v>
      </c>
      <c r="J2858" s="80">
        <v>440.0</v>
      </c>
      <c r="K2858" s="80">
        <v>0.819366852886406</v>
      </c>
      <c r="L2858" s="80" t="s">
        <v>64</v>
      </c>
    </row>
    <row r="2859">
      <c r="A2859" s="80" t="s">
        <v>293</v>
      </c>
      <c r="B2859" s="81" t="str">
        <f>HYPERLINK("https://www.youtube.com/channel/UCXRcbXqjORdIvl63I7MtOLQ", "趁熱 Kerry 's kitchen")</f>
        <v>趁熱 Kerry 's kitchen</v>
      </c>
      <c r="C2859" s="80" t="s">
        <v>3225</v>
      </c>
      <c r="D2859" s="81" t="str">
        <f>HYPERLINK("https://youtube.com/watch?v=Hrt0rptKu8I", "排骨 燒味排骨 /免焗免燒平底鑊燒味店燒排骨/超軟老人家都能食/急凍肉/中字幕/粵語/pan-fried spare rib/cc字幕")</f>
        <v>排骨 燒味排骨 /免焗免燒平底鑊燒味店燒排骨/超軟老人家都能食/急凍肉/中字幕/粵語/pan-fried spare rib/cc字幕</v>
      </c>
      <c r="E2859" s="82">
        <v>44232.0</v>
      </c>
      <c r="F2859" s="80">
        <v>550.0</v>
      </c>
      <c r="G2859" s="80" t="s">
        <v>63</v>
      </c>
      <c r="I2859" s="80" t="s">
        <v>63</v>
      </c>
      <c r="J2859" s="80">
        <v>1405.0</v>
      </c>
      <c r="K2859" s="80">
        <v>0.981145251396648</v>
      </c>
      <c r="L2859" s="80" t="s">
        <v>64</v>
      </c>
    </row>
    <row r="2860">
      <c r="A2860" s="80" t="s">
        <v>288</v>
      </c>
      <c r="B2860" s="81" t="str">
        <f>HYPERLINK("https://www.youtube.com/channel/UCDWOYEhVnyD4IHZGVAMLc0g", "Brendan 毛爸")</f>
        <v>Brendan 毛爸</v>
      </c>
      <c r="C2860" s="80" t="s">
        <v>3226</v>
      </c>
      <c r="D2860" s="81" t="str">
        <f>HYPERLINK("https://youtube.com/watch?v=HvdMIuqWwho", "『今日突發』毛家竟然爆炸！慘不忍睹！希望大家喺屋企可以避免呢件慘劇發生！好彩人狗都冇事！(CC 中文字幕）")</f>
        <v>『今日突發』毛家竟然爆炸！慘不忍睹！希望大家喺屋企可以避免呢件慘劇發生！好彩人狗都冇事！(CC 中文字幕）</v>
      </c>
      <c r="E2860" s="82">
        <v>44056.0</v>
      </c>
      <c r="F2860" s="80">
        <v>195.0</v>
      </c>
      <c r="G2860" s="80" t="s">
        <v>63</v>
      </c>
      <c r="I2860" s="80" t="s">
        <v>63</v>
      </c>
      <c r="J2860" s="80">
        <v>628.0</v>
      </c>
      <c r="K2860" s="80">
        <v>0.973643410852713</v>
      </c>
      <c r="L2860" s="80" t="s">
        <v>64</v>
      </c>
    </row>
    <row r="2861">
      <c r="A2861" s="80" t="s">
        <v>2479</v>
      </c>
      <c r="B2861" s="81" t="str">
        <f>HYPERLINK("https://www.youtube.com/channel/UC0Da4Jp5vYSPa6hCI6MOrCQ", "Cussion Reve")</f>
        <v>Cussion Reve</v>
      </c>
      <c r="C2861" s="80" t="s">
        <v>3227</v>
      </c>
      <c r="D2861" s="81" t="str">
        <f>HYPERLINK("https://youtube.com/watch?v=HzLApgPnB3w", "Make hash in a different way! [hash cake &amp; diced hash]")</f>
        <v>Make hash in a different way! [hash cake &amp; diced hash]</v>
      </c>
      <c r="E2861" s="82">
        <v>44061.0</v>
      </c>
      <c r="F2861" s="80">
        <v>1148.0</v>
      </c>
      <c r="G2861" s="80" t="s">
        <v>63</v>
      </c>
      <c r="I2861" s="80" t="s">
        <v>63</v>
      </c>
      <c r="J2861" s="80">
        <v>1325.0</v>
      </c>
      <c r="K2861" s="80">
        <v>0.935734463276836</v>
      </c>
      <c r="L2861" s="80" t="s">
        <v>3228</v>
      </c>
    </row>
    <row r="2862">
      <c r="A2862" s="80" t="s">
        <v>291</v>
      </c>
      <c r="B2862" s="81" t="str">
        <f>HYPERLINK("https://www.youtube.com/channel/UClSNJbCUCp_W4yrS3DlCmjw", "飛馬 PEGASUS")</f>
        <v>飛馬 PEGASUS</v>
      </c>
      <c r="C2862" s="80" t="s">
        <v>3229</v>
      </c>
      <c r="D2862" s="81" t="str">
        <f>HYPERLINK("https://youtube.com/watch?v=I33DEjQ3JnA", "勝利宣言? 一時間諗唔到喎,因為無諗過咁快贏 (CC中文字幕)")</f>
        <v>勝利宣言? 一時間諗唔到喎,因為無諗過咁快贏 (CC中文字幕)</v>
      </c>
      <c r="E2862" s="82">
        <v>44208.0</v>
      </c>
      <c r="F2862" s="80">
        <v>110.0</v>
      </c>
      <c r="G2862" s="80" t="s">
        <v>63</v>
      </c>
      <c r="H2862" s="80" t="s">
        <v>63</v>
      </c>
      <c r="I2862" s="80" t="s">
        <v>63</v>
      </c>
      <c r="J2862" s="80">
        <v>291.0</v>
      </c>
      <c r="K2862" s="80">
        <v>0.902208201892744</v>
      </c>
      <c r="L2862" s="80" t="s">
        <v>66</v>
      </c>
    </row>
    <row r="2863">
      <c r="A2863" s="80" t="s">
        <v>2829</v>
      </c>
      <c r="B2863" s="81" t="str">
        <f>HYPERLINK("https://www.youtube.com/channel/UC7GnES6AEQlDzaP04UqtyjA", "SOLID IDEA")</f>
        <v>SOLID IDEA</v>
      </c>
      <c r="C2863" s="80" t="s">
        <v>3230</v>
      </c>
      <c r="D2863" s="81" t="str">
        <f>HYPERLINK("https://youtube.com/watch?v=I7KMGhHi8GY", "[#設計概念] #凱滙 單房 #輕奢風 #偷位放大衣櫃   | 室內設計 | 空間擺位 | SOLID IDEA |  (CC中文字幕)")</f>
        <v>[#設計概念] #凱滙 單房 #輕奢風 #偷位放大衣櫃   | 室內設計 | 空間擺位 | SOLID IDEA |  (CC中文字幕)</v>
      </c>
      <c r="E2863" s="82">
        <v>44257.0</v>
      </c>
      <c r="F2863" s="80">
        <v>231.0</v>
      </c>
      <c r="G2863" s="80" t="s">
        <v>63</v>
      </c>
      <c r="I2863" s="80" t="s">
        <v>63</v>
      </c>
      <c r="J2863" s="80">
        <v>674.0</v>
      </c>
      <c r="K2863" s="80">
        <v>0.938718662952646</v>
      </c>
      <c r="L2863" s="80" t="s">
        <v>64</v>
      </c>
    </row>
    <row r="2864">
      <c r="A2864" s="80" t="s">
        <v>3165</v>
      </c>
      <c r="B2864" s="81" t="str">
        <f>HYPERLINK("https://www.youtube.com/channel/UCKmwhu-hyadoBCzzM0TBDHQ", "好易煮 oe cook")</f>
        <v>好易煮 oe cook</v>
      </c>
      <c r="C2864" s="80" t="s">
        <v>3231</v>
      </c>
      <c r="D2864" s="81" t="str">
        <f>HYPERLINK("https://youtube.com/watch?v=A2s0ezY_Cqc", "簡易斬雞方法 How To Cut Cooked Chicken In Chinese Style  **有字幕 With Subtitles**")</f>
        <v>簡易斬雞方法 How To Cut Cooked Chicken In Chinese Style  **有字幕 With Subtitles**</v>
      </c>
      <c r="E2864" s="82">
        <v>43825.0</v>
      </c>
      <c r="F2864" s="80">
        <v>493.0</v>
      </c>
      <c r="G2864" s="80" t="s">
        <v>63</v>
      </c>
      <c r="H2864" s="80" t="s">
        <v>63</v>
      </c>
      <c r="I2864" s="80" t="s">
        <v>63</v>
      </c>
      <c r="J2864" s="80">
        <v>596.0</v>
      </c>
      <c r="K2864" s="80">
        <v>1.0</v>
      </c>
      <c r="L2864" s="80" t="s">
        <v>3232</v>
      </c>
    </row>
    <row r="2865">
      <c r="A2865" s="80" t="s">
        <v>2764</v>
      </c>
      <c r="B2865" s="81" t="str">
        <f>HYPERLINK("https://www.youtube.com/channel/UCejZUW4khvxoA4uL2Afz20g", "Housik Laanfei 好食懶飛")</f>
        <v>Housik Laanfei 好食懶飛</v>
      </c>
      <c r="C2865" s="80" t="s">
        <v>3233</v>
      </c>
      <c r="D2865" s="81" t="str">
        <f>HYPERLINK("https://youtube.com/watch?v=I9aK84bX3dQ", "[從前有三隻蝦] 黃金蝦 | CC: 廣東話/繁中/ENG SUB | COOKING VLOG")</f>
        <v>[從前有三隻蝦] 黃金蝦 | CC: 廣東話/繁中/ENG SUB | COOKING VLOG</v>
      </c>
      <c r="E2865" s="82">
        <v>44245.0</v>
      </c>
      <c r="F2865" s="80">
        <v>404.0</v>
      </c>
      <c r="G2865" s="80" t="s">
        <v>63</v>
      </c>
      <c r="H2865" s="80" t="s">
        <v>63</v>
      </c>
      <c r="I2865" s="80" t="s">
        <v>63</v>
      </c>
      <c r="J2865" s="80">
        <v>226.0</v>
      </c>
      <c r="K2865" s="80">
        <v>0.986111111111111</v>
      </c>
      <c r="L2865" s="80" t="s">
        <v>80</v>
      </c>
    </row>
    <row r="2866">
      <c r="A2866" s="80" t="s">
        <v>127</v>
      </c>
      <c r="B2866" s="81" t="str">
        <f>HYPERLINK("https://www.youtube.com/channel/UC97oYK3XMf9RLtkc0lO8C-Q", "健康旦 HiEggo")</f>
        <v>健康旦 HiEggo</v>
      </c>
      <c r="C2866" s="80" t="s">
        <v>3234</v>
      </c>
      <c r="D2866" s="81" t="str">
        <f>HYPERLINK("https://youtube.com/watch?v=IBGvzoSdce4", "中醫按摩穴道徒手刮沙減低感冒機會 分析冷氣削弱肺氣同皮膚免疫力 驅風消暑焗茶對付冷氣病 - 鄭丹瑞《健康旦》#楊明霞 中醫師 Part 9 (CC中文字幕)")</f>
        <v>中醫按摩穴道徒手刮沙減低感冒機會 分析冷氣削弱肺氣同皮膚免疫力 驅風消暑焗茶對付冷氣病 - 鄭丹瑞《健康旦》#楊明霞 中醫師 Part 9 (CC中文字幕)</v>
      </c>
      <c r="E2866" s="82">
        <v>44013.0</v>
      </c>
      <c r="F2866" s="80">
        <v>714.0</v>
      </c>
      <c r="G2866" s="80" t="s">
        <v>63</v>
      </c>
      <c r="I2866" s="80" t="s">
        <v>63</v>
      </c>
      <c r="J2866" s="80">
        <v>2884.0</v>
      </c>
      <c r="K2866" s="80">
        <v>0.986995208761122</v>
      </c>
      <c r="L2866" s="80" t="s">
        <v>2771</v>
      </c>
    </row>
    <row r="2867">
      <c r="A2867" s="80" t="s">
        <v>257</v>
      </c>
      <c r="B2867" s="81" t="str">
        <f>HYPERLINK("https://www.youtube.com/channel/UC1u7XM2b3QCHcGOhD6nDypg", "Poopstirrer")</f>
        <v>Poopstirrer</v>
      </c>
      <c r="C2867" s="80" t="s">
        <v>3235</v>
      </c>
      <c r="D2867" s="81" t="str">
        <f>HYPERLINK("https://youtube.com/watch?v=ICpiORVHqtw", "只言片語! 奇異的聯想力! #玩物壯志2 #CC中文字幕【攪屎棍 Poop Stirrer】")</f>
        <v>只言片語! 奇異的聯想力! #玩物壯志2 #CC中文字幕【攪屎棍 Poop Stirrer】</v>
      </c>
      <c r="E2867" s="82">
        <v>42652.0</v>
      </c>
      <c r="F2867" s="80">
        <v>543.0</v>
      </c>
      <c r="G2867" s="80" t="s">
        <v>63</v>
      </c>
      <c r="I2867" s="80" t="s">
        <v>63</v>
      </c>
      <c r="J2867" s="80">
        <v>1098.0</v>
      </c>
      <c r="K2867" s="80">
        <v>0.908940397350993</v>
      </c>
      <c r="L2867" s="80" t="s">
        <v>64</v>
      </c>
    </row>
    <row r="2868">
      <c r="A2868" s="80" t="s">
        <v>1670</v>
      </c>
      <c r="B2868" s="81" t="str">
        <f>HYPERLINK("https://www.youtube.com/channel/UC-PIt5m-WOg8UVBkt2RnN0g", "阿JACK睇樓團")</f>
        <v>阿JACK睇樓團</v>
      </c>
      <c r="C2868" s="80" t="s">
        <v>3236</v>
      </c>
      <c r="D2868" s="81" t="str">
        <f>HYPERLINK("https://youtube.com/watch?v=IDXQu7kXaM0", "觀眾邀請 罕有豐連大兩房 市場唯一一間可睇樓九成按揭冇問題 #記得開字幕 阿JACK睇樓團 l#睇樓 #買樓 #屯門 #新樓 #按揭 #首次置業")</f>
        <v>觀眾邀請 罕有豐連大兩房 市場唯一一間可睇樓九成按揭冇問題 #記得開字幕 阿JACK睇樓團 l#睇樓 #買樓 #屯門 #新樓 #按揭 #首次置業</v>
      </c>
      <c r="E2868" s="82">
        <v>44564.0</v>
      </c>
      <c r="F2868" s="80">
        <v>386.0</v>
      </c>
      <c r="G2868" s="80" t="s">
        <v>63</v>
      </c>
      <c r="I2868" s="80" t="s">
        <v>63</v>
      </c>
      <c r="J2868" s="80">
        <v>1593.0</v>
      </c>
      <c r="K2868" s="80">
        <v>0.977900552486187</v>
      </c>
      <c r="L2868" s="80" t="s">
        <v>64</v>
      </c>
    </row>
    <row r="2869">
      <c r="A2869" s="80" t="s">
        <v>2898</v>
      </c>
      <c r="B2869" s="81" t="str">
        <f>HYPERLINK("https://www.youtube.com/channel/UCy5bjMXbFPglSBNDXfivtOA", "消費者委員會")</f>
        <v>消費者委員會</v>
      </c>
      <c r="C2869" s="80" t="s">
        <v>3237</v>
      </c>
      <c r="D2869" s="81" t="str">
        <f>HYPERLINK("https://youtube.com/watch?v=IDw6exwHecA", "【食鹽安全品質大檢閱 】 周家怡")</f>
        <v>【食鹽安全品質大檢閱 】 周家怡</v>
      </c>
      <c r="E2869" s="82">
        <v>43935.0</v>
      </c>
      <c r="F2869" s="80">
        <v>180.0</v>
      </c>
      <c r="G2869" s="80" t="s">
        <v>63</v>
      </c>
      <c r="I2869" s="80" t="s">
        <v>63</v>
      </c>
      <c r="J2869" s="80">
        <v>641.0</v>
      </c>
      <c r="K2869" s="80">
        <v>1.0</v>
      </c>
      <c r="L2869" s="80" t="s">
        <v>64</v>
      </c>
    </row>
    <row r="2870">
      <c r="A2870" s="80" t="s">
        <v>3238</v>
      </c>
      <c r="B2870" s="81" t="str">
        <f>HYPERLINK("https://www.youtube.com/channel/UCZ_hzCBwc6ATeXfyQYUk5WQ", "CHINCHIN C")</f>
        <v>CHINCHIN C</v>
      </c>
      <c r="C2870" s="80" t="s">
        <v>3239</v>
      </c>
      <c r="D2870" s="81" t="str">
        <f>HYPERLINK("https://youtube.com/watch?v=IDyhPrEev7c", "3ce 新的霧感帶紫調玫瑰色唇釉試色！新品用後感|Chinchinc")</f>
        <v>3ce 新的霧感帶紫調玫瑰色唇釉試色！新品用後感|Chinchinc</v>
      </c>
      <c r="E2870" s="82">
        <v>43205.0</v>
      </c>
      <c r="F2870" s="80">
        <v>317.0</v>
      </c>
      <c r="G2870" s="80" t="s">
        <v>63</v>
      </c>
      <c r="I2870" s="80" t="s">
        <v>63</v>
      </c>
      <c r="J2870" s="80">
        <v>958.0</v>
      </c>
      <c r="K2870" s="80">
        <v>0.900375939849624</v>
      </c>
      <c r="L2870" s="80" t="s">
        <v>64</v>
      </c>
    </row>
    <row r="2871">
      <c r="A2871" s="80" t="s">
        <v>3139</v>
      </c>
      <c r="B2871" s="81" t="str">
        <f>HYPERLINK("https://www.youtube.com/channel/UCThO2xnH7XMg6plE8OgJm_w", "choyuen草原")</f>
        <v>choyuen草原</v>
      </c>
      <c r="C2871" s="80" t="s">
        <v>3240</v>
      </c>
      <c r="D2871" s="81" t="str">
        <f>HYPERLINK("https://youtube.com/watch?v=AIbVbdB73o4", "『廣東話』無間道假戲真做 = 娛樂圈舊聞報道 The Showbiz inferno in Hong Kong 【禁忌的傳說】")</f>
        <v>『廣東話』無間道假戲真做 = 娛樂圈舊聞報道 The Showbiz inferno in Hong Kong 【禁忌的傳說】</v>
      </c>
      <c r="E2871" s="82">
        <v>43891.0</v>
      </c>
      <c r="F2871" s="80">
        <v>433.0</v>
      </c>
      <c r="G2871" s="80" t="s">
        <v>63</v>
      </c>
      <c r="I2871" s="80" t="s">
        <v>63</v>
      </c>
      <c r="J2871" s="80">
        <v>1006.0</v>
      </c>
      <c r="K2871" s="80">
        <v>0.961759082217973</v>
      </c>
      <c r="L2871" s="80" t="s">
        <v>64</v>
      </c>
    </row>
    <row r="2872">
      <c r="A2872" s="80" t="s">
        <v>2942</v>
      </c>
      <c r="B2872" s="81" t="str">
        <f>HYPERLINK("https://www.youtube.com/channel/UCFOFvhsNWMPHwvbfHl7K6qw", "司徒文進 CROSSBONE")</f>
        <v>司徒文進 CROSSBONE</v>
      </c>
      <c r="C2872" s="80" t="s">
        <v>3241</v>
      </c>
      <c r="D2872" s="81" t="str">
        <f>HYPERLINK("https://youtube.com/watch?v=IGWq7B1lJOU", "(中文字幕)（博彩）司徒文進淺談2021澳門博彩公眾咨詢報告-上半部")</f>
        <v>(中文字幕)（博彩）司徒文進淺談2021澳門博彩公眾咨詢報告-上半部</v>
      </c>
      <c r="E2872" s="82">
        <v>44553.0</v>
      </c>
      <c r="F2872" s="80">
        <v>1422.0</v>
      </c>
      <c r="G2872" s="80" t="s">
        <v>63</v>
      </c>
      <c r="I2872" s="80" t="s">
        <v>63</v>
      </c>
      <c r="J2872" s="80">
        <v>5532.0</v>
      </c>
      <c r="K2872" s="80">
        <v>0.987857142857142</v>
      </c>
      <c r="L2872" s="80" t="s">
        <v>820</v>
      </c>
    </row>
    <row r="2873">
      <c r="A2873" s="80" t="s">
        <v>1139</v>
      </c>
      <c r="B2873" s="81" t="str">
        <f>HYPERLINK("https://www.youtube.com/channel/UCw51gVFijIewmXH4tIR0ufw", "Crystal Zen")</f>
        <v>Crystal Zen</v>
      </c>
      <c r="C2873" s="80" t="s">
        <v>3242</v>
      </c>
      <c r="D2873" s="81" t="str">
        <f>HYPERLINK("https://youtube.com/watch?v=IK86z1rbHCI", "[ ANGUS 水晶有感系列 ] 超級七個個都話要 等我將真實感受話曬俾你聽啦！(PS 彩蛋好戲在後頭)")</f>
        <v>[ ANGUS 水晶有感系列 ] 超級七個個都話要 等我將真實感受話曬俾你聽啦！(PS 彩蛋好戲在後頭)</v>
      </c>
      <c r="E2873" s="82">
        <v>44318.0</v>
      </c>
      <c r="F2873" s="80">
        <v>677.0</v>
      </c>
      <c r="G2873" s="80" t="s">
        <v>63</v>
      </c>
      <c r="I2873" s="80" t="s">
        <v>63</v>
      </c>
      <c r="J2873" s="80">
        <v>2654.0</v>
      </c>
      <c r="K2873" s="80">
        <v>0.924416579588993</v>
      </c>
      <c r="L2873" s="80" t="s">
        <v>64</v>
      </c>
    </row>
    <row r="2874">
      <c r="A2874" s="80" t="s">
        <v>2841</v>
      </c>
      <c r="B2874" s="81" t="str">
        <f>HYPERLINK("https://www.youtube.com/channel/UCBYGm7Iz6ck8jeno5AFiriw", "Seafront TV")</f>
        <v>Seafront TV</v>
      </c>
      <c r="C2874" s="80" t="s">
        <v>3243</v>
      </c>
      <c r="D2874" s="81" t="str">
        <f>HYPERLINK("https://youtube.com/watch?v=ILquJRGteak", "滾!去新屋打邊爐🍲!交換禮物好溫?食到嘔?合卺交杯😏? |海嫂TV🌊（CC字幕）")</f>
        <v>滾!去新屋打邊爐🍲!交換禮物好溫?食到嘔?合卺交杯😏? |海嫂TV🌊（CC字幕）</v>
      </c>
      <c r="E2874" s="82">
        <v>43840.0</v>
      </c>
      <c r="F2874" s="80">
        <v>743.0</v>
      </c>
      <c r="G2874" s="80" t="s">
        <v>63</v>
      </c>
      <c r="H2874" s="80" t="s">
        <v>63</v>
      </c>
      <c r="I2874" s="80" t="s">
        <v>63</v>
      </c>
      <c r="J2874" s="80">
        <v>2229.0</v>
      </c>
      <c r="K2874" s="80">
        <v>0.488173455978975</v>
      </c>
      <c r="L2874" s="80" t="s">
        <v>66</v>
      </c>
    </row>
    <row r="2875">
      <c r="A2875" s="80" t="s">
        <v>2041</v>
      </c>
      <c r="B2875" s="81" t="str">
        <f>HYPERLINK("https://www.youtube.com/channel/UCO6pB-ZN4XJ6MVkibvuEe0A", "SingSingTracker 星昇財經指標")</f>
        <v>SingSingTracker 星昇財經指標</v>
      </c>
      <c r="C2875" s="80" t="s">
        <v>3244</v>
      </c>
      <c r="D2875" s="81" t="str">
        <f>HYPERLINK("https://youtube.com/watch?v=IQ2m1qhHRAU", "【Rivian上市大升】Tesla 殺手大有來頭｜RIVN 新股IPO Review｜最強內在投資者｜Rivian詳細分析｜Tesla vs Rivian automotive #電動車 #皮卡")</f>
        <v>【Rivian上市大升】Tesla 殺手大有來頭｜RIVN 新股IPO Review｜最強內在投資者｜Rivian詳細分析｜Tesla vs Rivian automotive #電動車 #皮卡</v>
      </c>
      <c r="E2875" s="82">
        <v>44517.0</v>
      </c>
      <c r="F2875" s="80">
        <v>510.0</v>
      </c>
      <c r="G2875" s="80" t="s">
        <v>63</v>
      </c>
      <c r="I2875" s="80" t="s">
        <v>63</v>
      </c>
      <c r="J2875" s="80">
        <v>1646.0</v>
      </c>
      <c r="K2875" s="80">
        <v>0.806862745098039</v>
      </c>
      <c r="L2875" s="80" t="s">
        <v>64</v>
      </c>
    </row>
    <row r="2876">
      <c r="A2876" s="80" t="s">
        <v>127</v>
      </c>
      <c r="B2876" s="81" t="str">
        <f>HYPERLINK("https://www.youtube.com/channel/UC97oYK3XMf9RLtkc0lO8C-Q", "健康旦 HiEggo")</f>
        <v>健康旦 HiEggo</v>
      </c>
      <c r="C2876" s="80" t="s">
        <v>3245</v>
      </c>
      <c r="D2876" s="81" t="str">
        <f>HYPERLINK("https://youtube.com/watch?v=IQP1Pg7J6As", "區瑞強帶入行 餐廳駐場歌手做到商業電台 六啤半盧業瑂專攻冷門民歌 由 - 鄭丹瑞《健康旦》#盧業瑂 Part 1 (CC中文字幕)")</f>
        <v>區瑞強帶入行 餐廳駐場歌手做到商業電台 六啤半盧業瑂專攻冷門民歌 由 - 鄭丹瑞《健康旦》#盧業瑂 Part 1 (CC中文字幕)</v>
      </c>
      <c r="E2876" s="82">
        <v>44014.0</v>
      </c>
      <c r="F2876" s="80">
        <v>709.0</v>
      </c>
      <c r="G2876" s="80" t="s">
        <v>63</v>
      </c>
      <c r="I2876" s="80" t="s">
        <v>63</v>
      </c>
      <c r="J2876" s="80">
        <v>3072.0</v>
      </c>
      <c r="K2876" s="80">
        <v>0.863406408094435</v>
      </c>
      <c r="L2876" s="80" t="s">
        <v>2771</v>
      </c>
    </row>
    <row r="2877">
      <c r="A2877" s="80" t="s">
        <v>3172</v>
      </c>
      <c r="B2877" s="81" t="str">
        <f>HYPERLINK("https://www.youtube.com/channel/UCahNh5t4wkQhSjS2-u0vSlA", "Henry Ng")</f>
        <v>Henry Ng</v>
      </c>
      <c r="C2877" s="80" t="s">
        <v>3246</v>
      </c>
      <c r="D2877" s="81" t="str">
        <f>HYPERLINK("https://youtube.com/watch?v=CG1q9idwH44", "葡萄牙 Day 2里斯本 - 2017年1月《亨利自由行》")</f>
        <v>葡萄牙 Day 2里斯本 - 2017年1月《亨利自由行》</v>
      </c>
      <c r="E2877" s="82">
        <v>42788.0</v>
      </c>
      <c r="F2877" s="80">
        <v>379.0</v>
      </c>
      <c r="G2877" s="80" t="s">
        <v>63</v>
      </c>
      <c r="I2877" s="80" t="s">
        <v>63</v>
      </c>
      <c r="J2877" s="80">
        <v>566.0</v>
      </c>
      <c r="K2877" s="80">
        <v>0.881619937694704</v>
      </c>
      <c r="L2877" s="80" t="s">
        <v>64</v>
      </c>
    </row>
    <row r="2878">
      <c r="A2878" s="80" t="s">
        <v>3151</v>
      </c>
      <c r="B2878" s="81" t="str">
        <f>HYPERLINK("https://www.youtube.com/channel/UCARY68c_VZHHXPsEDg9Bptw", "耀佳金融集團Yaw Kai Financial Group")</f>
        <v>耀佳金融集團Yaw Kai Financial Group</v>
      </c>
      <c r="C2878" s="80" t="s">
        <v>3247</v>
      </c>
      <c r="D2878" s="81" t="str">
        <f>HYPERLINK("https://youtube.com/watch?v=CG4ftpIrkBU", "【新股點評】康基醫療(#9997.HK)抽唔抽得過? 海吉亞醫療(#6078.HK)又點睇?")</f>
        <v>【新股點評】康基醫療(#9997.HK)抽唔抽得過? 海吉亞醫療(#6078.HK)又點睇?</v>
      </c>
      <c r="E2878" s="82">
        <v>43998.0</v>
      </c>
      <c r="F2878" s="80">
        <v>548.0</v>
      </c>
      <c r="G2878" s="80" t="s">
        <v>63</v>
      </c>
      <c r="I2878" s="80" t="s">
        <v>63</v>
      </c>
      <c r="J2878" s="80">
        <v>1637.0</v>
      </c>
      <c r="K2878" s="80">
        <v>0.985550872968091</v>
      </c>
      <c r="L2878" s="80" t="s">
        <v>64</v>
      </c>
    </row>
    <row r="2879">
      <c r="A2879" s="80" t="s">
        <v>288</v>
      </c>
      <c r="B2879" s="81" t="str">
        <f>HYPERLINK("https://www.youtube.com/channel/UCDWOYEhVnyD4IHZGVAMLc0g", "Brendan 毛爸")</f>
        <v>Brendan 毛爸</v>
      </c>
      <c r="C2879" s="80" t="s">
        <v>3248</v>
      </c>
      <c r="D2879" s="81" t="str">
        <f>HYPERLINK("https://youtube.com/watch?v=IUBBBL8PfVg", "『今日掃街-深水埗美食』西九龍中心小食店！ 大熱韓式炸雞店 皇帝雞！全港最平雪糕店 -雪糕達人！仲要毛媽語音導航！（CC 中文字幕）")</f>
        <v>『今日掃街-深水埗美食』西九龍中心小食店！ 大熱韓式炸雞店 皇帝雞！全港最平雪糕店 -雪糕達人！仲要毛媽語音導航！（CC 中文字幕）</v>
      </c>
      <c r="E2879" s="82">
        <v>44058.0</v>
      </c>
      <c r="F2879" s="80">
        <v>289.0</v>
      </c>
      <c r="G2879" s="80" t="s">
        <v>63</v>
      </c>
      <c r="I2879" s="80" t="s">
        <v>63</v>
      </c>
      <c r="J2879" s="80">
        <v>834.0</v>
      </c>
      <c r="K2879" s="80">
        <v>0.943438914027149</v>
      </c>
      <c r="L2879" s="80" t="s">
        <v>64</v>
      </c>
    </row>
    <row r="2880">
      <c r="A2880" s="80" t="s">
        <v>248</v>
      </c>
      <c r="B2880" s="81" t="str">
        <f>HYPERLINK("https://www.youtube.com/channel/UCUEJok-GiWaGlv5nIPwk-GQ", "Price.com.hk 香港格價網")</f>
        <v>Price.com.hk 香港格價網</v>
      </c>
      <c r="C2880" s="80" t="s">
        <v>3249</v>
      </c>
      <c r="D2880" s="81" t="str">
        <f>HYPERLINK("https://youtube.com/watch?v=IWl9DGxC7m4", "真係多支S PEN咁簡單? Samsung Galaxy Note10 lite vs A71 | 片尾有GIVEAWAY | 手機評測 | Shure特約【Price.com.hk產品比較】")</f>
        <v>真係多支S PEN咁簡單? Samsung Galaxy Note10 lite vs A71 | 片尾有GIVEAWAY | 手機評測 | Shure特約【Price.com.hk產品比較】</v>
      </c>
      <c r="E2880" s="82">
        <v>43888.0</v>
      </c>
      <c r="F2880" s="80">
        <v>476.0</v>
      </c>
      <c r="G2880" s="80" t="s">
        <v>63</v>
      </c>
      <c r="I2880" s="80" t="s">
        <v>63</v>
      </c>
      <c r="J2880" s="80">
        <v>2160.0</v>
      </c>
      <c r="K2880" s="80">
        <v>0.756302521008403</v>
      </c>
      <c r="L2880" s="80" t="s">
        <v>757</v>
      </c>
    </row>
    <row r="2881">
      <c r="A2881" s="80" t="s">
        <v>127</v>
      </c>
      <c r="B2881" s="81" t="str">
        <f>HYPERLINK("https://www.youtube.com/channel/UC97oYK3XMf9RLtkc0lO8C-Q", "健康旦 HiEggo")</f>
        <v>健康旦 HiEggo</v>
      </c>
      <c r="C2881" s="80" t="s">
        <v>3250</v>
      </c>
      <c r="D2881" s="81" t="str">
        <f>HYPERLINK("https://youtube.com/watch?v=IWlDAFpx79g", "馬時亨家居健身操 日做 40 分鐘強身健體 瞓唔夠8粒鐘靠午睡補眠 - 鄭丹瑞《健康旦》馬時亨 Part 1（CC中文字幕）")</f>
        <v>馬時亨家居健身操 日做 40 分鐘強身健體 瞓唔夠8粒鐘靠午睡補眠 - 鄭丹瑞《健康旦》馬時亨 Part 1（CC中文字幕）</v>
      </c>
      <c r="E2881" s="82">
        <v>43943.0</v>
      </c>
      <c r="F2881" s="80">
        <v>679.0</v>
      </c>
      <c r="G2881" s="80" t="s">
        <v>63</v>
      </c>
      <c r="I2881" s="80" t="s">
        <v>63</v>
      </c>
      <c r="J2881" s="80">
        <v>2754.0</v>
      </c>
      <c r="K2881" s="80">
        <v>0.979374110953058</v>
      </c>
      <c r="L2881" s="80" t="s">
        <v>64</v>
      </c>
    </row>
    <row r="2882">
      <c r="A2882" s="80" t="s">
        <v>3172</v>
      </c>
      <c r="B2882" s="81" t="str">
        <f>HYPERLINK("https://www.youtube.com/channel/UCahNh5t4wkQhSjS2-u0vSlA", "Henry Ng")</f>
        <v>Henry Ng</v>
      </c>
      <c r="C2882" s="80" t="s">
        <v>3251</v>
      </c>
      <c r="D2882" s="81" t="str">
        <f>HYPERLINK("https://youtube.com/watch?v=CGsVhPFxSxE", "古巴 千里達 - 2017年7月《亨利自由行》")</f>
        <v>古巴 千里達 - 2017年7月《亨利自由行》</v>
      </c>
      <c r="E2882" s="82">
        <v>43207.0</v>
      </c>
      <c r="F2882" s="80">
        <v>517.0</v>
      </c>
      <c r="G2882" s="80" t="s">
        <v>63</v>
      </c>
      <c r="I2882" s="80" t="s">
        <v>63</v>
      </c>
      <c r="J2882" s="80">
        <v>596.0</v>
      </c>
      <c r="K2882" s="80">
        <v>0.44778362133734</v>
      </c>
      <c r="L2882" s="80" t="s">
        <v>64</v>
      </c>
    </row>
    <row r="2883">
      <c r="A2883" s="80" t="s">
        <v>108</v>
      </c>
      <c r="B2883" s="81" t="str">
        <f>HYPERLINK("https://www.youtube.com/channel/UCZL6QN6Xs-ZrKY3y6Pv6Emg", "廢青 - 日賺3000")</f>
        <v>廢青 - 日賺3000</v>
      </c>
      <c r="C2883" s="80" t="s">
        <v>3252</v>
      </c>
      <c r="D2883" s="81" t="str">
        <f>HYPERLINK("https://youtube.com/watch?v=IZWFFAdvkVk", "【IBond 認購 2021】 📣📣 輕鬆必賺法㊙️1小時賺$1,000蚊! | EP64【廢青 日賺3000】【點CC看中文字幕】")</f>
        <v>【IBond 認購 2021】 📣📣 輕鬆必賺法㊙️1小時賺$1,000蚊! | EP64【廢青 日賺3000】【點CC看中文字幕】</v>
      </c>
      <c r="E2883" s="82">
        <v>44351.0</v>
      </c>
      <c r="F2883" s="80">
        <v>682.0</v>
      </c>
      <c r="G2883" s="80" t="s">
        <v>63</v>
      </c>
      <c r="I2883" s="80" t="s">
        <v>63</v>
      </c>
      <c r="J2883" s="80">
        <v>2847.0</v>
      </c>
      <c r="K2883" s="80">
        <v>0.91104</v>
      </c>
      <c r="L2883" s="80" t="s">
        <v>64</v>
      </c>
    </row>
    <row r="2884">
      <c r="A2884" s="80" t="s">
        <v>3162</v>
      </c>
      <c r="B2884" s="81" t="str">
        <f>HYPERLINK("https://www.youtube.com/channel/UCwz2_BsHZOaUO1zvS5zJBTw", "跟Theo一起爬坂道丨Theo Cheong")</f>
        <v>跟Theo一起爬坂道丨Theo Cheong</v>
      </c>
      <c r="C2884" s="80" t="s">
        <v>3253</v>
      </c>
      <c r="D2884" s="81" t="str">
        <f>HYPERLINK("https://youtube.com/watch?v=Cb2RCEeDDlQ", "三月真係唔好去! 傳說中既童話小鎮 - 白川鄉 點知去到冇雪 | Working Holiday | 窮毒L遊記 Ep.6 | Theo")</f>
        <v>三月真係唔好去! 傳說中既童話小鎮 - 白川鄉 點知去到冇雪 | Working Holiday | 窮毒L遊記 Ep.6 | Theo</v>
      </c>
      <c r="E2884" s="82">
        <v>43580.0</v>
      </c>
      <c r="F2884" s="80">
        <v>294.0</v>
      </c>
      <c r="G2884" s="80" t="s">
        <v>63</v>
      </c>
      <c r="I2884" s="80" t="s">
        <v>63</v>
      </c>
      <c r="J2884" s="80">
        <v>891.0</v>
      </c>
      <c r="K2884" s="80">
        <v>0.937894736842105</v>
      </c>
      <c r="L2884" s="80" t="s">
        <v>64</v>
      </c>
    </row>
    <row r="2885">
      <c r="A2885" s="80" t="s">
        <v>3139</v>
      </c>
      <c r="B2885" s="81" t="str">
        <f>HYPERLINK("https://www.youtube.com/channel/UCThO2xnH7XMg6plE8OgJm_w", "choyuen草原")</f>
        <v>choyuen草原</v>
      </c>
      <c r="C2885" s="80" t="s">
        <v>3254</v>
      </c>
      <c r="D2885" s="81" t="str">
        <f>HYPERLINK("https://youtube.com/watch?v=CiVT19c8ywE", "『廣東話』金星時代曲(劇情回顧)﹕天文↔宗教文化 Rhythm from Venus(past) Culture↔Astrology【陰謀妄想症】")</f>
        <v>『廣東話』金星時代曲(劇情回顧)﹕天文↔宗教文化 Rhythm from Venus(past) Culture↔Astrology【陰謀妄想症】</v>
      </c>
      <c r="E2885" s="82">
        <v>43912.0</v>
      </c>
      <c r="F2885" s="80">
        <v>275.0</v>
      </c>
      <c r="G2885" s="80" t="s">
        <v>63</v>
      </c>
      <c r="I2885" s="80" t="s">
        <v>63</v>
      </c>
      <c r="J2885" s="80">
        <v>657.0</v>
      </c>
      <c r="K2885" s="80">
        <v>0.854356306892067</v>
      </c>
      <c r="L2885" s="80" t="s">
        <v>64</v>
      </c>
    </row>
    <row r="2886">
      <c r="A2886" s="80" t="s">
        <v>3255</v>
      </c>
      <c r="B2886" s="81" t="str">
        <f>HYPERLINK("https://www.youtube.com/channel/UC-RAzAVCKwf_o0XUlmoWGuQ", "半職人妻 Halfwife")</f>
        <v>半職人妻 Halfwife</v>
      </c>
      <c r="C2886" s="80" t="s">
        <v>3256</v>
      </c>
      <c r="D2886" s="81" t="str">
        <f>HYPERLINK("https://youtube.com/watch?v=D5H9t31jlmA", "絕美龍脊梯田｜錢花了也心甘情願?｜半職人妻桂林高鐵自遊行 Travel in Guilin China ep3 (中字/Eng Sub)")</f>
        <v>絕美龍脊梯田｜錢花了也心甘情願?｜半職人妻桂林高鐵自遊行 Travel in Guilin China ep3 (中字/Eng Sub)</v>
      </c>
      <c r="E2886" s="82">
        <v>43640.0</v>
      </c>
      <c r="F2886" s="80">
        <v>497.0</v>
      </c>
      <c r="G2886" s="80" t="s">
        <v>63</v>
      </c>
      <c r="I2886" s="80" t="s">
        <v>63</v>
      </c>
      <c r="J2886" s="80">
        <v>1494.0</v>
      </c>
      <c r="K2886" s="80">
        <v>0.995336442371752</v>
      </c>
      <c r="L2886" s="80" t="s">
        <v>521</v>
      </c>
    </row>
    <row r="2887">
      <c r="A2887" s="80" t="s">
        <v>3139</v>
      </c>
      <c r="B2887" s="81" t="str">
        <f>HYPERLINK("https://www.youtube.com/channel/UCThO2xnH7XMg6plE8OgJm_w", "choyuen草原")</f>
        <v>choyuen草原</v>
      </c>
      <c r="C2887" s="80" t="s">
        <v>3257</v>
      </c>
      <c r="D2887" s="81" t="str">
        <f>HYPERLINK("https://youtube.com/watch?v=DGnh6awuboM", "『廣東話』金星時代曲(劇透慎入)﹕權力↔思想旋律 Rhythm from Venus(present) Mind pattern ↔ Power【陰謀妄想症】")</f>
        <v>『廣東話』金星時代曲(劇透慎入)﹕權力↔思想旋律 Rhythm from Venus(present) Mind pattern ↔ Power【陰謀妄想症】</v>
      </c>
      <c r="E2887" s="82">
        <v>43931.0</v>
      </c>
      <c r="F2887" s="80">
        <v>351.0</v>
      </c>
      <c r="G2887" s="80" t="s">
        <v>63</v>
      </c>
      <c r="I2887" s="80" t="s">
        <v>63</v>
      </c>
      <c r="J2887" s="80">
        <v>847.0</v>
      </c>
      <c r="K2887" s="80">
        <v>0.795305164319248</v>
      </c>
      <c r="L2887" s="80" t="s">
        <v>64</v>
      </c>
    </row>
    <row r="2888">
      <c r="A2888" s="80" t="s">
        <v>3258</v>
      </c>
      <c r="B2888" s="81" t="str">
        <f>HYPERLINK("https://www.youtube.com/channel/UCK4AnMZq28qFthWA54mtdww", "吾知吾識")</f>
        <v>吾知吾識</v>
      </c>
      <c r="C2888" s="80" t="s">
        <v>3259</v>
      </c>
      <c r="D2888" s="81" t="str">
        <f>HYPERLINK("https://youtube.com/watch?v=DLZebGFRCO8", "又係火車問題！｜Utilitarianism｜哲學｜Prey")</f>
        <v>又係火車問題！｜Utilitarianism｜哲學｜Prey</v>
      </c>
      <c r="E2888" s="82">
        <v>43411.0</v>
      </c>
      <c r="F2888" s="80">
        <v>688.0</v>
      </c>
      <c r="G2888" s="80" t="s">
        <v>63</v>
      </c>
      <c r="I2888" s="80" t="s">
        <v>63</v>
      </c>
      <c r="J2888" s="80">
        <v>2483.0</v>
      </c>
      <c r="K2888" s="80">
        <v>0.794305822136916</v>
      </c>
      <c r="L2888" s="80" t="s">
        <v>64</v>
      </c>
    </row>
    <row r="2889">
      <c r="A2889" s="80" t="s">
        <v>3172</v>
      </c>
      <c r="B2889" s="81" t="str">
        <f>HYPERLINK("https://www.youtube.com/channel/UCahNh5t4wkQhSjS2-u0vSlA", "Henry Ng")</f>
        <v>Henry Ng</v>
      </c>
      <c r="C2889" s="80" t="s">
        <v>3260</v>
      </c>
      <c r="D2889" s="81" t="str">
        <f>HYPERLINK("https://youtube.com/watch?v=DR21QYV9cLg", "古巴 豬灣 - 2017年7月《亨利自由行》")</f>
        <v>古巴 豬灣 - 2017年7月《亨利自由行》</v>
      </c>
      <c r="E2889" s="82">
        <v>43200.0</v>
      </c>
      <c r="F2889" s="80">
        <v>318.0</v>
      </c>
      <c r="G2889" s="80" t="s">
        <v>63</v>
      </c>
      <c r="I2889" s="80" t="s">
        <v>63</v>
      </c>
      <c r="J2889" s="80">
        <v>400.0</v>
      </c>
      <c r="K2889" s="80">
        <v>0.896860986547085</v>
      </c>
      <c r="L2889" s="80" t="s">
        <v>64</v>
      </c>
    </row>
    <row r="2890">
      <c r="A2890" s="80" t="s">
        <v>98</v>
      </c>
      <c r="B2890" s="81" t="str">
        <f>HYPERLINK("https://www.youtube.com/channel/UCrquuQB6v1Ued2xyRKZreGQ", "Stephen Leung ")</f>
        <v>Stephen Leung </v>
      </c>
      <c r="C2890" s="80" t="s">
        <v>3261</v>
      </c>
      <c r="D2890" s="81" t="str">
        <f>HYPERLINK("https://youtube.com/watch?v=Ic3RzeaNJgQ", "【香港 Cafe 咖啡店】最正全日早餐？ HK Cafe 打卡咖啡店 全日早餐 All day Breakfast 悠閒週末早餐 + 咖啡 Hong Kong Cafe Vlog 冚棒唥 | 吃喝玩樂")</f>
        <v>【香港 Cafe 咖啡店】最正全日早餐？ HK Cafe 打卡咖啡店 全日早餐 All day Breakfast 悠閒週末早餐 + 咖啡 Hong Kong Cafe Vlog 冚棒唥 | 吃喝玩樂</v>
      </c>
      <c r="E2890" s="82">
        <v>44534.0</v>
      </c>
      <c r="F2890" s="80">
        <v>350.0</v>
      </c>
      <c r="G2890" s="80" t="s">
        <v>63</v>
      </c>
      <c r="I2890" s="80" t="s">
        <v>63</v>
      </c>
      <c r="J2890" s="80">
        <v>866.0</v>
      </c>
      <c r="K2890" s="80">
        <v>0.880976602238046</v>
      </c>
      <c r="L2890" s="80" t="s">
        <v>64</v>
      </c>
    </row>
    <row r="2891">
      <c r="A2891" s="80" t="s">
        <v>3142</v>
      </c>
      <c r="B2891" s="81" t="str">
        <f>HYPERLINK("https://www.youtube.com/channel/UCO4mttl54gQ0UW-DqyVrvLQ", "陳怡ChanYee")</f>
        <v>陳怡ChanYee</v>
      </c>
      <c r="C2891" s="80" t="s">
        <v>3262</v>
      </c>
      <c r="D2891" s="81" t="str">
        <f>HYPERLINK("https://youtube.com/watch?v=DZmZglacobs", "反對殺街（西洋菜街）附中文字幕｜陳怡 ChanYee")</f>
        <v>反對殺街（西洋菜街）附中文字幕｜陳怡 ChanYee</v>
      </c>
      <c r="E2891" s="82">
        <v>43252.0</v>
      </c>
      <c r="F2891" s="80">
        <v>73.0</v>
      </c>
      <c r="G2891" s="80" t="s">
        <v>63</v>
      </c>
      <c r="H2891" s="80" t="s">
        <v>63</v>
      </c>
      <c r="I2891" s="80" t="s">
        <v>63</v>
      </c>
      <c r="J2891" s="80">
        <v>187.0</v>
      </c>
      <c r="K2891" s="80">
        <v>1.0</v>
      </c>
      <c r="L2891" s="80" t="s">
        <v>86</v>
      </c>
    </row>
    <row r="2892">
      <c r="A2892" s="80" t="s">
        <v>3139</v>
      </c>
      <c r="B2892" s="81" t="str">
        <f>HYPERLINK("https://www.youtube.com/channel/UCThO2xnH7XMg6plE8OgJm_w", "choyuen草原")</f>
        <v>choyuen草原</v>
      </c>
      <c r="C2892" s="80" t="s">
        <v>3263</v>
      </c>
      <c r="D2892" s="81" t="str">
        <f>HYPERLINK("https://youtube.com/watch?v=DyrsC6txT1w", "『廣東話』輪迴就似重考DSE●陪你揭下◄圖解│西藏生死書►Reincarnation ≈Retaking Exam●glance at◄Tibetan book of Dead►【禁忌的傳說】")</f>
        <v>『廣東話』輪迴就似重考DSE●陪你揭下◄圖解│西藏生死書►Reincarnation ≈Retaking Exam●glance at◄Tibetan book of Dead►【禁忌的傳說】</v>
      </c>
      <c r="E2892" s="82">
        <v>43418.0</v>
      </c>
      <c r="F2892" s="80">
        <v>517.0</v>
      </c>
      <c r="G2892" s="80" t="s">
        <v>63</v>
      </c>
      <c r="I2892" s="80" t="s">
        <v>63</v>
      </c>
      <c r="J2892" s="80">
        <v>1779.0</v>
      </c>
      <c r="K2892" s="80">
        <v>0.98396017699115</v>
      </c>
      <c r="L2892" s="80" t="s">
        <v>1071</v>
      </c>
    </row>
    <row r="2893">
      <c r="A2893" s="80" t="s">
        <v>2764</v>
      </c>
      <c r="B2893" s="81" t="str">
        <f>HYPERLINK("https://www.youtube.com/channel/UCejZUW4khvxoA4uL2Afz20g", "Housik Laanfei 好食懶飛")</f>
        <v>Housik Laanfei 好食懶飛</v>
      </c>
      <c r="C2893" s="80" t="s">
        <v>3264</v>
      </c>
      <c r="D2893" s="81" t="str">
        <f>HYPERLINK("https://youtube.com/watch?v=IfdE_vKinME", "[求其一餐] 泡菜豬肉鍋 | CC: 廣東話/繁中/ENG SUB | COOKING VLOG")</f>
        <v>[求其一餐] 泡菜豬肉鍋 | CC: 廣東話/繁中/ENG SUB | COOKING VLOG</v>
      </c>
      <c r="E2893" s="82">
        <v>44154.0</v>
      </c>
      <c r="F2893" s="80">
        <v>251.0</v>
      </c>
      <c r="G2893" s="80" t="s">
        <v>63</v>
      </c>
      <c r="H2893" s="80" t="s">
        <v>63</v>
      </c>
      <c r="I2893" s="80" t="s">
        <v>63</v>
      </c>
      <c r="J2893" s="80">
        <v>154.0</v>
      </c>
      <c r="K2893" s="80">
        <v>0.980891719745222</v>
      </c>
      <c r="L2893" s="80" t="s">
        <v>120</v>
      </c>
    </row>
    <row r="2894">
      <c r="A2894" s="80" t="s">
        <v>288</v>
      </c>
      <c r="B2894" s="81" t="str">
        <f>HYPERLINK("https://www.youtube.com/channel/UCDWOYEhVnyD4IHZGVAMLc0g", "Brendan 毛爸")</f>
        <v>Brendan 毛爸</v>
      </c>
      <c r="C2894" s="80" t="s">
        <v>3265</v>
      </c>
      <c r="D2894" s="81" t="str">
        <f>HYPERLINK("https://youtube.com/watch?v=Ig7tAX9vbEQ", "《4分鐘學會》【免搓免揉-歐式麵包】 超簡單、零失敗| 不用麵包機|自製麵包、第一次做就成功｜純素、無糖｜DIY No Knead Bread ｜附詳細食譜｜【毛飯家庭EP19】(CC 中文字幕）")</f>
        <v>《4分鐘學會》【免搓免揉-歐式麵包】 超簡單、零失敗| 不用麵包機|自製麵包、第一次做就成功｜純素、無糖｜DIY No Knead Bread ｜附詳細食譜｜【毛飯家庭EP19】(CC 中文字幕）</v>
      </c>
      <c r="E2894" s="82">
        <v>44052.0</v>
      </c>
      <c r="F2894" s="80">
        <v>243.0</v>
      </c>
      <c r="G2894" s="80" t="s">
        <v>63</v>
      </c>
      <c r="I2894" s="80" t="s">
        <v>63</v>
      </c>
      <c r="J2894" s="80">
        <v>952.0</v>
      </c>
      <c r="K2894" s="80">
        <v>0.982456140350877</v>
      </c>
      <c r="L2894" s="80" t="s">
        <v>64</v>
      </c>
    </row>
    <row r="2895">
      <c r="A2895" s="80" t="s">
        <v>127</v>
      </c>
      <c r="B2895" s="81" t="str">
        <f>HYPERLINK("https://www.youtube.com/channel/UC97oYK3XMf9RLtkc0lO8C-Q", "健康旦 HiEggo")</f>
        <v>健康旦 HiEggo</v>
      </c>
      <c r="C2895" s="80" t="s">
        <v>3266</v>
      </c>
      <c r="D2895" s="81" t="str">
        <f>HYPERLINK("https://youtube.com/watch?v=IgFHJaVfWns", "狗仔牛蜱熱靠食靈芝 寵物靈芝抗衰老預防疾病 寵芝靈助老年貓狗對抗癌症  - 鄭丹瑞《健康旦》寵芝靈開發人  #徐天穎 #李純恩 (CC中文字幕)")</f>
        <v>狗仔牛蜱熱靠食靈芝 寵物靈芝抗衰老預防疾病 寵芝靈助老年貓狗對抗癌症  - 鄭丹瑞《健康旦》寵芝靈開發人  #徐天穎 #李純恩 (CC中文字幕)</v>
      </c>
      <c r="E2895" s="82">
        <v>44091.0</v>
      </c>
      <c r="F2895" s="80">
        <v>828.0</v>
      </c>
      <c r="G2895" s="80" t="s">
        <v>63</v>
      </c>
      <c r="I2895" s="80" t="s">
        <v>63</v>
      </c>
      <c r="J2895" s="80">
        <v>2838.0</v>
      </c>
      <c r="K2895" s="80">
        <v>0.95748987854251</v>
      </c>
      <c r="L2895" s="80" t="s">
        <v>2771</v>
      </c>
    </row>
    <row r="2896">
      <c r="A2896" s="80" t="s">
        <v>3238</v>
      </c>
      <c r="B2896" s="81" t="str">
        <f>HYPERLINK("https://www.youtube.com/channel/UCZ_hzCBwc6ATeXfyQYUk5WQ", "CHINCHIN C")</f>
        <v>CHINCHIN C</v>
      </c>
      <c r="C2896" s="80" t="s">
        <v>3267</v>
      </c>
      <c r="D2896" s="81" t="str">
        <f>HYPERLINK("https://youtube.com/watch?v=IhDCMX0UZVw", "跟男朋友約會踏單車的妝＋髮型分享｜超簡單易上手髮型|Chinchinc")</f>
        <v>跟男朋友約會踏單車的妝＋髮型分享｜超簡單易上手髮型|Chinchinc</v>
      </c>
      <c r="E2896" s="82">
        <v>43214.0</v>
      </c>
      <c r="F2896" s="80">
        <v>690.0</v>
      </c>
      <c r="G2896" s="80" t="s">
        <v>63</v>
      </c>
      <c r="I2896" s="80" t="s">
        <v>63</v>
      </c>
      <c r="J2896" s="80">
        <v>2353.0</v>
      </c>
      <c r="K2896" s="80">
        <v>0.931881188118811</v>
      </c>
      <c r="L2896" s="80" t="s">
        <v>64</v>
      </c>
    </row>
    <row r="2897">
      <c r="A2897" s="80" t="s">
        <v>127</v>
      </c>
      <c r="B2897" s="81" t="str">
        <f>HYPERLINK("https://www.youtube.com/channel/UC97oYK3XMf9RLtkc0lO8C-Q", "健康旦 HiEggo")</f>
        <v>健康旦 HiEggo</v>
      </c>
      <c r="C2897" s="80" t="s">
        <v>3268</v>
      </c>
      <c r="D2897" s="81" t="str">
        <f>HYPERLINK("https://youtube.com/watch?v=IhpElRLnNN4", "燒香靈神減壓 術數家蔣匡文拆解2020明夷卦 - 鄭丹瑞《健康旦》蔣匡文 Part 2 (CC中文字幕)")</f>
        <v>燒香靈神減壓 術數家蔣匡文拆解2020明夷卦 - 鄭丹瑞《健康旦》蔣匡文 Part 2 (CC中文字幕)</v>
      </c>
      <c r="E2897" s="82">
        <v>43894.0</v>
      </c>
      <c r="F2897" s="80">
        <v>666.0</v>
      </c>
      <c r="G2897" s="80" t="s">
        <v>63</v>
      </c>
      <c r="I2897" s="80" t="s">
        <v>63</v>
      </c>
      <c r="J2897" s="80">
        <v>1983.0</v>
      </c>
      <c r="K2897" s="80">
        <v>0.997986914947156</v>
      </c>
      <c r="L2897" s="80" t="s">
        <v>102</v>
      </c>
    </row>
    <row r="2898">
      <c r="A2898" s="80" t="s">
        <v>2750</v>
      </c>
      <c r="B2898" s="81" t="str">
        <f>HYPERLINK("https://www.youtube.com/channel/UCSuH-OhqmtA_2OladWB56Xw", "Knight Lai")</f>
        <v>Knight Lai</v>
      </c>
      <c r="C2898" s="80" t="s">
        <v>3269</v>
      </c>
      <c r="D2898" s="81" t="str">
        <f>HYPERLINK("https://youtube.com/watch?v=IiVTOuEq25A", "[潮文連環圖] 十九年了，終於鍊成腎者之石")</f>
        <v>[潮文連環圖] 十九年了，終於鍊成腎者之石</v>
      </c>
      <c r="E2898" s="82">
        <v>41825.0</v>
      </c>
      <c r="F2898" s="80">
        <v>378.0</v>
      </c>
      <c r="G2898" s="80" t="s">
        <v>63</v>
      </c>
      <c r="I2898" s="80" t="s">
        <v>63</v>
      </c>
      <c r="J2898" s="80">
        <v>1012.0</v>
      </c>
      <c r="K2898" s="80">
        <v>0.961977186311787</v>
      </c>
      <c r="L2898" s="80" t="s">
        <v>64</v>
      </c>
    </row>
    <row r="2899">
      <c r="A2899" s="80" t="s">
        <v>1260</v>
      </c>
      <c r="B2899" s="81" t="str">
        <f t="shared" ref="B2899:B2900" si="154">HYPERLINK("https://www.youtube.com/channel/UCh1k4i86BpiXEO3nzJIYynw", "The Wave")</f>
        <v>The Wave</v>
      </c>
      <c r="C2899" s="80" t="s">
        <v>3270</v>
      </c>
      <c r="D2899" s="81" t="str">
        <f>HYPERLINK("https://youtube.com/watch?v=IjAbF_Wkxp0", "TheWave | iPhone SE 2020 藍光電影 電力測試")</f>
        <v>TheWave | iPhone SE 2020 藍光電影 電力測試</v>
      </c>
      <c r="E2899" s="82">
        <v>43952.0</v>
      </c>
      <c r="F2899" s="80">
        <v>124.0</v>
      </c>
      <c r="G2899" s="80" t="s">
        <v>63</v>
      </c>
      <c r="H2899" s="80" t="s">
        <v>63</v>
      </c>
      <c r="I2899" s="80" t="s">
        <v>63</v>
      </c>
      <c r="J2899" s="80">
        <v>236.0</v>
      </c>
      <c r="K2899" s="80">
        <v>0.732919254658385</v>
      </c>
      <c r="L2899" s="80" t="s">
        <v>1634</v>
      </c>
    </row>
    <row r="2900">
      <c r="A2900" s="80" t="s">
        <v>1260</v>
      </c>
      <c r="B2900" s="81" t="str">
        <f t="shared" si="154"/>
        <v>The Wave</v>
      </c>
      <c r="C2900" s="80" t="s">
        <v>3271</v>
      </c>
      <c r="D2900" s="81" t="str">
        <f>HYPERLINK("https://youtube.com/watch?v=IjufrM_YE6c", "TheWave | Sony Xperia XZ3正式發佈 | Sony首部OLED手機")</f>
        <v>TheWave | Sony Xperia XZ3正式發佈 | Sony首部OLED手機</v>
      </c>
      <c r="E2900" s="82">
        <v>43342.0</v>
      </c>
      <c r="F2900" s="80">
        <v>118.0</v>
      </c>
      <c r="G2900" s="80" t="s">
        <v>63</v>
      </c>
      <c r="H2900" s="80" t="s">
        <v>63</v>
      </c>
      <c r="I2900" s="80" t="s">
        <v>63</v>
      </c>
      <c r="J2900" s="80">
        <v>336.0</v>
      </c>
      <c r="K2900" s="80">
        <v>0.71677559912854</v>
      </c>
      <c r="L2900" s="80" t="s">
        <v>120</v>
      </c>
    </row>
    <row r="2901">
      <c r="A2901" s="80" t="s">
        <v>3139</v>
      </c>
      <c r="B2901" s="81" t="str">
        <f>HYPERLINK("https://www.youtube.com/channel/UCThO2xnH7XMg6plE8OgJm_w", "choyuen草原")</f>
        <v>choyuen草原</v>
      </c>
      <c r="C2901" s="80" t="s">
        <v>3272</v>
      </c>
      <c r="D2901" s="81" t="str">
        <f>HYPERLINK("https://youtube.com/watch?v=E7Gdp_VJbp0", "(B. 記起當年往事) 小行星帶 (B. the Past of) Asteroid belt")</f>
        <v>(B. 記起當年往事) 小行星帶 (B. the Past of) Asteroid belt</v>
      </c>
      <c r="E2901" s="82">
        <v>44166.0</v>
      </c>
      <c r="F2901" s="80">
        <v>172.0</v>
      </c>
      <c r="G2901" s="80" t="s">
        <v>63</v>
      </c>
      <c r="I2901" s="80" t="s">
        <v>63</v>
      </c>
      <c r="J2901" s="80">
        <v>514.0</v>
      </c>
      <c r="K2901" s="80">
        <v>0.845394736842105</v>
      </c>
      <c r="L2901" s="80" t="s">
        <v>64</v>
      </c>
    </row>
    <row r="2902">
      <c r="A2902" s="80" t="s">
        <v>248</v>
      </c>
      <c r="B2902" s="81" t="str">
        <f>HYPERLINK("https://www.youtube.com/channel/UCUEJok-GiWaGlv5nIPwk-GQ", "Price.com.hk 香港格價網")</f>
        <v>Price.com.hk 香港格價網</v>
      </c>
      <c r="C2902" s="80" t="s">
        <v>3273</v>
      </c>
      <c r="D2902" s="81" t="str">
        <f>HYPERLINK("https://youtube.com/watch?v=InSsPQV-nMA", "全能電競Router評測 ASUS TUF Gaming AX5400｜預設3種遊戲模式、支援AiMesh、獨立天線設計｜特約專題【Price.com.hk產品評測】")</f>
        <v>全能電競Router評測 ASUS TUF Gaming AX5400｜預設3種遊戲模式、支援AiMesh、獨立天線設計｜特約專題【Price.com.hk產品評測】</v>
      </c>
      <c r="E2902" s="82">
        <v>44476.0</v>
      </c>
      <c r="F2902" s="80">
        <v>449.0</v>
      </c>
      <c r="G2902" s="80" t="s">
        <v>63</v>
      </c>
      <c r="I2902" s="80" t="s">
        <v>63</v>
      </c>
      <c r="J2902" s="80">
        <v>1398.0</v>
      </c>
      <c r="K2902" s="80">
        <v>0.710005078720162</v>
      </c>
      <c r="L2902" s="80" t="s">
        <v>64</v>
      </c>
    </row>
    <row r="2903">
      <c r="A2903" s="80" t="s">
        <v>127</v>
      </c>
      <c r="B2903" s="81" t="str">
        <f>HYPERLINK("https://www.youtube.com/channel/UC97oYK3XMf9RLtkc0lO8C-Q", "健康旦 HiEggo")</f>
        <v>健康旦 HiEggo</v>
      </c>
      <c r="C2903" s="80" t="s">
        <v>3274</v>
      </c>
      <c r="D2903" s="81" t="str">
        <f>HYPERLINK("https://youtube.com/watch?v=InqI9Ref20E", "長者膝部關節自然退化 伸展時發出聲響因肌肉僵硬 可試加強版坐式徒手運動 - 鄭丹瑞《健康旦》#坐式徒手運動導師 #PaulLau Part 4 (CC中文字幕) (CC中文字幕)")</f>
        <v>長者膝部關節自然退化 伸展時發出聲響因肌肉僵硬 可試加強版坐式徒手運動 - 鄭丹瑞《健康旦》#坐式徒手運動導師 #PaulLau Part 4 (CC中文字幕) (CC中文字幕)</v>
      </c>
      <c r="E2903" s="82">
        <v>44057.0</v>
      </c>
      <c r="F2903" s="80">
        <v>767.0</v>
      </c>
      <c r="G2903" s="80" t="s">
        <v>63</v>
      </c>
      <c r="I2903" s="80" t="s">
        <v>63</v>
      </c>
      <c r="J2903" s="80">
        <v>2854.0</v>
      </c>
      <c r="K2903" s="80">
        <v>0.979745966357706</v>
      </c>
      <c r="L2903" s="80" t="s">
        <v>102</v>
      </c>
    </row>
    <row r="2904">
      <c r="A2904" s="80" t="s">
        <v>3139</v>
      </c>
      <c r="B2904" s="81" t="str">
        <f>HYPERLINK("https://www.youtube.com/channel/UCThO2xnH7XMg6plE8OgJm_w", "choyuen草原")</f>
        <v>choyuen草原</v>
      </c>
      <c r="C2904" s="80" t="s">
        <v>3275</v>
      </c>
      <c r="D2904" s="81" t="str">
        <f>HYPERLINK("https://youtube.com/watch?v=EWs8brqAlgo", "蘇格蘭共濟會總舵鬼祟介紹 - 羅斯林教堂 Rosslyn Chapel - where Templar became Freemason")</f>
        <v>蘇格蘭共濟會總舵鬼祟介紹 - 羅斯林教堂 Rosslyn Chapel - where Templar became Freemason</v>
      </c>
      <c r="E2904" s="82">
        <v>44492.0</v>
      </c>
      <c r="F2904" s="80">
        <v>324.0</v>
      </c>
      <c r="G2904" s="80" t="s">
        <v>63</v>
      </c>
      <c r="I2904" s="80" t="s">
        <v>63</v>
      </c>
      <c r="J2904" s="80">
        <v>771.0</v>
      </c>
      <c r="K2904" s="80">
        <v>0.798963730569948</v>
      </c>
      <c r="L2904" s="80" t="s">
        <v>64</v>
      </c>
    </row>
    <row r="2905">
      <c r="A2905" s="80" t="s">
        <v>1390</v>
      </c>
      <c r="B2905" s="81" t="str">
        <f>HYPERLINK("https://www.youtube.com/channel/UCgwEJflQi4WnZ8PU0xdibZQ", "Kinson Ho")</f>
        <v>Kinson Ho</v>
      </c>
      <c r="C2905" s="80" t="s">
        <v>3276</v>
      </c>
      <c r="D2905" s="81" t="str">
        <f>HYPERLINK("https://youtube.com/watch?v=Iobn5ovRQpA", "K神任我行 - [CC字幕4K] 蛇鼠一窩｜蛇鼠脊｜雞公嶺｜蛇頭石｜老鼠石｜蘑菇石｜雞公山｜日落｜楓葉｜航拍")</f>
        <v>K神任我行 - [CC字幕4K] 蛇鼠一窩｜蛇鼠脊｜雞公嶺｜蛇頭石｜老鼠石｜蘑菇石｜雞公山｜日落｜楓葉｜航拍</v>
      </c>
      <c r="E2905" s="82">
        <v>44548.0</v>
      </c>
      <c r="F2905" s="80">
        <v>986.0</v>
      </c>
      <c r="G2905" s="80" t="s">
        <v>63</v>
      </c>
      <c r="I2905" s="80" t="s">
        <v>63</v>
      </c>
      <c r="J2905" s="80">
        <v>807.0</v>
      </c>
      <c r="K2905" s="80">
        <v>0.973462002412545</v>
      </c>
      <c r="L2905" s="80" t="s">
        <v>64</v>
      </c>
    </row>
    <row r="2906">
      <c r="A2906" s="80" t="s">
        <v>291</v>
      </c>
      <c r="B2906" s="81" t="str">
        <f>HYPERLINK("https://www.youtube.com/channel/UClSNJbCUCp_W4yrS3DlCmjw", "飛馬 PEGASUS")</f>
        <v>飛馬 PEGASUS</v>
      </c>
      <c r="C2906" s="80" t="s">
        <v>3277</v>
      </c>
      <c r="D2906" s="81" t="str">
        <f>HYPERLINK("https://youtube.com/watch?v=Ir6GtXeihXs", "[和你砌 Build Guide] ITX 都可以好簡單 - 逐步逐步一齊砌 Fractal Design Node 202")</f>
        <v>[和你砌 Build Guide] ITX 都可以好簡單 - 逐步逐步一齊砌 Fractal Design Node 202</v>
      </c>
      <c r="E2906" s="82">
        <v>43966.0</v>
      </c>
      <c r="F2906" s="80">
        <v>1294.0</v>
      </c>
      <c r="G2906" s="80" t="s">
        <v>63</v>
      </c>
      <c r="I2906" s="80" t="s">
        <v>63</v>
      </c>
      <c r="J2906" s="80">
        <v>4458.0</v>
      </c>
      <c r="K2906" s="80">
        <v>0.826167531504818</v>
      </c>
      <c r="L2906" s="80" t="s">
        <v>64</v>
      </c>
    </row>
    <row r="2907">
      <c r="A2907" s="80" t="s">
        <v>1987</v>
      </c>
      <c r="B2907" s="81" t="str">
        <f>HYPERLINK("https://www.youtube.com/channel/UCgGUmm04nVyj-ftaCxVcyBg", "MangoHK大馬獅家")</f>
        <v>MangoHK大馬獅家</v>
      </c>
      <c r="C2907" s="80" t="s">
        <v>3278</v>
      </c>
      <c r="D2907" s="81" t="str">
        <f>HYPERLINK("https://youtube.com/watch?v=IrbcgUS2yaA", "【46】👛商場大檢閱💇🏻‍♀️理髮新熱點！{中英字幕}  Subtitled | Malaysia Hair Cut | Malaysia Vlog | mm2h")</f>
        <v>【46】👛商場大檢閱💇🏻‍♀️理髮新熱點！{中英字幕}  Subtitled | Malaysia Hair Cut | Malaysia Vlog | mm2h</v>
      </c>
      <c r="E2907" s="82">
        <v>44474.0</v>
      </c>
      <c r="F2907" s="80">
        <v>477.0</v>
      </c>
      <c r="G2907" s="80" t="s">
        <v>63</v>
      </c>
      <c r="I2907" s="80" t="s">
        <v>63</v>
      </c>
      <c r="J2907" s="80">
        <v>1073.0</v>
      </c>
      <c r="K2907" s="80">
        <v>0.877350776778413</v>
      </c>
      <c r="L2907" s="80" t="s">
        <v>896</v>
      </c>
    </row>
    <row r="2908">
      <c r="A2908" s="80" t="s">
        <v>3158</v>
      </c>
      <c r="B2908" s="81" t="str">
        <f>HYPERLINK("https://www.youtube.com/channel/UCldJqbxFCPolSR6V9lszWDA", "魚波 Yu Ball")</f>
        <v>魚波 Yu Ball</v>
      </c>
      <c r="C2908" s="80" t="s">
        <v>3279</v>
      </c>
      <c r="D2908" s="81" t="str">
        <f>HYPERLINK("https://youtube.com/watch?v=Ec8yKuqBdsw", "【魚波VLOG#15】改左不等如改好部車 |  拍片以外的調整+改裝日常 (CC字幕)")</f>
        <v>【魚波VLOG#15】改左不等如改好部車 |  拍片以外的調整+改裝日常 (CC字幕)</v>
      </c>
      <c r="E2908" s="82">
        <v>43879.0</v>
      </c>
      <c r="F2908" s="80">
        <v>931.0</v>
      </c>
      <c r="G2908" s="80" t="s">
        <v>63</v>
      </c>
      <c r="I2908" s="80" t="s">
        <v>63</v>
      </c>
      <c r="J2908" s="80">
        <v>3227.0</v>
      </c>
      <c r="K2908" s="80">
        <v>0.928900402993667</v>
      </c>
      <c r="L2908" s="80" t="s">
        <v>64</v>
      </c>
    </row>
    <row r="2909">
      <c r="A2909" s="80" t="s">
        <v>2041</v>
      </c>
      <c r="B2909" s="81" t="str">
        <f>HYPERLINK("https://www.youtube.com/channel/UCO6pB-ZN4XJ6MVkibvuEe0A", "SingSingTracker 星昇財經指標")</f>
        <v>SingSingTracker 星昇財經指標</v>
      </c>
      <c r="C2909" s="80" t="s">
        <v>3280</v>
      </c>
      <c r="D2909" s="81" t="str">
        <f>HYPERLINK("https://youtube.com/watch?v=IsxQv7Pdhas", "【MIRROR Giveaway 有獎遊戲 】MIRROR x MaskOn口罩得獎名單｜MIRROR ERROR 全新代言好有橋｜主播Kinnis真情剖白 #viutv #mirror #error")</f>
        <v>【MIRROR Giveaway 有獎遊戲 】MIRROR x MaskOn口罩得獎名單｜MIRROR ERROR 全新代言好有橋｜主播Kinnis真情剖白 #viutv #mirror #error</v>
      </c>
      <c r="E2909" s="82">
        <v>44453.0</v>
      </c>
      <c r="F2909" s="80">
        <v>210.0</v>
      </c>
      <c r="G2909" s="80" t="s">
        <v>63</v>
      </c>
      <c r="I2909" s="80" t="s">
        <v>63</v>
      </c>
      <c r="J2909" s="80">
        <v>610.0</v>
      </c>
      <c r="K2909" s="80">
        <v>0.865248226950354</v>
      </c>
      <c r="L2909" s="80" t="s">
        <v>64</v>
      </c>
    </row>
    <row r="2910">
      <c r="A2910" s="80" t="s">
        <v>127</v>
      </c>
      <c r="B2910" s="81" t="str">
        <f>HYPERLINK("https://www.youtube.com/channel/UC97oYK3XMf9RLtkc0lO8C-Q", "健康旦 HiEggo")</f>
        <v>健康旦 HiEggo</v>
      </c>
      <c r="C2910" s="80" t="s">
        <v>3281</v>
      </c>
      <c r="D2910" s="81" t="str">
        <f>HYPERLINK("https://youtube.com/watch?v=ItpL5nwWCIw", "陳志雲舞台劇變拍處境劇 分享解決失眠方法 志雲大師呼吸冥想發美夢 - 鄭丹瑞《健康旦》陳志雲 Part 2（CC中文字幕）")</f>
        <v>陳志雲舞台劇變拍處境劇 分享解決失眠方法 志雲大師呼吸冥想發美夢 - 鄭丹瑞《健康旦》陳志雲 Part 2（CC中文字幕）</v>
      </c>
      <c r="E2910" s="82">
        <v>43953.0</v>
      </c>
      <c r="F2910" s="80">
        <v>682.0</v>
      </c>
      <c r="G2910" s="80" t="s">
        <v>63</v>
      </c>
      <c r="I2910" s="80" t="s">
        <v>63</v>
      </c>
      <c r="J2910" s="80">
        <v>2650.0</v>
      </c>
      <c r="K2910" s="80">
        <v>0.980754996299037</v>
      </c>
      <c r="L2910" s="80" t="s">
        <v>64</v>
      </c>
    </row>
    <row r="2911">
      <c r="A2911" s="80" t="s">
        <v>98</v>
      </c>
      <c r="B2911" s="81" t="str">
        <f>HYPERLINK("https://www.youtube.com/channel/UCrquuQB6v1Ued2xyRKZreGQ", "Stephen Leung ")</f>
        <v>Stephen Leung </v>
      </c>
      <c r="C2911" s="80" t="s">
        <v>3282</v>
      </c>
      <c r="D2911" s="81" t="str">
        <f>HYPERLINK("https://youtube.com/watch?v=ItwfkXLAuuo", "【香港美食】自費實測攞5分🌟 四季酒店 Four Seasons Caprice 午市套餐 爆足兩個月! 全程詳盡體驗 3星米芝蓮 | 吃喝玩樂 four seasons hong kong  消費券")</f>
        <v>【香港美食】自費實測攞5分🌟 四季酒店 Four Seasons Caprice 午市套餐 爆足兩個月! 全程詳盡體驗 3星米芝蓮 | 吃喝玩樂 four seasons hong kong  消費券</v>
      </c>
      <c r="E2911" s="82">
        <v>44427.0</v>
      </c>
      <c r="F2911" s="80">
        <v>1172.0</v>
      </c>
      <c r="G2911" s="80" t="s">
        <v>63</v>
      </c>
      <c r="I2911" s="80" t="s">
        <v>63</v>
      </c>
      <c r="J2911" s="80">
        <v>2919.0</v>
      </c>
      <c r="K2911" s="80">
        <v>0.972351765489673</v>
      </c>
      <c r="L2911" s="80" t="s">
        <v>64</v>
      </c>
    </row>
    <row r="2912">
      <c r="A2912" s="80" t="s">
        <v>124</v>
      </c>
      <c r="B2912" s="81" t="str">
        <f>HYPERLINK("https://www.youtube.com/channel/UCg0vuSE0fBF_NvodyYhMcWg", "Wallace Studio HK")</f>
        <v>Wallace Studio HK</v>
      </c>
      <c r="C2912" s="80" t="s">
        <v>3283</v>
      </c>
      <c r="D2912" s="81" t="str">
        <f>HYPERLINK("https://youtube.com/watch?v=Iu0z-yI9Twk", "[上手體驗］iPhone12 全系列上手體驗及實際測試 VS iPhone 11 系列｜5G，屏幕，電量，拍攝，效能，散熱，手感，Dolby Vision｜香港人評測")</f>
        <v>[上手體驗］iPhone12 全系列上手體驗及實際測試 VS iPhone 11 系列｜5G，屏幕，電量，拍攝，效能，散熱，手感，Dolby Vision｜香港人評測</v>
      </c>
      <c r="E2912" s="82">
        <v>44175.0</v>
      </c>
      <c r="F2912" s="80">
        <v>755.0</v>
      </c>
      <c r="G2912" s="80" t="s">
        <v>63</v>
      </c>
      <c r="I2912" s="80" t="s">
        <v>63</v>
      </c>
      <c r="J2912" s="80">
        <v>2743.0</v>
      </c>
      <c r="K2912" s="80">
        <v>0.691280241935483</v>
      </c>
      <c r="L2912" s="80" t="s">
        <v>64</v>
      </c>
    </row>
    <row r="2913">
      <c r="A2913" s="80" t="s">
        <v>2764</v>
      </c>
      <c r="B2913" s="81" t="str">
        <f>HYPERLINK("https://www.youtube.com/channel/UCejZUW4khvxoA4uL2Afz20g", "Housik Laanfei 好食懶飛")</f>
        <v>Housik Laanfei 好食懶飛</v>
      </c>
      <c r="C2913" s="80" t="s">
        <v>3284</v>
      </c>
      <c r="D2913" s="81" t="str">
        <f>HYPERLINK("https://youtube.com/watch?v=IvUn4aMW5qo", "[暖笠笠] 日式奶油燉菜 | CC: 廣東話/繁中/ENG SUB | COOKING VLOG")</f>
        <v>[暖笠笠] 日式奶油燉菜 | CC: 廣東話/繁中/ENG SUB | COOKING VLOG</v>
      </c>
      <c r="E2913" s="82">
        <v>44168.0</v>
      </c>
      <c r="F2913" s="80">
        <v>332.0</v>
      </c>
      <c r="G2913" s="80" t="s">
        <v>63</v>
      </c>
      <c r="H2913" s="80" t="s">
        <v>63</v>
      </c>
      <c r="I2913" s="80" t="s">
        <v>63</v>
      </c>
      <c r="J2913" s="80">
        <v>221.0</v>
      </c>
      <c r="K2913" s="80">
        <v>0.940425531914893</v>
      </c>
      <c r="L2913" s="80" t="s">
        <v>80</v>
      </c>
    </row>
    <row r="2914">
      <c r="A2914" s="80" t="s">
        <v>3151</v>
      </c>
      <c r="B2914" s="81" t="str">
        <f>HYPERLINK("https://www.youtube.com/channel/UCARY68c_VZHHXPsEDg9Bptw", "耀佳金融集團Yaw Kai Financial Group")</f>
        <v>耀佳金融集團Yaw Kai Financial Group</v>
      </c>
      <c r="C2914" s="80" t="s">
        <v>3285</v>
      </c>
      <c r="D2914" s="81" t="str">
        <f>HYPERLINK("https://youtube.com/watch?v=EqZN9m-Ida0", "【新股點評】JD (#9618.hk) 京東香港第二上市點評")</f>
        <v>【新股點評】JD (#9618.hk) 京東香港第二上市點評</v>
      </c>
      <c r="E2914" s="82">
        <v>43990.0</v>
      </c>
      <c r="F2914" s="80">
        <v>674.0</v>
      </c>
      <c r="G2914" s="80" t="s">
        <v>63</v>
      </c>
      <c r="I2914" s="80" t="s">
        <v>63</v>
      </c>
      <c r="J2914" s="80">
        <v>57.0</v>
      </c>
      <c r="K2914" s="80">
        <v>0.966101694915254</v>
      </c>
      <c r="L2914" s="80" t="s">
        <v>64</v>
      </c>
    </row>
    <row r="2915">
      <c r="A2915" s="80" t="s">
        <v>124</v>
      </c>
      <c r="B2915" s="81" t="str">
        <f>HYPERLINK("https://www.youtube.com/channel/UCg0vuSE0fBF_NvodyYhMcWg", "Wallace Studio HK")</f>
        <v>Wallace Studio HK</v>
      </c>
      <c r="C2915" s="80" t="s">
        <v>3286</v>
      </c>
      <c r="D2915" s="81" t="str">
        <f>HYPERLINK("https://youtube.com/watch?v=IxaZuraq9JQ", "[詳細評測] Samsung Galaxy Tab S7 FE 5G 詳細評測 (香港) | 廣東話 | 中價位大螢幕!!! (vs Galaxy Tab S7+)")</f>
        <v>[詳細評測] Samsung Galaxy Tab S7 FE 5G 詳細評測 (香港) | 廣東話 | 中價位大螢幕!!! (vs Galaxy Tab S7+)</v>
      </c>
      <c r="E2915" s="82">
        <v>44451.0</v>
      </c>
      <c r="F2915" s="80">
        <v>403.0</v>
      </c>
      <c r="G2915" s="80" t="s">
        <v>63</v>
      </c>
      <c r="H2915" s="80" t="s">
        <v>63</v>
      </c>
      <c r="I2915" s="80" t="s">
        <v>63</v>
      </c>
      <c r="J2915" s="80">
        <v>1287.0</v>
      </c>
      <c r="K2915" s="80">
        <v>0.715397443023902</v>
      </c>
      <c r="L2915" s="80" t="s">
        <v>86</v>
      </c>
    </row>
    <row r="2916">
      <c r="A2916" s="80" t="s">
        <v>3162</v>
      </c>
      <c r="B2916" s="81" t="str">
        <f>HYPERLINK("https://www.youtube.com/channel/UCwz2_BsHZOaUO1zvS5zJBTw", "跟Theo一起爬坂道丨Theo Cheong")</f>
        <v>跟Theo一起爬坂道丨Theo Cheong</v>
      </c>
      <c r="C2916" s="80" t="s">
        <v>3287</v>
      </c>
      <c r="D2916" s="81" t="str">
        <f>HYPERLINK("https://youtube.com/watch?v=FJt6L49NKSc", "名古屋 市內一日遊 JR火車博物館 X 電視劇 名古屋城 | Working Holiday | 窮毒L遊日本 Ep.4 | Travel | Vlog | Theo")</f>
        <v>名古屋 市內一日遊 JR火車博物館 X 電視劇 名古屋城 | Working Holiday | 窮毒L遊日本 Ep.4 | Travel | Vlog | Theo</v>
      </c>
      <c r="E2916" s="82">
        <v>43566.0</v>
      </c>
      <c r="F2916" s="80">
        <v>454.0</v>
      </c>
      <c r="G2916" s="80" t="s">
        <v>63</v>
      </c>
      <c r="I2916" s="80" t="s">
        <v>63</v>
      </c>
      <c r="J2916" s="80">
        <v>1315.0</v>
      </c>
      <c r="K2916" s="80">
        <v>0.913194444444444</v>
      </c>
      <c r="L2916" s="80" t="s">
        <v>64</v>
      </c>
    </row>
    <row r="2917">
      <c r="A2917" s="80" t="s">
        <v>3117</v>
      </c>
      <c r="B2917" s="81" t="str">
        <f>HYPERLINK("https://www.youtube.com/channel/UCKEsq3qTGKScljpPMrGqFxQ", "Jinnie Jinnie")</f>
        <v>Jinnie Jinnie</v>
      </c>
      <c r="C2917" s="80" t="s">
        <v>3288</v>
      </c>
      <c r="D2917" s="81" t="str">
        <f>HYPERLINK("https://youtube.com/watch?v=FRiGgvEHaq4", "西歐之旅 - 西班牙🇪🇸 塞哥維亞(字幕) Spain Madrid Segovia")</f>
        <v>西歐之旅 - 西班牙🇪🇸 塞哥維亞(字幕) Spain Madrid Segovia</v>
      </c>
      <c r="E2917" s="82">
        <v>43294.0</v>
      </c>
      <c r="F2917" s="80">
        <v>874.0</v>
      </c>
      <c r="G2917" s="80" t="s">
        <v>63</v>
      </c>
      <c r="I2917" s="80" t="s">
        <v>63</v>
      </c>
      <c r="J2917" s="80">
        <v>991.0</v>
      </c>
      <c r="K2917" s="80">
        <v>0.860990443092962</v>
      </c>
      <c r="L2917" s="80" t="s">
        <v>64</v>
      </c>
    </row>
    <row r="2918">
      <c r="A2918" s="80" t="s">
        <v>3289</v>
      </c>
      <c r="B2918" s="81" t="str">
        <f>HYPERLINK("https://www.youtube.com/channel/UCA33kwNRGDbO7jg-8czNOJQ", "Alfred Chan")</f>
        <v>Alfred Chan</v>
      </c>
      <c r="C2918" s="80" t="s">
        <v>3290</v>
      </c>
      <c r="D2918" s="81" t="str">
        <f>HYPERLINK("https://youtube.com/watch?v=FaL9E4pB414", "【有碗話碗】美國十大蛋糕！徐子淇都要打卡？Lady M 是否實至名歸？| 香港必吃美食")</f>
        <v>【有碗話碗】美國十大蛋糕！徐子淇都要打卡？Lady M 是否實至名歸？| 香港必吃美食</v>
      </c>
      <c r="E2918" s="82">
        <v>43515.0</v>
      </c>
      <c r="F2918" s="80">
        <v>262.0</v>
      </c>
      <c r="G2918" s="80" t="s">
        <v>63</v>
      </c>
      <c r="I2918" s="80" t="s">
        <v>63</v>
      </c>
      <c r="J2918" s="80">
        <v>838.0</v>
      </c>
      <c r="K2918" s="80">
        <v>0.905945945945945</v>
      </c>
      <c r="L2918" s="80" t="s">
        <v>64</v>
      </c>
    </row>
    <row r="2919">
      <c r="A2919" s="80" t="s">
        <v>3144</v>
      </c>
      <c r="B2919" s="81" t="str">
        <f>HYPERLINK("https://www.youtube.com/channel/UCZVmFDfn5WnixrHNf25MeJQ", "〈職人吹水〉@SingSingKitchen")</f>
        <v>〈職人吹水〉@SingSingKitchen</v>
      </c>
      <c r="C2919" s="80" t="s">
        <v>3291</v>
      </c>
      <c r="D2919" s="81" t="str">
        <f>HYPERLINK("https://youtube.com/watch?v=Fij2eC-UrhE", "〈 職人吹水〉 泰式涼拌 冷麵 泰式 涼拌汁製作Thai cold noodles")</f>
        <v>〈 職人吹水〉 泰式涼拌 冷麵 泰式 涼拌汁製作Thai cold noodles</v>
      </c>
      <c r="E2919" s="82">
        <v>43327.0</v>
      </c>
      <c r="F2919" s="80">
        <v>617.0</v>
      </c>
      <c r="G2919" s="80" t="s">
        <v>63</v>
      </c>
      <c r="I2919" s="80" t="s">
        <v>63</v>
      </c>
      <c r="J2919" s="80">
        <v>944.0</v>
      </c>
      <c r="K2919" s="80">
        <v>0.994731296101159</v>
      </c>
      <c r="L2919" s="80" t="s">
        <v>64</v>
      </c>
    </row>
    <row r="2920">
      <c r="A2920" s="80" t="s">
        <v>3151</v>
      </c>
      <c r="B2920" s="81" t="str">
        <f>HYPERLINK("https://www.youtube.com/channel/UCARY68c_VZHHXPsEDg9Bptw", "耀佳金融集團Yaw Kai Financial Group")</f>
        <v>耀佳金融集團Yaw Kai Financial Group</v>
      </c>
      <c r="C2920" s="80" t="s">
        <v>3292</v>
      </c>
      <c r="D2920" s="81" t="str">
        <f>HYPERLINK("https://youtube.com/watch?v=FkxypZXsthE", "【市場點評】小米(1810.HK)點解升得慢?")</f>
        <v>【市場點評】小米(1810.HK)點解升得慢?</v>
      </c>
      <c r="E2920" s="82">
        <v>44021.0</v>
      </c>
      <c r="F2920" s="80">
        <v>1088.0</v>
      </c>
      <c r="G2920" s="80" t="s">
        <v>63</v>
      </c>
      <c r="I2920" s="80" t="s">
        <v>63</v>
      </c>
      <c r="J2920" s="80">
        <v>3637.0</v>
      </c>
      <c r="K2920" s="80">
        <v>0.963188559322033</v>
      </c>
      <c r="L2920" s="80" t="s">
        <v>64</v>
      </c>
    </row>
    <row r="2921">
      <c r="A2921" s="80" t="s">
        <v>3162</v>
      </c>
      <c r="B2921" s="81" t="str">
        <f>HYPERLINK("https://www.youtube.com/channel/UCwz2_BsHZOaUO1zvS5zJBTw", "跟Theo一起爬坂道丨Theo Cheong")</f>
        <v>跟Theo一起爬坂道丨Theo Cheong</v>
      </c>
      <c r="C2921" s="80" t="s">
        <v>3293</v>
      </c>
      <c r="D2921" s="81" t="str">
        <f>HYPERLINK("https://youtube.com/watch?v=GByrz2A42uY", "迎況更新 沖繩潛水乜工 | N4 Working Holiday | Theo | Vlog")</f>
        <v>迎況更新 沖繩潛水乜工 | N4 Working Holiday | Theo | Vlog</v>
      </c>
      <c r="E2921" s="82">
        <v>43591.0</v>
      </c>
      <c r="F2921" s="80">
        <v>278.0</v>
      </c>
      <c r="G2921" s="80" t="s">
        <v>63</v>
      </c>
      <c r="I2921" s="80" t="s">
        <v>63</v>
      </c>
      <c r="J2921" s="80">
        <v>755.0</v>
      </c>
      <c r="K2921" s="80">
        <v>0.816216216216216</v>
      </c>
      <c r="L2921" s="80" t="s">
        <v>91</v>
      </c>
    </row>
    <row r="2922">
      <c r="A2922" s="80" t="s">
        <v>3144</v>
      </c>
      <c r="B2922" s="81" t="str">
        <f>HYPERLINK("https://www.youtube.com/channel/UCZVmFDfn5WnixrHNf25MeJQ", "〈職人吹水〉@SingSingKitchen")</f>
        <v>〈職人吹水〉@SingSingKitchen</v>
      </c>
      <c r="C2922" s="80" t="s">
        <v>3294</v>
      </c>
      <c r="D2922" s="81" t="str">
        <f>HYPERLINK("https://youtube.com/watch?v=GDsKyDirFhE", "〈職人吹水 〉  2020 全新製作 傳統星洲炒米 一份堅持 詳盡論述 當中細節 附上中文字幕")</f>
        <v>〈職人吹水 〉  2020 全新製作 傳統星洲炒米 一份堅持 詳盡論述 當中細節 附上中文字幕</v>
      </c>
      <c r="E2922" s="82">
        <v>44122.0</v>
      </c>
      <c r="F2922" s="80">
        <v>1112.0</v>
      </c>
      <c r="G2922" s="80" t="s">
        <v>63</v>
      </c>
      <c r="I2922" s="80" t="s">
        <v>63</v>
      </c>
      <c r="J2922" s="80">
        <v>1718.0</v>
      </c>
      <c r="K2922" s="80">
        <v>0.995365005793742</v>
      </c>
      <c r="L2922" s="80" t="s">
        <v>745</v>
      </c>
    </row>
    <row r="2923">
      <c r="A2923" s="80" t="s">
        <v>3046</v>
      </c>
      <c r="B2923" s="81" t="str">
        <f>HYPERLINK("https://www.youtube.com/channel/UCk9_geXNUStgv0wjm75vX5Q", "蘇斯克 Ole So")</f>
        <v>蘇斯克 Ole So</v>
      </c>
      <c r="C2923" s="80" t="s">
        <v>3295</v>
      </c>
      <c r="D2923" s="81" t="str">
        <f>HYPERLINK("https://youtube.com/watch?v=GGhFU3uYvKI", "格拉沙、曼聯球迷歷史性交流 · 曼聯未來的啟示？| Manchester United fans’ forum with Joel Glazer．Insights﹖")</f>
        <v>格拉沙、曼聯球迷歷史性交流 · 曼聯未來的啟示？| Manchester United fans’ forum with Joel Glazer．Insights﹖</v>
      </c>
      <c r="E2923" s="82">
        <v>44354.0</v>
      </c>
      <c r="F2923" s="80">
        <v>431.0</v>
      </c>
      <c r="G2923" s="80" t="s">
        <v>63</v>
      </c>
      <c r="I2923" s="80" t="s">
        <v>63</v>
      </c>
      <c r="J2923" s="80">
        <v>1435.0</v>
      </c>
      <c r="K2923" s="80">
        <v>0.813492063492063</v>
      </c>
      <c r="L2923" s="80" t="s">
        <v>64</v>
      </c>
    </row>
    <row r="2924">
      <c r="A2924" s="80" t="s">
        <v>2898</v>
      </c>
      <c r="B2924" s="81" t="str">
        <f>HYPERLINK("https://www.youtube.com/channel/UCy5bjMXbFPglSBNDXfivtOA", "消費者委員會")</f>
        <v>消費者委員會</v>
      </c>
      <c r="C2924" s="80" t="s">
        <v>3296</v>
      </c>
      <c r="D2924" s="81" t="str">
        <f>HYPERLINK("https://youtube.com/watch?v=J6CBxcnGHYs", "【關心妍 X 嬰幼兒身體潤膚乳安全大比拼】")</f>
        <v>【關心妍 X 嬰幼兒身體潤膚乳安全大比拼】</v>
      </c>
      <c r="E2924" s="82">
        <v>44453.0</v>
      </c>
      <c r="F2924" s="80">
        <v>208.0</v>
      </c>
      <c r="G2924" s="80" t="s">
        <v>63</v>
      </c>
      <c r="I2924" s="80" t="s">
        <v>63</v>
      </c>
      <c r="J2924" s="80">
        <v>844.0</v>
      </c>
      <c r="K2924" s="80">
        <v>0.980255516840882</v>
      </c>
      <c r="L2924" s="80" t="s">
        <v>64</v>
      </c>
    </row>
    <row r="2925">
      <c r="A2925" s="80" t="s">
        <v>3139</v>
      </c>
      <c r="B2925" s="81" t="str">
        <f>HYPERLINK("https://www.youtube.com/channel/UCThO2xnH7XMg6plE8OgJm_w", "choyuen草原")</f>
        <v>choyuen草原</v>
      </c>
      <c r="C2925" s="80" t="s">
        <v>3297</v>
      </c>
      <c r="D2925" s="81" t="str">
        <f>HYPERLINK("https://youtube.com/watch?v=GToX5OS-9n4", "『廣東話』神話之地 = 沉沒大陸 , 人類起源有眉目 Human Origin on Mythical Sunken Continent【學科邊緣人】")</f>
        <v>『廣東話』神話之地 = 沉沒大陸 , 人類起源有眉目 Human Origin on Mythical Sunken Continent【學科邊緣人】</v>
      </c>
      <c r="E2925" s="82">
        <v>43696.0</v>
      </c>
      <c r="F2925" s="80">
        <v>386.0</v>
      </c>
      <c r="G2925" s="80" t="s">
        <v>63</v>
      </c>
      <c r="I2925" s="80" t="s">
        <v>63</v>
      </c>
      <c r="J2925" s="80">
        <v>984.0</v>
      </c>
      <c r="K2925" s="80">
        <v>0.729429206819866</v>
      </c>
      <c r="L2925" s="80" t="s">
        <v>64</v>
      </c>
    </row>
    <row r="2926">
      <c r="A2926" s="80" t="s">
        <v>98</v>
      </c>
      <c r="B2926" s="81" t="str">
        <f>HYPERLINK("https://www.youtube.com/channel/UCrquuQB6v1Ued2xyRKZreGQ", "Stephen Leung ")</f>
        <v>Stephen Leung </v>
      </c>
      <c r="C2926" s="80" t="s">
        <v>3298</v>
      </c>
      <c r="D2926" s="81" t="str">
        <f>HYPERLINK("https://youtube.com/watch?v=JAFrWMMWuPM", "【早午自助餐 Sunday Brunch】高質時令食材 鰤魚刺身盛宴 中環 罕有昭和風居酒屋 週未放題 3小時 非酒店自助餐 Tokio Joe |  吃喝玩樂  美食 2021")</f>
        <v>【早午自助餐 Sunday Brunch】高質時令食材 鰤魚刺身盛宴 中環 罕有昭和風居酒屋 週未放題 3小時 非酒店自助餐 Tokio Joe |  吃喝玩樂  美食 2021</v>
      </c>
      <c r="E2926" s="82">
        <v>44522.0</v>
      </c>
      <c r="F2926" s="80">
        <v>762.0</v>
      </c>
      <c r="G2926" s="80" t="s">
        <v>63</v>
      </c>
      <c r="I2926" s="80" t="s">
        <v>63</v>
      </c>
      <c r="J2926" s="80">
        <v>1986.0</v>
      </c>
      <c r="K2926" s="80">
        <v>0.92803738317757</v>
      </c>
      <c r="L2926" s="80" t="s">
        <v>2310</v>
      </c>
    </row>
    <row r="2927">
      <c r="A2927" s="80" t="s">
        <v>1987</v>
      </c>
      <c r="B2927" s="81" t="str">
        <f>HYPERLINK("https://www.youtube.com/channel/UCgGUmm04nVyj-ftaCxVcyBg", "MangoHK大馬獅家")</f>
        <v>MangoHK大馬獅家</v>
      </c>
      <c r="C2927" s="80" t="s">
        <v>3299</v>
      </c>
      <c r="D2927" s="81" t="str">
        <f>HYPERLINK("https://youtube.com/watch?v=JDnk1AcQW8k", "【39】🍎超市大作戰🍲良記肉骨茶！{中英字幕}  Subtitled | Malaysia Supermarket | Malaysia Vlog | mm2h")</f>
        <v>【39】🍎超市大作戰🍲良記肉骨茶！{中英字幕}  Subtitled | Malaysia Supermarket | Malaysia Vlog | mm2h</v>
      </c>
      <c r="E2927" s="82">
        <v>44468.0</v>
      </c>
      <c r="F2927" s="80">
        <v>483.0</v>
      </c>
      <c r="G2927" s="80" t="s">
        <v>63</v>
      </c>
      <c r="I2927" s="80" t="s">
        <v>63</v>
      </c>
      <c r="J2927" s="80">
        <v>874.0</v>
      </c>
      <c r="K2927" s="80">
        <v>0.955191256830601</v>
      </c>
      <c r="L2927" s="80" t="s">
        <v>896</v>
      </c>
    </row>
    <row r="2928">
      <c r="A2928" s="80" t="s">
        <v>124</v>
      </c>
      <c r="B2928" s="81" t="str">
        <f>HYPERLINK("https://www.youtube.com/channel/UCg0vuSE0fBF_NvodyYhMcWg", "Wallace Studio HK")</f>
        <v>Wallace Studio HK</v>
      </c>
      <c r="C2928" s="80" t="s">
        <v>3300</v>
      </c>
      <c r="D2928" s="81" t="str">
        <f>HYPERLINK("https://youtube.com/watch?v=JF_VTAHQgIQ", "[開箱及評測] Galaxy Note 20 Ultra VS Note 20 港人評測，其實兩部機分別睇唔睇得出?")</f>
        <v>[開箱及評測] Galaxy Note 20 Ultra VS Note 20 港人評測，其實兩部機分別睇唔睇得出?</v>
      </c>
      <c r="E2928" s="82">
        <v>44078.0</v>
      </c>
      <c r="F2928" s="80">
        <v>733.0</v>
      </c>
      <c r="G2928" s="80" t="s">
        <v>63</v>
      </c>
      <c r="I2928" s="80" t="s">
        <v>63</v>
      </c>
      <c r="J2928" s="80">
        <v>2369.0</v>
      </c>
      <c r="K2928" s="80">
        <v>0.688863041581855</v>
      </c>
      <c r="L2928" s="80" t="s">
        <v>64</v>
      </c>
    </row>
    <row r="2929">
      <c r="A2929" s="80" t="s">
        <v>3162</v>
      </c>
      <c r="B2929" s="81" t="str">
        <f>HYPERLINK("https://www.youtube.com/channel/UCwz2_BsHZOaUO1zvS5zJBTw", "跟Theo一起爬坂道丨Theo Cheong")</f>
        <v>跟Theo一起爬坂道丨Theo Cheong</v>
      </c>
      <c r="C2929" s="80" t="s">
        <v>3301</v>
      </c>
      <c r="D2929" s="81" t="str">
        <f>HYPERLINK("https://youtube.com/watch?v=GxJ4QfIcIk4", "申請日本Working Holiday 我點寫理由書? | N4 Working Holiday | Vlog")</f>
        <v>申請日本Working Holiday 我點寫理由書? | N4 Working Holiday | Vlog</v>
      </c>
      <c r="E2929" s="82">
        <v>43549.0</v>
      </c>
      <c r="F2929" s="80">
        <v>306.0</v>
      </c>
      <c r="G2929" s="80" t="s">
        <v>63</v>
      </c>
      <c r="I2929" s="80" t="s">
        <v>63</v>
      </c>
      <c r="J2929" s="80">
        <v>994.0</v>
      </c>
      <c r="K2929" s="80">
        <v>0.835294117647058</v>
      </c>
      <c r="L2929" s="80" t="s">
        <v>64</v>
      </c>
    </row>
    <row r="2930">
      <c r="A2930" s="80" t="s">
        <v>127</v>
      </c>
      <c r="B2930" s="81" t="str">
        <f>HYPERLINK("https://www.youtube.com/channel/UC97oYK3XMf9RLtkc0lO8C-Q", "健康旦 HiEggo")</f>
        <v>健康旦 HiEggo</v>
      </c>
      <c r="C2930" s="80" t="s">
        <v>3302</v>
      </c>
      <c r="D2930" s="81" t="str">
        <f>HYPERLINK("https://youtube.com/watch?v=JIljRt0ohZc", "舒緩濕疹四季皆宜 金花油滋潤護膚當太陽油都得 鄧達智金花婆婆蔣芸介紹 - 鄭丹瑞《健康旦》 #鄧達智 Part 3 (CC中文字幕)")</f>
        <v>舒緩濕疹四季皆宜 金花油滋潤護膚當太陽油都得 鄧達智金花婆婆蔣芸介紹 - 鄭丹瑞《健康旦》 #鄧達智 Part 3 (CC中文字幕)</v>
      </c>
      <c r="E2930" s="82">
        <v>44094.0</v>
      </c>
      <c r="F2930" s="80">
        <v>611.0</v>
      </c>
      <c r="G2930" s="80" t="s">
        <v>63</v>
      </c>
      <c r="I2930" s="80" t="s">
        <v>63</v>
      </c>
      <c r="J2930" s="80">
        <v>2232.0</v>
      </c>
      <c r="K2930" s="80">
        <v>0.995539696699375</v>
      </c>
      <c r="L2930" s="80" t="s">
        <v>2771</v>
      </c>
    </row>
    <row r="2931">
      <c r="A2931" s="80" t="s">
        <v>2041</v>
      </c>
      <c r="B2931" s="81" t="str">
        <f>HYPERLINK("https://www.youtube.com/channel/UCO6pB-ZN4XJ6MVkibvuEe0A", "SingSingTracker 星昇財經指標")</f>
        <v>SingSingTracker 星昇財經指標</v>
      </c>
      <c r="C2931" s="80" t="s">
        <v>3303</v>
      </c>
      <c r="D2931" s="81" t="str">
        <f>HYPERLINK("https://youtube.com/watch?v=JLcLbWd0ZMA", "【5個小資的Passive Income】 想提早退休的必修課，學識被動收入【點CC中文字幕】#FWCChannel")</f>
        <v>【5個小資的Passive Income】 想提早退休的必修課，學識被動收入【點CC中文字幕】#FWCChannel</v>
      </c>
      <c r="E2931" s="82">
        <v>44278.0</v>
      </c>
      <c r="F2931" s="80">
        <v>558.0</v>
      </c>
      <c r="G2931" s="80" t="s">
        <v>63</v>
      </c>
      <c r="I2931" s="80" t="s">
        <v>63</v>
      </c>
      <c r="J2931" s="80">
        <v>1940.0</v>
      </c>
      <c r="K2931" s="80">
        <v>0.87624209575429</v>
      </c>
      <c r="L2931" s="80" t="s">
        <v>64</v>
      </c>
    </row>
    <row r="2932">
      <c r="A2932" s="80" t="s">
        <v>3139</v>
      </c>
      <c r="B2932" s="81" t="str">
        <f>HYPERLINK("https://www.youtube.com/channel/UCThO2xnH7XMg6plE8OgJm_w", "choyuen草原")</f>
        <v>choyuen草原</v>
      </c>
      <c r="C2932" s="80" t="s">
        <v>3304</v>
      </c>
      <c r="D2932" s="81" t="str">
        <f>HYPERLINK("https://youtube.com/watch?v=HBxpGzMuLqk", "拜登 x 梵蒂岡 – 愛●錫細路 (B. 點解錫) Girls to Biden x Boys to Vatican (B. Why)")</f>
        <v>拜登 x 梵蒂岡 – 愛●錫細路 (B. 點解錫) Girls to Biden x Boys to Vatican (B. Why)</v>
      </c>
      <c r="E2932" s="82">
        <v>44119.0</v>
      </c>
      <c r="F2932" s="80">
        <v>376.0</v>
      </c>
      <c r="G2932" s="80" t="s">
        <v>63</v>
      </c>
      <c r="I2932" s="80" t="s">
        <v>63</v>
      </c>
      <c r="J2932" s="80">
        <v>989.0</v>
      </c>
      <c r="K2932" s="80">
        <v>0.881461675579322</v>
      </c>
      <c r="L2932" s="80" t="s">
        <v>64</v>
      </c>
    </row>
    <row r="2933">
      <c r="A2933" s="80" t="s">
        <v>3134</v>
      </c>
      <c r="B2933" s="81" t="str">
        <f>HYPERLINK("https://www.youtube.com/channel/UC_vZsUCJrwYrbIRPHacAS_Q", "Coco哥")</f>
        <v>Coco哥</v>
      </c>
      <c r="C2933" s="80" t="s">
        <v>3305</v>
      </c>
      <c r="D2933" s="81" t="str">
        <f>HYPERLINK("https://youtube.com/watch?v=HFrkRjH7iRc", "BNO免費移民英國🇬🇧個個都話移民✈️唔通個個都想移民咩？")</f>
        <v>BNO免費移民英國🇬🇧個個都話移民✈️唔通個個都想移民咩？</v>
      </c>
      <c r="E2933" s="82">
        <v>44018.0</v>
      </c>
      <c r="F2933" s="80">
        <v>757.0</v>
      </c>
      <c r="G2933" s="80" t="s">
        <v>63</v>
      </c>
      <c r="I2933" s="80" t="s">
        <v>63</v>
      </c>
      <c r="J2933" s="80">
        <v>2993.0</v>
      </c>
      <c r="K2933" s="80">
        <v>0.932689311311935</v>
      </c>
      <c r="L2933" s="80" t="s">
        <v>64</v>
      </c>
    </row>
    <row r="2934">
      <c r="A2934" s="80" t="s">
        <v>127</v>
      </c>
      <c r="B2934" s="81" t="str">
        <f>HYPERLINK("https://www.youtube.com/channel/UC97oYK3XMf9RLtkc0lO8C-Q", "健康旦 HiEggo")</f>
        <v>健康旦 HiEggo</v>
      </c>
      <c r="C2934" s="80" t="s">
        <v>3306</v>
      </c>
      <c r="D2934" s="81" t="str">
        <f>HYPERLINK("https://youtube.com/watch?v=JNyrTpcLiCg", "香港製造符合歐盟最高標準 健康彩旦口罩第二批開賣  加推中童尺寸、彩旦紅新色 - 鄭丹瑞 旦Vlog (CC中文字幕)")</f>
        <v>香港製造符合歐盟最高標準 健康彩旦口罩第二批開賣  加推中童尺寸、彩旦紅新色 - 鄭丹瑞 旦Vlog (CC中文字幕)</v>
      </c>
      <c r="E2934" s="82">
        <v>44063.0</v>
      </c>
      <c r="F2934" s="80">
        <v>54.0</v>
      </c>
      <c r="G2934" s="80" t="s">
        <v>63</v>
      </c>
      <c r="I2934" s="80" t="s">
        <v>63</v>
      </c>
      <c r="J2934" s="80">
        <v>155.0</v>
      </c>
      <c r="K2934" s="80">
        <v>0.95679012345679</v>
      </c>
      <c r="L2934" s="80" t="s">
        <v>3307</v>
      </c>
    </row>
    <row r="2935">
      <c r="A2935" s="80" t="s">
        <v>1987</v>
      </c>
      <c r="B2935" s="81" t="str">
        <f>HYPERLINK("https://www.youtube.com/channel/UCgGUmm04nVyj-ftaCxVcyBg", "MangoHK大馬獅家")</f>
        <v>MangoHK大馬獅家</v>
      </c>
      <c r="C2935" s="80" t="s">
        <v>3308</v>
      </c>
      <c r="D2935" s="81" t="str">
        <f>HYPERLINK("https://youtube.com/watch?v=JObqsWa44vQ", "【38】🌾稻田適耕庄👨🏻‍🌾何謂寵物米？{中英字幕}  Subtitled | Malaysia Sekinchan | Malaysia Vlog | mm2h")</f>
        <v>【38】🌾稻田適耕庄👨🏻‍🌾何謂寵物米？{中英字幕}  Subtitled | Malaysia Sekinchan | Malaysia Vlog | mm2h</v>
      </c>
      <c r="E2935" s="82">
        <v>44468.0</v>
      </c>
      <c r="F2935" s="80">
        <v>441.0</v>
      </c>
      <c r="G2935" s="80" t="s">
        <v>63</v>
      </c>
      <c r="I2935" s="80" t="s">
        <v>63</v>
      </c>
      <c r="J2935" s="80">
        <v>1016.0</v>
      </c>
      <c r="K2935" s="80">
        <v>0.986407766990291</v>
      </c>
      <c r="L2935" s="80" t="s">
        <v>896</v>
      </c>
    </row>
    <row r="2936">
      <c r="A2936" s="80" t="s">
        <v>238</v>
      </c>
      <c r="B2936" s="81" t="str">
        <f>HYPERLINK("https://www.youtube.com/channel/UCSBkm4LwpgBmcA3MCtO8vqg", "Post76影音玩樂")</f>
        <v>Post76影音玩樂</v>
      </c>
      <c r="C2936" s="80" t="s">
        <v>3309</v>
      </c>
      <c r="D2936" s="81" t="str">
        <f>HYPERLINK("https://youtube.com/watch?v=JT7skrtAPW4", "良心價發燒入耳式 FAudio Dark Sky 評測後感 : 易推+靚聲｜10.2mm類鑽石動圈單元｜T.B.A.C 專利技術｜沉金銀合金導體（附cc字幕）【耳機評測】")</f>
        <v>良心價發燒入耳式 FAudio Dark Sky 評測後感 : 易推+靚聲｜10.2mm類鑽石動圈單元｜T.B.A.C 專利技術｜沉金銀合金導體（附cc字幕）【耳機評測】</v>
      </c>
      <c r="E2936" s="82">
        <v>44462.0</v>
      </c>
      <c r="F2936" s="80">
        <v>956.0</v>
      </c>
      <c r="G2936" s="80" t="s">
        <v>63</v>
      </c>
      <c r="H2936" s="80" t="s">
        <v>63</v>
      </c>
      <c r="I2936" s="80" t="s">
        <v>63</v>
      </c>
      <c r="J2936" s="80">
        <v>3813.0</v>
      </c>
      <c r="K2936" s="80">
        <v>0.911534701857282</v>
      </c>
      <c r="L2936" s="80" t="s">
        <v>66</v>
      </c>
    </row>
    <row r="2937">
      <c r="A2937" s="80" t="s">
        <v>98</v>
      </c>
      <c r="B2937" s="81" t="str">
        <f>HYPERLINK("https://www.youtube.com/channel/UCrquuQB6v1Ued2xyRKZreGQ", "Stephen Leung ")</f>
        <v>Stephen Leung </v>
      </c>
      <c r="C2937" s="80" t="s">
        <v>3310</v>
      </c>
      <c r="D2937" s="81" t="str">
        <f>HYPERLINK("https://youtube.com/watch?v=JX_kW5qseEc", "【香港自助餐】四季酒店 Argo 🔥 全新自助餐 $4XX全包! 首播! 搶先看 抵食高質! 新鮮刺身 即煎牛柳 Four Seasons Argo | 吃喝玩樂 香港好去處 電子消費券")</f>
        <v>【香港自助餐】四季酒店 Argo 🔥 全新自助餐 $4XX全包! 首播! 搶先看 抵食高質! 新鮮刺身 即煎牛柳 Four Seasons Argo | 吃喝玩樂 香港好去處 電子消費券</v>
      </c>
      <c r="E2937" s="82">
        <v>44403.0</v>
      </c>
      <c r="F2937" s="80">
        <v>841.0</v>
      </c>
      <c r="G2937" s="80" t="s">
        <v>63</v>
      </c>
      <c r="I2937" s="80" t="s">
        <v>63</v>
      </c>
      <c r="J2937" s="80">
        <v>1408.0</v>
      </c>
      <c r="K2937" s="80">
        <v>0.946872898453261</v>
      </c>
      <c r="L2937" s="80" t="s">
        <v>521</v>
      </c>
    </row>
    <row r="2938">
      <c r="A2938" s="80" t="s">
        <v>2972</v>
      </c>
      <c r="B2938" s="81" t="str">
        <f>HYPERLINK("https://www.youtube.com/channel/UCVMEQdIDLjHcKAsEwhVXEoQ", "Danny W.")</f>
        <v>Danny W.</v>
      </c>
      <c r="C2938" s="80" t="s">
        <v>3311</v>
      </c>
      <c r="D2938" s="81" t="str">
        <f>HYPERLINK("https://youtube.com/watch?v=JYELvxLTK9U", "Agreement of Adjective 形容詞規則 港法文 EP 8")</f>
        <v>Agreement of Adjective 形容詞規則 港法文 EP 8</v>
      </c>
      <c r="E2938" s="82">
        <v>44363.0</v>
      </c>
      <c r="F2938" s="80">
        <v>356.0</v>
      </c>
      <c r="G2938" s="80" t="s">
        <v>63</v>
      </c>
      <c r="I2938" s="80" t="s">
        <v>63</v>
      </c>
      <c r="J2938" s="80">
        <v>637.0</v>
      </c>
      <c r="K2938" s="80">
        <v>0.514539579967689</v>
      </c>
      <c r="L2938" s="80" t="s">
        <v>102</v>
      </c>
    </row>
    <row r="2939">
      <c r="A2939" s="80" t="s">
        <v>84</v>
      </c>
      <c r="B2939" s="81" t="str">
        <f>HYPERLINK("https://www.youtube.com/channel/UCs6fW24aVjefTsognevmDnA", "PakTil 拍跳")</f>
        <v>PakTil 拍跳</v>
      </c>
      <c r="C2939" s="80" t="s">
        <v>3312</v>
      </c>
      <c r="D2939" s="81" t="str">
        <f>HYPERLINK("https://youtube.com/watch?v=JZWS3WCIj_I", "【拍跳短跑】同fd夾錢租屋 最怕就係佢好嗰味!😨")</f>
        <v>【拍跳短跑】同fd夾錢租屋 最怕就係佢好嗰味!😨</v>
      </c>
      <c r="E2939" s="82">
        <v>44028.0</v>
      </c>
      <c r="F2939" s="80">
        <v>91.0</v>
      </c>
      <c r="G2939" s="80" t="s">
        <v>63</v>
      </c>
      <c r="I2939" s="80" t="s">
        <v>63</v>
      </c>
      <c r="J2939" s="80">
        <v>304.0</v>
      </c>
      <c r="K2939" s="80">
        <v>0.993464052287581</v>
      </c>
      <c r="L2939" s="80" t="s">
        <v>1850</v>
      </c>
    </row>
    <row r="2940">
      <c r="A2940" s="80" t="s">
        <v>1987</v>
      </c>
      <c r="B2940" s="81" t="str">
        <f>HYPERLINK("https://www.youtube.com/channel/UCgGUmm04nVyj-ftaCxVcyBg", "MangoHK大馬獅家")</f>
        <v>MangoHK大馬獅家</v>
      </c>
      <c r="C2940" s="80" t="s">
        <v>3313</v>
      </c>
      <c r="D2940" s="81" t="str">
        <f>HYPERLINK("https://youtube.com/watch?v=J_Cae0IeKg4", "【34】☎️號外🎥大馬12至17歲學童打疫苗！{字幕}  Subtitled | Malaysia 12-17 Kids Vaccine Dosing | Malaysia Vlog | mm2h")</f>
        <v>【34】☎️號外🎥大馬12至17歲學童打疫苗！{字幕}  Subtitled | Malaysia 12-17 Kids Vaccine Dosing | Malaysia Vlog | mm2h</v>
      </c>
      <c r="E2940" s="82">
        <v>44465.0</v>
      </c>
      <c r="F2940" s="80">
        <v>445.0</v>
      </c>
      <c r="G2940" s="80" t="s">
        <v>63</v>
      </c>
      <c r="I2940" s="80" t="s">
        <v>63</v>
      </c>
      <c r="J2940" s="80">
        <v>894.0</v>
      </c>
      <c r="K2940" s="80">
        <v>0.948038176033934</v>
      </c>
      <c r="L2940" s="80" t="s">
        <v>896</v>
      </c>
    </row>
    <row r="2941">
      <c r="A2941" s="80" t="s">
        <v>3165</v>
      </c>
      <c r="B2941" s="81" t="str">
        <f>HYPERLINK("https://www.youtube.com/channel/UCKmwhu-hyadoBCzzM0TBDHQ", "好易煮 oe cook")</f>
        <v>好易煮 oe cook</v>
      </c>
      <c r="C2941" s="80" t="s">
        <v>3314</v>
      </c>
      <c r="D2941" s="81" t="str">
        <f>HYPERLINK("https://youtube.com/watch?v=HzwewyCmOxs", "白飯魚煎蛋 Chinese Noodlefish (alias Ice Fish/Silver Fish) Omelette  **有字幕 With Subtitles**")</f>
        <v>白飯魚煎蛋 Chinese Noodlefish (alias Ice Fish/Silver Fish) Omelette  **有字幕 With Subtitles**</v>
      </c>
      <c r="E2941" s="82">
        <v>43827.0</v>
      </c>
      <c r="F2941" s="80">
        <v>359.0</v>
      </c>
      <c r="G2941" s="80" t="s">
        <v>63</v>
      </c>
      <c r="H2941" s="80" t="s">
        <v>63</v>
      </c>
      <c r="I2941" s="80" t="s">
        <v>63</v>
      </c>
      <c r="J2941" s="80">
        <v>201.0</v>
      </c>
      <c r="K2941" s="80">
        <v>0.987341772151898</v>
      </c>
      <c r="L2941" s="80" t="s">
        <v>3315</v>
      </c>
    </row>
    <row r="2942">
      <c r="A2942" s="80" t="s">
        <v>1260</v>
      </c>
      <c r="B2942" s="81" t="str">
        <f>HYPERLINK("https://www.youtube.com/channel/UCh1k4i86BpiXEO3nzJIYynw", "The Wave")</f>
        <v>The Wave</v>
      </c>
      <c r="C2942" s="80" t="s">
        <v>3316</v>
      </c>
      <c r="D2942" s="81" t="str">
        <f>HYPERLINK("https://youtube.com/watch?v=JfOthLMsRpc", "TheWave | Xperia 5 Plus ?! 傳聞Xperia分析")</f>
        <v>TheWave | Xperia 5 Plus ?! 傳聞Xperia分析</v>
      </c>
      <c r="E2942" s="82">
        <v>43845.0</v>
      </c>
      <c r="F2942" s="80">
        <v>209.0</v>
      </c>
      <c r="G2942" s="80" t="s">
        <v>63</v>
      </c>
      <c r="H2942" s="80" t="s">
        <v>63</v>
      </c>
      <c r="I2942" s="80" t="s">
        <v>63</v>
      </c>
      <c r="J2942" s="80">
        <v>653.0</v>
      </c>
      <c r="K2942" s="80">
        <v>0.742562929061784</v>
      </c>
      <c r="L2942" s="80" t="s">
        <v>1634</v>
      </c>
    </row>
    <row r="2943">
      <c r="A2943" s="80" t="s">
        <v>108</v>
      </c>
      <c r="B2943" s="81" t="str">
        <f>HYPERLINK("https://www.youtube.com/channel/UCZL6QN6Xs-ZrKY3y6Pv6Emg", "廢青 - 日賺3000")</f>
        <v>廢青 - 日賺3000</v>
      </c>
      <c r="C2943" s="80" t="s">
        <v>3317</v>
      </c>
      <c r="D2943" s="81" t="str">
        <f>HYPERLINK("https://youtube.com/watch?v=JgC_uyQ-458", "全職廢青交易員 年賺70%!! | 12個月教學精華重溫㊙㊙ | EP59【廢青 日賺3000】【點CC看中文字幕】")</f>
        <v>全職廢青交易員 年賺70%!! | 12個月教學精華重溫㊙㊙ | EP59【廢青 日賺3000】【點CC看中文字幕】</v>
      </c>
      <c r="E2943" s="82">
        <v>44212.0</v>
      </c>
      <c r="F2943" s="80">
        <v>1221.0</v>
      </c>
      <c r="G2943" s="80" t="s">
        <v>63</v>
      </c>
      <c r="I2943" s="80" t="s">
        <v>63</v>
      </c>
      <c r="J2943" s="80">
        <v>5276.0</v>
      </c>
      <c r="K2943" s="80">
        <v>0.901572112098427</v>
      </c>
      <c r="L2943" s="80" t="s">
        <v>64</v>
      </c>
    </row>
    <row r="2944">
      <c r="A2944" s="80" t="s">
        <v>3162</v>
      </c>
      <c r="B2944" s="81" t="str">
        <f t="shared" ref="B2944:B2945" si="155">HYPERLINK("https://www.youtube.com/channel/UCwz2_BsHZOaUO1zvS5zJBTw", "跟Theo一起爬坂道丨Theo Cheong")</f>
        <v>跟Theo一起爬坂道丨Theo Cheong</v>
      </c>
      <c r="C2944" s="80" t="s">
        <v>3318</v>
      </c>
      <c r="D2944" s="81" t="str">
        <f>HYPERLINK("https://youtube.com/watch?v=I2kkEbjdgns", "橫濱被放飛機 抱怨一日遊 | N4 Working Holiday | 窮毒L遊日本 Ep.10 | Travel | Vlog | Theo")</f>
        <v>橫濱被放飛機 抱怨一日遊 | N4 Working Holiday | 窮毒L遊日本 Ep.10 | Travel | Vlog | Theo</v>
      </c>
      <c r="E2944" s="82">
        <v>43608.0</v>
      </c>
      <c r="F2944" s="80">
        <v>285.0</v>
      </c>
      <c r="G2944" s="80" t="s">
        <v>63</v>
      </c>
      <c r="I2944" s="80" t="s">
        <v>63</v>
      </c>
      <c r="J2944" s="80">
        <v>854.0</v>
      </c>
      <c r="K2944" s="80">
        <v>0.902748414376321</v>
      </c>
      <c r="L2944" s="80" t="s">
        <v>64</v>
      </c>
    </row>
    <row r="2945">
      <c r="A2945" s="80" t="s">
        <v>3162</v>
      </c>
      <c r="B2945" s="81" t="str">
        <f t="shared" si="155"/>
        <v>跟Theo一起爬坂道丨Theo Cheong</v>
      </c>
      <c r="C2945" s="80" t="s">
        <v>3319</v>
      </c>
      <c r="D2945" s="81" t="str">
        <f>HYPERLINK("https://youtube.com/watch?v=IIuwgdlo31w", "挑戰 大阪舞王 係街跳舞會有幾多人睇? | N4 Working Holiday | Osaka | Vlog")</f>
        <v>挑戰 大阪舞王 係街跳舞會有幾多人睇? | N4 Working Holiday | Osaka | Vlog</v>
      </c>
      <c r="E2945" s="82">
        <v>43507.0</v>
      </c>
      <c r="F2945" s="80">
        <v>583.0</v>
      </c>
      <c r="G2945" s="80" t="s">
        <v>63</v>
      </c>
      <c r="I2945" s="80" t="s">
        <v>63</v>
      </c>
      <c r="J2945" s="80">
        <v>319.0</v>
      </c>
      <c r="K2945" s="80">
        <v>0.832898172323759</v>
      </c>
      <c r="L2945" s="80" t="s">
        <v>64</v>
      </c>
    </row>
    <row r="2946">
      <c r="A2946" s="80" t="s">
        <v>293</v>
      </c>
      <c r="B2946" s="81" t="str">
        <f>HYPERLINK("https://www.youtube.com/channel/UCXRcbXqjORdIvl63I7MtOLQ", "趁熱 Kerry 's kitchen")</f>
        <v>趁熱 Kerry 's kitchen</v>
      </c>
      <c r="C2946" s="80" t="s">
        <v>3320</v>
      </c>
      <c r="D2946" s="81" t="str">
        <f>HYPERLINK("https://youtube.com/watch?v=JgvJKNg6P5Y", "蝦醬煎豆腐/超惹味/下飯菜/長者菜/簡單 家做/新手 入門/廣東話/中文字幕/請打開右下角cc字幕然後點設定,自動翻譯提供多國語言翻譯包括英語")</f>
        <v>蝦醬煎豆腐/超惹味/下飯菜/長者菜/簡單 家做/新手 入門/廣東話/中文字幕/請打開右下角cc字幕然後點設定,自動翻譯提供多國語言翻譯包括英語</v>
      </c>
      <c r="E2946" s="82">
        <v>44426.0</v>
      </c>
      <c r="F2946" s="80">
        <v>487.0</v>
      </c>
      <c r="G2946" s="80" t="s">
        <v>63</v>
      </c>
      <c r="I2946" s="80" t="s">
        <v>63</v>
      </c>
      <c r="J2946" s="80">
        <v>1441.0</v>
      </c>
      <c r="K2946" s="80">
        <v>0.978940217391304</v>
      </c>
      <c r="L2946" s="80" t="s">
        <v>64</v>
      </c>
    </row>
    <row r="2947">
      <c r="A2947" s="80" t="s">
        <v>124</v>
      </c>
      <c r="B2947" s="81" t="str">
        <f>HYPERLINK("https://www.youtube.com/channel/UCg0vuSE0fBF_NvodyYhMcWg", "Wallace Studio HK")</f>
        <v>Wallace Studio HK</v>
      </c>
      <c r="C2947" s="80" t="s">
        <v>3321</v>
      </c>
      <c r="D2947" s="81" t="str">
        <f>HYPERLINK("https://youtube.com/watch?v=Jiddbu23oeg", "[開箱及評測]Galaxy Tab S7+ 香港人開箱及上手體驗(VS Galaxy Tab S6)")</f>
        <v>[開箱及評測]Galaxy Tab S7+ 香港人開箱及上手體驗(VS Galaxy Tab S6)</v>
      </c>
      <c r="E2947" s="82">
        <v>44067.0</v>
      </c>
      <c r="F2947" s="80">
        <v>629.0</v>
      </c>
      <c r="G2947" s="80" t="s">
        <v>63</v>
      </c>
      <c r="I2947" s="80" t="s">
        <v>63</v>
      </c>
      <c r="J2947" s="80">
        <v>1836.0</v>
      </c>
      <c r="K2947" s="80">
        <v>0.629198080877313</v>
      </c>
      <c r="L2947" s="80" t="s">
        <v>64</v>
      </c>
    </row>
    <row r="2948">
      <c r="A2948" s="80" t="s">
        <v>3162</v>
      </c>
      <c r="B2948" s="81" t="str">
        <f>HYPERLINK("https://www.youtube.com/channel/UCwz2_BsHZOaUO1zvS5zJBTw", "跟Theo一起爬坂道丨Theo Cheong")</f>
        <v>跟Theo一起爬坂道丨Theo Cheong</v>
      </c>
      <c r="C2948" s="80" t="s">
        <v>3322</v>
      </c>
      <c r="D2948" s="81" t="str">
        <f>HYPERLINK("https://youtube.com/watch?v=IfQ5nKs49lg", "人生第一次乃木坂46全國握手會 再見西野七瀨 | N4 Working Holiday | Vlog | Osaka")</f>
        <v>人生第一次乃木坂46全國握手會 再見西野七瀨 | N4 Working Holiday | Vlog | Osaka</v>
      </c>
      <c r="E2948" s="82">
        <v>43486.0</v>
      </c>
      <c r="F2948" s="80">
        <v>242.0</v>
      </c>
      <c r="G2948" s="80" t="s">
        <v>63</v>
      </c>
      <c r="I2948" s="80" t="s">
        <v>63</v>
      </c>
      <c r="J2948" s="80">
        <v>601.0</v>
      </c>
      <c r="K2948" s="80">
        <v>0.90375939849624</v>
      </c>
      <c r="L2948" s="80" t="s">
        <v>64</v>
      </c>
    </row>
    <row r="2949">
      <c r="A2949" s="80" t="s">
        <v>3323</v>
      </c>
      <c r="B2949" s="81" t="str">
        <f>HYPERLINK("https://www.youtube.com/channel/UCuRYdsKaDjx7EwEBidiEc3g", "Wangfai Choi")</f>
        <v>Wangfai Choi</v>
      </c>
      <c r="C2949" s="80" t="s">
        <v>3324</v>
      </c>
      <c r="D2949" s="81" t="str">
        <f>HYPERLINK("https://youtube.com/watch?v=IgD_R_UO048", "梁逸峰 - 找爸爸")</f>
        <v>梁逸峰 - 找爸爸</v>
      </c>
      <c r="E2949" s="82">
        <v>42864.0</v>
      </c>
      <c r="F2949" s="80">
        <v>124.0</v>
      </c>
      <c r="G2949" s="80" t="s">
        <v>63</v>
      </c>
      <c r="I2949" s="80" t="s">
        <v>63</v>
      </c>
      <c r="J2949" s="80">
        <v>163.0</v>
      </c>
      <c r="K2949" s="80">
        <v>1.0</v>
      </c>
      <c r="L2949" s="80" t="s">
        <v>745</v>
      </c>
    </row>
    <row r="2950">
      <c r="A2950" s="80" t="s">
        <v>127</v>
      </c>
      <c r="B2950" s="81" t="str">
        <f>HYPERLINK("https://www.youtube.com/channel/UC97oYK3XMf9RLtkc0lO8C-Q", "健康旦 HiEggo")</f>
        <v>健康旦 HiEggo</v>
      </c>
      <c r="C2950" s="80" t="s">
        <v>3325</v>
      </c>
      <c r="D2950" s="81" t="str">
        <f>HYPERLINK("https://youtube.com/watch?v=JlzBbkGhf1Y", "陳慧儀由吹玻璃變整甜品 超級食物甜品零色素 - 鄭丹瑞《健康旦》陳慧儀 Part 2（CC中文字幕）")</f>
        <v>陳慧儀由吹玻璃變整甜品 超級食物甜品零色素 - 鄭丹瑞《健康旦》陳慧儀 Part 2（CC中文字幕）</v>
      </c>
      <c r="E2950" s="82">
        <v>43935.0</v>
      </c>
      <c r="F2950" s="80">
        <v>615.0</v>
      </c>
      <c r="G2950" s="80" t="s">
        <v>63</v>
      </c>
      <c r="I2950" s="80" t="s">
        <v>63</v>
      </c>
      <c r="J2950" s="80">
        <v>2671.0</v>
      </c>
      <c r="K2950" s="80">
        <v>0.99813153961136</v>
      </c>
      <c r="L2950" s="80" t="s">
        <v>64</v>
      </c>
    </row>
    <row r="2951">
      <c r="A2951" s="80" t="s">
        <v>1390</v>
      </c>
      <c r="B2951" s="81" t="str">
        <f>HYPERLINK("https://www.youtube.com/channel/UCgwEJflQi4WnZ8PU0xdibZQ", "Kinson Ho")</f>
        <v>Kinson Ho</v>
      </c>
      <c r="C2951" s="80" t="s">
        <v>3326</v>
      </c>
      <c r="D2951" s="81" t="str">
        <f>HYPERLINK("https://youtube.com/watch?v=JnYbnPZ0f44", "K神任我行 -  [CC字幕4K] 橫洲黃白橋｜火石洲關刀洞｜西貢甕缸群島｜浮潛勝地｜航拍")</f>
        <v>K神任我行 -  [CC字幕4K] 橫洲黃白橋｜火石洲關刀洞｜西貢甕缸群島｜浮潛勝地｜航拍</v>
      </c>
      <c r="E2951" s="82">
        <v>44422.0</v>
      </c>
      <c r="F2951" s="80">
        <v>624.0</v>
      </c>
      <c r="G2951" s="80" t="s">
        <v>63</v>
      </c>
      <c r="I2951" s="80" t="s">
        <v>63</v>
      </c>
      <c r="J2951" s="80">
        <v>335.0</v>
      </c>
      <c r="K2951" s="80">
        <v>0.988200589970501</v>
      </c>
      <c r="L2951" s="80" t="s">
        <v>64</v>
      </c>
    </row>
    <row r="2952">
      <c r="A2952" s="80" t="s">
        <v>3255</v>
      </c>
      <c r="B2952" s="81" t="str">
        <f>HYPERLINK("https://www.youtube.com/channel/UC-RAzAVCKwf_o0XUlmoWGuQ", "半職人妻 Halfwife")</f>
        <v>半職人妻 Halfwife</v>
      </c>
      <c r="C2952" s="80" t="s">
        <v>3327</v>
      </c>
      <c r="D2952" s="81" t="str">
        <f>HYPERLINK("https://youtube.com/watch?v=IpKF1MLPCEA", "帶你深圳3小時高鐵直達桂林！住進山水畫中的陽朔｜半職人妻桂林自遊行 Travel in Guilin China ep1 (中字/Eng Sub）")</f>
        <v>帶你深圳3小時高鐵直達桂林！住進山水畫中的陽朔｜半職人妻桂林自遊行 Travel in Guilin China ep1 (中字/Eng Sub）</v>
      </c>
      <c r="E2952" s="82">
        <v>43597.0</v>
      </c>
      <c r="F2952" s="80">
        <v>545.0</v>
      </c>
      <c r="G2952" s="80" t="s">
        <v>63</v>
      </c>
      <c r="I2952" s="80" t="s">
        <v>63</v>
      </c>
      <c r="J2952" s="80">
        <v>1423.0</v>
      </c>
      <c r="K2952" s="80">
        <v>0.955033557046979</v>
      </c>
      <c r="L2952" s="80" t="s">
        <v>521</v>
      </c>
    </row>
    <row r="2953">
      <c r="A2953" s="80" t="s">
        <v>127</v>
      </c>
      <c r="B2953" s="81" t="str">
        <f>HYPERLINK("https://www.youtube.com/channel/UC97oYK3XMf9RLtkc0lO8C-Q", "健康旦 HiEggo")</f>
        <v>健康旦 HiEggo</v>
      </c>
      <c r="C2953" s="80" t="s">
        <v>3328</v>
      </c>
      <c r="D2953" s="81" t="str">
        <f>HYPERLINK("https://youtube.com/watch?v=JomRyWXFbd4", "李維恩教授提你定時補充 維他命C同益生菌 - 鄭丹瑞《健康旦》李維恩教授  Part2 (CC中文字幕)")</f>
        <v>李維恩教授提你定時補充 維他命C同益生菌 - 鄭丹瑞《健康旦》李維恩教授  Part2 (CC中文字幕)</v>
      </c>
      <c r="E2953" s="82">
        <v>43889.0</v>
      </c>
      <c r="F2953" s="80">
        <v>673.0</v>
      </c>
      <c r="G2953" s="80" t="s">
        <v>63</v>
      </c>
      <c r="I2953" s="80" t="s">
        <v>63</v>
      </c>
      <c r="J2953" s="80">
        <v>2685.0</v>
      </c>
      <c r="K2953" s="80">
        <v>0.984237536656891</v>
      </c>
      <c r="L2953" s="80" t="s">
        <v>102</v>
      </c>
    </row>
    <row r="2954">
      <c r="A2954" s="80" t="s">
        <v>124</v>
      </c>
      <c r="B2954" s="81" t="str">
        <f>HYPERLINK("https://www.youtube.com/channel/UCg0vuSE0fBF_NvodyYhMcWg", "Wallace Studio HK")</f>
        <v>Wallace Studio HK</v>
      </c>
      <c r="C2954" s="80" t="s">
        <v>3329</v>
      </c>
      <c r="D2954" s="81" t="str">
        <f>HYPERLINK("https://youtube.com/watch?v=Jph77-NX2j8", "[比較] iPad Pro 2020 VS Surface Pro 7 VS Surface Pro X 終極比較1/3  外觀及硬體上手比較")</f>
        <v>[比較] iPad Pro 2020 VS Surface Pro 7 VS Surface Pro X 終極比較1/3  外觀及硬體上手比較</v>
      </c>
      <c r="E2954" s="82">
        <v>44041.0</v>
      </c>
      <c r="F2954" s="80">
        <v>456.0</v>
      </c>
      <c r="G2954" s="80" t="s">
        <v>63</v>
      </c>
      <c r="H2954" s="80" t="s">
        <v>63</v>
      </c>
      <c r="I2954" s="80" t="s">
        <v>63</v>
      </c>
      <c r="J2954" s="80">
        <v>1101.0</v>
      </c>
      <c r="K2954" s="80">
        <v>0.556240369799691</v>
      </c>
      <c r="L2954" s="80" t="s">
        <v>86</v>
      </c>
    </row>
    <row r="2955">
      <c r="A2955" s="80" t="s">
        <v>3255</v>
      </c>
      <c r="B2955" s="81" t="str">
        <f>HYPERLINK("https://www.youtube.com/channel/UC-RAzAVCKwf_o0XUlmoWGuQ", "半職人妻 Halfwife")</f>
        <v>半職人妻 Halfwife</v>
      </c>
      <c r="C2955" s="80" t="s">
        <v>3330</v>
      </c>
      <c r="D2955" s="81" t="str">
        <f>HYPERLINK("https://youtube.com/watch?v=IyOwcARLcGY", "【發現外星文！】叢林游泳探索・喀比逍遙遊・Explore Krabi 2下篇/半職人妻 〔中字Eng Sub〕")</f>
        <v>【發現外星文！】叢林游泳探索・喀比逍遙遊・Explore Krabi 2下篇/半職人妻 〔中字Eng Sub〕</v>
      </c>
      <c r="E2955" s="82">
        <v>43520.0</v>
      </c>
      <c r="F2955" s="80">
        <v>562.0</v>
      </c>
      <c r="G2955" s="80" t="s">
        <v>63</v>
      </c>
      <c r="I2955" s="80" t="s">
        <v>63</v>
      </c>
      <c r="J2955" s="80">
        <v>1665.0</v>
      </c>
      <c r="K2955" s="80">
        <v>0.960207612456747</v>
      </c>
      <c r="L2955" s="80" t="s">
        <v>521</v>
      </c>
    </row>
    <row r="2956">
      <c r="A2956" s="80" t="s">
        <v>1260</v>
      </c>
      <c r="B2956" s="81" t="str">
        <f t="shared" ref="B2956:B2957" si="156">HYPERLINK("https://www.youtube.com/channel/UCh1k4i86BpiXEO3nzJIYynw", "The Wave")</f>
        <v>The Wave</v>
      </c>
      <c r="C2956" s="80" t="s">
        <v>3331</v>
      </c>
      <c r="D2956" s="81" t="str">
        <f>HYPERLINK("https://youtube.com/watch?v=Jtd81Q47AiU", "TheWave | Xperia 1藍光電影 電力測試")</f>
        <v>TheWave | Xperia 1藍光電影 電力測試</v>
      </c>
      <c r="E2956" s="82">
        <v>43625.0</v>
      </c>
      <c r="F2956" s="80">
        <v>102.0</v>
      </c>
      <c r="G2956" s="80" t="s">
        <v>63</v>
      </c>
      <c r="H2956" s="80" t="s">
        <v>63</v>
      </c>
      <c r="I2956" s="80" t="s">
        <v>63</v>
      </c>
      <c r="J2956" s="80">
        <v>152.0</v>
      </c>
      <c r="K2956" s="80">
        <v>0.804232804232804</v>
      </c>
      <c r="L2956" s="80" t="s">
        <v>1132</v>
      </c>
    </row>
    <row r="2957">
      <c r="A2957" s="80" t="s">
        <v>1260</v>
      </c>
      <c r="B2957" s="81" t="str">
        <f t="shared" si="156"/>
        <v>The Wave</v>
      </c>
      <c r="C2957" s="80" t="s">
        <v>3332</v>
      </c>
      <c r="D2957" s="81" t="str">
        <f>HYPERLINK("https://youtube.com/watch?v=Ju2U3X-zWLY", "TheWave | Sony Xperia 最新傳聞 J8010 Sphinx | 5G? Premium?")</f>
        <v>TheWave | Sony Xperia 最新傳聞 J8010 Sphinx | 5G? Premium?</v>
      </c>
      <c r="E2957" s="82">
        <v>43651.0</v>
      </c>
      <c r="F2957" s="80">
        <v>202.0</v>
      </c>
      <c r="G2957" s="80" t="s">
        <v>63</v>
      </c>
      <c r="H2957" s="80" t="s">
        <v>63</v>
      </c>
      <c r="I2957" s="80" t="s">
        <v>63</v>
      </c>
      <c r="J2957" s="80">
        <v>584.0</v>
      </c>
      <c r="K2957" s="80">
        <v>0.648168701442841</v>
      </c>
      <c r="L2957" s="80" t="s">
        <v>1634</v>
      </c>
    </row>
    <row r="2958">
      <c r="A2958" s="80" t="s">
        <v>3139</v>
      </c>
      <c r="B2958" s="81" t="str">
        <f>HYPERLINK("https://www.youtube.com/channel/UCThO2xnH7XMg6plE8OgJm_w", "choyuen草原")</f>
        <v>choyuen草原</v>
      </c>
      <c r="C2958" s="80" t="s">
        <v>3333</v>
      </c>
      <c r="D2958" s="81" t="str">
        <f>HYPERLINK("https://youtube.com/watch?v=Jh3rhjvPUqc", "迪士尼神聖數字 (A. 黃金比例 φ)   Sacred numbers in Disneφ (A. Golden ratio φ)")</f>
        <v>迪士尼神聖數字 (A. 黃金比例 φ)   Sacred numbers in Disneφ (A. Golden ratio φ)</v>
      </c>
      <c r="E2958" s="82">
        <v>44040.0</v>
      </c>
      <c r="F2958" s="80">
        <v>306.0</v>
      </c>
      <c r="G2958" s="80" t="s">
        <v>63</v>
      </c>
      <c r="I2958" s="80" t="s">
        <v>63</v>
      </c>
      <c r="J2958" s="80">
        <v>746.0</v>
      </c>
      <c r="K2958" s="80">
        <v>0.822491730981256</v>
      </c>
      <c r="L2958" s="80" t="s">
        <v>64</v>
      </c>
    </row>
    <row r="2959">
      <c r="A2959" s="80" t="s">
        <v>127</v>
      </c>
      <c r="B2959" s="81" t="str">
        <f>HYPERLINK("https://www.youtube.com/channel/UC97oYK3XMf9RLtkc0lO8C-Q", "健康旦 HiEggo")</f>
        <v>健康旦 HiEggo</v>
      </c>
      <c r="C2959" s="80" t="s">
        <v>3334</v>
      </c>
      <c r="D2959" s="81" t="str">
        <f>HYPERLINK("https://youtube.com/watch?v=JvzMRCk9F3Y", "大女鄭瑤教煮西方鹹魚肉醬意粉 細妹鄭珉爆家姐煮嘢食淨係負責洗碗 - 鄭丹瑞 旦Vlog #Zaneta鄭瑤  (CC中文字幕)")</f>
        <v>大女鄭瑤教煮西方鹹魚肉醬意粉 細妹鄭珉爆家姐煮嘢食淨係負責洗碗 - 鄭丹瑞 旦Vlog #Zaneta鄭瑤  (CC中文字幕)</v>
      </c>
      <c r="E2959" s="82">
        <v>44048.0</v>
      </c>
      <c r="F2959" s="80">
        <v>548.0</v>
      </c>
      <c r="G2959" s="80" t="s">
        <v>63</v>
      </c>
      <c r="I2959" s="80" t="s">
        <v>63</v>
      </c>
      <c r="J2959" s="80">
        <v>1669.0</v>
      </c>
      <c r="K2959" s="80">
        <v>0.954259576901086</v>
      </c>
      <c r="L2959" s="80" t="s">
        <v>2771</v>
      </c>
    </row>
    <row r="2960">
      <c r="A2960" s="80" t="s">
        <v>238</v>
      </c>
      <c r="B2960" s="81" t="str">
        <f>HYPERLINK("https://www.youtube.com/channel/UCSBkm4LwpgBmcA3MCtO8vqg", "Post76影音玩樂")</f>
        <v>Post76影音玩樂</v>
      </c>
      <c r="C2960" s="80" t="s">
        <v>3335</v>
      </c>
      <c r="D2960" s="81" t="str">
        <f>HYPERLINK("https://youtube.com/watch?v=JycTZRtWhtE", "😜😷 LG PuriCare 第二代智能口罩開箱  今次加埋VoiceON可以做埋黑武士勒！🧛‍♂️ | 功能 | 安裝 | 價錢 | （附加cc字幕）【口罩開箱】")</f>
        <v>😜😷 LG PuriCare 第二代智能口罩開箱  今次加埋VoiceON可以做埋黑武士勒！🧛‍♂️ | 功能 | 安裝 | 價錢 | （附加cc字幕）【口罩開箱】</v>
      </c>
      <c r="E2960" s="82">
        <v>44462.0</v>
      </c>
      <c r="F2960" s="80">
        <v>421.0</v>
      </c>
      <c r="G2960" s="80" t="s">
        <v>63</v>
      </c>
      <c r="H2960" s="80" t="s">
        <v>63</v>
      </c>
      <c r="I2960" s="80" t="s">
        <v>63</v>
      </c>
      <c r="J2960" s="80">
        <v>1589.0</v>
      </c>
      <c r="K2960" s="80">
        <v>0.944708680142687</v>
      </c>
      <c r="L2960" s="80" t="s">
        <v>66</v>
      </c>
    </row>
    <row r="2961">
      <c r="A2961" s="80" t="s">
        <v>3139</v>
      </c>
      <c r="B2961" s="81" t="str">
        <f>HYPERLINK("https://www.youtube.com/channel/UCThO2xnH7XMg6plE8OgJm_w", "choyuen草原")</f>
        <v>choyuen草原</v>
      </c>
      <c r="C2961" s="80" t="s">
        <v>3336</v>
      </c>
      <c r="D2961" s="81" t="str">
        <f>HYPERLINK("https://youtube.com/watch?v=JyQxMYzJkec", "『廣東話』香港有條化學跡 Hong Kong got Chemtrail【陰謀妄想症】")</f>
        <v>『廣東話』香港有條化學跡 Hong Kong got Chemtrail【陰謀妄想症】</v>
      </c>
      <c r="E2961" s="82">
        <v>43364.0</v>
      </c>
      <c r="F2961" s="80">
        <v>197.0</v>
      </c>
      <c r="G2961" s="80" t="s">
        <v>63</v>
      </c>
      <c r="I2961" s="80" t="s">
        <v>63</v>
      </c>
      <c r="J2961" s="80">
        <v>557.0</v>
      </c>
      <c r="K2961" s="80">
        <v>0.928333333333333</v>
      </c>
      <c r="L2961" s="80" t="s">
        <v>64</v>
      </c>
    </row>
    <row r="2962">
      <c r="A2962" s="80" t="s">
        <v>3162</v>
      </c>
      <c r="B2962" s="81" t="str">
        <f>HYPERLINK("https://www.youtube.com/channel/UCwz2_BsHZOaUO1zvS5zJBTw", "跟Theo一起爬坂道丨Theo Cheong")</f>
        <v>跟Theo一起爬坂道丨Theo Cheong</v>
      </c>
      <c r="C2962" s="80" t="s">
        <v>3337</v>
      </c>
      <c r="D2962" s="81" t="str">
        <f>HYPERLINK("https://youtube.com/watch?v=Jy_7BMiNNCc", "Working Holiday搵工經歷公開 藥妝店唔係必請中文人? | N4 Working Holiday | N4Theo | Sharing | Vlog")</f>
        <v>Working Holiday搵工經歷公開 藥妝店唔係必請中文人? | N4 Working Holiday | N4Theo | Sharing | Vlog</v>
      </c>
      <c r="E2962" s="82">
        <v>43556.0</v>
      </c>
      <c r="F2962" s="80">
        <v>322.0</v>
      </c>
      <c r="G2962" s="80" t="s">
        <v>63</v>
      </c>
      <c r="I2962" s="80" t="s">
        <v>63</v>
      </c>
      <c r="J2962" s="80">
        <v>1060.0</v>
      </c>
      <c r="K2962" s="80">
        <v>0.838607594936708</v>
      </c>
      <c r="L2962" s="80" t="s">
        <v>64</v>
      </c>
    </row>
    <row r="2963">
      <c r="A2963" s="80" t="s">
        <v>3194</v>
      </c>
      <c r="B2963" s="81" t="str">
        <f>HYPERLINK("https://www.youtube.com/channel/UCdEFfJveKJdmyeIBNg8zTCQ", "卡仙路玩玩下")</f>
        <v>卡仙路玩玩下</v>
      </c>
      <c r="C2963" s="80" t="s">
        <v>3338</v>
      </c>
      <c r="D2963" s="81" t="str">
        <f>HYPERLINK("https://youtube.com/watch?v=K4H3vXvc8Yc", "卡仙路玩玩下 - 台灣飛行傘初體驗（中文字幕）")</f>
        <v>卡仙路玩玩下 - 台灣飛行傘初體驗（中文字幕）</v>
      </c>
      <c r="E2963" s="82">
        <v>43568.0</v>
      </c>
      <c r="F2963" s="80">
        <v>280.0</v>
      </c>
      <c r="G2963" s="80" t="s">
        <v>63</v>
      </c>
      <c r="I2963" s="80" t="s">
        <v>63</v>
      </c>
      <c r="J2963" s="80">
        <v>763.0</v>
      </c>
      <c r="K2963" s="80">
        <v>0.998691099476439</v>
      </c>
      <c r="L2963" s="80" t="s">
        <v>64</v>
      </c>
    </row>
    <row r="2964">
      <c r="A2964" s="80" t="s">
        <v>3339</v>
      </c>
      <c r="B2964" s="81" t="str">
        <f>HYPERLINK("https://www.youtube.com/channel/UCo0lvDJ5ikc3hhD30ttGznw", "gingerlemoncola")</f>
        <v>gingerlemoncola</v>
      </c>
      <c r="C2964" s="80" t="s">
        <v>3340</v>
      </c>
      <c r="D2964" s="81" t="str">
        <f>HYPERLINK("https://youtube.com/watch?v=K0qKu3-GKmg", "【突發】用 $400 重新建造屋企爛牆！還原度100%？")</f>
        <v>【突發】用 $400 重新建造屋企爛牆！還原度100%？</v>
      </c>
      <c r="E2964" s="82">
        <v>43511.0</v>
      </c>
      <c r="F2964" s="80">
        <v>609.0</v>
      </c>
      <c r="G2964" s="80" t="s">
        <v>63</v>
      </c>
      <c r="I2964" s="80" t="s">
        <v>63</v>
      </c>
      <c r="J2964" s="80">
        <v>1975.0</v>
      </c>
      <c r="K2964" s="80">
        <v>0.903890160183066</v>
      </c>
      <c r="L2964" s="80" t="s">
        <v>64</v>
      </c>
    </row>
    <row r="2965">
      <c r="A2965" s="80" t="s">
        <v>127</v>
      </c>
      <c r="B2965" s="81" t="str">
        <f>HYPERLINK("https://www.youtube.com/channel/UC97oYK3XMf9RLtkc0lO8C-Q", "健康旦 HiEggo")</f>
        <v>健康旦 HiEggo</v>
      </c>
      <c r="C2965" s="80" t="s">
        <v>3341</v>
      </c>
      <c r="D2965" s="81" t="str">
        <f>HYPERLINK("https://youtube.com/watch?v=K1B5fShzOKQ", "陳美齡電療兩個月 荷爾蒙治療敏感瞼腫如方包 康復後擔任日本抗癌大使 - 鄭丹瑞《健康旦》 #陳美齡 Part 3 (CC中文字幕)")</f>
        <v>陳美齡電療兩個月 荷爾蒙治療敏感瞼腫如方包 康復後擔任日本抗癌大使 - 鄭丹瑞《健康旦》 #陳美齡 Part 3 (CC中文字幕)</v>
      </c>
      <c r="E2965" s="82">
        <v>44120.0</v>
      </c>
      <c r="F2965" s="80">
        <v>538.0</v>
      </c>
      <c r="G2965" s="80" t="s">
        <v>63</v>
      </c>
      <c r="I2965" s="80" t="s">
        <v>63</v>
      </c>
      <c r="J2965" s="80">
        <v>1704.0</v>
      </c>
      <c r="K2965" s="80">
        <v>0.986111111111111</v>
      </c>
      <c r="L2965" s="80" t="s">
        <v>64</v>
      </c>
    </row>
    <row r="2966">
      <c r="A2966" s="80" t="s">
        <v>248</v>
      </c>
      <c r="B2966" s="81" t="str">
        <f>HYPERLINK("https://www.youtube.com/channel/UCUEJok-GiWaGlv5nIPwk-GQ", "Price.com.hk 香港格價網")</f>
        <v>Price.com.hk 香港格價網</v>
      </c>
      <c r="C2966" s="80" t="s">
        <v>3342</v>
      </c>
      <c r="D2966" s="81" t="str">
        <f>HYPERLINK("https://youtube.com/watch?v=K64FOAF3DOc", "LG Mobile、Yahoo知識+宣佈結業！Facebook資料外洩 你也中招嗎？Sony Xperia 1 III料月中發表｜廣東話【Price Weekly #57 2021年4月】")</f>
        <v>LG Mobile、Yahoo知識+宣佈結業！Facebook資料外洩 你也中招嗎？Sony Xperia 1 III料月中發表｜廣東話【Price Weekly #57 2021年4月】</v>
      </c>
      <c r="E2966" s="82">
        <v>44296.0</v>
      </c>
      <c r="F2966" s="80">
        <v>599.0</v>
      </c>
      <c r="G2966" s="80" t="s">
        <v>63</v>
      </c>
      <c r="I2966" s="80" t="s">
        <v>63</v>
      </c>
      <c r="J2966" s="80">
        <v>2082.0</v>
      </c>
      <c r="K2966" s="80">
        <v>0.738821859474804</v>
      </c>
      <c r="L2966" s="80" t="s">
        <v>64</v>
      </c>
    </row>
    <row r="2967">
      <c r="A2967" s="80" t="s">
        <v>3162</v>
      </c>
      <c r="B2967" s="81" t="str">
        <f>HYPERLINK("https://www.youtube.com/channel/UCwz2_BsHZOaUO1zvS5zJBTw", "跟Theo一起爬坂道丨Theo Cheong")</f>
        <v>跟Theo一起爬坂道丨Theo Cheong</v>
      </c>
      <c r="C2967" s="80" t="s">
        <v>3343</v>
      </c>
      <c r="D2967" s="81" t="str">
        <f>HYPERLINK("https://youtube.com/watch?v=L9tqU1ul2LA", "三重県鳥羽市一日遊 睇海女潛落水 珍珠美人魚 | Working Holiday | 窮毒L遊日本 Ep.2 | Theo")</f>
        <v>三重県鳥羽市一日遊 睇海女潛落水 珍珠美人魚 | Working Holiday | 窮毒L遊日本 Ep.2 | Theo</v>
      </c>
      <c r="E2967" s="82">
        <v>43552.0</v>
      </c>
      <c r="F2967" s="80">
        <v>429.0</v>
      </c>
      <c r="G2967" s="80" t="s">
        <v>63</v>
      </c>
      <c r="I2967" s="80" t="s">
        <v>63</v>
      </c>
      <c r="J2967" s="80">
        <v>1119.0</v>
      </c>
      <c r="K2967" s="80">
        <v>0.930948419301164</v>
      </c>
      <c r="L2967" s="80" t="s">
        <v>64</v>
      </c>
    </row>
    <row r="2968">
      <c r="A2968" s="80" t="s">
        <v>3255</v>
      </c>
      <c r="B2968" s="81" t="str">
        <f>HYPERLINK("https://www.youtube.com/channel/UC-RAzAVCKwf_o0XUlmoWGuQ", "半職人妻 Halfwife")</f>
        <v>半職人妻 Halfwife</v>
      </c>
      <c r="C2968" s="80" t="s">
        <v>3344</v>
      </c>
      <c r="D2968" s="81" t="str">
        <f>HYPERLINK("https://youtube.com/watch?v=LAdd0kMHpI4", "【Exploring Krabi 喀比甲米逍遙遊】$2500機票酒店直航渡假平玩6天・上篇/半職人妻 〔中字/Eng sub〕")</f>
        <v>【Exploring Krabi 喀比甲米逍遙遊】$2500機票酒店直航渡假平玩6天・上篇/半職人妻 〔中字/Eng sub〕</v>
      </c>
      <c r="E2968" s="82">
        <v>43506.0</v>
      </c>
      <c r="F2968" s="80">
        <v>574.0</v>
      </c>
      <c r="G2968" s="80" t="s">
        <v>63</v>
      </c>
      <c r="I2968" s="80" t="s">
        <v>63</v>
      </c>
      <c r="J2968" s="80">
        <v>1780.0</v>
      </c>
      <c r="K2968" s="80">
        <v>0.922279792746113</v>
      </c>
      <c r="L2968" s="80" t="s">
        <v>521</v>
      </c>
    </row>
    <row r="2969">
      <c r="A2969" s="80" t="s">
        <v>3144</v>
      </c>
      <c r="B2969" s="81" t="str">
        <f>HYPERLINK("https://www.youtube.com/channel/UCZVmFDfn5WnixrHNf25MeJQ", "〈職人吹水〉@SingSingKitchen")</f>
        <v>〈職人吹水〉@SingSingKitchen</v>
      </c>
      <c r="C2969" s="80" t="s">
        <v>3345</v>
      </c>
      <c r="D2969" s="81" t="str">
        <f>HYPERLINK("https://youtube.com/watch?v=LZWska0hsMU", "〈 職人吹水〉 檸檬可樂 煮雞翼 甜甜酸酸 簡單易做Lemom Coke Chicken Wing")</f>
        <v>〈 職人吹水〉 檸檬可樂 煮雞翼 甜甜酸酸 簡單易做Lemom Coke Chicken Wing</v>
      </c>
      <c r="E2969" s="82">
        <v>43632.0</v>
      </c>
      <c r="F2969" s="80">
        <v>625.0</v>
      </c>
      <c r="G2969" s="80" t="s">
        <v>63</v>
      </c>
      <c r="I2969" s="80" t="s">
        <v>63</v>
      </c>
      <c r="J2969" s="80">
        <v>41.0</v>
      </c>
      <c r="K2969" s="80">
        <v>1.0</v>
      </c>
      <c r="L2969" s="80" t="s">
        <v>64</v>
      </c>
    </row>
    <row r="2970">
      <c r="A2970" s="80" t="s">
        <v>3151</v>
      </c>
      <c r="B2970" s="81" t="str">
        <f>HYPERLINK("https://www.youtube.com/channel/UCARY68c_VZHHXPsEDg9Bptw", "耀佳金融集團Yaw Kai Financial Group")</f>
        <v>耀佳金融集團Yaw Kai Financial Group</v>
      </c>
      <c r="C2970" s="80" t="s">
        <v>3346</v>
      </c>
      <c r="D2970" s="81" t="str">
        <f>HYPERLINK("https://youtube.com/watch?v=LjfDnI5OMyY", "【新股點評】思摩爾國際 (6969.HK) 抽唔抽得過?")</f>
        <v>【新股點評】思摩爾國際 (6969.HK) 抽唔抽得過?</v>
      </c>
      <c r="E2970" s="82">
        <v>44012.0</v>
      </c>
      <c r="F2970" s="80">
        <v>781.0</v>
      </c>
      <c r="G2970" s="80" t="s">
        <v>63</v>
      </c>
      <c r="I2970" s="80" t="s">
        <v>63</v>
      </c>
      <c r="J2970" s="80">
        <v>2315.0</v>
      </c>
      <c r="K2970" s="80">
        <v>0.979272419627749</v>
      </c>
      <c r="L2970" s="80" t="s">
        <v>64</v>
      </c>
    </row>
    <row r="2971">
      <c r="A2971" s="80" t="s">
        <v>3258</v>
      </c>
      <c r="B2971" s="81" t="str">
        <f>HYPERLINK("https://www.youtube.com/channel/UCK4AnMZq28qFthWA54mtdww", "吾知吾識")</f>
        <v>吾知吾識</v>
      </c>
      <c r="C2971" s="80" t="s">
        <v>3347</v>
      </c>
      <c r="D2971" s="81" t="str">
        <f>HYPERLINK("https://youtube.com/watch?v=LvDrBHmfnxk", "Only you可以點洗人腦？｜Classical Conditioning｜心理｜Far Cry 5")</f>
        <v>Only you可以點洗人腦？｜Classical Conditioning｜心理｜Far Cry 5</v>
      </c>
      <c r="E2971" s="82">
        <v>43418.0</v>
      </c>
      <c r="F2971" s="80">
        <v>549.0</v>
      </c>
      <c r="G2971" s="80" t="s">
        <v>63</v>
      </c>
      <c r="I2971" s="80" t="s">
        <v>63</v>
      </c>
      <c r="J2971" s="80">
        <v>2037.0</v>
      </c>
      <c r="K2971" s="80">
        <v>0.721572794899043</v>
      </c>
      <c r="L2971" s="80" t="s">
        <v>64</v>
      </c>
    </row>
    <row r="2972">
      <c r="A2972" s="80" t="s">
        <v>3158</v>
      </c>
      <c r="B2972" s="81" t="str">
        <f>HYPERLINK("https://www.youtube.com/channel/UCldJqbxFCPolSR6V9lszWDA", "魚波 Yu Ball")</f>
        <v>魚波 Yu Ball</v>
      </c>
      <c r="C2972" s="80" t="s">
        <v>3348</v>
      </c>
      <c r="D2972" s="81" t="str">
        <f>HYPERLINK("https://youtube.com/watch?v=LvHfF6Q-SUY", "我的修復準備與計劃... (CC字幕) 【魚波VLOG#36】 | HONDA VFR400翻新計劃 EP.1")</f>
        <v>我的修復準備與計劃... (CC字幕) 【魚波VLOG#36】 | HONDA VFR400翻新計劃 EP.1</v>
      </c>
      <c r="E2972" s="82">
        <v>44026.0</v>
      </c>
      <c r="F2972" s="80">
        <v>1615.0</v>
      </c>
      <c r="G2972" s="80" t="s">
        <v>63</v>
      </c>
      <c r="I2972" s="80" t="s">
        <v>63</v>
      </c>
      <c r="J2972" s="80">
        <v>6329.0</v>
      </c>
      <c r="K2972" s="80">
        <v>0.903110730593607</v>
      </c>
      <c r="L2972" s="80" t="s">
        <v>64</v>
      </c>
    </row>
    <row r="2973">
      <c r="A2973" s="80" t="s">
        <v>295</v>
      </c>
      <c r="B2973" s="81" t="str">
        <f>HYPERLINK("https://www.youtube.com/channel/UCIotQRUz6c4H-BRsouLt4YQ", "Captain and his squad")</f>
        <v>Captain and his squad</v>
      </c>
      <c r="C2973" s="80" t="s">
        <v>3349</v>
      </c>
      <c r="D2973" s="81" t="str">
        <f>HYPERLINK("https://youtube.com/watch?v=KGiP2YULJ-k", "【 教學 ep.04 : 訓練狗狗最重要嘅五大工具同秘訣(上) 🐕🚶🏻‍♂️🥇️ 】狗主必備必學招式｜新手養狗全攻略｜寵物資訊一睇就明《Captain 狗隻訓練》(cc中英字幕)")</f>
        <v>【 教學 ep.04 : 訓練狗狗最重要嘅五大工具同秘訣(上) 🐕🚶🏻‍♂️🥇️ 】狗主必備必學招式｜新手養狗全攻略｜寵物資訊一睇就明《Captain 狗隻訓練》(cc中英字幕)</v>
      </c>
      <c r="E2973" s="82">
        <v>44048.0</v>
      </c>
      <c r="F2973" s="80">
        <v>520.0</v>
      </c>
      <c r="G2973" s="80" t="s">
        <v>63</v>
      </c>
      <c r="H2973" s="80" t="s">
        <v>63</v>
      </c>
      <c r="I2973" s="80" t="s">
        <v>63</v>
      </c>
      <c r="J2973" s="80">
        <v>1909.0</v>
      </c>
      <c r="K2973" s="80">
        <v>0.963168516649848</v>
      </c>
      <c r="L2973" s="80" t="s">
        <v>3350</v>
      </c>
    </row>
    <row r="2974">
      <c r="A2974" s="80" t="s">
        <v>98</v>
      </c>
      <c r="B2974" s="81" t="str">
        <f>HYPERLINK("https://www.youtube.com/channel/UCrquuQB6v1Ued2xyRKZreGQ", "Stephen Leung ")</f>
        <v>Stephen Leung </v>
      </c>
      <c r="C2974" s="80" t="s">
        <v>3351</v>
      </c>
      <c r="D2974" s="81" t="str">
        <f>HYPERLINK("https://youtube.com/watch?v=KGp8SYV-Uok", "【香港 自助餐】五星酒店75折 W hotel 酒店 KITCHEN 自助餐 每位$463 酒店自助餐!仲包酒精任飲! 罕有日本紅蟹！自助午餐 任食 2.5 小時 | 吃喝玩樂  2021 香港好去處")</f>
        <v>【香港 自助餐】五星酒店75折 W hotel 酒店 KITCHEN 自助餐 每位$463 酒店自助餐!仲包酒精任飲! 罕有日本紅蟹！自助午餐 任食 2.5 小時 | 吃喝玩樂  2021 香港好去處</v>
      </c>
      <c r="E2974" s="82">
        <v>44481.0</v>
      </c>
      <c r="F2974" s="80">
        <v>864.0</v>
      </c>
      <c r="G2974" s="80" t="s">
        <v>63</v>
      </c>
      <c r="I2974" s="80" t="s">
        <v>63</v>
      </c>
      <c r="J2974" s="80">
        <v>1508.0</v>
      </c>
      <c r="K2974" s="80">
        <v>0.946641556811048</v>
      </c>
      <c r="L2974" s="80" t="s">
        <v>64</v>
      </c>
    </row>
    <row r="2975">
      <c r="A2975" s="80" t="s">
        <v>1139</v>
      </c>
      <c r="B2975" s="81" t="str">
        <f>HYPERLINK("https://www.youtube.com/channel/UCw51gVFijIewmXH4tIR0ufw", "Crystal Zen")</f>
        <v>Crystal Zen</v>
      </c>
      <c r="C2975" s="80" t="s">
        <v>3352</v>
      </c>
      <c r="D2975" s="81" t="str">
        <f>HYPERLINK("https://youtube.com/watch?v=KGwPoYGb4Rw", "[水晶知多啲] 超聚財之選 原色原石 黃玉| 同場加映 屬土水晶大對決 黃水晶 啡彼得石(按CC制開啟字幕)")</f>
        <v>[水晶知多啲] 超聚財之選 原色原石 黃玉| 同場加映 屬土水晶大對決 黃水晶 啡彼得石(按CC制開啟字幕)</v>
      </c>
      <c r="E2975" s="82">
        <v>44520.0</v>
      </c>
      <c r="F2975" s="80">
        <v>605.0</v>
      </c>
      <c r="G2975" s="80" t="s">
        <v>63</v>
      </c>
      <c r="I2975" s="80" t="s">
        <v>63</v>
      </c>
      <c r="J2975" s="80">
        <v>2335.0</v>
      </c>
      <c r="K2975" s="80">
        <v>0.969281859692818</v>
      </c>
      <c r="L2975" s="80" t="s">
        <v>64</v>
      </c>
    </row>
    <row r="2976">
      <c r="A2976" s="80" t="s">
        <v>238</v>
      </c>
      <c r="B2976" s="81" t="str">
        <f>HYPERLINK("https://www.youtube.com/channel/UCSBkm4LwpgBmcA3MCtO8vqg", "Post76影音玩樂")</f>
        <v>Post76影音玩樂</v>
      </c>
      <c r="C2976" s="80" t="s">
        <v>3353</v>
      </c>
      <c r="D2976" s="81" t="str">
        <f>HYPERLINK("https://youtube.com/watch?v=KHRcETvKyQE", "Epson EF-12 家用鐳射 Android TV 投影機 : 建構150""日系蝸居影院無難度！（附設cc字幕）【投影機評測】")</f>
        <v>Epson EF-12 家用鐳射 Android TV 投影機 : 建構150"日系蝸居影院無難度！（附設cc字幕）【投影機評測】</v>
      </c>
      <c r="E2976" s="82">
        <v>44522.0</v>
      </c>
      <c r="F2976" s="80">
        <v>1095.0</v>
      </c>
      <c r="G2976" s="80" t="s">
        <v>63</v>
      </c>
      <c r="H2976" s="80" t="s">
        <v>63</v>
      </c>
      <c r="I2976" s="80" t="s">
        <v>63</v>
      </c>
      <c r="J2976" s="80">
        <v>3802.0</v>
      </c>
      <c r="K2976" s="80">
        <v>0.889148737137511</v>
      </c>
      <c r="L2976" s="80" t="s">
        <v>240</v>
      </c>
    </row>
    <row r="2977">
      <c r="A2977" s="80" t="s">
        <v>3255</v>
      </c>
      <c r="B2977" s="81" t="str">
        <f>HYPERLINK("https://www.youtube.com/channel/UC-RAzAVCKwf_o0XUlmoWGuQ", "半職人妻 Halfwife")</f>
        <v>半職人妻 Halfwife</v>
      </c>
      <c r="C2977" s="80" t="s">
        <v>3354</v>
      </c>
      <c r="D2977" s="81" t="str">
        <f>HYPERLINK("https://youtube.com/watch?v=MCq3vCFDTS8", "南涌田作記｜城市外的另一選擇！比行山更有意義的田園體驗一日遊！｜半職人妻 (中字/Eng Sub)")</f>
        <v>南涌田作記｜城市外的另一選擇！比行山更有意義的田園體驗一日遊！｜半職人妻 (中字/Eng Sub)</v>
      </c>
      <c r="E2977" s="82">
        <v>43636.0</v>
      </c>
      <c r="F2977" s="80">
        <v>449.0</v>
      </c>
      <c r="G2977" s="80" t="s">
        <v>63</v>
      </c>
      <c r="I2977" s="80" t="s">
        <v>63</v>
      </c>
      <c r="J2977" s="80">
        <v>872.0</v>
      </c>
      <c r="K2977" s="80">
        <v>0.983089064261555</v>
      </c>
      <c r="L2977" s="80" t="s">
        <v>521</v>
      </c>
    </row>
    <row r="2978">
      <c r="A2978" s="80" t="s">
        <v>3139</v>
      </c>
      <c r="B2978" s="81" t="str">
        <f>HYPERLINK("https://www.youtube.com/channel/UCThO2xnH7XMg6plE8OgJm_w", "choyuen草原")</f>
        <v>choyuen草原</v>
      </c>
      <c r="C2978" s="80" t="s">
        <v>3355</v>
      </c>
      <c r="D2978" s="81" t="str">
        <f>HYPERLINK("https://youtube.com/watch?v=MImgqUe8XBY", "香港大學 - 失落的迎新營名物: 三色貓   The 3 Cats in HKU - Lost and Found")</f>
        <v>香港大學 - 失落的迎新營名物: 三色貓   The 3 Cats in HKU - Lost and Found</v>
      </c>
      <c r="E2978" s="82">
        <v>44354.0</v>
      </c>
      <c r="F2978" s="80">
        <v>226.0</v>
      </c>
      <c r="G2978" s="80" t="s">
        <v>63</v>
      </c>
      <c r="I2978" s="80" t="s">
        <v>63</v>
      </c>
      <c r="J2978" s="80">
        <v>630.0</v>
      </c>
      <c r="K2978" s="80">
        <v>0.785536159600997</v>
      </c>
      <c r="L2978" s="80" t="s">
        <v>64</v>
      </c>
    </row>
    <row r="2979">
      <c r="A2979" s="80" t="s">
        <v>3144</v>
      </c>
      <c r="B2979" s="81" t="str">
        <f>HYPERLINK("https://www.youtube.com/channel/UCZVmFDfn5WnixrHNf25MeJQ", "〈職人吹水〉@SingSingKitchen")</f>
        <v>〈職人吹水〉@SingSingKitchen</v>
      </c>
      <c r="C2979" s="80" t="s">
        <v>3356</v>
      </c>
      <c r="D2979" s="81" t="str">
        <f>HYPERLINK("https://youtube.com/watch?v=MO0U1pnzZOw", "〈職人吹水〉 酒樓點心 鬆軟肉餅如何製作 鹹魚肉餅飯 手打肉餅竅門 酒樓點心蒸飯 附上中文字幕")</f>
        <v>〈職人吹水〉 酒樓點心 鬆軟肉餅如何製作 鹹魚肉餅飯 手打肉餅竅門 酒樓點心蒸飯 附上中文字幕</v>
      </c>
      <c r="E2979" s="82">
        <v>44470.0</v>
      </c>
      <c r="F2979" s="80">
        <v>1237.0</v>
      </c>
      <c r="G2979" s="80" t="s">
        <v>63</v>
      </c>
      <c r="I2979" s="80" t="s">
        <v>63</v>
      </c>
      <c r="J2979" s="80">
        <v>3767.0</v>
      </c>
      <c r="K2979" s="80">
        <v>0.976919087136929</v>
      </c>
      <c r="L2979" s="80" t="s">
        <v>745</v>
      </c>
    </row>
    <row r="2980">
      <c r="A2980" s="80" t="s">
        <v>288</v>
      </c>
      <c r="B2980" s="81" t="str">
        <f>HYPERLINK("https://www.youtube.com/channel/UCDWOYEhVnyD4IHZGVAMLc0g", "Brendan 毛爸")</f>
        <v>Brendan 毛爸</v>
      </c>
      <c r="C2980" s="80" t="s">
        <v>3357</v>
      </c>
      <c r="D2980" s="81" t="str">
        <f>HYPERLINK("https://youtube.com/watch?v=KOzJF2udq3Y", "《真實分享》點解一收到BNO，就要退回英國🇬🇧！一場歡喜一場空😢！希望大家可以及早知道！（請留意說明之修正） [請打開CC 查看中文字幕]")</f>
        <v>《真實分享》點解一收到BNO，就要退回英國🇬🇧！一場歡喜一場空😢！希望大家可以及早知道！（請留意說明之修正） [請打開CC 查看中文字幕]</v>
      </c>
      <c r="E2980" s="82">
        <v>43898.0</v>
      </c>
      <c r="F2980" s="80">
        <v>308.0</v>
      </c>
      <c r="G2980" s="80" t="s">
        <v>63</v>
      </c>
      <c r="I2980" s="80" t="s">
        <v>63</v>
      </c>
      <c r="J2980" s="80">
        <v>906.0</v>
      </c>
      <c r="K2980" s="80">
        <v>0.838888888888888</v>
      </c>
      <c r="L2980" s="80" t="s">
        <v>64</v>
      </c>
    </row>
    <row r="2981">
      <c r="A2981" s="80" t="s">
        <v>3134</v>
      </c>
      <c r="B2981" s="81" t="str">
        <f>HYPERLINK("https://www.youtube.com/channel/UC_vZsUCJrwYrbIRPHacAS_Q", "Coco哥")</f>
        <v>Coco哥</v>
      </c>
      <c r="C2981" s="80" t="s">
        <v>3358</v>
      </c>
      <c r="D2981" s="81" t="str">
        <f>HYPERLINK("https://youtube.com/watch?v=MeCE2Z3cpiE", "竟然? 有手信! 留言抽獎! | Margaret 去澳洲昆士蘭 Ep6 - Cairns Port Douglas")</f>
        <v>竟然? 有手信! 留言抽獎! | Margaret 去澳洲昆士蘭 Ep6 - Cairns Port Douglas</v>
      </c>
      <c r="E2981" s="82">
        <v>43441.0</v>
      </c>
      <c r="F2981" s="80">
        <v>627.0</v>
      </c>
      <c r="G2981" s="80" t="s">
        <v>63</v>
      </c>
      <c r="I2981" s="80" t="s">
        <v>63</v>
      </c>
      <c r="J2981" s="80">
        <v>1039.0</v>
      </c>
      <c r="K2981" s="80">
        <v>0.859387923904052</v>
      </c>
      <c r="L2981" s="80" t="s">
        <v>1206</v>
      </c>
    </row>
    <row r="2982">
      <c r="A2982" s="80" t="s">
        <v>238</v>
      </c>
      <c r="B2982" s="81" t="str">
        <f>HYPERLINK("https://www.youtube.com/channel/UCSBkm4LwpgBmcA3MCtO8vqg", "Post76影音玩樂")</f>
        <v>Post76影音玩樂</v>
      </c>
      <c r="C2982" s="80" t="s">
        <v>3359</v>
      </c>
      <c r="D2982" s="81" t="str">
        <f>HYPERLINK("https://youtube.com/watch?v=KUva65E6zyg", "Mission QX MKII 喇叭活動 : 超性價比家庭影色玩樂體驗會（附設cc字幕）【試玩會】")</f>
        <v>Mission QX MKII 喇叭活動 : 超性價比家庭影色玩樂體驗會（附設cc字幕）【試玩會】</v>
      </c>
      <c r="E2982" s="82">
        <v>44566.0</v>
      </c>
      <c r="F2982" s="80">
        <v>421.0</v>
      </c>
      <c r="G2982" s="80" t="s">
        <v>63</v>
      </c>
      <c r="H2982" s="80" t="s">
        <v>63</v>
      </c>
      <c r="I2982" s="80" t="s">
        <v>63</v>
      </c>
      <c r="J2982" s="80">
        <v>1231.0</v>
      </c>
      <c r="K2982" s="80">
        <v>0.886346863468634</v>
      </c>
      <c r="L2982" s="80" t="s">
        <v>240</v>
      </c>
    </row>
    <row r="2983">
      <c r="A2983" s="80" t="s">
        <v>2825</v>
      </c>
      <c r="B2983" s="81" t="str">
        <f>HYPERLINK("https://www.youtube.com/channel/UCP7XhYDgUbvjvaHxIhjTd_g", "Maviskuku 雞蛋妹")</f>
        <v>Maviskuku 雞蛋妹</v>
      </c>
      <c r="C2983" s="80" t="s">
        <v>3360</v>
      </c>
      <c r="D2983" s="81" t="str">
        <f>HYPERLINK("https://youtube.com/watch?v=KVUGmzVh9tQ", "親民價 Sennheiser 降噪耳機！Sennheiser CX Plus True Wireless 無線耳機評測｜aptX adaptive、降噪、透通、App")</f>
        <v>親民價 Sennheiser 降噪耳機！Sennheiser CX Plus True Wireless 無線耳機評測｜aptX adaptive、降噪、透通、App</v>
      </c>
      <c r="E2983" s="82">
        <v>44489.0</v>
      </c>
      <c r="F2983" s="80">
        <v>428.0</v>
      </c>
      <c r="G2983" s="80" t="s">
        <v>63</v>
      </c>
      <c r="H2983" s="80" t="s">
        <v>63</v>
      </c>
      <c r="I2983" s="80" t="s">
        <v>63</v>
      </c>
      <c r="J2983" s="80">
        <v>1347.0</v>
      </c>
      <c r="K2983" s="80">
        <v>0.771662763466042</v>
      </c>
      <c r="L2983" s="80" t="s">
        <v>66</v>
      </c>
    </row>
    <row r="2984">
      <c r="A2984" s="80" t="s">
        <v>127</v>
      </c>
      <c r="B2984" s="81" t="str">
        <f>HYPERLINK("https://www.youtube.com/channel/UC97oYK3XMf9RLtkc0lO8C-Q", "健康旦 HiEggo")</f>
        <v>健康旦 HiEggo</v>
      </c>
      <c r="C2984" s="80" t="s">
        <v>3361</v>
      </c>
      <c r="D2984" s="81" t="str">
        <f>HYPERLINK("https://youtube.com/watch?v=KVqJ6-GGifU", "防疫勤洗手重要過戴口罩 接觸飛沫機會不高 邊洗手邊唱生日歌當洗手歌計時 家居防疫須注意地氈、座廁等等 - 鄭丹瑞《健康旦》盧浩然醫生 PART 4 (CC中文字幕)")</f>
        <v>防疫勤洗手重要過戴口罩 接觸飛沫機會不高 邊洗手邊唱生日歌當洗手歌計時 家居防疫須注意地氈、座廁等等 - 鄭丹瑞《健康旦》盧浩然醫生 PART 4 (CC中文字幕)</v>
      </c>
      <c r="E2984" s="82">
        <v>43874.0</v>
      </c>
      <c r="F2984" s="80">
        <v>944.0</v>
      </c>
      <c r="G2984" s="80" t="s">
        <v>63</v>
      </c>
      <c r="I2984" s="80" t="s">
        <v>63</v>
      </c>
      <c r="J2984" s="80">
        <v>3486.0</v>
      </c>
      <c r="K2984" s="80">
        <v>0.936341659951651</v>
      </c>
      <c r="L2984" s="80" t="s">
        <v>102</v>
      </c>
    </row>
    <row r="2985">
      <c r="A2985" s="80" t="s">
        <v>124</v>
      </c>
      <c r="B2985" s="81" t="str">
        <f>HYPERLINK("https://www.youtube.com/channel/UCg0vuSE0fBF_NvodyYhMcWg", "Wallace Studio HK")</f>
        <v>Wallace Studio HK</v>
      </c>
      <c r="C2985" s="80" t="s">
        <v>3362</v>
      </c>
      <c r="D2985" s="81" t="str">
        <f>HYPERLINK("https://youtube.com/watch?v=KWKU2VkmI-I", "[電子週邊]購買無線充電盤考慮因素? | Moshi Otto Q 無線充電盤 | 無線充電盤大對決!!")</f>
        <v>[電子週邊]購買無線充電盤考慮因素? | Moshi Otto Q 無線充電盤 | 無線充電盤大對決!!</v>
      </c>
      <c r="E2985" s="82">
        <v>44477.0</v>
      </c>
      <c r="F2985" s="80">
        <v>311.0</v>
      </c>
      <c r="G2985" s="80" t="s">
        <v>63</v>
      </c>
      <c r="H2985" s="80" t="s">
        <v>63</v>
      </c>
      <c r="I2985" s="80" t="s">
        <v>63</v>
      </c>
      <c r="J2985" s="80">
        <v>1049.0</v>
      </c>
      <c r="K2985" s="80">
        <v>0.845967741935483</v>
      </c>
      <c r="L2985" s="80" t="s">
        <v>86</v>
      </c>
    </row>
    <row r="2986">
      <c r="A2986" s="80" t="s">
        <v>84</v>
      </c>
      <c r="B2986" s="81" t="str">
        <f>HYPERLINK("https://www.youtube.com/channel/UCs6fW24aVjefTsognevmDnA", "PakTil 拍跳")</f>
        <v>PakTil 拍跳</v>
      </c>
      <c r="C2986" s="80" t="s">
        <v>3363</v>
      </c>
      <c r="D2986" s="81" t="str">
        <f>HYPERLINK("https://youtube.com/watch?v=KXdGr9oM7v8", "【拍跳短跑】唱K點時光機  從來都係估歌仔遊戲")</f>
        <v>【拍跳短跑】唱K點時光機  從來都係估歌仔遊戲</v>
      </c>
      <c r="E2986" s="82">
        <v>44046.0</v>
      </c>
      <c r="F2986" s="80">
        <v>38.0</v>
      </c>
      <c r="G2986" s="80" t="s">
        <v>63</v>
      </c>
      <c r="I2986" s="80" t="s">
        <v>63</v>
      </c>
      <c r="J2986" s="80">
        <v>62.0</v>
      </c>
      <c r="K2986" s="80">
        <v>1.0</v>
      </c>
      <c r="L2986" s="80" t="s">
        <v>86</v>
      </c>
    </row>
    <row r="2987">
      <c r="A2987" s="80" t="s">
        <v>3139</v>
      </c>
      <c r="B2987" s="81" t="str">
        <f>HYPERLINK("https://www.youtube.com/channel/UCThO2xnH7XMg6plE8OgJm_w", "choyuen草原")</f>
        <v>choyuen草原</v>
      </c>
      <c r="C2987" s="80" t="s">
        <v>3364</v>
      </c>
      <c r="D2987" s="81" t="str">
        <f>HYPERLINK("https://youtube.com/watch?v=NEr9rVL5HiQ", "『廣東話』榮格講耶穌● 我們的雙魚時代  Carl G. Jung : Jesus and Pisces【禁忌的傳說】")</f>
        <v>『廣東話』榮格講耶穌● 我們的雙魚時代  Carl G. Jung : Jesus and Pisces【禁忌的傳說】</v>
      </c>
      <c r="E2987" s="82">
        <v>43541.0</v>
      </c>
      <c r="F2987" s="80">
        <v>326.0</v>
      </c>
      <c r="G2987" s="80" t="s">
        <v>63</v>
      </c>
      <c r="I2987" s="80" t="s">
        <v>63</v>
      </c>
      <c r="J2987" s="80">
        <v>983.0</v>
      </c>
      <c r="K2987" s="80">
        <v>0.890398550724637</v>
      </c>
      <c r="L2987" s="80" t="s">
        <v>64</v>
      </c>
    </row>
    <row r="2988">
      <c r="A2988" s="80" t="s">
        <v>293</v>
      </c>
      <c r="B2988" s="81" t="str">
        <f>HYPERLINK("https://www.youtube.com/channel/UCXRcbXqjORdIvl63I7MtOLQ", "趁熱 Kerry 's kitchen")</f>
        <v>趁熱 Kerry 's kitchen</v>
      </c>
      <c r="C2988" s="80" t="s">
        <v>3365</v>
      </c>
      <c r="D2988" s="81" t="str">
        <f>HYPERLINK("https://youtube.com/watch?v=KZ8StZn_bv0", "馬鈴薯 煎蛋/薯仔煎蛋/下飯菜/香脆/簡單好做冇得輸/粵語/中字/Rosti/cc subtitle")</f>
        <v>馬鈴薯 煎蛋/薯仔煎蛋/下飯菜/香脆/簡單好做冇得輸/粵語/中字/Rosti/cc subtitle</v>
      </c>
      <c r="E2988" s="82">
        <v>44316.0</v>
      </c>
      <c r="F2988" s="80">
        <v>511.0</v>
      </c>
      <c r="G2988" s="80" t="s">
        <v>63</v>
      </c>
      <c r="I2988" s="80" t="s">
        <v>63</v>
      </c>
      <c r="J2988" s="80">
        <v>1554.0</v>
      </c>
      <c r="K2988" s="80">
        <v>0.972465581977471</v>
      </c>
      <c r="L2988" s="80" t="s">
        <v>64</v>
      </c>
    </row>
    <row r="2989">
      <c r="A2989" s="80" t="s">
        <v>2041</v>
      </c>
      <c r="B2989" s="81" t="str">
        <f>HYPERLINK("https://www.youtube.com/channel/UCO6pB-ZN4XJ6MVkibvuEe0A", "SingSingTracker 星昇財經指標")</f>
        <v>SingSingTracker 星昇財經指標</v>
      </c>
      <c r="C2989" s="80" t="s">
        <v>3366</v>
      </c>
      <c r="D2989" s="81" t="str">
        <f>HYPERLINK("https://youtube.com/watch?v=K_0IZESCx1s", "【加密貨幣必勝法❓】如何入手crypto currency？【點CC中文字幕】#FWCChannel​​​ #加密貨幣")</f>
        <v>【加密貨幣必勝法❓】如何入手crypto currency？【點CC中文字幕】#FWCChannel​​​ #加密貨幣</v>
      </c>
      <c r="E2989" s="82">
        <v>44315.0</v>
      </c>
      <c r="F2989" s="80">
        <v>317.0</v>
      </c>
      <c r="G2989" s="80" t="s">
        <v>63</v>
      </c>
      <c r="I2989" s="80" t="s">
        <v>63</v>
      </c>
      <c r="J2989" s="80">
        <v>1138.0</v>
      </c>
      <c r="K2989" s="80">
        <v>0.769959404600811</v>
      </c>
      <c r="L2989" s="80" t="s">
        <v>64</v>
      </c>
    </row>
    <row r="2990">
      <c r="A2990" s="80" t="s">
        <v>2753</v>
      </c>
      <c r="B2990" s="81" t="str">
        <f>HYPERLINK("https://www.youtube.com/channel/UCxRXNy5P6fLtHYpawxoiqJQ", "焦點視頻")</f>
        <v>焦點視頻</v>
      </c>
      <c r="C2990" s="80" t="s">
        <v>3367</v>
      </c>
      <c r="D2990" s="81" t="str">
        <f>HYPERLINK("https://youtube.com/watch?v=K__cYHb2LQQ", "(中字) 犯太歲如何化解？趨吉避凶的原理，命運的真相！《李應聰風水命理》 #犯太歳 #趨吉避凶 #時間與空間 #命運的原理 #李應聰 #八字教學 EP122 20211202")</f>
        <v>(中字) 犯太歲如何化解？趨吉避凶的原理，命運的真相！《李應聰風水命理》 #犯太歳 #趨吉避凶 #時間與空間 #命運的原理 #李應聰 #八字教學 EP122 20211202</v>
      </c>
      <c r="E2990" s="82">
        <v>44531.0</v>
      </c>
      <c r="F2990" s="80">
        <v>1089.0</v>
      </c>
      <c r="G2990" s="80" t="s">
        <v>63</v>
      </c>
      <c r="I2990" s="80" t="s">
        <v>63</v>
      </c>
      <c r="J2990" s="80">
        <v>4631.0</v>
      </c>
      <c r="K2990" s="80">
        <v>0.992073693230505</v>
      </c>
      <c r="L2990" s="80" t="s">
        <v>3012</v>
      </c>
    </row>
    <row r="2991">
      <c r="A2991" s="80" t="s">
        <v>1139</v>
      </c>
      <c r="B2991" s="81" t="str">
        <f>HYPERLINK("https://www.youtube.com/channel/UCw51gVFijIewmXH4tIR0ufw", "Crystal Zen")</f>
        <v>Crystal Zen</v>
      </c>
      <c r="C2991" s="80" t="s">
        <v>3368</v>
      </c>
      <c r="D2991" s="81" t="str">
        <f>HYPERLINK("https://youtube.com/watch?v=KacT991Dmwg", "[水晶知多啲第二集]同你講下正財事業貴人水晶綠幽靈")</f>
        <v>[水晶知多啲第二集]同你講下正財事業貴人水晶綠幽靈</v>
      </c>
      <c r="E2991" s="82">
        <v>43943.0</v>
      </c>
      <c r="F2991" s="80">
        <v>565.0</v>
      </c>
      <c r="G2991" s="80" t="s">
        <v>63</v>
      </c>
      <c r="I2991" s="80" t="s">
        <v>63</v>
      </c>
      <c r="J2991" s="80">
        <v>2633.0</v>
      </c>
      <c r="K2991" s="80">
        <v>0.955370101596516</v>
      </c>
      <c r="L2991" s="80" t="s">
        <v>64</v>
      </c>
    </row>
    <row r="2992">
      <c r="A2992" s="80" t="s">
        <v>238</v>
      </c>
      <c r="B2992" s="81" t="str">
        <f>HYPERLINK("https://www.youtube.com/channel/UCSBkm4LwpgBmcA3MCtO8vqg", "Post76影音玩樂")</f>
        <v>Post76影音玩樂</v>
      </c>
      <c r="C2992" s="80" t="s">
        <v>3369</v>
      </c>
      <c r="D2992" s="81" t="str">
        <f>HYPERLINK("https://youtube.com/watch?v=KiWKMGZn5GU", "Denon Home SoundBar 550 + 150 新軟體升級支援無線後置+超低音教學實試（附設cc字幕）【喇叭評測】")</f>
        <v>Denon Home SoundBar 550 + 150 新軟體升級支援無線後置+超低音教學實試（附設cc字幕）【喇叭評測】</v>
      </c>
      <c r="E2992" s="82">
        <v>44553.0</v>
      </c>
      <c r="F2992" s="80">
        <v>784.0</v>
      </c>
      <c r="G2992" s="80" t="s">
        <v>63</v>
      </c>
      <c r="I2992" s="80" t="s">
        <v>63</v>
      </c>
      <c r="J2992" s="80">
        <v>2882.0</v>
      </c>
      <c r="K2992" s="80">
        <v>0.80750910619221</v>
      </c>
      <c r="L2992" s="80" t="s">
        <v>240</v>
      </c>
    </row>
    <row r="2993">
      <c r="A2993" s="80" t="s">
        <v>124</v>
      </c>
      <c r="B2993" s="81" t="str">
        <f>HYPERLINK("https://www.youtube.com/channel/UCg0vuSE0fBF_NvodyYhMcWg", "Wallace Studio HK")</f>
        <v>Wallace Studio HK</v>
      </c>
      <c r="C2993" s="80" t="s">
        <v>3370</v>
      </c>
      <c r="D2993" s="81" t="str">
        <f>HYPERLINK("https://youtube.com/watch?v=KifYl2bcLqA", "[詳細比較] Galaxy Tab S7 VS Galaxy Tab S7+ 有咩分别? | 香港人評測| 旗艦平板比較")</f>
        <v>[詳細比較] Galaxy Tab S7 VS Galaxy Tab S7+ 有咩分别? | 香港人評測| 旗艦平板比較</v>
      </c>
      <c r="E2993" s="82">
        <v>44129.0</v>
      </c>
      <c r="F2993" s="80">
        <v>473.0</v>
      </c>
      <c r="G2993" s="80" t="s">
        <v>63</v>
      </c>
      <c r="I2993" s="80" t="s">
        <v>63</v>
      </c>
      <c r="J2993" s="80">
        <v>1507.0</v>
      </c>
      <c r="K2993" s="80">
        <v>0.706848030018761</v>
      </c>
      <c r="L2993" s="80" t="s">
        <v>64</v>
      </c>
    </row>
    <row r="2994">
      <c r="A2994" s="80" t="s">
        <v>293</v>
      </c>
      <c r="B2994" s="81" t="str">
        <f>HYPERLINK("https://www.youtube.com/channel/UCXRcbXqjORdIvl63I7MtOLQ", "趁熱 Kerry 's kitchen")</f>
        <v>趁熱 Kerry 's kitchen</v>
      </c>
      <c r="C2994" s="80" t="s">
        <v>3371</v>
      </c>
      <c r="D2994" s="81" t="str">
        <f>HYPERLINK("https://youtube.com/watch?v=KjTOg0DoRBA", "蝦仁 炒蛋/簡單 家做/超滑嫩冇得輸/急凍蝦解凍方法/大牌檔做法/好送飯/粵語/中字/新手入門")</f>
        <v>蝦仁 炒蛋/簡單 家做/超滑嫩冇得輸/急凍蝦解凍方法/大牌檔做法/好送飯/粵語/中字/新手入門</v>
      </c>
      <c r="E2994" s="82">
        <v>44363.0</v>
      </c>
      <c r="F2994" s="80">
        <v>573.0</v>
      </c>
      <c r="G2994" s="80" t="s">
        <v>63</v>
      </c>
      <c r="I2994" s="80" t="s">
        <v>63</v>
      </c>
      <c r="J2994" s="80">
        <v>1544.0</v>
      </c>
      <c r="K2994" s="80">
        <v>0.983439490445859</v>
      </c>
      <c r="L2994" s="80" t="s">
        <v>64</v>
      </c>
    </row>
    <row r="2995">
      <c r="A2995" s="80" t="s">
        <v>127</v>
      </c>
      <c r="B2995" s="81" t="str">
        <f>HYPERLINK("https://www.youtube.com/channel/UC97oYK3XMf9RLtkc0lO8C-Q", "健康旦 HiEggo")</f>
        <v>健康旦 HiEggo</v>
      </c>
      <c r="C2995" s="80" t="s">
        <v>3372</v>
      </c>
      <c r="D2995" s="81" t="str">
        <f>HYPERLINK("https://youtube.com/watch?v=KjaMe9VjLlQ", "黃淑儀教整花生醬糯米糍 熱食凍食各有風味 大女鄭瑤爆阿旦偷食唔敢畀老婆知 - 鄭丹瑞《健康旦》#黃淑儀 Part 5 (CC中文字幕)")</f>
        <v>黃淑儀教整花生醬糯米糍 熱食凍食各有風味 大女鄭瑤爆阿旦偷食唔敢畀老婆知 - 鄭丹瑞《健康旦》#黃淑儀 Part 5 (CC中文字幕)</v>
      </c>
      <c r="E2995" s="82">
        <v>44012.0</v>
      </c>
      <c r="F2995" s="80">
        <v>765.0</v>
      </c>
      <c r="G2995" s="80" t="s">
        <v>63</v>
      </c>
      <c r="I2995" s="80" t="s">
        <v>63</v>
      </c>
      <c r="J2995" s="80">
        <v>2995.0</v>
      </c>
      <c r="K2995" s="80">
        <v>0.973034437946718</v>
      </c>
      <c r="L2995" s="80" t="s">
        <v>2771</v>
      </c>
    </row>
    <row r="2996">
      <c r="A2996" s="80" t="s">
        <v>1987</v>
      </c>
      <c r="B2996" s="81" t="str">
        <f>HYPERLINK("https://www.youtube.com/channel/UCgGUmm04nVyj-ftaCxVcyBg", "MangoHK大馬獅家")</f>
        <v>MangoHK大馬獅家</v>
      </c>
      <c r="C2996" s="80" t="s">
        <v>3373</v>
      </c>
      <c r="D2996" s="81" t="str">
        <f>HYPERLINK("https://youtube.com/watch?v=Kl5ccMixXZs", "【89】😜千猜🇲🇾馬來西亞🎷係咁架啦 {中英字幕} Subtitled | Malaysia Never Mind | Malaysia Vlog | mm2h")</f>
        <v>【89】😜千猜🇲🇾馬來西亞🎷係咁架啦 {中英字幕} Subtitled | Malaysia Never Mind | Malaysia Vlog | mm2h</v>
      </c>
      <c r="E2996" s="82">
        <v>44516.0</v>
      </c>
      <c r="F2996" s="80">
        <v>921.0</v>
      </c>
      <c r="G2996" s="80" t="s">
        <v>63</v>
      </c>
      <c r="I2996" s="80" t="s">
        <v>63</v>
      </c>
      <c r="J2996" s="80">
        <v>3313.0</v>
      </c>
      <c r="K2996" s="80">
        <v>0.96084686774942</v>
      </c>
      <c r="L2996" s="80" t="s">
        <v>896</v>
      </c>
    </row>
    <row r="2997">
      <c r="A2997" s="80" t="s">
        <v>3144</v>
      </c>
      <c r="B2997" s="81" t="str">
        <f>HYPERLINK("https://www.youtube.com/channel/UCZVmFDfn5WnixrHNf25MeJQ", "〈職人吹水〉@SingSingKitchen")</f>
        <v>〈職人吹水〉@SingSingKitchen</v>
      </c>
      <c r="C2997" s="80" t="s">
        <v>3374</v>
      </c>
      <c r="D2997" s="81" t="str">
        <f>HYPERLINK("https://youtube.com/watch?v=NZsocXIIfig", "〈職人吹水〉 蝦醬蒸鮮魷 秘製蝦醬如何製作 好味到停唔到口/ 可以用作/蝦醬蒸豬肉/ 蝦醬炒飯 蝦醬炒通菜/ 魷魚遊戲  附上中文字幕")</f>
        <v>〈職人吹水〉 蝦醬蒸鮮魷 秘製蝦醬如何製作 好味到停唔到口/ 可以用作/蝦醬蒸豬肉/ 蝦醬炒飯 蝦醬炒通菜/ 魷魚遊戲  附上中文字幕</v>
      </c>
      <c r="E2997" s="82">
        <v>44487.0</v>
      </c>
      <c r="F2997" s="80">
        <v>943.0</v>
      </c>
      <c r="G2997" s="80" t="s">
        <v>63</v>
      </c>
      <c r="I2997" s="80" t="s">
        <v>63</v>
      </c>
      <c r="J2997" s="80">
        <v>2498.0</v>
      </c>
      <c r="K2997" s="80">
        <v>0.98114689709348</v>
      </c>
      <c r="L2997" s="80" t="s">
        <v>745</v>
      </c>
    </row>
    <row r="2998">
      <c r="A2998" s="80" t="s">
        <v>238</v>
      </c>
      <c r="B2998" s="81" t="str">
        <f>HYPERLINK("https://www.youtube.com/channel/UCSBkm4LwpgBmcA3MCtO8vqg", "Post76影音玩樂")</f>
        <v>Post76影音玩樂</v>
      </c>
      <c r="C2998" s="80" t="s">
        <v>3375</v>
      </c>
      <c r="D2998" s="81" t="str">
        <f>HYPERLINK("https://youtube.com/watch?v=KoRtEPQbaWA", "PlayStation 5 升頻 IMAX Enhanced? Marantz SR8015 AV擴音機評測 feat. PS5 &amp; XBOX SX 4K碟比併!!【AV擴音機評測】")</f>
        <v>PlayStation 5 升頻 IMAX Enhanced? Marantz SR8015 AV擴音機評測 feat. PS5 &amp; XBOX SX 4K碟比併!!【AV擴音機評測】</v>
      </c>
      <c r="E2998" s="82">
        <v>44181.0</v>
      </c>
      <c r="F2998" s="80">
        <v>959.0</v>
      </c>
      <c r="G2998" s="80" t="s">
        <v>63</v>
      </c>
      <c r="H2998" s="80" t="s">
        <v>63</v>
      </c>
      <c r="I2998" s="80" t="s">
        <v>63</v>
      </c>
      <c r="J2998" s="80">
        <v>3251.0</v>
      </c>
      <c r="K2998" s="80">
        <v>0.741729409080538</v>
      </c>
      <c r="L2998" s="80" t="s">
        <v>66</v>
      </c>
    </row>
    <row r="2999">
      <c r="A2999" s="80" t="s">
        <v>1987</v>
      </c>
      <c r="B2999" s="81" t="str">
        <f>HYPERLINK("https://www.youtube.com/channel/UCgGUmm04nVyj-ftaCxVcyBg", "MangoHK大馬獅家")</f>
        <v>MangoHK大馬獅家</v>
      </c>
      <c r="C2999" s="80" t="s">
        <v>3376</v>
      </c>
      <c r="D2999" s="81" t="str">
        <f>HYPERLINK("https://youtube.com/watch?v=KojQoU4rqXg", "【70】🙈港人不能想像🐸二百萬豪宅 {中英字幕} Subtitled | Malaysia South Brooks | Malaysia Vlog | mm2h")</f>
        <v>【70】🙈港人不能想像🐸二百萬豪宅 {中英字幕} Subtitled | Malaysia South Brooks | Malaysia Vlog | mm2h</v>
      </c>
      <c r="E2999" s="82">
        <v>44497.0</v>
      </c>
      <c r="F2999" s="80">
        <v>1195.0</v>
      </c>
      <c r="G2999" s="80" t="s">
        <v>63</v>
      </c>
      <c r="I2999" s="80" t="s">
        <v>63</v>
      </c>
      <c r="J2999" s="80">
        <v>3063.0</v>
      </c>
      <c r="K2999" s="80">
        <v>0.926497277676951</v>
      </c>
      <c r="L2999" s="80" t="s">
        <v>896</v>
      </c>
    </row>
    <row r="3000">
      <c r="A3000" s="80" t="s">
        <v>3377</v>
      </c>
      <c r="B3000" s="81" t="str">
        <f>HYPERLINK("https://www.youtube.com/channel/UCDXW0EMCl6VoonWyvIWAT7Q", "Trip.com HK")</f>
        <v>Trip.com HK</v>
      </c>
      <c r="C3000" s="80" t="s">
        <v>3378</v>
      </c>
      <c r="D3000" s="81" t="str">
        <f>HYPERLINK("https://youtube.com/watch?v=OQi8sJK_WPk", "【工業風打卡Staycation】Hotel TUVE 打卡實測 | 兩個 #IG打卡 呃like貼士 |打卡必去  #Staycation | 限時主題房打卡 | #打卡餐廳 Superhooman")</f>
        <v>【工業風打卡Staycation】Hotel TUVE 打卡實測 | 兩個 #IG打卡 呃like貼士 |打卡必去  #Staycation | 限時主題房打卡 | #打卡餐廳 Superhooman</v>
      </c>
      <c r="E3000" s="82">
        <v>44383.0</v>
      </c>
      <c r="F3000" s="80">
        <v>356.0</v>
      </c>
      <c r="G3000" s="80" t="s">
        <v>63</v>
      </c>
      <c r="I3000" s="80" t="s">
        <v>63</v>
      </c>
      <c r="J3000" s="80">
        <v>1017.0</v>
      </c>
      <c r="K3000" s="80">
        <v>0.832923832923832</v>
      </c>
      <c r="L3000" s="80" t="s">
        <v>64</v>
      </c>
    </row>
    <row r="3001">
      <c r="A3001" s="80" t="s">
        <v>3172</v>
      </c>
      <c r="B3001" s="81" t="str">
        <f>HYPERLINK("https://www.youtube.com/channel/UCahNh5t4wkQhSjS2-u0vSlA", "Henry Ng")</f>
        <v>Henry Ng</v>
      </c>
      <c r="C3001" s="80" t="s">
        <v>3379</v>
      </c>
      <c r="D3001" s="81" t="str">
        <f>HYPERLINK("https://youtube.com/watch?v=OUO2sl7fGJI", "國家前首都 不丹 Day 2 普那卡 - 2017年1月《亨利自由行》")</f>
        <v>國家前首都 不丹 Day 2 普那卡 - 2017年1月《亨利自由行》</v>
      </c>
      <c r="E3001" s="82">
        <v>42782.0</v>
      </c>
      <c r="F3001" s="80">
        <v>565.0</v>
      </c>
      <c r="G3001" s="80" t="s">
        <v>63</v>
      </c>
      <c r="I3001" s="80" t="s">
        <v>63</v>
      </c>
      <c r="J3001" s="80">
        <v>762.0</v>
      </c>
      <c r="K3001" s="80">
        <v>0.87686996547756</v>
      </c>
      <c r="L3001" s="80" t="s">
        <v>64</v>
      </c>
    </row>
    <row r="3002">
      <c r="A3002" s="80" t="s">
        <v>3377</v>
      </c>
      <c r="B3002" s="81" t="str">
        <f>HYPERLINK("https://www.youtube.com/channel/UCDXW0EMCl6VoonWyvIWAT7Q", "Trip.com HK")</f>
        <v>Trip.com HK</v>
      </c>
      <c r="C3002" s="80" t="s">
        <v>3380</v>
      </c>
      <c r="D3002" s="81" t="str">
        <f>HYPERLINK("https://youtube.com/watch?v=OVWKmgpw2IU", "Trip.com 旅行．從此簡單")</f>
        <v>Trip.com 旅行．從此簡單</v>
      </c>
      <c r="E3002" s="82">
        <v>43272.0</v>
      </c>
      <c r="F3002" s="80">
        <v>30.0</v>
      </c>
      <c r="G3002" s="80" t="s">
        <v>63</v>
      </c>
      <c r="H3002" s="80" t="s">
        <v>63</v>
      </c>
      <c r="I3002" s="80" t="s">
        <v>63</v>
      </c>
      <c r="J3002" s="80">
        <v>105.0</v>
      </c>
      <c r="K3002" s="80">
        <v>0.69078947368421</v>
      </c>
      <c r="L3002" s="80" t="s">
        <v>3381</v>
      </c>
    </row>
    <row r="3003">
      <c r="A3003" s="80" t="s">
        <v>1987</v>
      </c>
      <c r="B3003" s="81" t="str">
        <f>HYPERLINK("https://www.youtube.com/channel/UCgGUmm04nVyj-ftaCxVcyBg", "MangoHK大馬獅家")</f>
        <v>MangoHK大馬獅家</v>
      </c>
      <c r="C3003" s="80" t="s">
        <v>3382</v>
      </c>
      <c r="D3003" s="81" t="str">
        <f>HYPERLINK("https://youtube.com/watch?v=Ksmy1aA6P50", "【4】🐽糖醋五花腩, 🍖肥脆肉甘香! {中英字幕}  Subtitled | [DIY]Sweetended Vineger Pork Belly | Malaysia Vlog | mm2h")</f>
        <v>【4】🐽糖醋五花腩, 🍖肥脆肉甘香! {中英字幕}  Subtitled | [DIY]Sweetended Vineger Pork Belly | Malaysia Vlog | mm2h</v>
      </c>
      <c r="E3003" s="82">
        <v>44446.0</v>
      </c>
      <c r="F3003" s="80">
        <v>575.0</v>
      </c>
      <c r="G3003" s="80" t="s">
        <v>63</v>
      </c>
      <c r="I3003" s="80" t="s">
        <v>63</v>
      </c>
      <c r="J3003" s="80">
        <v>577.0</v>
      </c>
      <c r="K3003" s="80">
        <v>0.977966101694915</v>
      </c>
      <c r="L3003" s="80" t="s">
        <v>896</v>
      </c>
    </row>
    <row r="3004">
      <c r="A3004" s="80" t="s">
        <v>3289</v>
      </c>
      <c r="B3004" s="81" t="str">
        <f>HYPERLINK("https://www.youtube.com/channel/UCA33kwNRGDbO7jg-8czNOJQ", "Alfred Chan")</f>
        <v>Alfred Chan</v>
      </c>
      <c r="C3004" s="80" t="s">
        <v>3383</v>
      </c>
      <c r="D3004" s="81" t="str">
        <f>HYPERLINK("https://youtube.com/watch?v=Ol0mCdzuG6Q", "公開回應：抹黑另一位Youtuber? 買View買Like? 收錢拍食評?")</f>
        <v>公開回應：抹黑另一位Youtuber? 買View買Like? 收錢拍食評?</v>
      </c>
      <c r="E3004" s="82">
        <v>43249.0</v>
      </c>
      <c r="F3004" s="80">
        <v>870.0</v>
      </c>
      <c r="G3004" s="80" t="s">
        <v>63</v>
      </c>
      <c r="I3004" s="80" t="s">
        <v>63</v>
      </c>
      <c r="J3004" s="80">
        <v>2979.0</v>
      </c>
      <c r="K3004" s="80">
        <v>0.789976133651551</v>
      </c>
      <c r="L3004" s="80" t="s">
        <v>64</v>
      </c>
    </row>
    <row r="3005">
      <c r="A3005" s="80" t="s">
        <v>3258</v>
      </c>
      <c r="B3005" s="81" t="str">
        <f>HYPERLINK("https://www.youtube.com/channel/UCK4AnMZq28qFthWA54mtdww", "吾知吾識")</f>
        <v>吾知吾識</v>
      </c>
      <c r="C3005" s="80" t="s">
        <v>3384</v>
      </c>
      <c r="D3005" s="81" t="str">
        <f>HYPERLINK("https://youtube.com/watch?v=Ou7kagawK-Y", "點解會係柯得屎？｜Odyssey｜文學｜Assassin’s Creed Odyssey")</f>
        <v>點解會係柯得屎？｜Odyssey｜文學｜Assassin’s Creed Odyssey</v>
      </c>
      <c r="E3005" s="82">
        <v>43388.0</v>
      </c>
      <c r="F3005" s="80">
        <v>405.0</v>
      </c>
      <c r="G3005" s="80" t="s">
        <v>63</v>
      </c>
      <c r="I3005" s="80" t="s">
        <v>63</v>
      </c>
      <c r="J3005" s="80">
        <v>1024.0</v>
      </c>
      <c r="K3005" s="80">
        <v>0.679495686794956</v>
      </c>
      <c r="L3005" s="80" t="s">
        <v>64</v>
      </c>
    </row>
    <row r="3006">
      <c r="A3006" s="80" t="s">
        <v>124</v>
      </c>
      <c r="B3006" s="81" t="str">
        <f>HYPERLINK("https://www.youtube.com/channel/UCg0vuSE0fBF_NvodyYhMcWg", "Wallace Studio HK")</f>
        <v>Wallace Studio HK</v>
      </c>
      <c r="C3006" s="80" t="s">
        <v>3385</v>
      </c>
      <c r="D3006" s="81" t="str">
        <f>HYPERLINK("https://youtube.com/watch?v=Kz0F4WaHqXI", "［詳細評測］Lenovo Yoga Duet 7i 詳細評測！ Surface Pro 的真·對手！ （vs Surface Pro 7)")</f>
        <v>［詳細評測］Lenovo Yoga Duet 7i 詳細評測！ Surface Pro 的真·對手！ （vs Surface Pro 7)</v>
      </c>
      <c r="E3006" s="82">
        <v>44431.0</v>
      </c>
      <c r="F3006" s="80">
        <v>469.0</v>
      </c>
      <c r="G3006" s="80" t="s">
        <v>63</v>
      </c>
      <c r="H3006" s="80" t="s">
        <v>63</v>
      </c>
      <c r="I3006" s="80" t="s">
        <v>63</v>
      </c>
      <c r="J3006" s="80">
        <v>1650.0</v>
      </c>
      <c r="K3006" s="80">
        <v>0.76994867008866</v>
      </c>
      <c r="L3006" s="80" t="s">
        <v>86</v>
      </c>
    </row>
    <row r="3007">
      <c r="A3007" s="80" t="s">
        <v>1260</v>
      </c>
      <c r="B3007" s="81" t="str">
        <f t="shared" ref="B3007:B3008" si="157">HYPERLINK("https://www.youtube.com/channel/UCh1k4i86BpiXEO3nzJIYynw", "The Wave")</f>
        <v>The Wave</v>
      </c>
      <c r="C3007" s="80" t="s">
        <v>3386</v>
      </c>
      <c r="D3007" s="81" t="str">
        <f>HYPERLINK("https://youtube.com/watch?v=Kzw-0VsLA7I", "TheWave | MacBook Pro 15” 2019 開箱 測試")</f>
        <v>TheWave | MacBook Pro 15” 2019 開箱 測試</v>
      </c>
      <c r="E3007" s="82">
        <v>43646.0</v>
      </c>
      <c r="F3007" s="80">
        <v>237.0</v>
      </c>
      <c r="G3007" s="80" t="s">
        <v>63</v>
      </c>
      <c r="H3007" s="80" t="s">
        <v>63</v>
      </c>
      <c r="I3007" s="80" t="s">
        <v>63</v>
      </c>
      <c r="J3007" s="80">
        <v>553.0</v>
      </c>
      <c r="K3007" s="80">
        <v>0.616591928251121</v>
      </c>
      <c r="L3007" s="80" t="s">
        <v>1634</v>
      </c>
    </row>
    <row r="3008">
      <c r="A3008" s="80" t="s">
        <v>1260</v>
      </c>
      <c r="B3008" s="81" t="str">
        <f t="shared" si="157"/>
        <v>The Wave</v>
      </c>
      <c r="C3008" s="80" t="s">
        <v>3387</v>
      </c>
      <c r="D3008" s="81" t="str">
        <f>HYPERLINK("https://youtube.com/watch?v=L0IFtj8WZ_U", "TheWave | XZ3  觀看4K HDR電影 電量測試 | 直接結果@45秒")</f>
        <v>TheWave | XZ3  觀看4K HDR電影 電量測試 | 直接結果@45秒</v>
      </c>
      <c r="E3008" s="82">
        <v>43411.0</v>
      </c>
      <c r="F3008" s="80">
        <v>73.0</v>
      </c>
      <c r="G3008" s="80" t="s">
        <v>63</v>
      </c>
      <c r="H3008" s="80" t="s">
        <v>63</v>
      </c>
      <c r="I3008" s="80" t="s">
        <v>63</v>
      </c>
      <c r="J3008" s="80">
        <v>159.0</v>
      </c>
      <c r="K3008" s="80">
        <v>0.760765550239234</v>
      </c>
      <c r="L3008" s="80" t="s">
        <v>120</v>
      </c>
    </row>
    <row r="3009">
      <c r="A3009" s="80" t="s">
        <v>124</v>
      </c>
      <c r="B3009" s="81" t="str">
        <f>HYPERLINK("https://www.youtube.com/channel/UCg0vuSE0fBF_NvodyYhMcWg", "Wallace Studio HK")</f>
        <v>Wallace Studio HK</v>
      </c>
      <c r="C3009" s="80" t="s">
        <v>3388</v>
      </c>
      <c r="D3009" s="81" t="str">
        <f>HYPERLINK("https://youtube.com/watch?v=L0JpIhO7AsM", "[電子週邊] iPad Pro 支架(Lululook)! iPad Pro 化身為小型iMac 設計!")</f>
        <v>[電子週邊] iPad Pro 支架(Lululook)! iPad Pro 化身為小型iMac 設計!</v>
      </c>
      <c r="E3009" s="82">
        <v>44503.0</v>
      </c>
      <c r="F3009" s="80">
        <v>257.0</v>
      </c>
      <c r="G3009" s="80" t="s">
        <v>63</v>
      </c>
      <c r="I3009" s="80" t="s">
        <v>63</v>
      </c>
      <c r="J3009" s="80">
        <v>962.0</v>
      </c>
      <c r="K3009" s="80">
        <v>0.716306775874906</v>
      </c>
      <c r="L3009" s="80" t="s">
        <v>64</v>
      </c>
    </row>
    <row r="3010">
      <c r="A3010" s="80" t="s">
        <v>127</v>
      </c>
      <c r="B3010" s="81" t="str">
        <f t="shared" ref="B3010:B3012" si="158">HYPERLINK("https://www.youtube.com/channel/UC97oYK3XMf9RLtkc0lO8C-Q", "健康旦 HiEggo")</f>
        <v>健康旦 HiEggo</v>
      </c>
      <c r="C3010" s="80" t="s">
        <v>3389</v>
      </c>
      <c r="D3010" s="81" t="str">
        <f>HYPERLINK("https://youtube.com/watch?v=L21nYwwn0zE", "張堅庭引用糖尿病驚人香港數據 病癥不明顯醫生都不自知 飲紅酒又令人更長壽？ - 鄭丹瑞《健康旦》張堅庭 @Comma PART 2")</f>
        <v>張堅庭引用糖尿病驚人香港數據 病癥不明顯醫生都不自知 飲紅酒又令人更長壽？ - 鄭丹瑞《健康旦》張堅庭 @Comma PART 2</v>
      </c>
      <c r="E3010" s="82">
        <v>43917.0</v>
      </c>
      <c r="F3010" s="80">
        <v>723.0</v>
      </c>
      <c r="G3010" s="80" t="s">
        <v>63</v>
      </c>
      <c r="I3010" s="80" t="s">
        <v>63</v>
      </c>
      <c r="J3010" s="80">
        <v>2684.0</v>
      </c>
      <c r="K3010" s="80">
        <v>0.986402058066887</v>
      </c>
      <c r="L3010" s="80" t="s">
        <v>102</v>
      </c>
    </row>
    <row r="3011">
      <c r="A3011" s="80" t="s">
        <v>127</v>
      </c>
      <c r="B3011" s="81" t="str">
        <f t="shared" si="158"/>
        <v>健康旦 HiEggo</v>
      </c>
      <c r="C3011" s="80" t="s">
        <v>3390</v>
      </c>
      <c r="D3011" s="81" t="str">
        <f>HYPERLINK("https://youtube.com/watch?v=L3-OxFi0yUE", "鴻福堂司徒永富評陳慧儀健康月餅：恰到好處 未來月餅而不失傳統 - 鄭丹瑞《健康旦》鴻福堂集團行政總裁 #司徒永富 (CC中文字幕)")</f>
        <v>鴻福堂司徒永富評陳慧儀健康月餅：恰到好處 未來月餅而不失傳統 - 鄭丹瑞《健康旦》鴻福堂集團行政總裁 #司徒永富 (CC中文字幕)</v>
      </c>
      <c r="E3011" s="82">
        <v>44038.0</v>
      </c>
      <c r="F3011" s="80">
        <v>648.0</v>
      </c>
      <c r="G3011" s="80" t="s">
        <v>63</v>
      </c>
      <c r="I3011" s="80" t="s">
        <v>63</v>
      </c>
      <c r="J3011" s="80">
        <v>2560.0</v>
      </c>
      <c r="K3011" s="80">
        <v>0.990712074303405</v>
      </c>
      <c r="L3011" s="80" t="s">
        <v>2771</v>
      </c>
    </row>
    <row r="3012">
      <c r="A3012" s="80" t="s">
        <v>127</v>
      </c>
      <c r="B3012" s="81" t="str">
        <f t="shared" si="158"/>
        <v>健康旦 HiEggo</v>
      </c>
      <c r="C3012" s="80" t="s">
        <v>3391</v>
      </c>
      <c r="D3012" s="81" t="str">
        <f>HYPERLINK("https://youtube.com/watch?v=L4BNhLBp9G4", "閃腰可能係腰椎間盤突出 脊骨神經科醫生解構腰痛真相 冷敷患處或做瑜珈幫助克服痛症 - 鄭丹瑞《健康旦》#陳竣煒 脊骨神經科醫生 Part 1 (CC中文字幕)")</f>
        <v>閃腰可能係腰椎間盤突出 脊骨神經科醫生解構腰痛真相 冷敷患處或做瑜珈幫助克服痛症 - 鄭丹瑞《健康旦》#陳竣煒 脊骨神經科醫生 Part 1 (CC中文字幕)</v>
      </c>
      <c r="E3012" s="82">
        <v>44017.0</v>
      </c>
      <c r="F3012" s="80">
        <v>850.0</v>
      </c>
      <c r="G3012" s="80" t="s">
        <v>63</v>
      </c>
      <c r="I3012" s="80" t="s">
        <v>63</v>
      </c>
      <c r="J3012" s="80">
        <v>3512.0</v>
      </c>
      <c r="K3012" s="80">
        <v>0.978272980501392</v>
      </c>
      <c r="L3012" s="80" t="s">
        <v>2771</v>
      </c>
    </row>
    <row r="3013">
      <c r="A3013" s="80" t="s">
        <v>2041</v>
      </c>
      <c r="B3013" s="81" t="str">
        <f>HYPERLINK("https://www.youtube.com/channel/UCO6pB-ZN4XJ6MVkibvuEe0A", "SingSingTracker 星昇財經指標")</f>
        <v>SingSingTracker 星昇財經指標</v>
      </c>
      <c r="C3013" s="80" t="s">
        <v>3392</v>
      </c>
      <c r="D3013" s="81" t="str">
        <f>HYPERLINK("https://youtube.com/watch?v=L4d9NqZCzIU", "【今期熱點：虛擬銀行大行其道？】想快速開戶賺盡獎賞？｜Virtual Bank VS Traditional Bank (點CC中文字幕)#virtualbank #眾安 #虛擬銀行理財")</f>
        <v>【今期熱點：虛擬銀行大行其道？】想快速開戶賺盡獎賞？｜Virtual Bank VS Traditional Bank (點CC中文字幕)#virtualbank #眾安 #虛擬銀行理財</v>
      </c>
      <c r="E3013" s="82">
        <v>44350.0</v>
      </c>
      <c r="F3013" s="80">
        <v>246.0</v>
      </c>
      <c r="G3013" s="80" t="s">
        <v>63</v>
      </c>
      <c r="I3013" s="80" t="s">
        <v>63</v>
      </c>
      <c r="J3013" s="80">
        <v>872.0</v>
      </c>
      <c r="K3013" s="80">
        <v>0.859960552268244</v>
      </c>
      <c r="L3013" s="80" t="s">
        <v>64</v>
      </c>
    </row>
    <row r="3014">
      <c r="A3014" s="80" t="s">
        <v>238</v>
      </c>
      <c r="B3014" s="81" t="str">
        <f>HYPERLINK("https://www.youtube.com/channel/UCSBkm4LwpgBmcA3MCtO8vqg", "Post76影音玩樂")</f>
        <v>Post76影音玩樂</v>
      </c>
      <c r="C3014" s="80" t="s">
        <v>3393</v>
      </c>
      <c r="D3014" s="81" t="str">
        <f>HYPERLINK("https://youtube.com/watch?v=L7yQ-FhAlUA", "2020年 Shure AONIC 3/4/5/50 四大全新耳機連環試總匯合集 | 粵語 | 自選中文字幕【Post76.hk】")</f>
        <v>2020年 Shure AONIC 3/4/5/50 四大全新耳機連環試總匯合集 | 粵語 | 自選中文字幕【Post76.hk】</v>
      </c>
      <c r="E3014" s="82">
        <v>44147.0</v>
      </c>
      <c r="F3014" s="80">
        <v>731.0</v>
      </c>
      <c r="G3014" s="80" t="s">
        <v>63</v>
      </c>
      <c r="H3014" s="80" t="s">
        <v>63</v>
      </c>
      <c r="I3014" s="80" t="s">
        <v>63</v>
      </c>
      <c r="J3014" s="80">
        <v>3030.0</v>
      </c>
      <c r="K3014" s="80">
        <v>0.88065447545717</v>
      </c>
      <c r="L3014" s="80" t="s">
        <v>66</v>
      </c>
    </row>
    <row r="3015">
      <c r="A3015" s="80" t="s">
        <v>293</v>
      </c>
      <c r="B3015" s="81" t="str">
        <f>HYPERLINK("https://www.youtube.com/channel/UCXRcbXqjORdIvl63I7MtOLQ", "趁熱 Kerry 's kitchen")</f>
        <v>趁熱 Kerry 's kitchen</v>
      </c>
      <c r="C3015" s="80" t="s">
        <v>3394</v>
      </c>
      <c r="D3015" s="81" t="str">
        <f>HYPERLINK("https://youtube.com/watch?v=LAZSc7jQNi4", "五柳 魚/急凍 魚/做法/煎魚不粘鑊竅門/簡單 家做/新手 入門/酸甜 口味/夏天 必食/粵語/中字/請打開cc字幕,然後設定,然後按自動翻譯,可翻譯成英文或多國語言")</f>
        <v>五柳 魚/急凍 魚/做法/煎魚不粘鑊竅門/簡單 家做/新手 入門/酸甜 口味/夏天 必食/粵語/中字/請打開cc字幕,然後設定,然後按自動翻譯,可翻譯成英文或多國語言</v>
      </c>
      <c r="E3015" s="82">
        <v>44330.0</v>
      </c>
      <c r="F3015" s="80">
        <v>481.0</v>
      </c>
      <c r="G3015" s="80" t="s">
        <v>63</v>
      </c>
      <c r="I3015" s="80" t="s">
        <v>63</v>
      </c>
      <c r="J3015" s="80">
        <v>1390.0</v>
      </c>
      <c r="K3015" s="80">
        <v>0.965277777777777</v>
      </c>
      <c r="L3015" s="80" t="s">
        <v>64</v>
      </c>
    </row>
    <row r="3016">
      <c r="A3016" s="80" t="s">
        <v>3142</v>
      </c>
      <c r="B3016" s="81" t="str">
        <f>HYPERLINK("https://www.youtube.com/channel/UCO4mttl54gQ0UW-DqyVrvLQ", "陳怡ChanYee")</f>
        <v>陳怡ChanYee</v>
      </c>
      <c r="C3016" s="80" t="s">
        <v>3395</v>
      </c>
      <c r="D3016" s="81" t="str">
        <f>HYPERLINK("https://youtube.com/watch?v=PMsEQr8-rSU", "大西媽（升學篇）｜陳怡 ChanYee")</f>
        <v>大西媽（升學篇）｜陳怡 ChanYee</v>
      </c>
      <c r="E3016" s="82">
        <v>43255.0</v>
      </c>
      <c r="F3016" s="80">
        <v>78.0</v>
      </c>
      <c r="G3016" s="80" t="s">
        <v>63</v>
      </c>
      <c r="I3016" s="80" t="s">
        <v>63</v>
      </c>
      <c r="J3016" s="80">
        <v>376.0</v>
      </c>
      <c r="K3016" s="80">
        <v>0.992084432717678</v>
      </c>
      <c r="L3016" s="80" t="s">
        <v>820</v>
      </c>
    </row>
    <row r="3017">
      <c r="A3017" s="80" t="s">
        <v>3139</v>
      </c>
      <c r="B3017" s="81" t="str">
        <f>HYPERLINK("https://www.youtube.com/channel/UCThO2xnH7XMg6plE8OgJm_w", "choyuen草原")</f>
        <v>choyuen草原</v>
      </c>
      <c r="C3017" s="80" t="s">
        <v>3396</v>
      </c>
      <c r="D3017" s="81" t="str">
        <f>HYPERLINK("https://youtube.com/watch?v=PbFjrNpvSqo", "易經占卦之科學(A. 占卦步驟) The Science in I Ching (A. divination steps)")</f>
        <v>易經占卦之科學(A. 占卦步驟) The Science in I Ching (A. divination steps)</v>
      </c>
      <c r="E3017" s="82">
        <v>44560.0</v>
      </c>
      <c r="F3017" s="80">
        <v>305.0</v>
      </c>
      <c r="G3017" s="80" t="s">
        <v>63</v>
      </c>
      <c r="I3017" s="80" t="s">
        <v>63</v>
      </c>
      <c r="J3017" s="80">
        <v>674.0</v>
      </c>
      <c r="K3017" s="80">
        <v>0.991176470588235</v>
      </c>
      <c r="L3017" s="80" t="s">
        <v>64</v>
      </c>
    </row>
    <row r="3018">
      <c r="A3018" s="80" t="s">
        <v>1139</v>
      </c>
      <c r="B3018" s="81" t="str">
        <f>HYPERLINK("https://www.youtube.com/channel/UCw51gVFijIewmXH4tIR0ufw", "Crystal Zen")</f>
        <v>Crystal Zen</v>
      </c>
      <c r="C3018" s="80" t="s">
        <v>3397</v>
      </c>
      <c r="D3018" s="81" t="str">
        <f>HYPERLINK("https://youtube.com/watch?v=LHfmdwnVAhQ", "戴水晶有咩唔做得？")</f>
        <v>戴水晶有咩唔做得？</v>
      </c>
      <c r="E3018" s="82">
        <v>43912.0</v>
      </c>
      <c r="F3018" s="80">
        <v>266.0</v>
      </c>
      <c r="G3018" s="80" t="s">
        <v>63</v>
      </c>
      <c r="I3018" s="80" t="s">
        <v>63</v>
      </c>
      <c r="J3018" s="80">
        <v>1307.0</v>
      </c>
      <c r="K3018" s="80">
        <v>0.938262742282842</v>
      </c>
      <c r="L3018" s="80" t="s">
        <v>64</v>
      </c>
    </row>
    <row r="3019">
      <c r="A3019" s="80" t="s">
        <v>238</v>
      </c>
      <c r="B3019" s="81" t="str">
        <f>HYPERLINK("https://www.youtube.com/channel/UCSBkm4LwpgBmcA3MCtO8vqg", "Post76影音玩樂")</f>
        <v>Post76影音玩樂</v>
      </c>
      <c r="C3019" s="80" t="s">
        <v>3398</v>
      </c>
      <c r="D3019" s="81" t="str">
        <f>HYPERLINK("https://youtube.com/watch?v=LKsz8lq2vCM", "遲來的報告 : 日本孟宗竹外殼旗艦耳機 Denon AH-D9200 （附設中文字幕）粵語 【耳機評測 | Post76.hk】")</f>
        <v>遲來的報告 : 日本孟宗竹外殼旗艦耳機 Denon AH-D9200 （附設中文字幕）粵語 【耳機評測 | Post76.hk】</v>
      </c>
      <c r="E3019" s="82">
        <v>44252.0</v>
      </c>
      <c r="F3019" s="80">
        <v>677.0</v>
      </c>
      <c r="G3019" s="80" t="s">
        <v>63</v>
      </c>
      <c r="H3019" s="80" t="s">
        <v>63</v>
      </c>
      <c r="I3019" s="80" t="s">
        <v>63</v>
      </c>
      <c r="J3019" s="80">
        <v>2575.0</v>
      </c>
      <c r="K3019" s="80">
        <v>0.93195801664857</v>
      </c>
      <c r="L3019" s="80" t="s">
        <v>66</v>
      </c>
    </row>
    <row r="3020">
      <c r="A3020" s="80" t="s">
        <v>2780</v>
      </c>
      <c r="B3020" s="81" t="str">
        <f>HYPERLINK("https://www.youtube.com/channel/UC0CojhLcc0VESgaG633m5kA", "RainErs")</f>
        <v>RainErs</v>
      </c>
      <c r="C3020" s="80" t="s">
        <v>3399</v>
      </c>
      <c r="D3020" s="81" t="str">
        <f>HYPERLINK("https://youtube.com/watch?v=LMTfJH_2p9s", "[教學][免焗]Layer cake千層蛋糕教學❗❗--珍.點.簡.單.⁉️//唔使經驗都整到🔥!//EZ✅✅(片尾含食譜和步驟😳😳）[有CC字幕]")</f>
        <v>[教學][免焗]Layer cake千層蛋糕教學❗❗--珍.點.簡.單.⁉️//唔使經驗都整到🔥!//EZ✅✅(片尾含食譜和步驟😳😳）[有CC字幕]</v>
      </c>
      <c r="E3020" s="82">
        <v>44327.0</v>
      </c>
      <c r="F3020" s="80">
        <v>829.0</v>
      </c>
      <c r="G3020" s="80" t="s">
        <v>63</v>
      </c>
      <c r="I3020" s="80" t="s">
        <v>63</v>
      </c>
      <c r="J3020" s="80">
        <v>2552.0</v>
      </c>
      <c r="K3020" s="80">
        <v>0.920967159870083</v>
      </c>
      <c r="L3020" s="80" t="s">
        <v>64</v>
      </c>
    </row>
    <row r="3021">
      <c r="A3021" s="80" t="s">
        <v>1987</v>
      </c>
      <c r="B3021" s="81" t="str">
        <f>HYPERLINK("https://www.youtube.com/channel/UCgGUmm04nVyj-ftaCxVcyBg", "MangoHK大馬獅家")</f>
        <v>MangoHK大馬獅家</v>
      </c>
      <c r="C3021" s="80" t="s">
        <v>3400</v>
      </c>
      <c r="D3021" s="81" t="str">
        <f>HYPERLINK("https://youtube.com/watch?v=LMiRH1VI9BA", "【62】🥳￼繽紛熱浪島🔱全新加強版！{中英字幕}  Subtitled | Malaysia Redang Island part 2 | Malaysia Vlog | mm2h")</f>
        <v>【62】🥳￼繽紛熱浪島🔱全新加強版！{中英字幕}  Subtitled | Malaysia Redang Island part 2 | Malaysia Vlog | mm2h</v>
      </c>
      <c r="E3021" s="82">
        <v>44489.0</v>
      </c>
      <c r="F3021" s="80">
        <v>473.0</v>
      </c>
      <c r="G3021" s="80" t="s">
        <v>63</v>
      </c>
      <c r="I3021" s="80" t="s">
        <v>63</v>
      </c>
      <c r="J3021" s="80">
        <v>136.0</v>
      </c>
      <c r="K3021" s="80">
        <v>0.957746478873239</v>
      </c>
      <c r="L3021" s="80" t="s">
        <v>896</v>
      </c>
    </row>
    <row r="3022">
      <c r="A3022" s="80" t="s">
        <v>124</v>
      </c>
      <c r="B3022" s="81" t="str">
        <f>HYPERLINK("https://www.youtube.com/channel/UCg0vuSE0fBF_NvodyYhMcWg", "Wallace Studio HK")</f>
        <v>Wallace Studio HK</v>
      </c>
      <c r="C3022" s="80" t="s">
        <v>3401</v>
      </c>
      <c r="D3022" s="81" t="str">
        <f>HYPERLINK("https://youtube.com/watch?v=LN2HdTxf0cA", "[詳細評測] Lenovo Legion 7 (R95900HX,RTX3080 165W) 詳細評測，2021高評價電競電腦，好好用!")</f>
        <v>[詳細評測] Lenovo Legion 7 (R95900HX,RTX3080 165W) 詳細評測，2021高評價電競電腦，好好用!</v>
      </c>
      <c r="E3022" s="82">
        <v>44395.0</v>
      </c>
      <c r="F3022" s="80">
        <v>530.0</v>
      </c>
      <c r="G3022" s="80" t="s">
        <v>63</v>
      </c>
      <c r="H3022" s="80" t="s">
        <v>63</v>
      </c>
      <c r="I3022" s="80" t="s">
        <v>63</v>
      </c>
      <c r="J3022" s="80">
        <v>1687.0</v>
      </c>
      <c r="K3022" s="80">
        <v>0.809821858449687</v>
      </c>
      <c r="L3022" s="80" t="s">
        <v>86</v>
      </c>
    </row>
    <row r="3023">
      <c r="A3023" s="80" t="s">
        <v>1987</v>
      </c>
      <c r="B3023" s="81" t="str">
        <f>HYPERLINK("https://www.youtube.com/channel/UCgGUmm04nVyj-ftaCxVcyBg", "MangoHK大馬獅家")</f>
        <v>MangoHK大馬獅家</v>
      </c>
      <c r="C3023" s="80" t="s">
        <v>3402</v>
      </c>
      <c r="D3023" s="81" t="str">
        <f>HYPERLINK("https://youtube.com/watch?v=LNOOjkK27Ag", "【9】🌊熱浪島風光📸靚景影到手軟! {中英字幕}  Subtitled | Redang Island | Malaysia Vlog | mm2h")</f>
        <v>【9】🌊熱浪島風光📸靚景影到手軟! {中英字幕}  Subtitled | Redang Island | Malaysia Vlog | mm2h</v>
      </c>
      <c r="E3023" s="82">
        <v>44447.0</v>
      </c>
      <c r="F3023" s="80">
        <v>600.0</v>
      </c>
      <c r="G3023" s="80" t="s">
        <v>63</v>
      </c>
      <c r="I3023" s="80" t="s">
        <v>63</v>
      </c>
      <c r="J3023" s="80">
        <v>80.0</v>
      </c>
      <c r="K3023" s="80">
        <v>1.0</v>
      </c>
      <c r="L3023" s="80" t="s">
        <v>896</v>
      </c>
    </row>
    <row r="3024">
      <c r="A3024" s="80" t="s">
        <v>3144</v>
      </c>
      <c r="B3024" s="81" t="str">
        <f>HYPERLINK("https://www.youtube.com/channel/UCZVmFDfn5WnixrHNf25MeJQ", "〈職人吹水〉@SingSingKitchen")</f>
        <v>〈職人吹水〉@SingSingKitchen</v>
      </c>
      <c r="C3024" s="80" t="s">
        <v>3403</v>
      </c>
      <c r="D3024" s="81" t="str">
        <f>HYPERLINK("https://youtube.com/watch?v=Phx8hJMfVkw", "〈職人吹水〉 打風天精選 一魚兩食/有湯有餸 /珍珠立魚滾芫茜皮蛋豆腐湯 一湯兩食 附上中文字幕")</f>
        <v>〈職人吹水〉 打風天精選 一魚兩食/有湯有餸 /珍珠立魚滾芫茜皮蛋豆腐湯 一湯兩食 附上中文字幕</v>
      </c>
      <c r="E3024" s="82">
        <v>44481.0</v>
      </c>
      <c r="F3024" s="80">
        <v>1102.0</v>
      </c>
      <c r="G3024" s="80" t="s">
        <v>63</v>
      </c>
      <c r="I3024" s="80" t="s">
        <v>63</v>
      </c>
      <c r="J3024" s="80">
        <v>3219.0</v>
      </c>
      <c r="K3024" s="80">
        <v>0.990156874807751</v>
      </c>
      <c r="L3024" s="80" t="s">
        <v>745</v>
      </c>
    </row>
    <row r="3025">
      <c r="A3025" s="80" t="s">
        <v>3158</v>
      </c>
      <c r="B3025" s="81" t="str">
        <f>HYPERLINK("https://www.youtube.com/channel/UCldJqbxFCPolSR6V9lszWDA", "魚波 Yu Ball")</f>
        <v>魚波 Yu Ball</v>
      </c>
      <c r="C3025" s="80" t="s">
        <v>3404</v>
      </c>
      <c r="D3025" s="81" t="str">
        <f>HYPERLINK("https://youtube.com/watch?v=QEHKS3lpVYQ", "【魚波講#12】過來人經驗分享🥺唔好玩老爺車... (CC字幕)")</f>
        <v>【魚波講#12】過來人經驗分享🥺唔好玩老爺車... (CC字幕)</v>
      </c>
      <c r="E3025" s="82">
        <v>44005.0</v>
      </c>
      <c r="F3025" s="80">
        <v>822.0</v>
      </c>
      <c r="G3025" s="80" t="s">
        <v>63</v>
      </c>
      <c r="I3025" s="80" t="s">
        <v>63</v>
      </c>
      <c r="J3025" s="80">
        <v>3208.0</v>
      </c>
      <c r="K3025" s="80">
        <v>0.958183990442054</v>
      </c>
      <c r="L3025" s="80" t="s">
        <v>64</v>
      </c>
    </row>
    <row r="3026">
      <c r="A3026" s="80" t="s">
        <v>288</v>
      </c>
      <c r="B3026" s="81" t="str">
        <f>HYPERLINK("https://www.youtube.com/channel/UCDWOYEhVnyD4IHZGVAMLc0g", "Brendan 毛爸")</f>
        <v>Brendan 毛爸</v>
      </c>
      <c r="C3026" s="80" t="s">
        <v>3405</v>
      </c>
      <c r="D3026" s="81" t="str">
        <f>HYPERLINK("https://youtube.com/watch?v=LRCpe6nQKDI", "『神魔三國志』 放置式輕鬆策略手遊！新手必看！遊戲重點介紹！")</f>
        <v>『神魔三國志』 放置式輕鬆策略手遊！新手必看！遊戲重點介紹！</v>
      </c>
      <c r="E3026" s="82">
        <v>44095.0</v>
      </c>
      <c r="F3026" s="80">
        <v>364.0</v>
      </c>
      <c r="G3026" s="80" t="s">
        <v>63</v>
      </c>
      <c r="I3026" s="80" t="s">
        <v>63</v>
      </c>
      <c r="J3026" s="80">
        <v>1468.0</v>
      </c>
      <c r="K3026" s="80">
        <v>0.987886944818304</v>
      </c>
      <c r="L3026" s="80" t="s">
        <v>64</v>
      </c>
    </row>
    <row r="3027">
      <c r="A3027" s="80" t="s">
        <v>98</v>
      </c>
      <c r="B3027" s="81" t="str">
        <f t="shared" ref="B3027:B3028" si="159">HYPERLINK("https://www.youtube.com/channel/UCrquuQB6v1Ued2xyRKZreGQ", "Stephen Leung ")</f>
        <v>Stephen Leung </v>
      </c>
      <c r="C3027" s="80" t="s">
        <v>3406</v>
      </c>
      <c r="D3027" s="81" t="str">
        <f>HYPERLINK("https://youtube.com/watch?v=LSiWdWZ1JA8", "【香港 自助餐】五星酒店 JW marriott 萬豪酒店 高質抵食 $3XX全包 花膠 乳鴿 鮑魚生滾粥 下午茶自助餐 | 吃喝玩樂 buffet hong kong 香港好去處 消費券 2021")</f>
        <v>【香港 自助餐】五星酒店 JW marriott 萬豪酒店 高質抵食 $3XX全包 花膠 乳鴿 鮑魚生滾粥 下午茶自助餐 | 吃喝玩樂 buffet hong kong 香港好去處 消費券 2021</v>
      </c>
      <c r="E3027" s="82">
        <v>44415.0</v>
      </c>
      <c r="F3027" s="80">
        <v>586.0</v>
      </c>
      <c r="G3027" s="80" t="s">
        <v>63</v>
      </c>
      <c r="I3027" s="80" t="s">
        <v>63</v>
      </c>
      <c r="J3027" s="80">
        <v>1444.0</v>
      </c>
      <c r="K3027" s="80">
        <v>0.929214929214929</v>
      </c>
      <c r="L3027" s="80" t="s">
        <v>64</v>
      </c>
    </row>
    <row r="3028">
      <c r="A3028" s="80" t="s">
        <v>98</v>
      </c>
      <c r="B3028" s="81" t="str">
        <f t="shared" si="159"/>
        <v>Stephen Leung </v>
      </c>
      <c r="C3028" s="80" t="s">
        <v>3407</v>
      </c>
      <c r="D3028" s="81" t="str">
        <f>HYPERLINK("https://youtube.com/watch?v=LTMqbcYWFMY", "【吃喝玩樂】W Hotel Hong Kong 破新低價 Staycation 零房價?! HKD 2000 回贈 包自助早餐｜極浪漫打卡之旅｜Staycation 香港酒店")</f>
        <v>【吃喝玩樂】W Hotel Hong Kong 破新低價 Staycation 零房價?! HKD 2000 回贈 包自助早餐｜極浪漫打卡之旅｜Staycation 香港酒店</v>
      </c>
      <c r="E3028" s="82">
        <v>44342.0</v>
      </c>
      <c r="F3028" s="80">
        <v>827.0</v>
      </c>
      <c r="G3028" s="80" t="s">
        <v>63</v>
      </c>
      <c r="I3028" s="80" t="s">
        <v>63</v>
      </c>
      <c r="J3028" s="80">
        <v>1712.0</v>
      </c>
      <c r="K3028" s="80">
        <v>0.929424538545059</v>
      </c>
      <c r="L3028" s="80" t="s">
        <v>582</v>
      </c>
    </row>
    <row r="3029">
      <c r="A3029" s="80" t="s">
        <v>3151</v>
      </c>
      <c r="B3029" s="81" t="str">
        <f>HYPERLINK("https://www.youtube.com/channel/UCARY68c_VZHHXPsEDg9Bptw", "耀佳金融集團Yaw Kai Financial Group")</f>
        <v>耀佳金融集團Yaw Kai Financial Group</v>
      </c>
      <c r="C3029" s="80" t="s">
        <v>3408</v>
      </c>
      <c r="D3029" s="81" t="str">
        <f>HYPERLINK("https://youtube.com/watch?v=Q_RxlG9R4iI", "【個股點評】台積電 (TSMC) 係如何成為芯片制造霸主? (Part 2/2)")</f>
        <v>【個股點評】台積電 (TSMC) 係如何成為芯片制造霸主? (Part 2/2)</v>
      </c>
      <c r="E3029" s="82">
        <v>44029.0</v>
      </c>
      <c r="F3029" s="80">
        <v>987.0</v>
      </c>
      <c r="G3029" s="80" t="s">
        <v>63</v>
      </c>
      <c r="I3029" s="80" t="s">
        <v>63</v>
      </c>
      <c r="J3029" s="80">
        <v>3108.0</v>
      </c>
      <c r="K3029" s="80">
        <v>0.940393343419062</v>
      </c>
      <c r="L3029" s="80" t="s">
        <v>64</v>
      </c>
    </row>
    <row r="3030">
      <c r="A3030" s="80" t="s">
        <v>127</v>
      </c>
      <c r="B3030" s="81" t="str">
        <f>HYPERLINK("https://www.youtube.com/channel/UC97oYK3XMf9RLtkc0lO8C-Q", "健康旦 HiEggo")</f>
        <v>健康旦 HiEggo</v>
      </c>
      <c r="C3030" s="80" t="s">
        <v>3409</v>
      </c>
      <c r="D3030" s="81" t="str">
        <f>HYPERLINK("https://youtube.com/watch?v=LUf9S3CG3CA", "長者睡眠窒息症併發症多 注意腦中風、腦出血 側身睡眠可減輕症狀 - 鄭丹瑞《健康旦》養和醫院呼吸系統科專科醫生 #林頌眉 Part 2 (CC中文字幕)")</f>
        <v>長者睡眠窒息症併發症多 注意腦中風、腦出血 側身睡眠可減輕症狀 - 鄭丹瑞《健康旦》養和醫院呼吸系統科專科醫生 #林頌眉 Part 2 (CC中文字幕)</v>
      </c>
      <c r="E3030" s="82">
        <v>44054.0</v>
      </c>
      <c r="F3030" s="80">
        <v>764.0</v>
      </c>
      <c r="G3030" s="80" t="s">
        <v>63</v>
      </c>
      <c r="I3030" s="80" t="s">
        <v>63</v>
      </c>
      <c r="J3030" s="80">
        <v>3612.0</v>
      </c>
      <c r="K3030" s="80">
        <v>0.985807860262008</v>
      </c>
      <c r="L3030" s="80" t="s">
        <v>102</v>
      </c>
    </row>
    <row r="3031">
      <c r="A3031" s="80" t="s">
        <v>3144</v>
      </c>
      <c r="B3031" s="81" t="str">
        <f>HYPERLINK("https://www.youtube.com/channel/UCZVmFDfn5WnixrHNf25MeJQ", "〈職人吹水〉@SingSingKitchen")</f>
        <v>〈職人吹水〉@SingSingKitchen</v>
      </c>
      <c r="C3031" s="80" t="s">
        <v>3410</v>
      </c>
      <c r="D3031" s="81" t="str">
        <f>HYPERLINK("https://youtube.com/watch?v=QfDZExijrcE", "〈職人吹水〉麻婆豆腐 家常好味 簡單易做 粵菜版本 附上中文字幕")</f>
        <v>〈職人吹水〉麻婆豆腐 家常好味 簡單易做 粵菜版本 附上中文字幕</v>
      </c>
      <c r="E3031" s="82">
        <v>44483.0</v>
      </c>
      <c r="F3031" s="80">
        <v>848.0</v>
      </c>
      <c r="G3031" s="80" t="s">
        <v>63</v>
      </c>
      <c r="I3031" s="80" t="s">
        <v>63</v>
      </c>
      <c r="J3031" s="80">
        <v>2288.0</v>
      </c>
      <c r="K3031" s="80">
        <v>0.99090515374621</v>
      </c>
      <c r="L3031" s="80" t="s">
        <v>745</v>
      </c>
    </row>
    <row r="3032">
      <c r="A3032" s="80" t="s">
        <v>3323</v>
      </c>
      <c r="B3032" s="81" t="str">
        <f>HYPERLINK("https://www.youtube.com/channel/UCuRYdsKaDjx7EwEBidiEc3g", "Wangfai Choi")</f>
        <v>Wangfai Choi</v>
      </c>
      <c r="C3032" s="80" t="s">
        <v>3411</v>
      </c>
      <c r="D3032" s="81" t="str">
        <f>HYPERLINK("https://youtube.com/watch?v=QnlAuMY9ZHk", "澳門扎鐵隊長 黃偉民-2017立法會選舉論壇【所有隊長的鏡頭】 帶動態字幕")</f>
        <v>澳門扎鐵隊長 黃偉民-2017立法會選舉論壇【所有隊長的鏡頭】 帶動態字幕</v>
      </c>
      <c r="E3032" s="82">
        <v>42989.0</v>
      </c>
      <c r="F3032" s="80">
        <v>828.0</v>
      </c>
      <c r="G3032" s="80" t="s">
        <v>63</v>
      </c>
      <c r="I3032" s="80" t="s">
        <v>63</v>
      </c>
      <c r="J3032" s="80">
        <v>2000.0</v>
      </c>
      <c r="K3032" s="80">
        <v>0.991571641051066</v>
      </c>
      <c r="L3032" s="80" t="s">
        <v>745</v>
      </c>
    </row>
    <row r="3033">
      <c r="A3033" s="80" t="s">
        <v>1139</v>
      </c>
      <c r="B3033" s="81" t="str">
        <f>HYPERLINK("https://www.youtube.com/channel/UCw51gVFijIewmXH4tIR0ufw", "Crystal Zen")</f>
        <v>Crystal Zen</v>
      </c>
      <c r="C3033" s="80" t="s">
        <v>3412</v>
      </c>
      <c r="D3033" s="81" t="str">
        <f>HYPERLINK("https://youtube.com/watch?v=LbVPRioYsPw", "[愛情關係(一)] 拍拖。分手。復合")</f>
        <v>[愛情關係(一)] 拍拖。分手。復合</v>
      </c>
      <c r="E3033" s="82">
        <v>44023.0</v>
      </c>
      <c r="F3033" s="80">
        <v>402.0</v>
      </c>
      <c r="G3033" s="80" t="s">
        <v>63</v>
      </c>
      <c r="I3033" s="80" t="s">
        <v>63</v>
      </c>
      <c r="J3033" s="80">
        <v>1642.0</v>
      </c>
      <c r="K3033" s="80">
        <v>0.930311614730878</v>
      </c>
      <c r="L3033" s="80" t="s">
        <v>64</v>
      </c>
    </row>
    <row r="3034">
      <c r="A3034" s="80" t="s">
        <v>2041</v>
      </c>
      <c r="B3034" s="81" t="str">
        <f>HYPERLINK("https://www.youtube.com/channel/UCO6pB-ZN4XJ6MVkibvuEe0A", "SingSingTracker 星昇財經指標")</f>
        <v>SingSingTracker 星昇財經指標</v>
      </c>
      <c r="C3034" s="80" t="s">
        <v>3413</v>
      </c>
      <c r="D3034" s="81" t="str">
        <f>HYPERLINK("https://youtube.com/watch?v=LcsDYqkV0zI", "【來自Mexico的我 】在墨西哥的生活體驗？【點CC中文字幕】#Mexico #Mexicofood  #Expat")</f>
        <v>【來自Mexico的我 】在墨西哥的生活體驗？【點CC中文字幕】#Mexico #Mexicofood  #Expat</v>
      </c>
      <c r="E3034" s="82">
        <v>44327.0</v>
      </c>
      <c r="F3034" s="80">
        <v>407.0</v>
      </c>
      <c r="G3034" s="80" t="s">
        <v>63</v>
      </c>
      <c r="I3034" s="80" t="s">
        <v>63</v>
      </c>
      <c r="J3034" s="80">
        <v>1265.0</v>
      </c>
      <c r="K3034" s="80">
        <v>0.761589403973509</v>
      </c>
      <c r="L3034" s="80" t="s">
        <v>64</v>
      </c>
    </row>
    <row r="3035">
      <c r="A3035" s="80" t="s">
        <v>124</v>
      </c>
      <c r="B3035" s="81" t="str">
        <f>HYPERLINK("https://www.youtube.com/channel/UCg0vuSE0fBF_NvodyYhMcWg", "Wallace Studio HK")</f>
        <v>Wallace Studio HK</v>
      </c>
      <c r="C3035" s="80" t="s">
        <v>3414</v>
      </c>
      <c r="D3035" s="81" t="str">
        <f>HYPERLINK("https://youtube.com/watch?v=Lhh3ISeLgHU", "[NAS選購] NAS選購Part6 Synology 由安裝到上手，一步一步教你設置! |廣東話教學 | DSM6 或 DSM 7.0")</f>
        <v>[NAS選購] NAS選購Part6 Synology 由安裝到上手，一步一步教你設置! |廣東話教學 | DSM6 或 DSM 7.0</v>
      </c>
      <c r="E3035" s="82">
        <v>44414.0</v>
      </c>
      <c r="F3035" s="80">
        <v>848.0</v>
      </c>
      <c r="G3035" s="80" t="s">
        <v>63</v>
      </c>
      <c r="H3035" s="80" t="s">
        <v>63</v>
      </c>
      <c r="I3035" s="80" t="s">
        <v>63</v>
      </c>
      <c r="J3035" s="80">
        <v>3021.0</v>
      </c>
      <c r="K3035" s="80">
        <v>0.644961571306575</v>
      </c>
      <c r="L3035" s="80" t="s">
        <v>86</v>
      </c>
    </row>
    <row r="3036">
      <c r="A3036" s="80" t="s">
        <v>3172</v>
      </c>
      <c r="B3036" s="81" t="str">
        <f>HYPERLINK("https://www.youtube.com/channel/UCahNh5t4wkQhSjS2-u0vSlA", "Henry Ng")</f>
        <v>Henry Ng</v>
      </c>
      <c r="C3036" s="80" t="s">
        <v>3415</v>
      </c>
      <c r="D3036" s="81" t="str">
        <f>HYPERLINK("https://youtube.com/watch?v=RNXxys26ajs", "葡萄牙 Day 3 辛特拉 - 2017年1月《亨利自由行》")</f>
        <v>葡萄牙 Day 3 辛特拉 - 2017年1月《亨利自由行》</v>
      </c>
      <c r="E3036" s="82">
        <v>42797.0</v>
      </c>
      <c r="F3036" s="80">
        <v>237.0</v>
      </c>
      <c r="G3036" s="80" t="s">
        <v>63</v>
      </c>
      <c r="I3036" s="80" t="s">
        <v>63</v>
      </c>
      <c r="J3036" s="80">
        <v>375.0</v>
      </c>
      <c r="K3036" s="80">
        <v>0.683060109289617</v>
      </c>
      <c r="L3036" s="80" t="s">
        <v>64</v>
      </c>
    </row>
    <row r="3037">
      <c r="A3037" s="80" t="s">
        <v>3151</v>
      </c>
      <c r="B3037" s="81" t="str">
        <f>HYPERLINK("https://www.youtube.com/channel/UCARY68c_VZHHXPsEDg9Bptw", "耀佳金融集團Yaw Kai Financial Group")</f>
        <v>耀佳金融集團Yaw Kai Financial Group</v>
      </c>
      <c r="C3037" s="80" t="s">
        <v>3416</v>
      </c>
      <c r="D3037" s="81" t="str">
        <f>HYPERLINK("https://youtube.com/watch?v=RQkoh22MzjI", "【個股點評】A股「AI芯片第一股」寒武紀(#688256) 科創板曾升3.5倍, 後市點睇 ?")</f>
        <v>【個股點評】A股「AI芯片第一股」寒武紀(#688256) 科創板曾升3.5倍, 後市點睇 ?</v>
      </c>
      <c r="E3037" s="82">
        <v>44032.0</v>
      </c>
      <c r="F3037" s="80">
        <v>915.0</v>
      </c>
      <c r="G3037" s="80" t="s">
        <v>63</v>
      </c>
      <c r="I3037" s="80" t="s">
        <v>63</v>
      </c>
      <c r="J3037" s="80">
        <v>2888.0</v>
      </c>
      <c r="K3037" s="80">
        <v>0.936142625607779</v>
      </c>
      <c r="L3037" s="80" t="s">
        <v>64</v>
      </c>
    </row>
    <row r="3038">
      <c r="A3038" s="80" t="s">
        <v>3144</v>
      </c>
      <c r="B3038" s="81" t="str">
        <f>HYPERLINK("https://www.youtube.com/channel/UCZVmFDfn5WnixrHNf25MeJQ", "〈職人吹水〉@SingSingKitchen")</f>
        <v>〈職人吹水〉@SingSingKitchen</v>
      </c>
      <c r="C3038" s="80" t="s">
        <v>3417</v>
      </c>
      <c r="D3038" s="81" t="str">
        <f>HYPERLINK("https://youtube.com/watch?v=RbyixfAcsP0", "〈職人吹水〉生滾 家鄉鹹雞粥 好味其實好簡單 煲粥基本技巧 咸雞 製作 附上中文字幕")</f>
        <v>〈職人吹水〉生滾 家鄉鹹雞粥 好味其實好簡單 煲粥基本技巧 咸雞 製作 附上中文字幕</v>
      </c>
      <c r="E3038" s="82">
        <v>44479.0</v>
      </c>
      <c r="F3038" s="80">
        <v>1231.0</v>
      </c>
      <c r="G3038" s="80" t="s">
        <v>63</v>
      </c>
      <c r="I3038" s="80" t="s">
        <v>63</v>
      </c>
      <c r="J3038" s="80">
        <v>3701.0</v>
      </c>
      <c r="K3038" s="80">
        <v>0.984046796064876</v>
      </c>
      <c r="L3038" s="80" t="s">
        <v>745</v>
      </c>
    </row>
    <row r="3039">
      <c r="A3039" s="80" t="s">
        <v>1139</v>
      </c>
      <c r="B3039" s="81" t="str">
        <f>HYPERLINK("https://www.youtube.com/channel/UCw51gVFijIewmXH4tIR0ufw", "Crystal Zen")</f>
        <v>Crystal Zen</v>
      </c>
      <c r="C3039" s="80" t="s">
        <v>3418</v>
      </c>
      <c r="D3039" s="81" t="str">
        <f>HYPERLINK("https://youtube.com/watch?v=Lp1AZSUTFFk", "真心講水晶熱潮 ？ 點解咁勁 ？買水晶=用好水晶？")</f>
        <v>真心講水晶熱潮 ？ 點解咁勁 ？買水晶=用好水晶？</v>
      </c>
      <c r="E3039" s="82">
        <v>44476.0</v>
      </c>
      <c r="F3039" s="80">
        <v>468.0</v>
      </c>
      <c r="G3039" s="80" t="s">
        <v>63</v>
      </c>
      <c r="I3039" s="80" t="s">
        <v>63</v>
      </c>
      <c r="J3039" s="80">
        <v>1897.0</v>
      </c>
      <c r="K3039" s="80">
        <v>0.914216867469879</v>
      </c>
      <c r="L3039" s="80" t="s">
        <v>64</v>
      </c>
    </row>
    <row r="3040">
      <c r="A3040" s="80" t="s">
        <v>3151</v>
      </c>
      <c r="B3040" s="81" t="str">
        <f>HYPERLINK("https://www.youtube.com/channel/UCARY68c_VZHHXPsEDg9Bptw", "耀佳金融集團Yaw Kai Financial Group")</f>
        <v>耀佳金融集團Yaw Kai Financial Group</v>
      </c>
      <c r="C3040" s="80" t="s">
        <v>3419</v>
      </c>
      <c r="D3040" s="81" t="str">
        <f>HYPERLINK("https://youtube.com/watch?v=RzvkcitMajY", "【個股點評】台積電 (TSMC) 係如何成為芯片制造霸主? (Part 1/2)")</f>
        <v>【個股點評】台積電 (TSMC) 係如何成為芯片制造霸主? (Part 1/2)</v>
      </c>
      <c r="E3040" s="82">
        <v>44029.0</v>
      </c>
      <c r="F3040" s="80">
        <v>708.0</v>
      </c>
      <c r="G3040" s="80" t="s">
        <v>63</v>
      </c>
      <c r="I3040" s="80" t="s">
        <v>63</v>
      </c>
      <c r="J3040" s="80">
        <v>2277.0</v>
      </c>
      <c r="K3040" s="80">
        <v>0.95311845960653</v>
      </c>
      <c r="L3040" s="80" t="s">
        <v>64</v>
      </c>
    </row>
    <row r="3041">
      <c r="A3041" s="80" t="s">
        <v>3144</v>
      </c>
      <c r="B3041" s="81" t="str">
        <f>HYPERLINK("https://www.youtube.com/channel/UCZVmFDfn5WnixrHNf25MeJQ", "〈職人吹水〉@SingSingKitchen")</f>
        <v>〈職人吹水〉@SingSingKitchen</v>
      </c>
      <c r="C3041" s="80" t="s">
        <v>3420</v>
      </c>
      <c r="D3041" s="81" t="str">
        <f>HYPERLINK("https://youtube.com/watch?v=SGqxPqNusP0", "〈職人吹水〉60萬訂閱 /衷心感謝大家支持🙏 職人吹水一起走過的日子/ 開心正能量齊齊共享 開心吹水篇 附上中文字幕")</f>
        <v>〈職人吹水〉60萬訂閱 /衷心感謝大家支持🙏 職人吹水一起走過的日子/ 開心正能量齊齊共享 開心吹水篇 附上中文字幕</v>
      </c>
      <c r="E3041" s="82">
        <v>44514.0</v>
      </c>
      <c r="F3041" s="80">
        <v>1299.0</v>
      </c>
      <c r="G3041" s="80" t="s">
        <v>63</v>
      </c>
      <c r="I3041" s="80" t="s">
        <v>63</v>
      </c>
      <c r="J3041" s="80">
        <v>3897.0</v>
      </c>
      <c r="K3041" s="80">
        <v>0.98733215100076</v>
      </c>
      <c r="L3041" s="80" t="s">
        <v>745</v>
      </c>
    </row>
    <row r="3042">
      <c r="A3042" s="80" t="s">
        <v>3194</v>
      </c>
      <c r="B3042" s="81" t="str">
        <f>HYPERLINK("https://www.youtube.com/channel/UCdEFfJveKJdmyeIBNg8zTCQ", "卡仙路玩玩下")</f>
        <v>卡仙路玩玩下</v>
      </c>
      <c r="C3042" s="80" t="s">
        <v>3421</v>
      </c>
      <c r="D3042" s="81" t="str">
        <f>HYPERLINK("https://youtube.com/watch?v=S_YlGYQmESA", "卡仙路玩玩下 - 深圳 抵玩VR體驗 最平¥19.9有得玩")</f>
        <v>卡仙路玩玩下 - 深圳 抵玩VR體驗 最平¥19.9有得玩</v>
      </c>
      <c r="E3042" s="82">
        <v>43579.0</v>
      </c>
      <c r="F3042" s="80">
        <v>260.0</v>
      </c>
      <c r="G3042" s="80" t="s">
        <v>63</v>
      </c>
      <c r="I3042" s="80" t="s">
        <v>63</v>
      </c>
      <c r="J3042" s="80">
        <v>595.0</v>
      </c>
      <c r="K3042" s="80">
        <v>0.97063621533442</v>
      </c>
      <c r="L3042" s="80" t="s">
        <v>64</v>
      </c>
    </row>
    <row r="3043">
      <c r="A3043" s="80" t="s">
        <v>3172</v>
      </c>
      <c r="B3043" s="81" t="str">
        <f>HYPERLINK("https://www.youtube.com/channel/UCahNh5t4wkQhSjS2-u0vSlA", "Henry Ng")</f>
        <v>Henry Ng</v>
      </c>
      <c r="C3043" s="80" t="s">
        <v>3422</v>
      </c>
      <c r="D3043" s="81" t="str">
        <f>HYPERLINK("https://youtube.com/watch?v=SahjSltyORE", "古迦太基文明 突尼西亞 突尼斯 - 2018年5月《亨利自由行》")</f>
        <v>古迦太基文明 突尼西亞 突尼斯 - 2018年5月《亨利自由行》</v>
      </c>
      <c r="E3043" s="82">
        <v>43941.0</v>
      </c>
      <c r="F3043" s="80">
        <v>554.0</v>
      </c>
      <c r="G3043" s="80" t="s">
        <v>63</v>
      </c>
      <c r="I3043" s="80" t="s">
        <v>63</v>
      </c>
      <c r="J3043" s="80">
        <v>679.0</v>
      </c>
      <c r="K3043" s="80">
        <v>0.830073349633251</v>
      </c>
      <c r="L3043" s="80" t="s">
        <v>64</v>
      </c>
    </row>
    <row r="3044">
      <c r="A3044" s="80" t="s">
        <v>124</v>
      </c>
      <c r="B3044" s="81" t="str">
        <f>HYPERLINK("https://www.youtube.com/channel/UCg0vuSE0fBF_NvodyYhMcWg", "Wallace Studio HK")</f>
        <v>Wallace Studio HK</v>
      </c>
      <c r="C3044" s="80" t="s">
        <v>3423</v>
      </c>
      <c r="D3044" s="81" t="str">
        <f>HYPERLINK("https://youtube.com/watch?v=Lr6Y9jZJJk4", "[詳細比較] iPad Pro 2020 VS Galaxy Tab S7+ 終極比較 Part 2|你所需要知道的一切分別|廣東話| 香港人評測|2020 最佳平板比較")</f>
        <v>[詳細比較] iPad Pro 2020 VS Galaxy Tab S7+ 終極比較 Part 2|你所需要知道的一切分別|廣東話| 香港人評測|2020 最佳平板比較</v>
      </c>
      <c r="E3044" s="82">
        <v>44118.0</v>
      </c>
      <c r="F3044" s="80">
        <v>666.0</v>
      </c>
      <c r="G3044" s="80" t="s">
        <v>63</v>
      </c>
      <c r="H3044" s="80" t="s">
        <v>63</v>
      </c>
      <c r="I3044" s="80" t="s">
        <v>63</v>
      </c>
      <c r="J3044" s="80">
        <v>2225.0</v>
      </c>
      <c r="K3044" s="80">
        <v>0.680012224938875</v>
      </c>
      <c r="L3044" s="80" t="s">
        <v>86</v>
      </c>
    </row>
    <row r="3045">
      <c r="A3045" s="80" t="s">
        <v>98</v>
      </c>
      <c r="B3045" s="81" t="str">
        <f>HYPERLINK("https://www.youtube.com/channel/UCrquuQB6v1Ued2xyRKZreGQ", "Stephen Leung ")</f>
        <v>Stephen Leung </v>
      </c>
      <c r="C3045" s="80" t="s">
        <v>3424</v>
      </c>
      <c r="D3045" s="81" t="str">
        <f>HYPERLINK("https://youtube.com/watch?v=LuZMmT3N17A", "【香港美食】香港最好酒店扒房？ 尖沙咀 Rosewood Hong Kong 瑰麗酒店 Henry 免費食24個月風乾火腿 自家煙燻 乾式熟成 美國 德州農場直送 | 吃喝玩樂  2021 香港好去處")</f>
        <v>【香港美食】香港最好酒店扒房？ 尖沙咀 Rosewood Hong Kong 瑰麗酒店 Henry 免費食24個月風乾火腿 自家煙燻 乾式熟成 美國 德州農場直送 | 吃喝玩樂  2021 香港好去處</v>
      </c>
      <c r="E3045" s="82">
        <v>44475.0</v>
      </c>
      <c r="F3045" s="80">
        <v>816.0</v>
      </c>
      <c r="G3045" s="80" t="s">
        <v>63</v>
      </c>
      <c r="I3045" s="80" t="s">
        <v>63</v>
      </c>
      <c r="J3045" s="80">
        <v>1908.0</v>
      </c>
      <c r="K3045" s="80">
        <v>0.896195396899953</v>
      </c>
      <c r="L3045" s="80" t="s">
        <v>64</v>
      </c>
    </row>
    <row r="3046">
      <c r="A3046" s="80" t="s">
        <v>127</v>
      </c>
      <c r="B3046" s="81" t="str">
        <f>HYPERLINK("https://www.youtube.com/channel/UC97oYK3XMf9RLtkc0lO8C-Q", "健康旦 HiEggo")</f>
        <v>健康旦 HiEggo</v>
      </c>
      <c r="C3046" s="80" t="s">
        <v>3425</v>
      </c>
      <c r="D3046" s="81" t="str">
        <f>HYPERLINK("https://youtube.com/watch?v=LvfCxizLUOg", "ViuTV《辣伙頭》冠軍鄧月平示範煮健康菜式「雪山飄雪」《小男人週記3》面試一句說話就被旦哥睇中 - 鄭丹瑞《健康旦》鄧月平 Part 1 (CC中文字幕)")</f>
        <v>ViuTV《辣伙頭》冠軍鄧月平示範煮健康菜式「雪山飄雪」《小男人週記3》面試一句說話就被旦哥睇中 - 鄭丹瑞《健康旦》鄧月平 Part 1 (CC中文字幕)</v>
      </c>
      <c r="E3046" s="82">
        <v>43911.0</v>
      </c>
      <c r="F3046" s="80">
        <v>724.0</v>
      </c>
      <c r="G3046" s="80" t="s">
        <v>63</v>
      </c>
      <c r="I3046" s="80" t="s">
        <v>63</v>
      </c>
      <c r="J3046" s="80">
        <v>2244.0</v>
      </c>
      <c r="K3046" s="80">
        <v>0.992481203007518</v>
      </c>
      <c r="L3046" s="80" t="s">
        <v>102</v>
      </c>
    </row>
    <row r="3047">
      <c r="A3047" s="80" t="s">
        <v>98</v>
      </c>
      <c r="B3047" s="81" t="str">
        <f t="shared" ref="B3047:B3048" si="160">HYPERLINK("https://www.youtube.com/channel/UCrquuQB6v1Ued2xyRKZreGQ", "Stephen Leung ")</f>
        <v>Stephen Leung </v>
      </c>
      <c r="C3047" s="80" t="s">
        <v>3426</v>
      </c>
      <c r="D3047" s="81" t="str">
        <f>HYPERLINK("https://youtube.com/watch?v=Lvtl9HfjIis", "【香港自助餐】酒店自助餐 現場即燒 巨型斧頭扒 乳豬 鐵板燒 片皮鴨 帝逸酒店 Alva House | 吃喝玩樂")</f>
        <v>【香港自助餐】酒店自助餐 現場即燒 巨型斧頭扒 乳豬 鐵板燒 片皮鴨 帝逸酒店 Alva House | 吃喝玩樂</v>
      </c>
      <c r="E3047" s="82">
        <v>44307.0</v>
      </c>
      <c r="F3047" s="80">
        <v>613.0</v>
      </c>
      <c r="G3047" s="80" t="s">
        <v>63</v>
      </c>
      <c r="I3047" s="80" t="s">
        <v>63</v>
      </c>
      <c r="J3047" s="80">
        <v>1604.0</v>
      </c>
      <c r="K3047" s="80">
        <v>0.983445738810545</v>
      </c>
      <c r="L3047" s="80" t="s">
        <v>64</v>
      </c>
    </row>
    <row r="3048">
      <c r="A3048" s="80" t="s">
        <v>98</v>
      </c>
      <c r="B3048" s="81" t="str">
        <f t="shared" si="160"/>
        <v>Stephen Leung </v>
      </c>
      <c r="C3048" s="80" t="s">
        <v>3427</v>
      </c>
      <c r="D3048" s="81" t="str">
        <f>HYPERLINK("https://youtube.com/watch?v=Lwv4P__-Z3k", "【吃喝玩樂】食盡全香港30間酒店自助餐, 我最喜愛自助餐 2019 年度總排行榜, 🏆總冠軍出現意外賽果! 邊間最低食? 最好食? 最佳服務?  最想回食? 最佳環境?  | 香港美食")</f>
        <v>【吃喝玩樂】食盡全香港30間酒店自助餐, 我最喜愛自助餐 2019 年度總排行榜, 🏆總冠軍出現意外賽果! 邊間最低食? 最好食? 最佳服務?  最想回食? 最佳環境?  | 香港美食</v>
      </c>
      <c r="E3048" s="82">
        <v>43829.0</v>
      </c>
      <c r="F3048" s="80">
        <v>1641.0</v>
      </c>
      <c r="G3048" s="80" t="s">
        <v>63</v>
      </c>
      <c r="I3048" s="80" t="s">
        <v>63</v>
      </c>
      <c r="J3048" s="80">
        <v>4072.0</v>
      </c>
      <c r="K3048" s="80">
        <v>0.845163968451639</v>
      </c>
      <c r="L3048" s="80" t="s">
        <v>64</v>
      </c>
    </row>
    <row r="3049">
      <c r="A3049" s="80" t="s">
        <v>2041</v>
      </c>
      <c r="B3049" s="81" t="str">
        <f>HYPERLINK("https://www.youtube.com/channel/UCO6pB-ZN4XJ6MVkibvuEe0A", "SingSingTracker 星昇財經指標")</f>
        <v>SingSingTracker 星昇財經指標</v>
      </c>
      <c r="C3049" s="80" t="s">
        <v>3428</v>
      </c>
      <c r="D3049" s="81" t="str">
        <f>HYPERLINK("https://youtube.com/watch?v=LxCEOtX5FHA", "【Cathie Wood 有新搞作？】｜ARK Invest推全新透明度基金｜Transparency ETF｜ESG方舟版｜ARK ETF表現分析 ｜契媽大翻身?｜股票市場根本無泡沫？｜點CC字幕")</f>
        <v>【Cathie Wood 有新搞作？】｜ARK Invest推全新透明度基金｜Transparency ETF｜ESG方舟版｜ARK ETF表現分析 ｜契媽大翻身?｜股票市場根本無泡沫？｜點CC字幕</v>
      </c>
      <c r="E3049" s="82">
        <v>44448.0</v>
      </c>
      <c r="F3049" s="80">
        <v>508.0</v>
      </c>
      <c r="G3049" s="80" t="s">
        <v>63</v>
      </c>
      <c r="I3049" s="80" t="s">
        <v>63</v>
      </c>
      <c r="J3049" s="80">
        <v>1381.0</v>
      </c>
      <c r="K3049" s="80">
        <v>0.74487594390507</v>
      </c>
      <c r="L3049" s="80" t="s">
        <v>64</v>
      </c>
    </row>
    <row r="3050">
      <c r="A3050" s="80" t="s">
        <v>3172</v>
      </c>
      <c r="B3050" s="81" t="str">
        <f>HYPERLINK("https://www.youtube.com/channel/UCahNh5t4wkQhSjS2-u0vSlA", "Henry Ng")</f>
        <v>Henry Ng</v>
      </c>
      <c r="C3050" s="80" t="s">
        <v>3429</v>
      </c>
      <c r="D3050" s="81" t="str">
        <f>HYPERLINK("https://youtube.com/watch?v=Srnl15JChn4", "古巴 夏灣拿 - 2017年7月《亨利自由行》")</f>
        <v>古巴 夏灣拿 - 2017年7月《亨利自由行》</v>
      </c>
      <c r="E3050" s="82">
        <v>43186.0</v>
      </c>
      <c r="F3050" s="80">
        <v>387.0</v>
      </c>
      <c r="G3050" s="80" t="s">
        <v>63</v>
      </c>
      <c r="I3050" s="80" t="s">
        <v>63</v>
      </c>
      <c r="J3050" s="80">
        <v>647.0</v>
      </c>
      <c r="K3050" s="80">
        <v>0.745391705069124</v>
      </c>
      <c r="L3050" s="80" t="s">
        <v>64</v>
      </c>
    </row>
    <row r="3051">
      <c r="A3051" s="80" t="s">
        <v>127</v>
      </c>
      <c r="B3051" s="81" t="str">
        <f>HYPERLINK("https://www.youtube.com/channel/UC97oYK3XMf9RLtkc0lO8C-Q", "健康旦 HiEggo")</f>
        <v>健康旦 HiEggo</v>
      </c>
      <c r="C3051" s="80" t="s">
        <v>3430</v>
      </c>
      <c r="D3051" s="81" t="str">
        <f>HYPERLINK("https://youtube.com/watch?v=M-YtCciXzdo", "許樹昌專訪（上）細說肺炎症狀、14日病毒潛伏期計算方法、2003淘大沙士「U型渠」氣隔播毒原因 - 鄭丹瑞《健康旦》許樹昌教授 PART 1 (CC中文字幕)")</f>
        <v>許樹昌專訪（上）細說肺炎症狀、14日病毒潛伏期計算方法、2003淘大沙士「U型渠」氣隔播毒原因 - 鄭丹瑞《健康旦》許樹昌教授 PART 1 (CC中文字幕)</v>
      </c>
      <c r="E3051" s="82">
        <v>43870.0</v>
      </c>
      <c r="F3051" s="80">
        <v>734.0</v>
      </c>
      <c r="G3051" s="80" t="s">
        <v>63</v>
      </c>
      <c r="I3051" s="80" t="s">
        <v>63</v>
      </c>
      <c r="J3051" s="80">
        <v>2880.0</v>
      </c>
      <c r="K3051" s="80">
        <v>0.973301791145657</v>
      </c>
      <c r="L3051" s="80" t="s">
        <v>64</v>
      </c>
    </row>
    <row r="3052">
      <c r="A3052" s="80" t="s">
        <v>1987</v>
      </c>
      <c r="B3052" s="81" t="str">
        <f>HYPERLINK("https://www.youtube.com/channel/UCgGUmm04nVyj-ftaCxVcyBg", "MangoHK大馬獅家")</f>
        <v>MangoHK大馬獅家</v>
      </c>
      <c r="C3052" s="80" t="s">
        <v>3431</v>
      </c>
      <c r="D3052" s="81" t="str">
        <f>HYPERLINK("https://youtube.com/watch?v=M028hkrXIe8", "【35】💳大馬駕駛證💡MCO 車都死火！{中英字幕}  Subtitled | Malaysia car licenses | Malaysia Vlog | mm2h")</f>
        <v>【35】💳大馬駕駛證💡MCO 車都死火！{中英字幕}  Subtitled | Malaysia car licenses | Malaysia Vlog | mm2h</v>
      </c>
      <c r="E3052" s="82">
        <v>44465.0</v>
      </c>
      <c r="F3052" s="80">
        <v>382.0</v>
      </c>
      <c r="G3052" s="80" t="s">
        <v>63</v>
      </c>
      <c r="I3052" s="80" t="s">
        <v>63</v>
      </c>
      <c r="J3052" s="80">
        <v>975.0</v>
      </c>
      <c r="K3052" s="80">
        <v>0.951219512195121</v>
      </c>
      <c r="L3052" s="80" t="s">
        <v>896</v>
      </c>
    </row>
    <row r="3053">
      <c r="A3053" s="80" t="s">
        <v>3046</v>
      </c>
      <c r="B3053" s="81" t="str">
        <f>HYPERLINK("https://www.youtube.com/channel/UCk9_geXNUStgv0wjm75vX5Q", "蘇斯克 Ole So")</f>
        <v>蘇斯克 Ole So</v>
      </c>
      <c r="C3053" s="80" t="s">
        <v>3432</v>
      </c>
      <c r="D3053" s="81" t="str">
        <f>HYPERLINK("https://youtube.com/watch?v=SxOXppx4LrE", "曼迷朝聖路．跟住蘇B參觀夢劇場奧脫福 | Road to Old Trafford")</f>
        <v>曼迷朝聖路．跟住蘇B參觀夢劇場奧脫福 | Road to Old Trafford</v>
      </c>
      <c r="E3053" s="82">
        <v>43517.0</v>
      </c>
      <c r="F3053" s="80">
        <v>725.0</v>
      </c>
      <c r="G3053" s="80" t="s">
        <v>63</v>
      </c>
      <c r="I3053" s="80" t="s">
        <v>63</v>
      </c>
      <c r="J3053" s="80">
        <v>2365.0</v>
      </c>
      <c r="K3053" s="80">
        <v>0.760450160771704</v>
      </c>
      <c r="L3053" s="80" t="s">
        <v>64</v>
      </c>
    </row>
    <row r="3054">
      <c r="A3054" s="80" t="s">
        <v>248</v>
      </c>
      <c r="B3054" s="81" t="str">
        <f>HYPERLINK("https://www.youtube.com/channel/UCUEJok-GiWaGlv5nIPwk-GQ", "Price.com.hk 香港格價網")</f>
        <v>Price.com.hk 香港格價網</v>
      </c>
      <c r="C3054" s="80" t="s">
        <v>3433</v>
      </c>
      <c r="D3054" s="81" t="str">
        <f>HYPERLINK("https://youtube.com/watch?v=M2Uc8oD5GFM", "手機定相機？Sony Xperia PRO-I 年度之作！1吋Sensor、雙光圈切換、4K 120fps拍片｜真機速試｜廣東話【Price.com.hk產品評測】")</f>
        <v>手機定相機？Sony Xperia PRO-I 年度之作！1吋Sensor、雙光圈切換、4K 120fps拍片｜真機速試｜廣東話【Price.com.hk產品評測】</v>
      </c>
      <c r="E3054" s="82">
        <v>44495.0</v>
      </c>
      <c r="F3054" s="80">
        <v>370.0</v>
      </c>
      <c r="G3054" s="80" t="s">
        <v>63</v>
      </c>
      <c r="I3054" s="80" t="s">
        <v>63</v>
      </c>
      <c r="J3054" s="80">
        <v>1071.0</v>
      </c>
      <c r="K3054" s="80">
        <v>0.75475687103594</v>
      </c>
      <c r="L3054" s="80" t="s">
        <v>64</v>
      </c>
    </row>
    <row r="3055">
      <c r="A3055" s="80" t="s">
        <v>288</v>
      </c>
      <c r="B3055" s="81" t="str">
        <f t="shared" ref="B3055:B3056" si="161">HYPERLINK("https://www.youtube.com/channel/UCDWOYEhVnyD4IHZGVAMLc0g", "Brendan 毛爸")</f>
        <v>Brendan 毛爸</v>
      </c>
      <c r="C3055" s="80" t="s">
        <v>3434</v>
      </c>
      <c r="D3055" s="81" t="str">
        <f>HYPERLINK("https://youtube.com/watch?v=M2gJzCPTTxw", "【集合啦！動物森友會 】#8 假畫之靈異事件｜閙鬼贗品｜畫中人真的會動？（請打開CC 中文字幕）")</f>
        <v>【集合啦！動物森友會 】#8 假畫之靈異事件｜閙鬼贗品｜畫中人真的會動？（請打開CC 中文字幕）</v>
      </c>
      <c r="E3055" s="82">
        <v>43981.0</v>
      </c>
      <c r="F3055" s="80">
        <v>134.0</v>
      </c>
      <c r="G3055" s="80" t="s">
        <v>63</v>
      </c>
      <c r="I3055" s="80" t="s">
        <v>63</v>
      </c>
      <c r="J3055" s="80">
        <v>439.0</v>
      </c>
      <c r="K3055" s="80">
        <v>0.973392461197339</v>
      </c>
      <c r="L3055" s="80" t="s">
        <v>64</v>
      </c>
    </row>
    <row r="3056">
      <c r="A3056" s="80" t="s">
        <v>288</v>
      </c>
      <c r="B3056" s="81" t="str">
        <f t="shared" si="161"/>
        <v>Brendan 毛爸</v>
      </c>
      <c r="C3056" s="80" t="s">
        <v>3435</v>
      </c>
      <c r="D3056" s="81" t="str">
        <f>HYPERLINK("https://youtube.com/watch?v=M66H7eyF9h8", "【小頻道大秘密 】公開Youtube收入！YouTuber辛酸史！（請開CC 中文字幕)")</f>
        <v>【小頻道大秘密 】公開Youtube收入！YouTuber辛酸史！（請開CC 中文字幕)</v>
      </c>
      <c r="E3056" s="82">
        <v>43933.0</v>
      </c>
      <c r="F3056" s="80">
        <v>607.0</v>
      </c>
      <c r="G3056" s="80" t="s">
        <v>63</v>
      </c>
      <c r="I3056" s="80" t="s">
        <v>63</v>
      </c>
      <c r="J3056" s="80">
        <v>1886.0</v>
      </c>
      <c r="K3056" s="80">
        <v>0.865534648921523</v>
      </c>
      <c r="L3056" s="80" t="s">
        <v>64</v>
      </c>
    </row>
    <row r="3057">
      <c r="A3057" s="80" t="s">
        <v>2041</v>
      </c>
      <c r="B3057" s="81" t="str">
        <f>HYPERLINK("https://www.youtube.com/channel/UCO6pB-ZN4XJ6MVkibvuEe0A", "SingSingTracker 星昇財經指標")</f>
        <v>SingSingTracker 星昇財經指標</v>
      </c>
      <c r="C3057" s="80" t="s">
        <v>3436</v>
      </c>
      <c r="D3057" s="81" t="str">
        <f>HYPERLINK("https://youtube.com/watch?v=M7k-nDtuviY", "IB Charles Schwab 超重點比較｜Interactive Brokers｜BNO開戶｜真離岸 堅推介｜換外幣最抵｜孖展息口最低｜IB開戶｜Schwab國際版｜美股戶口推介")</f>
        <v>IB Charles Schwab 超重點比較｜Interactive Brokers｜BNO開戶｜真離岸 堅推介｜換外幣最抵｜孖展息口最低｜IB開戶｜Schwab國際版｜美股戶口推介</v>
      </c>
      <c r="E3057" s="82">
        <v>44456.0</v>
      </c>
      <c r="F3057" s="80">
        <v>694.0</v>
      </c>
      <c r="G3057" s="80" t="s">
        <v>63</v>
      </c>
      <c r="I3057" s="80" t="s">
        <v>63</v>
      </c>
      <c r="J3057" s="80">
        <v>2116.0</v>
      </c>
      <c r="K3057" s="80">
        <v>0.823346303501945</v>
      </c>
      <c r="L3057" s="80" t="s">
        <v>64</v>
      </c>
    </row>
    <row r="3058">
      <c r="A3058" s="80" t="s">
        <v>3134</v>
      </c>
      <c r="B3058" s="81" t="str">
        <f>HYPERLINK("https://www.youtube.com/channel/UC_vZsUCJrwYrbIRPHacAS_Q", "Coco哥")</f>
        <v>Coco哥</v>
      </c>
      <c r="C3058" s="80" t="s">
        <v>3437</v>
      </c>
      <c r="D3058" s="81" t="str">
        <f>HYPERLINK("https://youtube.com/watch?v=TO6w17jPCB4", "BB坐長途飛機? 國泰經濟倉BB床 嬰兒籃 BB餐 ！ 經驗分享 | Margaret 去澳洲昆士蘭 Ep1  Baby trip to Queensland Australia")</f>
        <v>BB坐長途飛機? 國泰經濟倉BB床 嬰兒籃 BB餐 ！ 經驗分享 | Margaret 去澳洲昆士蘭 Ep1  Baby trip to Queensland Australia</v>
      </c>
      <c r="E3058" s="82">
        <v>43414.0</v>
      </c>
      <c r="F3058" s="80">
        <v>555.0</v>
      </c>
      <c r="G3058" s="80" t="s">
        <v>63</v>
      </c>
      <c r="I3058" s="80" t="s">
        <v>63</v>
      </c>
      <c r="J3058" s="80">
        <v>1185.0</v>
      </c>
      <c r="K3058" s="80">
        <v>0.818935729094678</v>
      </c>
      <c r="L3058" s="80" t="s">
        <v>1013</v>
      </c>
    </row>
    <row r="3059">
      <c r="A3059" s="80" t="s">
        <v>2041</v>
      </c>
      <c r="B3059" s="81" t="str">
        <f>HYPERLINK("https://www.youtube.com/channel/UCO6pB-ZN4XJ6MVkibvuEe0A", "SingSingTracker 星昇財經指標")</f>
        <v>SingSingTracker 星昇財經指標</v>
      </c>
      <c r="C3059" s="80" t="s">
        <v>3438</v>
      </c>
      <c r="D3059" s="81" t="str">
        <f>HYPERLINK("https://youtube.com/watch?v=M9CZ2FpH8-8", "【Elon Musk 旗下的奇怪產業？】 最新的移民火星大計你準備好未？(點CC中文字幕)")</f>
        <v>【Elon Musk 旗下的奇怪產業？】 最新的移民火星大計你準備好未？(點CC中文字幕)</v>
      </c>
      <c r="E3059" s="82">
        <v>44271.0</v>
      </c>
      <c r="F3059" s="80">
        <v>300.0</v>
      </c>
      <c r="G3059" s="80" t="s">
        <v>63</v>
      </c>
      <c r="I3059" s="80" t="s">
        <v>63</v>
      </c>
      <c r="J3059" s="80">
        <v>994.0</v>
      </c>
      <c r="K3059" s="80">
        <v>0.784530386740331</v>
      </c>
      <c r="L3059" s="80" t="s">
        <v>64</v>
      </c>
    </row>
    <row r="3060">
      <c r="A3060" s="80" t="s">
        <v>3165</v>
      </c>
      <c r="B3060" s="81" t="str">
        <f>HYPERLINK("https://www.youtube.com/channel/UCKmwhu-hyadoBCzzM0TBDHQ", "好易煮 oe cook")</f>
        <v>好易煮 oe cook</v>
      </c>
      <c r="C3060" s="80" t="s">
        <v>3439</v>
      </c>
      <c r="D3060" s="81" t="str">
        <f>HYPERLINK("https://youtube.com/watch?v=TOpyeorvL7k", "發財好市 Braised Dried Oyster With Black Moss #賀年菜 #ChineseLunarNewYear  (有字幕 With Subtitles)")</f>
        <v>發財好市 Braised Dried Oyster With Black Moss #賀年菜 #ChineseLunarNewYear  (有字幕 With Subtitles)</v>
      </c>
      <c r="E3060" s="82">
        <v>43834.0</v>
      </c>
      <c r="F3060" s="80">
        <v>768.0</v>
      </c>
      <c r="G3060" s="80" t="s">
        <v>63</v>
      </c>
      <c r="H3060" s="80" t="s">
        <v>63</v>
      </c>
      <c r="I3060" s="80" t="s">
        <v>63</v>
      </c>
      <c r="J3060" s="80">
        <v>605.0</v>
      </c>
      <c r="K3060" s="80">
        <v>0.995065789473684</v>
      </c>
      <c r="L3060" s="80" t="s">
        <v>3440</v>
      </c>
    </row>
    <row r="3061">
      <c r="A3061" s="80" t="s">
        <v>1260</v>
      </c>
      <c r="B3061" s="81" t="str">
        <f>HYPERLINK("https://www.youtube.com/channel/UCh1k4i86BpiXEO3nzJIYynw", "The Wave")</f>
        <v>The Wave</v>
      </c>
      <c r="C3061" s="80" t="s">
        <v>3441</v>
      </c>
      <c r="D3061" s="81" t="str">
        <f>HYPERLINK("https://youtube.com/watch?v=MBC57UneGXY", "TheWave | 點解CES 2019 無Xperia?")</f>
        <v>TheWave | 點解CES 2019 無Xperia?</v>
      </c>
      <c r="E3061" s="82">
        <v>43480.0</v>
      </c>
      <c r="F3061" s="80">
        <v>78.0</v>
      </c>
      <c r="G3061" s="80" t="s">
        <v>63</v>
      </c>
      <c r="H3061" s="80" t="s">
        <v>63</v>
      </c>
      <c r="I3061" s="80" t="s">
        <v>63</v>
      </c>
      <c r="J3061" s="80">
        <v>275.0</v>
      </c>
      <c r="K3061" s="80">
        <v>0.772988505747126</v>
      </c>
      <c r="L3061" s="80" t="s">
        <v>120</v>
      </c>
    </row>
    <row r="3062">
      <c r="A3062" s="80" t="s">
        <v>3162</v>
      </c>
      <c r="B3062" s="81" t="str">
        <f>HYPERLINK("https://www.youtube.com/channel/UCwz2_BsHZOaUO1zvS5zJBTw", "跟Theo一起爬坂道丨Theo Cheong")</f>
        <v>跟Theo一起爬坂道丨Theo Cheong</v>
      </c>
      <c r="C3062" s="80" t="s">
        <v>3442</v>
      </c>
      <c r="D3062" s="81" t="str">
        <f>HYPERLINK("https://youtube.com/watch?v=TYiFZV1rpBo", "乃木坂朝聖一日遊 展覽入面究竟有乜野睇? | N4 Working Holiday | Travel | Vlog | Theo | 窮毒L遊記 Ep.8")</f>
        <v>乃木坂朝聖一日遊 展覽入面究竟有乜野睇? | N4 Working Holiday | Travel | Vlog | Theo | 窮毒L遊記 Ep.8</v>
      </c>
      <c r="E3062" s="82">
        <v>43594.0</v>
      </c>
      <c r="F3062" s="80">
        <v>426.0</v>
      </c>
      <c r="G3062" s="80" t="s">
        <v>63</v>
      </c>
      <c r="I3062" s="80" t="s">
        <v>63</v>
      </c>
      <c r="J3062" s="80">
        <v>1129.0</v>
      </c>
      <c r="K3062" s="80">
        <v>0.7945109078114</v>
      </c>
      <c r="L3062" s="80" t="s">
        <v>91</v>
      </c>
    </row>
    <row r="3063">
      <c r="A3063" s="80" t="s">
        <v>127</v>
      </c>
      <c r="B3063" s="81" t="str">
        <f>HYPERLINK("https://www.youtube.com/channel/UC97oYK3XMf9RLtkc0lO8C-Q", "健康旦 HiEggo")</f>
        <v>健康旦 HiEggo</v>
      </c>
      <c r="C3063" s="80" t="s">
        <v>3443</v>
      </c>
      <c r="D3063" s="81" t="str">
        <f>HYPERLINK("https://youtube.com/watch?v=MDwijnaZsGY", "灰甲處理殺菌技巧  食雪藏海鮮易有蕁麻疹 李維恩：益生菌著重品種數量 - 鄭丹瑞《健康旦》 #李維恩 博士 Part 19 (CC中文字幕)")</f>
        <v>灰甲處理殺菌技巧  食雪藏海鮮易有蕁麻疹 李維恩：益生菌著重品種數量 - 鄭丹瑞《健康旦》 #李維恩 博士 Part 19 (CC中文字幕)</v>
      </c>
      <c r="E3063" s="82">
        <v>44083.0</v>
      </c>
      <c r="F3063" s="80">
        <v>619.0</v>
      </c>
      <c r="G3063" s="80" t="s">
        <v>63</v>
      </c>
      <c r="I3063" s="80" t="s">
        <v>63</v>
      </c>
      <c r="J3063" s="80">
        <v>2120.0</v>
      </c>
      <c r="K3063" s="80">
        <v>0.934332304980167</v>
      </c>
      <c r="L3063" s="80" t="s">
        <v>2771</v>
      </c>
    </row>
    <row r="3064">
      <c r="A3064" s="80" t="s">
        <v>3151</v>
      </c>
      <c r="B3064" s="81" t="str">
        <f>HYPERLINK("https://www.youtube.com/channel/UCARY68c_VZHHXPsEDg9Bptw", "耀佳金融集團Yaw Kai Financial Group")</f>
        <v>耀佳金融集團Yaw Kai Financial Group</v>
      </c>
      <c r="C3064" s="80" t="s">
        <v>3444</v>
      </c>
      <c r="D3064" s="81" t="str">
        <f>HYPERLINK("https://youtube.com/watch?v=TgtpW3homjI", "【市場點評】交易所(#388.HK) 中芯(#981.HK) 繼續落鑊炒?                              小米(#1810.HK)印度有危機?")</f>
        <v>【市場點評】交易所(#388.HK) 中芯(#981.HK) 繼續落鑊炒?                              小米(#1810.HK)印度有危機?</v>
      </c>
      <c r="E3064" s="82">
        <v>44005.0</v>
      </c>
      <c r="F3064" s="80">
        <v>539.0</v>
      </c>
      <c r="G3064" s="80" t="s">
        <v>63</v>
      </c>
      <c r="I3064" s="80" t="s">
        <v>63</v>
      </c>
      <c r="J3064" s="80">
        <v>1637.0</v>
      </c>
      <c r="K3064" s="80">
        <v>0.97036158861885</v>
      </c>
      <c r="L3064" s="80" t="s">
        <v>64</v>
      </c>
    </row>
    <row r="3065">
      <c r="A3065" s="80" t="s">
        <v>1606</v>
      </c>
      <c r="B3065" s="81" t="str">
        <f>HYPERLINK("https://www.youtube.com/channel/UCk25FUc8pLiP3A6Zniknxbg", "希治閣【遊戲情報科】")</f>
        <v>希治閣【遊戲情報科】</v>
      </c>
      <c r="C3065" s="80" t="s">
        <v>3445</v>
      </c>
      <c r="D3065" s="81" t="str">
        <f>HYPERLINK("https://youtube.com/watch?v=MGAJro9H4UQ", "【特別推介】 開箱！Tuf Gaming 4k30 Capture Box")</f>
        <v>【特別推介】 開箱！Tuf Gaming 4k30 Capture Box</v>
      </c>
      <c r="E3065" s="82">
        <v>44404.0</v>
      </c>
      <c r="F3065" s="80">
        <v>300.0</v>
      </c>
      <c r="G3065" s="80" t="s">
        <v>63</v>
      </c>
      <c r="I3065" s="80" t="s">
        <v>63</v>
      </c>
      <c r="J3065" s="80">
        <v>1162.0</v>
      </c>
      <c r="K3065" s="80">
        <v>0.697897897897897</v>
      </c>
      <c r="L3065" s="80" t="s">
        <v>64</v>
      </c>
    </row>
    <row r="3066">
      <c r="A3066" s="80" t="s">
        <v>3139</v>
      </c>
      <c r="B3066" s="81" t="str">
        <f t="shared" ref="B3066:B3067" si="162">HYPERLINK("https://www.youtube.com/channel/UCThO2xnH7XMg6plE8OgJm_w", "choyuen草原")</f>
        <v>choyuen草原</v>
      </c>
      <c r="C3066" s="80" t="s">
        <v>3446</v>
      </c>
      <c r="D3066" s="81" t="str">
        <f>HYPERLINK("https://youtube.com/watch?v=UMaXiEsfm9A", "『廣東話』本人就任 降低食水中氟化物 委員會發言人 : 全港市民請即睇醫生 Fluoride an hour keeps a doctor closer【陰謀妄想症】")</f>
        <v>『廣東話』本人就任 降低食水中氟化物 委員會發言人 : 全港市民請即睇醫生 Fluoride an hour keeps a doctor closer【陰謀妄想症】</v>
      </c>
      <c r="E3066" s="82">
        <v>43485.0</v>
      </c>
      <c r="F3066" s="80">
        <v>313.0</v>
      </c>
      <c r="G3066" s="80" t="s">
        <v>63</v>
      </c>
      <c r="I3066" s="80" t="s">
        <v>63</v>
      </c>
      <c r="J3066" s="80">
        <v>1060.0</v>
      </c>
      <c r="K3066" s="80">
        <v>0.78576723498888</v>
      </c>
      <c r="L3066" s="80" t="s">
        <v>64</v>
      </c>
    </row>
    <row r="3067">
      <c r="A3067" s="80" t="s">
        <v>3139</v>
      </c>
      <c r="B3067" s="81" t="str">
        <f t="shared" si="162"/>
        <v>choyuen草原</v>
      </c>
      <c r="C3067" s="80" t="s">
        <v>3447</v>
      </c>
      <c r="D3067" s="81" t="str">
        <f>HYPERLINK("https://youtube.com/watch?v=UQlywezDi8M", "『廣東話』武漢病毒(B.解畫) : 預言 x 鑊 x 計劃 Wuhan Coronavirus: Plan for Pandemic【陰謀妄想症】")</f>
        <v>『廣東話』武漢病毒(B.解畫) : 預言 x 鑊 x 計劃 Wuhan Coronavirus: Plan for Pandemic【陰謀妄想症】</v>
      </c>
      <c r="E3067" s="82">
        <v>43970.0</v>
      </c>
      <c r="F3067" s="80">
        <v>594.0</v>
      </c>
      <c r="G3067" s="80" t="s">
        <v>63</v>
      </c>
      <c r="I3067" s="80" t="s">
        <v>63</v>
      </c>
      <c r="J3067" s="80">
        <v>1621.0</v>
      </c>
      <c r="K3067" s="80">
        <v>0.847360167276529</v>
      </c>
      <c r="L3067" s="80" t="s">
        <v>64</v>
      </c>
    </row>
    <row r="3068">
      <c r="A3068" s="80" t="s">
        <v>1987</v>
      </c>
      <c r="B3068" s="81" t="str">
        <f>HYPERLINK("https://www.youtube.com/channel/UCgGUmm04nVyj-ftaCxVcyBg", "MangoHK大馬獅家")</f>
        <v>MangoHK大馬獅家</v>
      </c>
      <c r="C3068" s="80" t="s">
        <v>3448</v>
      </c>
      <c r="D3068" s="81" t="str">
        <f>HYPERLINK("https://youtube.com/watch?v=MLmzN-A7b1I", "【54】🌳森林研究所🍺去邊到消夜？{中英字幕}  Subtitled | Malaysia Forest Research Institute | Malaysia Vlog | mm2h")</f>
        <v>【54】🌳森林研究所🍺去邊到消夜？{中英字幕}  Subtitled | Malaysia Forest Research Institute | Malaysia Vlog | mm2h</v>
      </c>
      <c r="E3068" s="82">
        <v>44482.0</v>
      </c>
      <c r="F3068" s="80">
        <v>402.0</v>
      </c>
      <c r="G3068" s="80" t="s">
        <v>63</v>
      </c>
      <c r="I3068" s="80" t="s">
        <v>63</v>
      </c>
      <c r="J3068" s="80">
        <v>1169.0</v>
      </c>
      <c r="K3068" s="80">
        <v>0.958982772764561</v>
      </c>
      <c r="L3068" s="80" t="s">
        <v>896</v>
      </c>
    </row>
    <row r="3069">
      <c r="A3069" s="80" t="s">
        <v>248</v>
      </c>
      <c r="B3069" s="81" t="str">
        <f>HYPERLINK("https://www.youtube.com/channel/UCUEJok-GiWaGlv5nIPwk-GQ", "Price.com.hk 香港格價網")</f>
        <v>Price.com.hk 香港格價網</v>
      </c>
      <c r="C3069" s="80" t="s">
        <v>3449</v>
      </c>
      <c r="D3069" s="81" t="str">
        <f>HYPERLINK("https://youtube.com/watch?v=MLpWB4oqN_k", "IKEA x ROG 打造一個屬於自己的電競空間｜電競桌椅、收納架、電競配件｜特約專題｜廣東話【Price.com.hk產品介紹】")</f>
        <v>IKEA x ROG 打造一個屬於自己的電競空間｜電競桌椅、收納架、電競配件｜特約專題｜廣東話【Price.com.hk產品介紹】</v>
      </c>
      <c r="E3069" s="82">
        <v>44481.0</v>
      </c>
      <c r="F3069" s="80">
        <v>255.0</v>
      </c>
      <c r="G3069" s="80" t="s">
        <v>63</v>
      </c>
      <c r="I3069" s="80" t="s">
        <v>63</v>
      </c>
      <c r="J3069" s="80">
        <v>825.0</v>
      </c>
      <c r="K3069" s="80">
        <v>0.895765472312703</v>
      </c>
      <c r="L3069" s="80" t="s">
        <v>64</v>
      </c>
    </row>
    <row r="3070">
      <c r="A3070" s="80" t="s">
        <v>127</v>
      </c>
      <c r="B3070" s="81" t="str">
        <f>HYPERLINK("https://www.youtube.com/channel/UC97oYK3XMf9RLtkc0lO8C-Q", "健康旦 HiEggo")</f>
        <v>健康旦 HiEggo</v>
      </c>
      <c r="C3070" s="80" t="s">
        <v>3450</v>
      </c>
      <c r="D3070" s="81" t="str">
        <f>HYPERLINK("https://youtube.com/watch?v=MOW35mmIIHI", "中醫師：入夜不宜做運動 兩大食譜教煲赤小豆蓮葉羅漢果茶 同埋暑熱安神湯水 - 鄭丹瑞《健康旦》中醫 #楊明霞 Part 7 (CC中文字幕)")</f>
        <v>中醫師：入夜不宜做運動 兩大食譜教煲赤小豆蓮葉羅漢果茶 同埋暑熱安神湯水 - 鄭丹瑞《健康旦》中醫 #楊明霞 Part 7 (CC中文字幕)</v>
      </c>
      <c r="E3070" s="82">
        <v>43989.0</v>
      </c>
      <c r="F3070" s="80">
        <v>704.0</v>
      </c>
      <c r="G3070" s="80" t="s">
        <v>63</v>
      </c>
      <c r="I3070" s="80" t="s">
        <v>63</v>
      </c>
      <c r="J3070" s="80">
        <v>3005.0</v>
      </c>
      <c r="K3070" s="80">
        <v>0.992732077964981</v>
      </c>
      <c r="L3070" s="80" t="s">
        <v>64</v>
      </c>
    </row>
    <row r="3071">
      <c r="A3071" s="80" t="s">
        <v>2829</v>
      </c>
      <c r="B3071" s="81" t="str">
        <f>HYPERLINK("https://www.youtube.com/channel/UC7GnES6AEQlDzaP04UqtyjA", "SOLID IDEA")</f>
        <v>SOLID IDEA</v>
      </c>
      <c r="C3071" s="80" t="s">
        <v>3451</v>
      </c>
      <c r="D3071" s="81" t="str">
        <f>HYPERLINK("https://youtube.com/watch?v=MPDmj-TGYmA", "[#設計概念​] #凱滙​ #風水改造​ #2人800呎3房單位​ | 室內設計 | 空間擺位 | SOLID IDEA | (CC中文字幕)")</f>
        <v>[#設計概念​] #凱滙​ #風水改造​ #2人800呎3房單位​ | 室內設計 | 空間擺位 | SOLID IDEA | (CC中文字幕)</v>
      </c>
      <c r="E3071" s="82">
        <v>44379.0</v>
      </c>
      <c r="F3071" s="80">
        <v>327.0</v>
      </c>
      <c r="G3071" s="80" t="s">
        <v>63</v>
      </c>
      <c r="I3071" s="80" t="s">
        <v>63</v>
      </c>
      <c r="J3071" s="80">
        <v>956.0</v>
      </c>
      <c r="K3071" s="80">
        <v>0.962739174219536</v>
      </c>
      <c r="L3071" s="80" t="s">
        <v>64</v>
      </c>
    </row>
    <row r="3072">
      <c r="A3072" s="80" t="s">
        <v>248</v>
      </c>
      <c r="B3072" s="81" t="str">
        <f>HYPERLINK("https://www.youtube.com/channel/UCUEJok-GiWaGlv5nIPwk-GQ", "Price.com.hk 香港格價網")</f>
        <v>Price.com.hk 香港格價網</v>
      </c>
      <c r="C3072" s="80" t="s">
        <v>3452</v>
      </c>
      <c r="D3072" s="81" t="str">
        <f>HYPERLINK("https://youtube.com/watch?v=MPODAed0IDE", "文書專用 Tab P11 Plus + 煲劇首選 Yoga Tab 11丨Lenovo 平板電腦丨11吋大芒、手寫筆、Dolby Atmos、八核處理器丨特約專題【Price.com.hk產品評測】")</f>
        <v>文書專用 Tab P11 Plus + 煲劇首選 Yoga Tab 11丨Lenovo 平板電腦丨11吋大芒、手寫筆、Dolby Atmos、八核處理器丨特約專題【Price.com.hk產品評測】</v>
      </c>
      <c r="E3072" s="82">
        <v>44515.0</v>
      </c>
      <c r="F3072" s="80">
        <v>317.0</v>
      </c>
      <c r="G3072" s="80" t="s">
        <v>63</v>
      </c>
      <c r="I3072" s="80" t="s">
        <v>63</v>
      </c>
      <c r="J3072" s="80">
        <v>981.0</v>
      </c>
      <c r="K3072" s="80">
        <v>0.752300613496932</v>
      </c>
      <c r="L3072" s="80" t="s">
        <v>64</v>
      </c>
    </row>
    <row r="3073">
      <c r="A3073" s="80" t="s">
        <v>3144</v>
      </c>
      <c r="B3073" s="81" t="str">
        <f>HYPERLINK("https://www.youtube.com/channel/UCZVmFDfn5WnixrHNf25MeJQ", "〈職人吹水〉@SingSingKitchen")</f>
        <v>〈職人吹水〉@SingSingKitchen</v>
      </c>
      <c r="C3073" s="80" t="s">
        <v>3453</v>
      </c>
      <c r="D3073" s="81" t="str">
        <f>HYPERLINK("https://youtube.com/watch?v=UnuRuvZThPU", "〈 職人吹水〉 $35 珍珠立魚 超嫩滑 滾番茄薯仔湯 一湯兩食")</f>
        <v>〈 職人吹水〉 $35 珍珠立魚 超嫩滑 滾番茄薯仔湯 一湯兩食</v>
      </c>
      <c r="E3073" s="82">
        <v>44192.0</v>
      </c>
      <c r="F3073" s="80">
        <v>1018.0</v>
      </c>
      <c r="G3073" s="80" t="s">
        <v>63</v>
      </c>
      <c r="I3073" s="80" t="s">
        <v>63</v>
      </c>
      <c r="J3073" s="80">
        <v>13.0</v>
      </c>
      <c r="K3073" s="80">
        <v>1.0</v>
      </c>
      <c r="L3073" s="80" t="s">
        <v>745</v>
      </c>
    </row>
    <row r="3074">
      <c r="A3074" s="80" t="s">
        <v>3377</v>
      </c>
      <c r="B3074" s="81" t="str">
        <f>HYPERLINK("https://www.youtube.com/channel/UCDXW0EMCl6VoonWyvIWAT7Q", "Trip.com HK")</f>
        <v>Trip.com HK</v>
      </c>
      <c r="C3074" s="80" t="s">
        <v>3454</v>
      </c>
      <c r="D3074" s="81" t="str">
        <f>HYPERLINK("https://youtube.com/watch?v=UwsnbVbN8_8", "【#任食海鮮點至抵食？】 兩小時高質 #任食海鮮 🦐 | 教你極速剝_大法 | #K11Musea  意式 #半自助餐 | #VELOItalianBar&amp;Grill 🇮🇹 | #性價比西餐廳")</f>
        <v>【#任食海鮮點至抵食？】 兩小時高質 #任食海鮮 🦐 | 教你極速剝_大法 | #K11Musea  意式 #半自助餐 | #VELOItalianBar&amp;Grill 🇮🇹 | #性價比西餐廳</v>
      </c>
      <c r="E3074" s="82">
        <v>44309.0</v>
      </c>
      <c r="F3074" s="80">
        <v>62.0</v>
      </c>
      <c r="G3074" s="80" t="s">
        <v>63</v>
      </c>
      <c r="I3074" s="80" t="s">
        <v>63</v>
      </c>
      <c r="J3074" s="80">
        <v>68.0</v>
      </c>
      <c r="K3074" s="80">
        <v>0.931506849315068</v>
      </c>
      <c r="L3074" s="80" t="s">
        <v>64</v>
      </c>
    </row>
    <row r="3075">
      <c r="A3075" s="80" t="s">
        <v>2800</v>
      </c>
      <c r="B3075" s="81" t="str">
        <f>HYPERLINK("https://www.youtube.com/channel/UCMqrlsr-AECPc6_3oDr8m9w", "Unicorn 獸哥")</f>
        <v>Unicorn 獸哥</v>
      </c>
      <c r="C3075" s="80" t="s">
        <v>3455</v>
      </c>
      <c r="D3075" s="81" t="str">
        <f>HYPERLINK("https://youtube.com/watch?v=MPPzOud3yKo", "屬於梁朝偉的Marvel電影 尚氣與十環幫傳奇劇透影評")</f>
        <v>屬於梁朝偉的Marvel電影 尚氣與十環幫傳奇劇透影評</v>
      </c>
      <c r="E3075" s="82">
        <v>44447.0</v>
      </c>
      <c r="F3075" s="80">
        <v>757.0</v>
      </c>
      <c r="G3075" s="80" t="s">
        <v>63</v>
      </c>
      <c r="I3075" s="80" t="s">
        <v>63</v>
      </c>
      <c r="J3075" s="80">
        <v>2061.0</v>
      </c>
      <c r="K3075" s="80">
        <v>0.854123497720679</v>
      </c>
      <c r="L3075" s="80" t="s">
        <v>64</v>
      </c>
    </row>
    <row r="3076">
      <c r="A3076" s="80" t="s">
        <v>257</v>
      </c>
      <c r="B3076" s="81" t="str">
        <f>HYPERLINK("https://www.youtube.com/channel/UC1u7XM2b3QCHcGOhD6nDypg", "Poopstirrer")</f>
        <v>Poopstirrer</v>
      </c>
      <c r="C3076" s="80" t="s">
        <v>3456</v>
      </c>
      <c r="D3076" s="81" t="str">
        <f>HYPERLINK("https://youtube.com/watch?v=MPxPJR5-kl0", "海洋公園Halloween 2016 Vlog!回港家姐膽太大嚇唔親!")</f>
        <v>海洋公園Halloween 2016 Vlog!回港家姐膽太大嚇唔親!</v>
      </c>
      <c r="E3076" s="82">
        <v>42671.0</v>
      </c>
      <c r="F3076" s="80">
        <v>354.0</v>
      </c>
      <c r="G3076" s="80" t="s">
        <v>63</v>
      </c>
      <c r="I3076" s="80" t="s">
        <v>63</v>
      </c>
      <c r="J3076" s="80">
        <v>1043.0</v>
      </c>
      <c r="K3076" s="80">
        <v>0.917326297273526</v>
      </c>
      <c r="L3076" s="80" t="s">
        <v>64</v>
      </c>
    </row>
    <row r="3077">
      <c r="A3077" s="80" t="s">
        <v>2780</v>
      </c>
      <c r="B3077" s="81" t="str">
        <f>HYPERLINK("https://www.youtube.com/channel/UC0CojhLcc0VESgaG633m5kA", "RainErs")</f>
        <v>RainErs</v>
      </c>
      <c r="C3077" s="80" t="s">
        <v>3457</v>
      </c>
      <c r="D3077" s="81" t="str">
        <f>HYPERLINK("https://youtube.com/watch?v=MRmUJdBlrsA", "[Hot Toys開箱Ep2]Iron Patriot---Hot Toys最強重甲系列!! //媲美iron man嘅男人??[有CC字幕]")</f>
        <v>[Hot Toys開箱Ep2]Iron Patriot---Hot Toys最強重甲系列!! //媲美iron man嘅男人??[有CC字幕]</v>
      </c>
      <c r="E3077" s="82">
        <v>44544.0</v>
      </c>
      <c r="F3077" s="80">
        <v>599.0</v>
      </c>
      <c r="G3077" s="80" t="s">
        <v>63</v>
      </c>
      <c r="I3077" s="80" t="s">
        <v>63</v>
      </c>
      <c r="J3077" s="80">
        <v>2197.0</v>
      </c>
      <c r="K3077" s="80">
        <v>0.849574632637277</v>
      </c>
      <c r="L3077" s="80" t="s">
        <v>64</v>
      </c>
    </row>
    <row r="3078">
      <c r="A3078" s="80" t="s">
        <v>2800</v>
      </c>
      <c r="B3078" s="81" t="str">
        <f>HYPERLINK("https://www.youtube.com/channel/UCMqrlsr-AECPc6_3oDr8m9w", "Unicorn 獸哥")</f>
        <v>Unicorn 獸哥</v>
      </c>
      <c r="C3078" s="80" t="s">
        <v>3458</v>
      </c>
      <c r="D3078" s="81" t="str">
        <f>HYPERLINK("https://youtube.com/watch?v=MUfYTk8l9oY", "八月有乜戲好睇？私心推介！《自殺特工The Suicide Squad》《鬼同你住》《Free guy 爆機自由仁》")</f>
        <v>八月有乜戲好睇？私心推介！《自殺特工The Suicide Squad》《鬼同你住》《Free guy 爆機自由仁》</v>
      </c>
      <c r="E3078" s="82">
        <v>44411.0</v>
      </c>
      <c r="F3078" s="80">
        <v>485.0</v>
      </c>
      <c r="G3078" s="80" t="s">
        <v>63</v>
      </c>
      <c r="I3078" s="80" t="s">
        <v>63</v>
      </c>
      <c r="J3078" s="80">
        <v>1499.0</v>
      </c>
      <c r="K3078" s="80">
        <v>0.875072971395213</v>
      </c>
      <c r="L3078" s="80" t="s">
        <v>64</v>
      </c>
    </row>
    <row r="3079">
      <c r="A3079" s="80" t="s">
        <v>108</v>
      </c>
      <c r="B3079" s="81" t="str">
        <f>HYPERLINK("https://www.youtube.com/channel/UCZL6QN6Xs-ZrKY3y6Pv6Emg", "廢青 - 日賺3000")</f>
        <v>廢青 - 日賺3000</v>
      </c>
      <c r="C3079" s="80" t="s">
        <v>3459</v>
      </c>
      <c r="D3079" s="81" t="str">
        <f>HYPERLINK("https://youtube.com/watch?v=MW1dNPBWMq4", "大戶最想散戶係高位按火棒 🔥🔥 | 答案竟然係...NO?! ㊙️㊙️ | EP08【廢青 日賺3000】【點CC看中文字幕】")</f>
        <v>大戶最想散戶係高位按火棒 🔥🔥 | 答案竟然係...NO?! ㊙️㊙️ | EP08【廢青 日賺3000】【點CC看中文字幕】</v>
      </c>
      <c r="E3079" s="82">
        <v>44499.0</v>
      </c>
      <c r="F3079" s="80">
        <v>906.0</v>
      </c>
      <c r="G3079" s="80" t="s">
        <v>63</v>
      </c>
      <c r="I3079" s="80" t="s">
        <v>63</v>
      </c>
      <c r="J3079" s="80">
        <v>3654.0</v>
      </c>
      <c r="K3079" s="80">
        <v>0.904455445544554</v>
      </c>
      <c r="L3079" s="80" t="s">
        <v>64</v>
      </c>
    </row>
    <row r="3080">
      <c r="A3080" s="80" t="s">
        <v>293</v>
      </c>
      <c r="B3080" s="81" t="str">
        <f t="shared" ref="B3080:B3081" si="163">HYPERLINK("https://www.youtube.com/channel/UCXRcbXqjORdIvl63I7MtOLQ", "趁熱 Kerry 's kitchen")</f>
        <v>趁熱 Kerry 's kitchen</v>
      </c>
      <c r="C3080" s="80" t="s">
        <v>3460</v>
      </c>
      <c r="D3080" s="81" t="str">
        <f>HYPERLINK("https://youtube.com/watch?v=MX6hL4gLF4Q", "banana chocolate cake// 粵語旁述,/中文字幕/ 簡單/朱古力香蕉蛋糕/ How to make/ chocolate banana Cake")</f>
        <v>banana chocolate cake// 粵語旁述,/中文字幕/ 簡單/朱古力香蕉蛋糕/ How to make/ chocolate banana Cake</v>
      </c>
      <c r="E3080" s="82">
        <v>44120.0</v>
      </c>
      <c r="F3080" s="80">
        <v>234.0</v>
      </c>
      <c r="G3080" s="80" t="s">
        <v>63</v>
      </c>
      <c r="I3080" s="80" t="s">
        <v>63</v>
      </c>
      <c r="J3080" s="80">
        <v>544.0</v>
      </c>
      <c r="K3080" s="80">
        <v>0.949389179755671</v>
      </c>
      <c r="L3080" s="80" t="s">
        <v>64</v>
      </c>
    </row>
    <row r="3081">
      <c r="A3081" s="80" t="s">
        <v>293</v>
      </c>
      <c r="B3081" s="81" t="str">
        <f t="shared" si="163"/>
        <v>趁熱 Kerry 's kitchen</v>
      </c>
      <c r="C3081" s="80" t="s">
        <v>3461</v>
      </c>
      <c r="D3081" s="81" t="str">
        <f>HYPERLINK("https://youtube.com/watch?v=MYXQaeKVpyw", "楊枝甘露/香港甜品/芒果西米柚子露/簡單 家做/新手 入門/#廣東話")</f>
        <v>楊枝甘露/香港甜品/芒果西米柚子露/簡單 家做/新手 入門/#廣東話</v>
      </c>
      <c r="E3081" s="82">
        <v>44377.0</v>
      </c>
      <c r="F3081" s="80">
        <v>387.0</v>
      </c>
      <c r="G3081" s="80" t="s">
        <v>63</v>
      </c>
      <c r="I3081" s="80" t="s">
        <v>63</v>
      </c>
      <c r="J3081" s="80">
        <v>902.0</v>
      </c>
      <c r="K3081" s="80">
        <v>0.971982758620689</v>
      </c>
      <c r="L3081" s="80" t="s">
        <v>64</v>
      </c>
    </row>
    <row r="3082">
      <c r="A3082" s="80" t="s">
        <v>3142</v>
      </c>
      <c r="B3082" s="81" t="str">
        <f>HYPERLINK("https://www.youtube.com/channel/UCO4mttl54gQ0UW-DqyVrvLQ", "陳怡ChanYee")</f>
        <v>陳怡ChanYee</v>
      </c>
      <c r="C3082" s="80" t="s">
        <v>3462</v>
      </c>
      <c r="D3082" s="81" t="str">
        <f>HYPERLINK("https://youtube.com/watch?v=Vp-_lVyEyIE", "香港人極矛盾：音樂與性教育｜陳怡 ChanYee")</f>
        <v>香港人極矛盾：音樂與性教育｜陳怡 ChanYee</v>
      </c>
      <c r="E3082" s="82">
        <v>43171.0</v>
      </c>
      <c r="F3082" s="80">
        <v>190.0</v>
      </c>
      <c r="G3082" s="80" t="s">
        <v>63</v>
      </c>
      <c r="I3082" s="80" t="s">
        <v>63</v>
      </c>
      <c r="J3082" s="80">
        <v>925.0</v>
      </c>
      <c r="K3082" s="80">
        <v>0.950668036998972</v>
      </c>
      <c r="L3082" s="80" t="s">
        <v>102</v>
      </c>
    </row>
    <row r="3083">
      <c r="A3083" s="80" t="s">
        <v>3139</v>
      </c>
      <c r="B3083" s="81" t="str">
        <f>HYPERLINK("https://www.youtube.com/channel/UCThO2xnH7XMg6plE8OgJm_w", "choyuen草原")</f>
        <v>choyuen草原</v>
      </c>
      <c r="C3083" s="80" t="s">
        <v>3463</v>
      </c>
      <c r="D3083" s="81" t="str">
        <f>HYPERLINK("https://youtube.com/watch?v=WBzouMBmCBY", "「我仲交緊鴉片戰爭賠款去蘇格蘭喎 , 喂国安大人」  Hong Kong = yuu , the business model of Scottish company")</f>
        <v>「我仲交緊鴉片戰爭賠款去蘇格蘭喎 , 喂国安大人」  Hong Kong = yuu , the business model of Scottish company</v>
      </c>
      <c r="E3083" s="82">
        <v>44243.0</v>
      </c>
      <c r="F3083" s="80">
        <v>268.0</v>
      </c>
      <c r="G3083" s="80" t="s">
        <v>63</v>
      </c>
      <c r="I3083" s="80" t="s">
        <v>63</v>
      </c>
      <c r="J3083" s="80">
        <v>815.0</v>
      </c>
      <c r="K3083" s="80">
        <v>0.941108545034642</v>
      </c>
      <c r="L3083" s="80" t="s">
        <v>64</v>
      </c>
    </row>
    <row r="3084">
      <c r="A3084" s="80" t="s">
        <v>257</v>
      </c>
      <c r="B3084" s="81" t="str">
        <f>HYPERLINK("https://www.youtube.com/channel/UC1u7XM2b3QCHcGOhD6nDypg", "Poopstirrer")</f>
        <v>Poopstirrer</v>
      </c>
      <c r="C3084" s="80" t="s">
        <v>3464</v>
      </c>
      <c r="D3084" s="81" t="str">
        <f>HYPERLINK("https://youtube.com/watch?v=Mfr3LQOXjsA", "街頭籃球王! 制霸街道! 【攪屎棍 Poop Stirrer】")</f>
        <v>街頭籃球王! 制霸街道! 【攪屎棍 Poop Stirrer】</v>
      </c>
      <c r="E3084" s="82">
        <v>42687.0</v>
      </c>
      <c r="F3084" s="80">
        <v>153.0</v>
      </c>
      <c r="G3084" s="80" t="s">
        <v>63</v>
      </c>
      <c r="I3084" s="80" t="s">
        <v>63</v>
      </c>
      <c r="J3084" s="80">
        <v>22.0</v>
      </c>
      <c r="K3084" s="80">
        <v>0.6875</v>
      </c>
      <c r="L3084" s="80" t="s">
        <v>64</v>
      </c>
    </row>
    <row r="3085">
      <c r="A3085" s="80" t="s">
        <v>3151</v>
      </c>
      <c r="B3085" s="81" t="str">
        <f>HYPERLINK("https://www.youtube.com/channel/UCARY68c_VZHHXPsEDg9Bptw", "耀佳金融集團Yaw Kai Financial Group")</f>
        <v>耀佳金融集團Yaw Kai Financial Group</v>
      </c>
      <c r="C3085" s="80" t="s">
        <v>3465</v>
      </c>
      <c r="D3085" s="81" t="str">
        <f>HYPERLINK("https://youtube.com/watch?v=WFVOY2js-2U", "【市場點評】香港聯繫匯率制度會崩潰?")</f>
        <v>【市場點評】香港聯繫匯率制度會崩潰?</v>
      </c>
      <c r="E3085" s="82">
        <v>44020.0</v>
      </c>
      <c r="F3085" s="80">
        <v>837.0</v>
      </c>
      <c r="G3085" s="80" t="s">
        <v>63</v>
      </c>
      <c r="I3085" s="80" t="s">
        <v>63</v>
      </c>
      <c r="J3085" s="80">
        <v>2429.0</v>
      </c>
      <c r="K3085" s="80">
        <v>0.96888711607499</v>
      </c>
      <c r="L3085" s="80" t="s">
        <v>64</v>
      </c>
    </row>
    <row r="3086">
      <c r="A3086" s="80" t="s">
        <v>98</v>
      </c>
      <c r="B3086" s="81" t="str">
        <f>HYPERLINK("https://www.youtube.com/channel/UCrquuQB6v1Ued2xyRKZreGQ", "Stephen Leung ")</f>
        <v>Stephen Leung </v>
      </c>
      <c r="C3086" s="80" t="s">
        <v>3466</v>
      </c>
      <c r="D3086" s="81" t="str">
        <f>HYPERLINK("https://youtube.com/watch?v=Mh2nKMst5uE", "【香港美食】2021中秋節月餅 頒獎典禮! 市面上最騎呢月餅包裝逐個睇! 熱賣中秋月餅 星宴 滿福樓 國金軒 大師姐 香港皇玥 利苑酒家 mooncake | 吃喝玩樂 開箱 香港好去處 開箱")</f>
        <v>【香港美食】2021中秋節月餅 頒獎典禮! 市面上最騎呢月餅包裝逐個睇! 熱賣中秋月餅 星宴 滿福樓 國金軒 大師姐 香港皇玥 利苑酒家 mooncake | 吃喝玩樂 開箱 香港好去處 開箱</v>
      </c>
      <c r="E3086" s="82">
        <v>44446.0</v>
      </c>
      <c r="F3086" s="80">
        <v>747.0</v>
      </c>
      <c r="G3086" s="80" t="s">
        <v>63</v>
      </c>
      <c r="I3086" s="80" t="s">
        <v>63</v>
      </c>
      <c r="J3086" s="80">
        <v>1838.0</v>
      </c>
      <c r="K3086" s="80">
        <v>0.966351209253417</v>
      </c>
      <c r="L3086" s="80" t="s">
        <v>64</v>
      </c>
    </row>
    <row r="3087">
      <c r="A3087" s="80" t="s">
        <v>3158</v>
      </c>
      <c r="B3087" s="81" t="str">
        <f>HYPERLINK("https://www.youtube.com/channel/UCldJqbxFCPolSR6V9lszWDA", "魚波 Yu Ball")</f>
        <v>魚波 Yu Ball</v>
      </c>
      <c r="C3087" s="80" t="s">
        <v>3467</v>
      </c>
      <c r="D3087" s="81" t="str">
        <f>HYPERLINK("https://youtube.com/watch?v=WRwoTMzSrNQ", "我部車斷左粒好重要既螺絲😞...MARY保養完成(CC字幕)!!【魚波vlog#24】😞")</f>
        <v>我部車斷左粒好重要既螺絲😞...MARY保養完成(CC字幕)!!【魚波vlog#24】😞</v>
      </c>
      <c r="E3087" s="82">
        <v>43931.0</v>
      </c>
      <c r="F3087" s="80">
        <v>1016.0</v>
      </c>
      <c r="G3087" s="80" t="s">
        <v>63</v>
      </c>
      <c r="I3087" s="80" t="s">
        <v>63</v>
      </c>
      <c r="J3087" s="80">
        <v>3637.0</v>
      </c>
      <c r="K3087" s="80">
        <v>0.926860346585117</v>
      </c>
      <c r="L3087" s="80" t="s">
        <v>91</v>
      </c>
    </row>
    <row r="3088">
      <c r="A3088" s="80" t="s">
        <v>1260</v>
      </c>
      <c r="B3088" s="81" t="str">
        <f>HYPERLINK("https://www.youtube.com/channel/UCh1k4i86BpiXEO3nzJIYynw", "The Wave")</f>
        <v>The Wave</v>
      </c>
      <c r="C3088" s="80" t="s">
        <v>3468</v>
      </c>
      <c r="D3088" s="81" t="str">
        <f>HYPERLINK("https://youtube.com/watch?v=MibVFD9Ux0s", "TheWave | iPhone XS | iPhone XS Max | iPhone XR 發佈 | 香港價錢 | 重上傳，之前超細聲")</f>
        <v>TheWave | iPhone XS | iPhone XS Max | iPhone XR 發佈 | 香港價錢 | 重上傳，之前超細聲</v>
      </c>
      <c r="E3088" s="82">
        <v>43355.0</v>
      </c>
      <c r="F3088" s="80">
        <v>89.0</v>
      </c>
      <c r="G3088" s="80" t="s">
        <v>63</v>
      </c>
      <c r="I3088" s="80" t="s">
        <v>63</v>
      </c>
      <c r="J3088" s="80">
        <v>199.0</v>
      </c>
      <c r="K3088" s="80">
        <v>0.479518072289156</v>
      </c>
      <c r="L3088" s="80" t="s">
        <v>521</v>
      </c>
    </row>
    <row r="3089">
      <c r="A3089" s="80" t="s">
        <v>3165</v>
      </c>
      <c r="B3089" s="81" t="str">
        <f>HYPERLINK("https://www.youtube.com/channel/UCKmwhu-hyadoBCzzM0TBDHQ", "好易煮 oe cook")</f>
        <v>好易煮 oe cook</v>
      </c>
      <c r="C3089" s="80" t="s">
        <v>3469</v>
      </c>
      <c r="D3089" s="81" t="str">
        <f>HYPERLINK("https://youtube.com/watch?v=WZ6ggfIA5io", "發財大利湯(髮菜豬脷湯) Lotus Root Dried Oysters w/ Pig Tongue and Knuckle and Black Moss #賀年菜 (有字幕W/Subtitles)")</f>
        <v>發財大利湯(髮菜豬脷湯) Lotus Root Dried Oysters w/ Pig Tongue and Knuckle and Black Moss #賀年菜 (有字幕W/Subtitles)</v>
      </c>
      <c r="E3089" s="82">
        <v>43846.0</v>
      </c>
      <c r="F3089" s="80">
        <v>614.0</v>
      </c>
      <c r="G3089" s="80" t="s">
        <v>63</v>
      </c>
      <c r="H3089" s="80" t="s">
        <v>63</v>
      </c>
      <c r="I3089" s="80" t="s">
        <v>63</v>
      </c>
      <c r="J3089" s="80">
        <v>454.0</v>
      </c>
      <c r="K3089" s="80">
        <v>0.98695652173913</v>
      </c>
      <c r="L3089" s="80" t="s">
        <v>3470</v>
      </c>
    </row>
    <row r="3090">
      <c r="A3090" s="80" t="s">
        <v>3151</v>
      </c>
      <c r="B3090" s="81" t="str">
        <f>HYPERLINK("https://www.youtube.com/channel/UCARY68c_VZHHXPsEDg9Bptw", "耀佳金融集團Yaw Kai Financial Group")</f>
        <v>耀佳金融集團Yaw Kai Financial Group</v>
      </c>
      <c r="C3090" s="80" t="s">
        <v>3471</v>
      </c>
      <c r="D3090" s="81" t="str">
        <f>HYPERLINK("https://youtube.com/watch?v=WZCfHOvDHAA", "【市場點評】港研數碼幣拓企業跨境支付挑戰SWIFT?")</f>
        <v>【市場點評】港研數碼幣拓企業跨境支付挑戰SWIFT?</v>
      </c>
      <c r="E3090" s="82">
        <v>44026.0</v>
      </c>
      <c r="F3090" s="80">
        <v>591.0</v>
      </c>
      <c r="G3090" s="80" t="s">
        <v>63</v>
      </c>
      <c r="I3090" s="80" t="s">
        <v>63</v>
      </c>
      <c r="J3090" s="80">
        <v>1729.0</v>
      </c>
      <c r="K3090" s="80">
        <v>0.98406374501992</v>
      </c>
      <c r="L3090" s="80" t="s">
        <v>64</v>
      </c>
    </row>
    <row r="3091">
      <c r="A3091" s="80" t="s">
        <v>2481</v>
      </c>
      <c r="B3091" s="81" t="str">
        <f>HYPERLINK("https://www.youtube.com/channel/UCFT-PtLfmdMIShkQMynOEMQ", "一男一旅 HowFarGo")</f>
        <v>一男一旅 HowFarGo</v>
      </c>
      <c r="C3091" s="80" t="s">
        <v>3472</v>
      </c>
      <c r="D3091" s="81" t="str">
        <f>HYPERLINK("https://youtube.com/watch?v=MmCrZcAx-SU", "豪華大酒店的小城自助餐 (粤語/有字幕) A $25.99 buffet in a luxury hotel, Beau Rivage at Biloxi, Mississippi.")</f>
        <v>豪華大酒店的小城自助餐 (粤語/有字幕) A $25.99 buffet in a luxury hotel, Beau Rivage at Biloxi, Mississippi.</v>
      </c>
      <c r="E3091" s="82">
        <v>44510.0</v>
      </c>
      <c r="F3091" s="80">
        <v>262.0</v>
      </c>
      <c r="G3091" s="80" t="s">
        <v>63</v>
      </c>
      <c r="I3091" s="80" t="s">
        <v>63</v>
      </c>
      <c r="J3091" s="80">
        <v>688.0</v>
      </c>
      <c r="K3091" s="80">
        <v>0.912466843501326</v>
      </c>
      <c r="L3091" s="80" t="s">
        <v>102</v>
      </c>
    </row>
    <row r="3092">
      <c r="A3092" s="80" t="s">
        <v>1260</v>
      </c>
      <c r="B3092" s="81" t="str">
        <f>HYPERLINK("https://www.youtube.com/channel/UCh1k4i86BpiXEO3nzJIYynw", "The Wave")</f>
        <v>The Wave</v>
      </c>
      <c r="C3092" s="80" t="s">
        <v>3473</v>
      </c>
      <c r="D3092" s="81" t="str">
        <f>HYPERLINK("https://youtube.com/watch?v=MnBkRaQBAlk", "TheWave | Sony CFexpress Type A記憶卡開箱 | 同場加映CFexpress Type A card reader + 傳輸速度測試")</f>
        <v>TheWave | Sony CFexpress Type A記憶卡開箱 | 同場加映CFexpress Type A card reader + 傳輸速度測試</v>
      </c>
      <c r="E3092" s="82">
        <v>44128.0</v>
      </c>
      <c r="F3092" s="80">
        <v>178.0</v>
      </c>
      <c r="G3092" s="80" t="s">
        <v>63</v>
      </c>
      <c r="H3092" s="80" t="s">
        <v>63</v>
      </c>
      <c r="I3092" s="80" t="s">
        <v>63</v>
      </c>
      <c r="J3092" s="80">
        <v>447.0</v>
      </c>
      <c r="K3092" s="80">
        <v>0.6602658788774</v>
      </c>
      <c r="L3092" s="80" t="s">
        <v>1634</v>
      </c>
    </row>
    <row r="3093">
      <c r="A3093" s="80" t="s">
        <v>238</v>
      </c>
      <c r="B3093" s="81" t="str">
        <f>HYPERLINK("https://www.youtube.com/channel/UCSBkm4LwpgBmcA3MCtO8vqg", "Post76影音玩樂")</f>
        <v>Post76影音玩樂</v>
      </c>
      <c r="C3093" s="80" t="s">
        <v>3474</v>
      </c>
      <c r="D3093" s="81" t="str">
        <f>HYPERLINK("https://youtube.com/watch?v=Mo6PF7eeh60", "不負旗艦之名 : Sennheiser AMBEO Soundbar 一件打造 5.1.4 超強橫包圍感 3D 極緻音效實試！| 粵語 | 雙中文字幕【Soundbar評測 | Post76.hk】")</f>
        <v>不負旗艦之名 : Sennheiser AMBEO Soundbar 一件打造 5.1.4 超強橫包圍感 3D 極緻音效實試！| 粵語 | 雙中文字幕【Soundbar評測 | Post76.hk】</v>
      </c>
      <c r="E3093" s="82">
        <v>44175.0</v>
      </c>
      <c r="F3093" s="80">
        <v>1168.0</v>
      </c>
      <c r="G3093" s="80" t="s">
        <v>63</v>
      </c>
      <c r="H3093" s="80" t="s">
        <v>63</v>
      </c>
      <c r="I3093" s="80" t="s">
        <v>63</v>
      </c>
      <c r="J3093" s="80">
        <v>4977.0</v>
      </c>
      <c r="K3093" s="80">
        <v>0.793273828498565</v>
      </c>
      <c r="L3093" s="80" t="s">
        <v>66</v>
      </c>
    </row>
    <row r="3094">
      <c r="A3094" s="80" t="s">
        <v>3151</v>
      </c>
      <c r="B3094" s="81" t="str">
        <f>HYPERLINK("https://www.youtube.com/channel/UCARY68c_VZHHXPsEDg9Bptw", "耀佳金融集團Yaw Kai Financial Group")</f>
        <v>耀佳金融集團Yaw Kai Financial Group</v>
      </c>
      <c r="C3094" s="80" t="s">
        <v>3475</v>
      </c>
      <c r="D3094" s="81" t="str">
        <f>HYPERLINK("https://youtube.com/watch?v=Xk94VYe9Prk", "【新股點評】綠城管理 (9979.HK) 又抽唔抽得過?")</f>
        <v>【新股點評】綠城管理 (9979.HK) 又抽唔抽得過?</v>
      </c>
      <c r="E3094" s="82">
        <v>44012.0</v>
      </c>
      <c r="F3094" s="80">
        <v>406.0</v>
      </c>
      <c r="G3094" s="80" t="s">
        <v>63</v>
      </c>
      <c r="I3094" s="80" t="s">
        <v>63</v>
      </c>
      <c r="J3094" s="80">
        <v>1267.0</v>
      </c>
      <c r="K3094" s="80">
        <v>0.975365665896843</v>
      </c>
      <c r="L3094" s="80" t="s">
        <v>64</v>
      </c>
    </row>
    <row r="3095">
      <c r="A3095" s="80" t="s">
        <v>3258</v>
      </c>
      <c r="B3095" s="81" t="str">
        <f>HYPERLINK("https://www.youtube.com/channel/UCK4AnMZq28qFthWA54mtdww", "吾知吾識")</f>
        <v>吾知吾識</v>
      </c>
      <c r="C3095" s="80" t="s">
        <v>3476</v>
      </c>
      <c r="D3095" s="81" t="str">
        <f>HYPERLINK("https://youtube.com/watch?v=XpPYz78iX3Q", "無數男性垂涎的西部，RDR2先讀先知｜Wild West｜歷史｜Red Dead Redemption 2")</f>
        <v>無數男性垂涎的西部，RDR2先讀先知｜Wild West｜歷史｜Red Dead Redemption 2</v>
      </c>
      <c r="E3095" s="82">
        <v>43395.0</v>
      </c>
      <c r="F3095" s="80">
        <v>693.0</v>
      </c>
      <c r="G3095" s="80" t="s">
        <v>63</v>
      </c>
      <c r="I3095" s="80" t="s">
        <v>63</v>
      </c>
      <c r="J3095" s="80">
        <v>2517.0</v>
      </c>
      <c r="K3095" s="80">
        <v>0.777571825764596</v>
      </c>
      <c r="L3095" s="80" t="s">
        <v>64</v>
      </c>
    </row>
    <row r="3096">
      <c r="A3096" s="80" t="s">
        <v>3151</v>
      </c>
      <c r="B3096" s="81" t="str">
        <f t="shared" ref="B3096:B3097" si="164">HYPERLINK("https://www.youtube.com/channel/UCARY68c_VZHHXPsEDg9Bptw", "耀佳金融集團Yaw Kai Financial Group")</f>
        <v>耀佳金融集團Yaw Kai Financial Group</v>
      </c>
      <c r="C3096" s="80" t="s">
        <v>3477</v>
      </c>
      <c r="D3096" s="81" t="str">
        <f>HYPERLINK("https://youtube.com/watch?v=XqqIaqjpVgw", "耀佳金融，你的每日投資夥伴")</f>
        <v>耀佳金融，你的每日投資夥伴</v>
      </c>
      <c r="E3096" s="82">
        <v>44056.0</v>
      </c>
      <c r="F3096" s="80">
        <v>95.0</v>
      </c>
      <c r="G3096" s="80" t="s">
        <v>63</v>
      </c>
      <c r="I3096" s="80" t="s">
        <v>63</v>
      </c>
      <c r="J3096" s="80">
        <v>344.0</v>
      </c>
      <c r="K3096" s="80">
        <v>0.862155388471177</v>
      </c>
      <c r="L3096" s="80" t="s">
        <v>64</v>
      </c>
    </row>
    <row r="3097">
      <c r="A3097" s="80" t="s">
        <v>3151</v>
      </c>
      <c r="B3097" s="81" t="str">
        <f t="shared" si="164"/>
        <v>耀佳金融集團Yaw Kai Financial Group</v>
      </c>
      <c r="C3097" s="80" t="s">
        <v>3478</v>
      </c>
      <c r="D3097" s="81" t="str">
        <f>HYPERLINK("https://youtube.com/watch?v=Y-QZQL4V2qw", "【市場點評】 阿里騰訊美團港交所 (ATMX) 新霸權時代？")</f>
        <v>【市場點評】 阿里騰訊美團港交所 (ATMX) 新霸權時代？</v>
      </c>
      <c r="E3097" s="82">
        <v>44014.0</v>
      </c>
      <c r="F3097" s="80">
        <v>1113.0</v>
      </c>
      <c r="G3097" s="80" t="s">
        <v>63</v>
      </c>
      <c r="I3097" s="80" t="s">
        <v>63</v>
      </c>
      <c r="J3097" s="80">
        <v>3197.0</v>
      </c>
      <c r="K3097" s="80">
        <v>0.927473165071076</v>
      </c>
      <c r="L3097" s="80" t="s">
        <v>64</v>
      </c>
    </row>
    <row r="3098">
      <c r="A3098" s="80" t="s">
        <v>248</v>
      </c>
      <c r="B3098" s="81" t="str">
        <f>HYPERLINK("https://www.youtube.com/channel/UCUEJok-GiWaGlv5nIPwk-GQ", "Price.com.hk 香港格價網")</f>
        <v>Price.com.hk 香港格價網</v>
      </c>
      <c r="C3098" s="80" t="s">
        <v>3479</v>
      </c>
      <c r="D3098" s="81" t="str">
        <f>HYPERLINK("https://youtube.com/watch?v=MuX1S4wtBIQ", "新一代健康管家！ ASUS Vivowatch 5 智能手錶｜輕鬆掌握身體狀況、運動表現、睡眠質素｜機械錶設計｜中文字幕 | 廣東話 |【Price.com.hk產品評測】")</f>
        <v>新一代健康管家！ ASUS Vivowatch 5 智能手錶｜輕鬆掌握身體狀況、運動表現、睡眠質素｜機械錶設計｜中文字幕 | 廣東話 |【Price.com.hk產品評測】</v>
      </c>
      <c r="E3098" s="82">
        <v>44560.0</v>
      </c>
      <c r="F3098" s="80">
        <v>265.0</v>
      </c>
      <c r="G3098" s="80" t="s">
        <v>63</v>
      </c>
      <c r="I3098" s="80" t="s">
        <v>63</v>
      </c>
      <c r="J3098" s="80">
        <v>1134.0</v>
      </c>
      <c r="K3098" s="80">
        <v>0.877030162412993</v>
      </c>
      <c r="L3098" s="80" t="s">
        <v>64</v>
      </c>
    </row>
    <row r="3099">
      <c r="A3099" s="80" t="s">
        <v>1670</v>
      </c>
      <c r="B3099" s="81" t="str">
        <f>HYPERLINK("https://www.youtube.com/channel/UC-PIt5m-WOg8UVBkt2RnN0g", "阿JACK睇樓團")</f>
        <v>阿JACK睇樓團</v>
      </c>
      <c r="C3099" s="80" t="s">
        <v>3480</v>
      </c>
      <c r="D3099" s="81" t="str">
        <f>HYPERLINK("https://youtube.com/watch?v=MwDAtlIK30Q", "換樓/上車必看 樓王靚景兩房,勁抵三房 ︳屋苑介紹 ︳阿JACK睇樓團 👑")</f>
        <v>換樓/上車必看 樓王靚景兩房,勁抵三房 ︳屋苑介紹 ︳阿JACK睇樓團 👑</v>
      </c>
      <c r="E3099" s="82">
        <v>44098.0</v>
      </c>
      <c r="F3099" s="80">
        <v>469.0</v>
      </c>
      <c r="G3099" s="80" t="s">
        <v>63</v>
      </c>
      <c r="I3099" s="80" t="s">
        <v>63</v>
      </c>
      <c r="J3099" s="80">
        <v>825.0</v>
      </c>
      <c r="K3099" s="80">
        <v>0.977488151658767</v>
      </c>
      <c r="L3099" s="80" t="s">
        <v>64</v>
      </c>
    </row>
    <row r="3100">
      <c r="A3100" s="80" t="s">
        <v>2041</v>
      </c>
      <c r="B3100" s="81" t="str">
        <f>HYPERLINK("https://www.youtube.com/channel/UCO6pB-ZN4XJ6MVkibvuEe0A", "SingSingTracker 星昇財經指標")</f>
        <v>SingSingTracker 星昇財經指標</v>
      </c>
      <c r="C3100" s="80" t="s">
        <v>3481</v>
      </c>
      <c r="D3100" s="81" t="str">
        <f>HYPERLINK("https://youtube.com/watch?v=MwwLnsvseHA", "【騰訊 撈底】教你$500港幣買入騰訊｜騰訊分析｜什麼是ADR？｜騰訊大跌部署｜TCEHY｜ADR投資教學｜港股美國預託證券｜騰訊700｜Tencent")</f>
        <v>【騰訊 撈底】教你$500港幣買入騰訊｜騰訊分析｜什麼是ADR？｜騰訊大跌部署｜TCEHY｜ADR投資教學｜港股美國預託證券｜騰訊700｜Tencent</v>
      </c>
      <c r="E3100" s="82">
        <v>44425.0</v>
      </c>
      <c r="F3100" s="80">
        <v>394.0</v>
      </c>
      <c r="G3100" s="80" t="s">
        <v>63</v>
      </c>
      <c r="I3100" s="80" t="s">
        <v>63</v>
      </c>
      <c r="J3100" s="80">
        <v>1340.0</v>
      </c>
      <c r="K3100" s="80">
        <v>0.889183808891838</v>
      </c>
      <c r="L3100" s="80" t="s">
        <v>64</v>
      </c>
    </row>
    <row r="3101">
      <c r="A3101" s="80" t="s">
        <v>2829</v>
      </c>
      <c r="B3101" s="81" t="str">
        <f>HYPERLINK("https://www.youtube.com/channel/UC7GnES6AEQlDzaP04UqtyjA", "SOLID IDEA")</f>
        <v>SOLID IDEA</v>
      </c>
      <c r="C3101" s="80" t="s">
        <v>3482</v>
      </c>
      <c r="D3101" s="81" t="str">
        <f>HYPERLINK("https://youtube.com/watch?v=MxcBeMcVFYE", "[#設計概念] #天鑽 #3房半 港式簡約風 | 室內設計 | 空間擺位 | SOLID IDEA | (CC中文字幕)")</f>
        <v>[#設計概念] #天鑽 #3房半 港式簡約風 | 室內設計 | 空間擺位 | SOLID IDEA | (CC中文字幕)</v>
      </c>
      <c r="E3101" s="82">
        <v>44118.0</v>
      </c>
      <c r="F3101" s="80">
        <v>186.0</v>
      </c>
      <c r="G3101" s="80" t="s">
        <v>63</v>
      </c>
      <c r="I3101" s="80" t="s">
        <v>63</v>
      </c>
      <c r="J3101" s="80">
        <v>619.0</v>
      </c>
      <c r="K3101" s="80">
        <v>0.953775038520801</v>
      </c>
      <c r="L3101" s="80" t="s">
        <v>64</v>
      </c>
    </row>
    <row r="3102">
      <c r="A3102" s="80" t="s">
        <v>3162</v>
      </c>
      <c r="B3102" s="81" t="str">
        <f>HYPERLINK("https://www.youtube.com/channel/UCwz2_BsHZOaUO1zvS5zJBTw", "跟Theo一起爬坂道丨Theo Cheong")</f>
        <v>跟Theo一起爬坂道丨Theo Cheong</v>
      </c>
      <c r="C3102" s="80" t="s">
        <v>3483</v>
      </c>
      <c r="D3102" s="81" t="str">
        <f>HYPERLINK("https://youtube.com/watch?v=YRQeyHoBO3M", "愚人節緊急回港 為既係一埸驚奇 | N4 Working Holiday | Theo | Prank")</f>
        <v>愚人節緊急回港 為既係一埸驚奇 | N4 Working Holiday | Theo | Prank</v>
      </c>
      <c r="E3102" s="82">
        <v>43563.0</v>
      </c>
      <c r="F3102" s="80">
        <v>163.0</v>
      </c>
      <c r="G3102" s="80" t="s">
        <v>63</v>
      </c>
      <c r="I3102" s="80" t="s">
        <v>63</v>
      </c>
      <c r="J3102" s="80">
        <v>339.0</v>
      </c>
      <c r="K3102" s="80">
        <v>0.911290322580645</v>
      </c>
      <c r="L3102" s="80" t="s">
        <v>64</v>
      </c>
    </row>
    <row r="3103">
      <c r="A3103" s="80" t="s">
        <v>3158</v>
      </c>
      <c r="B3103" s="81" t="str">
        <f>HYPERLINK("https://www.youtube.com/channel/UCldJqbxFCPolSR6V9lszWDA", "魚波 Yu Ball")</f>
        <v>魚波 Yu Ball</v>
      </c>
      <c r="C3103" s="80" t="s">
        <v>3484</v>
      </c>
      <c r="D3103" s="81" t="str">
        <f>HYPERLINK("https://youtube.com/watch?v=YUpkt21v1Bs", "唉! 有苦自己知!CBR400RR的近況，維修前最後一遊[CN Sub] | 魚波VLOG")</f>
        <v>唉! 有苦自己知!CBR400RR的近況，維修前最後一遊[CN Sub] | 魚波VLOG</v>
      </c>
      <c r="E3103" s="82">
        <v>43552.0</v>
      </c>
      <c r="F3103" s="80">
        <v>680.0</v>
      </c>
      <c r="G3103" s="80" t="s">
        <v>63</v>
      </c>
      <c r="H3103" s="80" t="s">
        <v>63</v>
      </c>
      <c r="I3103" s="80" t="s">
        <v>63</v>
      </c>
      <c r="J3103" s="80">
        <v>1011.0</v>
      </c>
      <c r="K3103" s="80">
        <v>0.980601357904946</v>
      </c>
      <c r="L3103" s="80" t="s">
        <v>3160</v>
      </c>
    </row>
    <row r="3104">
      <c r="A3104" s="80" t="s">
        <v>3142</v>
      </c>
      <c r="B3104" s="81" t="str">
        <f>HYPERLINK("https://www.youtube.com/channel/UCO4mttl54gQ0UW-DqyVrvLQ", "陳怡ChanYee")</f>
        <v>陳怡ChanYee</v>
      </c>
      <c r="C3104" s="80" t="s">
        <v>3485</v>
      </c>
      <c r="D3104" s="81" t="str">
        <f>HYPERLINK("https://youtube.com/watch?v=YfO_hqhJhjE", "【中文字幕】一起看，滿目瘡痍的香港立法會【葛珮帆】｜陳怡 ChanYee")</f>
        <v>【中文字幕】一起看，滿目瘡痍的香港立法會【葛珮帆】｜陳怡 ChanYee</v>
      </c>
      <c r="E3104" s="82">
        <v>43650.0</v>
      </c>
      <c r="F3104" s="80">
        <v>1590.0</v>
      </c>
      <c r="G3104" s="80" t="s">
        <v>63</v>
      </c>
      <c r="H3104" s="80" t="s">
        <v>63</v>
      </c>
      <c r="I3104" s="80" t="s">
        <v>63</v>
      </c>
      <c r="J3104" s="80">
        <v>4136.0</v>
      </c>
      <c r="K3104" s="80">
        <v>0.998069498069498</v>
      </c>
      <c r="L3104" s="80" t="s">
        <v>2580</v>
      </c>
    </row>
    <row r="3105">
      <c r="A3105" s="80" t="s">
        <v>248</v>
      </c>
      <c r="B3105" s="81" t="str">
        <f>HYPERLINK("https://www.youtube.com/channel/UCUEJok-GiWaGlv5nIPwk-GQ", "Price.com.hk 香港格價網")</f>
        <v>Price.com.hk 香港格價網</v>
      </c>
      <c r="C3105" s="80" t="s">
        <v>3486</v>
      </c>
      <c r="D3105" s="81" t="str">
        <f>HYPERLINK("https://youtube.com/watch?v=Mznexxvs_ww", "深層清潔實證！全新輕量智能無線吸塵機 Dyson V12 Detect Slim｜特約專題｜中文字幕｜廣東話【Price.com.hk產品比較】")</f>
        <v>深層清潔實證！全新輕量智能無線吸塵機 Dyson V12 Detect Slim｜特約專題｜中文字幕｜廣東話【Price.com.hk產品比較】</v>
      </c>
      <c r="E3105" s="82">
        <v>44512.0</v>
      </c>
      <c r="F3105" s="80">
        <v>368.0</v>
      </c>
      <c r="G3105" s="80" t="s">
        <v>63</v>
      </c>
      <c r="I3105" s="80" t="s">
        <v>63</v>
      </c>
      <c r="J3105" s="80">
        <v>1264.0</v>
      </c>
      <c r="K3105" s="80">
        <v>0.845484949832775</v>
      </c>
      <c r="L3105" s="80" t="s">
        <v>64</v>
      </c>
    </row>
    <row r="3106">
      <c r="A3106" s="80" t="s">
        <v>84</v>
      </c>
      <c r="B3106" s="81" t="str">
        <f>HYPERLINK("https://www.youtube.com/channel/UCs6fW24aVjefTsognevmDnA", "PakTil 拍跳")</f>
        <v>PakTil 拍跳</v>
      </c>
      <c r="C3106" s="80" t="s">
        <v>3487</v>
      </c>
      <c r="D3106" s="81" t="str">
        <f>HYPERLINK("https://youtube.com/watch?v=N0nWrmRk8M8", "【拍跳短跑】急屎去廁所 發現同居手足喺到...")</f>
        <v>【拍跳短跑】急屎去廁所 發現同居手足喺到...</v>
      </c>
      <c r="E3106" s="82">
        <v>44035.0</v>
      </c>
      <c r="F3106" s="80">
        <v>95.0</v>
      </c>
      <c r="G3106" s="80" t="s">
        <v>63</v>
      </c>
      <c r="I3106" s="80" t="s">
        <v>63</v>
      </c>
      <c r="J3106" s="80">
        <v>181.0</v>
      </c>
      <c r="K3106" s="80">
        <v>0.957671957671957</v>
      </c>
      <c r="L3106" s="80" t="s">
        <v>86</v>
      </c>
    </row>
    <row r="3107">
      <c r="A3107" s="80" t="s">
        <v>293</v>
      </c>
      <c r="B3107" s="81" t="str">
        <f>HYPERLINK("https://www.youtube.com/channel/UCXRcbXqjORdIvl63I7MtOLQ", "趁熱 Kerry 's kitchen")</f>
        <v>趁熱 Kerry 's kitchen</v>
      </c>
      <c r="C3107" s="80" t="s">
        <v>3488</v>
      </c>
      <c r="D3107" s="81" t="str">
        <f>HYPERLINK("https://youtube.com/watch?v=N15y6mW5pZ4", "豉油 雞/豉油雞腿/超簡單/無酒版本/好送飯/簡單 家做/新手 入門/廣東話/中字")</f>
        <v>豉油 雞/豉油雞腿/超簡單/無酒版本/好送飯/簡單 家做/新手 入門/廣東話/中字</v>
      </c>
      <c r="E3107" s="82">
        <v>44431.0</v>
      </c>
      <c r="F3107" s="80">
        <v>336.0</v>
      </c>
      <c r="G3107" s="80" t="s">
        <v>63</v>
      </c>
      <c r="I3107" s="80" t="s">
        <v>63</v>
      </c>
      <c r="J3107" s="80">
        <v>849.0</v>
      </c>
      <c r="K3107" s="80">
        <v>0.955005624296962</v>
      </c>
      <c r="L3107" s="80" t="s">
        <v>64</v>
      </c>
    </row>
    <row r="3108">
      <c r="A3108" s="80" t="s">
        <v>2764</v>
      </c>
      <c r="B3108" s="81" t="str">
        <f>HYPERLINK("https://www.youtube.com/channel/UCejZUW4khvxoA4uL2Afz20g", "Housik Laanfei 好食懶飛")</f>
        <v>Housik Laanfei 好食懶飛</v>
      </c>
      <c r="C3108" s="80" t="s">
        <v>3489</v>
      </c>
      <c r="D3108" s="81" t="str">
        <f>HYPERLINK("https://youtube.com/watch?v=N1Cipqbagg8", "[芝味滿滿] 泡菜飯 | CC: 廣東話/繁中/ENG SUB | COOKING VLOG")</f>
        <v>[芝味滿滿] 泡菜飯 | CC: 廣東話/繁中/ENG SUB | COOKING VLOG</v>
      </c>
      <c r="E3108" s="82">
        <v>44357.0</v>
      </c>
      <c r="F3108" s="80">
        <v>242.0</v>
      </c>
      <c r="G3108" s="80" t="s">
        <v>63</v>
      </c>
      <c r="H3108" s="80" t="s">
        <v>63</v>
      </c>
      <c r="I3108" s="80" t="s">
        <v>63</v>
      </c>
      <c r="J3108" s="80">
        <v>229.0</v>
      </c>
      <c r="K3108" s="80">
        <v>0.970338983050847</v>
      </c>
      <c r="L3108" s="80" t="s">
        <v>80</v>
      </c>
    </row>
    <row r="3109">
      <c r="A3109" s="80" t="s">
        <v>293</v>
      </c>
      <c r="B3109" s="81" t="str">
        <f>HYPERLINK("https://www.youtube.com/channel/UCXRcbXqjORdIvl63I7MtOLQ", "趁熱 Kerry 's kitchen")</f>
        <v>趁熱 Kerry 's kitchen</v>
      </c>
      <c r="C3109" s="80" t="s">
        <v>3490</v>
      </c>
      <c r="D3109" s="81" t="str">
        <f>HYPERLINK("https://youtube.com/watch?v=N2zw-mgL5aw", "炸 豆腐/脆皮 豆腐/一口 豆腐/金磚 豆腐/脆皮竅門/重點 講解/新手 入門/廣東話/中字")</f>
        <v>炸 豆腐/脆皮 豆腐/一口 豆腐/金磚 豆腐/脆皮竅門/重點 講解/新手 入門/廣東話/中字</v>
      </c>
      <c r="E3109" s="82">
        <v>44491.0</v>
      </c>
      <c r="F3109" s="80">
        <v>525.0</v>
      </c>
      <c r="G3109" s="80" t="s">
        <v>63</v>
      </c>
      <c r="I3109" s="80" t="s">
        <v>63</v>
      </c>
      <c r="J3109" s="80">
        <v>812.0</v>
      </c>
      <c r="K3109" s="80">
        <v>0.979493365500603</v>
      </c>
      <c r="L3109" s="80" t="s">
        <v>64</v>
      </c>
    </row>
    <row r="3110">
      <c r="A3110" s="80" t="s">
        <v>288</v>
      </c>
      <c r="B3110" s="81" t="str">
        <f>HYPERLINK("https://www.youtube.com/channel/UCDWOYEhVnyD4IHZGVAMLc0g", "Brendan 毛爸")</f>
        <v>Brendan 毛爸</v>
      </c>
      <c r="C3110" s="80" t="s">
        <v>3491</v>
      </c>
      <c r="D3110" s="81" t="str">
        <f>HYPERLINK("https://youtube.com/watch?v=N4DjG4_9kuk", "【集合啦！動物森友會 】#6 |連續捕捉五隻黃蜂，最難的成就解鎖｜分享捕抓黃蜂技巧小秘訣！輕鬆捉黃蜂簡單方法！")</f>
        <v>【集合啦！動物森友會 】#6 |連續捕捉五隻黃蜂，最難的成就解鎖｜分享捕抓黃蜂技巧小秘訣！輕鬆捉黃蜂簡單方法！</v>
      </c>
      <c r="E3110" s="82">
        <v>43943.0</v>
      </c>
      <c r="F3110" s="80">
        <v>165.0</v>
      </c>
      <c r="G3110" s="80" t="s">
        <v>63</v>
      </c>
      <c r="I3110" s="80" t="s">
        <v>63</v>
      </c>
      <c r="J3110" s="80">
        <v>513.0</v>
      </c>
      <c r="K3110" s="80">
        <v>0.962476547842401</v>
      </c>
      <c r="L3110" s="80" t="s">
        <v>64</v>
      </c>
    </row>
    <row r="3111">
      <c r="A3111" s="80" t="s">
        <v>127</v>
      </c>
      <c r="B3111" s="81" t="str">
        <f>HYPERLINK("https://www.youtube.com/channel/UC97oYK3XMf9RLtkc0lO8C-Q", "健康旦 HiEggo")</f>
        <v>健康旦 HiEggo</v>
      </c>
      <c r="C3111" s="80" t="s">
        <v>3492</v>
      </c>
      <c r="D3111" s="81" t="str">
        <f>HYPERLINK("https://youtube.com/watch?v=N5s3A-fy7h4", "《麥路人》張達明晨運習慣同米雪姐智叔跑步 感激周潤發發哥變魔鬼教練 由三百米跑到六公里 - 鄭丹瑞《健康旦》#張達明 Part 3 (CC中文字幕)")</f>
        <v>《麥路人》張達明晨運習慣同米雪姐智叔跑步 感激周潤發發哥變魔鬼教練 由三百米跑到六公里 - 鄭丹瑞《健康旦》#張達明 Part 3 (CC中文字幕)</v>
      </c>
      <c r="E3111" s="82">
        <v>44010.0</v>
      </c>
      <c r="F3111" s="80">
        <v>673.0</v>
      </c>
      <c r="G3111" s="80" t="s">
        <v>63</v>
      </c>
      <c r="I3111" s="80" t="s">
        <v>63</v>
      </c>
      <c r="J3111" s="80">
        <v>2781.0</v>
      </c>
      <c r="K3111" s="80">
        <v>0.983380480905233</v>
      </c>
      <c r="L3111" s="80" t="s">
        <v>2771</v>
      </c>
    </row>
    <row r="3112">
      <c r="A3112" s="80" t="s">
        <v>1260</v>
      </c>
      <c r="B3112" s="81" t="str">
        <f>HYPERLINK("https://www.youtube.com/channel/UCh1k4i86BpiXEO3nzJIYynw", "The Wave")</f>
        <v>The Wave</v>
      </c>
      <c r="C3112" s="80" t="s">
        <v>3493</v>
      </c>
      <c r="D3112" s="81" t="str">
        <f>HYPERLINK("https://youtube.com/watch?v=N7gQaz6VnFc", "TheWave | Xperia 10 Plus USB PD 快速充電測試")</f>
        <v>TheWave | Xperia 10 Plus USB PD 快速充電測試</v>
      </c>
      <c r="E3112" s="82">
        <v>43529.0</v>
      </c>
      <c r="F3112" s="80">
        <v>112.0</v>
      </c>
      <c r="G3112" s="80" t="s">
        <v>63</v>
      </c>
      <c r="H3112" s="80" t="s">
        <v>63</v>
      </c>
      <c r="I3112" s="80" t="s">
        <v>63</v>
      </c>
      <c r="J3112" s="80">
        <v>376.0</v>
      </c>
      <c r="K3112" s="80">
        <v>0.817391304347826</v>
      </c>
      <c r="L3112" s="80" t="s">
        <v>120</v>
      </c>
    </row>
    <row r="3113">
      <c r="A3113" s="80" t="s">
        <v>3158</v>
      </c>
      <c r="B3113" s="81" t="str">
        <f t="shared" ref="B3113:B3114" si="165">HYPERLINK("https://www.youtube.com/channel/UCldJqbxFCPolSR6V9lszWDA", "魚波 Yu Ball")</f>
        <v>魚波 Yu Ball</v>
      </c>
      <c r="C3113" s="80" t="s">
        <v>3494</v>
      </c>
      <c r="D3113" s="81" t="str">
        <f>HYPERLINK("https://youtube.com/watch?v=ZHt_KKh1VfE", "出車試車是常識吧~CBR650R/SV650 (CC字幕)【魚波VLOG#34】")</f>
        <v>出車試車是常識吧~CBR650R/SV650 (CC字幕)【魚波VLOG#34】</v>
      </c>
      <c r="E3113" s="82">
        <v>43999.0</v>
      </c>
      <c r="F3113" s="80">
        <v>954.0</v>
      </c>
      <c r="G3113" s="80" t="s">
        <v>63</v>
      </c>
      <c r="I3113" s="80" t="s">
        <v>63</v>
      </c>
      <c r="J3113" s="80">
        <v>2123.0</v>
      </c>
      <c r="K3113" s="80">
        <v>0.914691943127962</v>
      </c>
      <c r="L3113" s="80" t="s">
        <v>91</v>
      </c>
    </row>
    <row r="3114">
      <c r="A3114" s="80" t="s">
        <v>3158</v>
      </c>
      <c r="B3114" s="81" t="str">
        <f t="shared" si="165"/>
        <v>魚波 Yu Ball</v>
      </c>
      <c r="C3114" s="80" t="s">
        <v>3495</v>
      </c>
      <c r="D3114" s="81" t="str">
        <f>HYPERLINK("https://youtube.com/watch?v=ZQJrbb_OPLE", "買新車要""run-in""定""轟in""?點解要磨合?分享我的睇法(CC字幕)【魚波講#11】")</f>
        <v>買新車要"run-in"定"轟in"?點解要磨合?分享我的睇法(CC字幕)【魚波講#11】</v>
      </c>
      <c r="E3114" s="82">
        <v>43991.0</v>
      </c>
      <c r="F3114" s="80">
        <v>803.0</v>
      </c>
      <c r="G3114" s="80" t="s">
        <v>63</v>
      </c>
      <c r="I3114" s="80" t="s">
        <v>63</v>
      </c>
      <c r="J3114" s="80">
        <v>2686.0</v>
      </c>
      <c r="K3114" s="80">
        <v>0.888227513227513</v>
      </c>
      <c r="L3114" s="80" t="s">
        <v>91</v>
      </c>
    </row>
    <row r="3115">
      <c r="A3115" s="80" t="s">
        <v>3142</v>
      </c>
      <c r="B3115" s="81" t="str">
        <f>HYPERLINK("https://www.youtube.com/channel/UCO4mttl54gQ0UW-DqyVrvLQ", "陳怡ChanYee")</f>
        <v>陳怡ChanYee</v>
      </c>
      <c r="C3115" s="80" t="s">
        <v>3496</v>
      </c>
      <c r="D3115" s="81" t="str">
        <f>HYPERLINK("https://youtube.com/watch?v=ZUnlS5_L00o", "為什麼要生小孩？Why Should We Have Kids｜陳怡 ChanYee")</f>
        <v>為什麼要生小孩？Why Should We Have Kids｜陳怡 ChanYee</v>
      </c>
      <c r="E3115" s="82">
        <v>42700.0</v>
      </c>
      <c r="F3115" s="80">
        <v>167.0</v>
      </c>
      <c r="G3115" s="80" t="s">
        <v>63</v>
      </c>
      <c r="I3115" s="80" t="s">
        <v>63</v>
      </c>
      <c r="J3115" s="80">
        <v>927.0</v>
      </c>
      <c r="K3115" s="80">
        <v>0.988272921108742</v>
      </c>
      <c r="L3115" s="80" t="s">
        <v>64</v>
      </c>
    </row>
    <row r="3116">
      <c r="A3116" s="80" t="s">
        <v>3139</v>
      </c>
      <c r="B3116" s="81" t="str">
        <f>HYPERLINK("https://www.youtube.com/channel/UCThO2xnH7XMg6plE8OgJm_w", "choyuen草原")</f>
        <v>choyuen草原</v>
      </c>
      <c r="C3116" s="80" t="s">
        <v>3497</v>
      </c>
      <c r="D3116" s="81" t="str">
        <f>HYPERLINK("https://youtube.com/watch?v=ZnfSxeOIwT0", "大灰人, 小灰人, 美國猜情尋  Active Grays in the USA")</f>
        <v>大灰人, 小灰人, 美國猜情尋  Active Grays in the USA</v>
      </c>
      <c r="E3116" s="82">
        <v>44512.0</v>
      </c>
      <c r="F3116" s="80">
        <v>316.0</v>
      </c>
      <c r="G3116" s="80" t="s">
        <v>63</v>
      </c>
      <c r="I3116" s="80" t="s">
        <v>63</v>
      </c>
      <c r="J3116" s="80">
        <v>822.0</v>
      </c>
      <c r="K3116" s="80">
        <v>0.828629032258064</v>
      </c>
      <c r="L3116" s="80" t="s">
        <v>64</v>
      </c>
    </row>
    <row r="3117">
      <c r="A3117" s="80" t="s">
        <v>3194</v>
      </c>
      <c r="B3117" s="81" t="str">
        <f>HYPERLINK("https://www.youtube.com/channel/UCdEFfJveKJdmyeIBNg8zTCQ", "卡仙路玩玩下")</f>
        <v>卡仙路玩玩下</v>
      </c>
      <c r="C3117" s="80" t="s">
        <v>3498</v>
      </c>
      <c r="D3117" s="81" t="str">
        <f>HYPERLINK("https://youtube.com/watch?v=_8D0ty80dss", "【食好西遊記】 #02 深水埗台式地道甜點 手工芋圓 - 甜圓坊")</f>
        <v>【食好西遊記】 #02 深水埗台式地道甜點 手工芋圓 - 甜圓坊</v>
      </c>
      <c r="E3117" s="82">
        <v>43575.0</v>
      </c>
      <c r="F3117" s="80">
        <v>294.0</v>
      </c>
      <c r="G3117" s="80" t="s">
        <v>63</v>
      </c>
      <c r="I3117" s="80" t="s">
        <v>63</v>
      </c>
      <c r="J3117" s="80">
        <v>810.0</v>
      </c>
      <c r="K3117" s="80">
        <v>0.997536945812807</v>
      </c>
      <c r="L3117" s="80" t="s">
        <v>64</v>
      </c>
    </row>
    <row r="3118">
      <c r="A3118" s="80" t="s">
        <v>1987</v>
      </c>
      <c r="B3118" s="81" t="str">
        <f>HYPERLINK("https://www.youtube.com/channel/UCgGUmm04nVyj-ftaCxVcyBg", "MangoHK大馬獅家")</f>
        <v>MangoHK大馬獅家</v>
      </c>
      <c r="C3118" s="80" t="s">
        <v>3499</v>
      </c>
      <c r="D3118" s="81" t="str">
        <f>HYPERLINK("https://youtube.com/watch?v=NBVs4sMZecU", "【48】🐮遲來的🏮大馬新年賀歲片！{中英字幕}  Subtitled | Malaysia Chinese New Year | Malaysia Vlog | mm2h")</f>
        <v>【48】🐮遲來的🏮大馬新年賀歲片！{中英字幕}  Subtitled | Malaysia Chinese New Year | Malaysia Vlog | mm2h</v>
      </c>
      <c r="E3118" s="82">
        <v>44476.0</v>
      </c>
      <c r="F3118" s="80">
        <v>430.0</v>
      </c>
      <c r="G3118" s="80" t="s">
        <v>63</v>
      </c>
      <c r="I3118" s="80" t="s">
        <v>63</v>
      </c>
      <c r="J3118" s="80">
        <v>298.0</v>
      </c>
      <c r="K3118" s="80">
        <v>0.996655518394648</v>
      </c>
      <c r="L3118" s="80" t="s">
        <v>896</v>
      </c>
    </row>
    <row r="3119">
      <c r="A3119" s="80" t="s">
        <v>98</v>
      </c>
      <c r="B3119" s="81" t="str">
        <f>HYPERLINK("https://www.youtube.com/channel/UCrquuQB6v1Ued2xyRKZreGQ", "Stephen Leung ")</f>
        <v>Stephen Leung </v>
      </c>
      <c r="C3119" s="80" t="s">
        <v>3500</v>
      </c>
      <c r="D3119" s="81" t="str">
        <f>HYPERLINK("https://youtube.com/watch?v=NCNZ5nJ2gSk", "【香港美食】 減肥蘑菇餐 絕密減肥餐單曝光 減脂 keep fit 韓國直接進口新鮮蘑菇 真正健康素菜分享 3分鐘煮個餸 | 吃喝玩樂")</f>
        <v>【香港美食】 減肥蘑菇餐 絕密減肥餐單曝光 減脂 keep fit 韓國直接進口新鮮蘑菇 真正健康素菜分享 3分鐘煮個餸 | 吃喝玩樂</v>
      </c>
      <c r="E3119" s="82">
        <v>44538.0</v>
      </c>
      <c r="F3119" s="80">
        <v>541.0</v>
      </c>
      <c r="G3119" s="80" t="s">
        <v>63</v>
      </c>
      <c r="I3119" s="80" t="s">
        <v>63</v>
      </c>
      <c r="J3119" s="80">
        <v>1534.0</v>
      </c>
      <c r="K3119" s="80">
        <v>0.964173475801382</v>
      </c>
      <c r="L3119" s="80" t="s">
        <v>64</v>
      </c>
    </row>
    <row r="3120">
      <c r="A3120" s="80" t="s">
        <v>3172</v>
      </c>
      <c r="B3120" s="81" t="str">
        <f>HYPERLINK("https://www.youtube.com/channel/UCahNh5t4wkQhSjS2-u0vSlA", "Henry Ng")</f>
        <v>Henry Ng</v>
      </c>
      <c r="C3120" s="80" t="s">
        <v>3501</v>
      </c>
      <c r="D3120" s="81" t="str">
        <f>HYPERLINK("https://youtube.com/watch?v=_ilRRrIoeCA", "葡萄牙 Day 1里斯本 - 2017年1月《亨利自由行》")</f>
        <v>葡萄牙 Day 1里斯本 - 2017年1月《亨利自由行》</v>
      </c>
      <c r="E3120" s="82">
        <v>42786.0</v>
      </c>
      <c r="F3120" s="80">
        <v>217.0</v>
      </c>
      <c r="G3120" s="80" t="s">
        <v>63</v>
      </c>
      <c r="I3120" s="80" t="s">
        <v>63</v>
      </c>
      <c r="J3120" s="80">
        <v>372.0</v>
      </c>
      <c r="K3120" s="80">
        <v>0.857142857142857</v>
      </c>
      <c r="L3120" s="80" t="s">
        <v>64</v>
      </c>
    </row>
    <row r="3121">
      <c r="A3121" s="80" t="s">
        <v>1606</v>
      </c>
      <c r="B3121" s="81" t="str">
        <f>HYPERLINK("https://www.youtube.com/channel/UCk25FUc8pLiP3A6Zniknxbg", "希治閣【遊戲情報科】")</f>
        <v>希治閣【遊戲情報科】</v>
      </c>
      <c r="C3121" s="80" t="s">
        <v>3502</v>
      </c>
      <c r="D3121" s="81" t="str">
        <f>HYPERLINK("https://youtube.com/watch?v=NGKDgU7EiAc", "遊戲情報科 - EP8 - 2015/3/6 - 《Batman:Arkham Knight》《Mario Party10》《Mortal Kombat X》")</f>
        <v>遊戲情報科 - EP8 - 2015/3/6 - 《Batman:Arkham Knight》《Mario Party10》《Mortal Kombat X》</v>
      </c>
      <c r="E3121" s="82">
        <v>42069.0</v>
      </c>
      <c r="F3121" s="80">
        <v>496.0</v>
      </c>
      <c r="G3121" s="80" t="s">
        <v>63</v>
      </c>
      <c r="I3121" s="80" t="s">
        <v>63</v>
      </c>
      <c r="J3121" s="80">
        <v>1902.0</v>
      </c>
      <c r="K3121" s="80">
        <v>0.829481029219363</v>
      </c>
      <c r="L3121" s="80" t="s">
        <v>64</v>
      </c>
    </row>
    <row r="3122">
      <c r="A3122" s="80" t="s">
        <v>124</v>
      </c>
      <c r="B3122" s="81" t="str">
        <f>HYPERLINK("https://www.youtube.com/channel/UCg0vuSE0fBF_NvodyYhMcWg", "Wallace Studio HK")</f>
        <v>Wallace Studio HK</v>
      </c>
      <c r="C3122" s="80" t="s">
        <v>3503</v>
      </c>
      <c r="D3122" s="81" t="str">
        <f>HYPERLINK("https://youtube.com/watch?v=NGcWAcAVWl8", "[詳細評測] iPhone 13 Pro Max 終極評測! 用左一個幾月後同你詳盡睇下好同唔好既野")</f>
        <v>[詳細評測] iPhone 13 Pro Max 終極評測! 用左一個幾月後同你詳盡睇下好同唔好既野</v>
      </c>
      <c r="E3122" s="82">
        <v>44500.0</v>
      </c>
      <c r="F3122" s="80">
        <v>867.0</v>
      </c>
      <c r="G3122" s="80" t="s">
        <v>63</v>
      </c>
      <c r="H3122" s="80" t="s">
        <v>63</v>
      </c>
      <c r="I3122" s="80" t="s">
        <v>63</v>
      </c>
      <c r="J3122" s="80">
        <v>3084.0</v>
      </c>
      <c r="K3122" s="80">
        <v>0.775069112842422</v>
      </c>
      <c r="L3122" s="80" t="s">
        <v>86</v>
      </c>
    </row>
    <row r="3123">
      <c r="A3123" s="80" t="s">
        <v>98</v>
      </c>
      <c r="B3123" s="81" t="str">
        <f>HYPERLINK("https://www.youtube.com/channel/UCrquuQB6v1Ued2xyRKZreGQ", "Stephen Leung ")</f>
        <v>Stephen Leung </v>
      </c>
      <c r="C3123" s="80" t="s">
        <v>3504</v>
      </c>
      <c r="D3123" s="81" t="str">
        <f>HYPERLINK("https://youtube.com/watch?v=NJkAjZOYC-M", "【香港美食】燒肉 火鍋雙放題 一口價 任食 燒肉 日式火鍋 刺身 生蠔 任燒任食 旺角美食 八歌仙 日式放題 | 吃喝玩樂")</f>
        <v>【香港美食】燒肉 火鍋雙放題 一口價 任食 燒肉 日式火鍋 刺身 生蠔 任燒任食 旺角美食 八歌仙 日式放題 | 吃喝玩樂</v>
      </c>
      <c r="E3123" s="82">
        <v>44320.0</v>
      </c>
      <c r="F3123" s="80">
        <v>835.0</v>
      </c>
      <c r="G3123" s="80" t="s">
        <v>63</v>
      </c>
      <c r="I3123" s="80" t="s">
        <v>63</v>
      </c>
      <c r="J3123" s="80">
        <v>2102.0</v>
      </c>
      <c r="K3123" s="80">
        <v>0.961573650503202</v>
      </c>
      <c r="L3123" s="80" t="s">
        <v>64</v>
      </c>
    </row>
    <row r="3124">
      <c r="A3124" s="80" t="s">
        <v>3144</v>
      </c>
      <c r="B3124" s="81" t="str">
        <f>HYPERLINK("https://www.youtube.com/channel/UCZVmFDfn5WnixrHNf25MeJQ", "〈職人吹水〉@SingSingKitchen")</f>
        <v>〈職人吹水〉@SingSingKitchen</v>
      </c>
      <c r="C3124" s="80" t="s">
        <v>3505</v>
      </c>
      <c r="D3124" s="81" t="str">
        <f>HYPERLINK("https://youtube.com/watch?v=aC8HEy9JHzc", "〈職人吹水〉 自費遊記 價錢平質素高 尖沙咀帝苑酒店/ Staycation /豪華海景套房 /龍蝦任食自助晚餐/ 現場民歌演奏/ 自助早餐 / 開心懷念昔日情懷/")</f>
        <v>〈職人吹水〉 自費遊記 價錢平質素高 尖沙咀帝苑酒店/ Staycation /豪華海景套房 /龍蝦任食自助晚餐/ 現場民歌演奏/ 自助早餐 / 開心懷念昔日情懷/</v>
      </c>
      <c r="E3124" s="82">
        <v>44519.0</v>
      </c>
      <c r="F3124" s="80">
        <v>2433.0</v>
      </c>
      <c r="G3124" s="80" t="s">
        <v>63</v>
      </c>
      <c r="I3124" s="80" t="s">
        <v>63</v>
      </c>
      <c r="J3124" s="80">
        <v>6576.0</v>
      </c>
      <c r="K3124" s="80">
        <v>0.976102122606501</v>
      </c>
      <c r="L3124" s="80" t="s">
        <v>745</v>
      </c>
    </row>
    <row r="3125">
      <c r="A3125" s="80" t="s">
        <v>1260</v>
      </c>
      <c r="B3125" s="81" t="str">
        <f>HYPERLINK("https://www.youtube.com/channel/UCh1k4i86BpiXEO3nzJIYynw", "The Wave")</f>
        <v>The Wave</v>
      </c>
      <c r="C3125" s="80" t="s">
        <v>3506</v>
      </c>
      <c r="D3125" s="81" t="str">
        <f>HYPERLINK("https://youtube.com/watch?v=NLlcdK3WpMg", "TheWave開箱 | Logitech Powerplay 無線充電滑鼠墊")</f>
        <v>TheWave開箱 | Logitech Powerplay 無線充電滑鼠墊</v>
      </c>
      <c r="E3125" s="82">
        <v>43501.0</v>
      </c>
      <c r="F3125" s="80">
        <v>132.0</v>
      </c>
      <c r="G3125" s="80" t="s">
        <v>63</v>
      </c>
      <c r="H3125" s="80" t="s">
        <v>63</v>
      </c>
      <c r="I3125" s="80" t="s">
        <v>63</v>
      </c>
      <c r="J3125" s="80">
        <v>506.0</v>
      </c>
      <c r="K3125" s="80">
        <v>0.798107255520504</v>
      </c>
      <c r="L3125" s="80" t="s">
        <v>120</v>
      </c>
    </row>
    <row r="3126">
      <c r="A3126" s="80" t="s">
        <v>293</v>
      </c>
      <c r="B3126" s="81" t="str">
        <f t="shared" ref="B3126:B3127" si="166">HYPERLINK("https://www.youtube.com/channel/UCXRcbXqjORdIvl63I7MtOLQ", "趁熱 Kerry 's kitchen")</f>
        <v>趁熱 Kerry 's kitchen</v>
      </c>
      <c r="C3126" s="80" t="s">
        <v>3507</v>
      </c>
      <c r="D3126" s="81" t="str">
        <f>HYPERLINK("https://youtube.com/watch?v=NNfKWGqyUzA", "蕃茄 牛肉/超濃蕃茄牛腩煲/濃蕃茄汁做法/急凍肉低成本/簡單 家做/廣東話/中字")</f>
        <v>蕃茄 牛肉/超濃蕃茄牛腩煲/濃蕃茄汁做法/急凍肉低成本/簡單 家做/廣東話/中字</v>
      </c>
      <c r="E3126" s="82">
        <v>44421.0</v>
      </c>
      <c r="F3126" s="80">
        <v>661.0</v>
      </c>
      <c r="G3126" s="80" t="s">
        <v>63</v>
      </c>
      <c r="I3126" s="80" t="s">
        <v>63</v>
      </c>
      <c r="J3126" s="80">
        <v>1777.0</v>
      </c>
      <c r="K3126" s="80">
        <v>0.985033259423503</v>
      </c>
      <c r="L3126" s="80" t="s">
        <v>64</v>
      </c>
    </row>
    <row r="3127">
      <c r="A3127" s="80" t="s">
        <v>293</v>
      </c>
      <c r="B3127" s="81" t="str">
        <f t="shared" si="166"/>
        <v>趁熱 Kerry 's kitchen</v>
      </c>
      <c r="C3127" s="80" t="s">
        <v>3508</v>
      </c>
      <c r="D3127" s="81" t="str">
        <f>HYPERLINK("https://youtube.com/watch?v=NOdX2fCi2Q8", "乾炒 牛河/簡單 家做/茶記味道有鑊氣/鑊仔炒/粵語/中字/beef noodle chinese sytle/cc subtitle")</f>
        <v>乾炒 牛河/簡單 家做/茶記味道有鑊氣/鑊仔炒/粵語/中字/beef noodle chinese sytle/cc subtitle</v>
      </c>
      <c r="E3127" s="82">
        <v>44314.0</v>
      </c>
      <c r="F3127" s="80">
        <v>556.0</v>
      </c>
      <c r="G3127" s="80" t="s">
        <v>63</v>
      </c>
      <c r="I3127" s="80" t="s">
        <v>63</v>
      </c>
      <c r="J3127" s="80">
        <v>1560.0</v>
      </c>
      <c r="K3127" s="80">
        <v>0.973175296319401</v>
      </c>
      <c r="L3127" s="80" t="s">
        <v>64</v>
      </c>
    </row>
    <row r="3128">
      <c r="A3128" s="80" t="s">
        <v>127</v>
      </c>
      <c r="B3128" s="81" t="str">
        <f>HYPERLINK("https://www.youtube.com/channel/UC97oYK3XMf9RLtkc0lO8C-Q", "健康旦 HiEggo")</f>
        <v>健康旦 HiEggo</v>
      </c>
      <c r="C3128" s="80" t="s">
        <v>3509</v>
      </c>
      <c r="D3128" s="81" t="str">
        <f>HYPERLINK("https://youtube.com/watch?v=NPkAdDkNsuI", "阿旦教返方曉嵐煲湯水 節瓜鱆魚眉豆排骨湯 清熱解暑又潤腸 - 鄭丹瑞《健康旦》 方曉嵐 Part 10")</f>
        <v>阿旦教返方曉嵐煲湯水 節瓜鱆魚眉豆排骨湯 清熱解暑又潤腸 - 鄭丹瑞《健康旦》 方曉嵐 Part 10</v>
      </c>
      <c r="E3128" s="82">
        <v>43958.0</v>
      </c>
      <c r="F3128" s="80">
        <v>553.0</v>
      </c>
      <c r="G3128" s="80" t="s">
        <v>63</v>
      </c>
      <c r="I3128" s="80" t="s">
        <v>63</v>
      </c>
      <c r="J3128" s="80">
        <v>1712.0</v>
      </c>
      <c r="K3128" s="80">
        <v>0.993039443155452</v>
      </c>
      <c r="L3128" s="80" t="s">
        <v>64</v>
      </c>
    </row>
    <row r="3129">
      <c r="A3129" s="80" t="s">
        <v>3139</v>
      </c>
      <c r="B3129" s="81" t="str">
        <f>HYPERLINK("https://www.youtube.com/channel/UCThO2xnH7XMg6plE8OgJm_w", "choyuen草原")</f>
        <v>choyuen草原</v>
      </c>
      <c r="C3129" s="80" t="s">
        <v>3510</v>
      </c>
      <c r="D3129" s="81" t="str">
        <f>HYPERLINK("https://youtube.com/watch?v=aQm3P8pm8EM", "『廣東話』 V即是R : 2. 四維時空   VR actually : 2. 4D Spacetime【學科邊緣人】")</f>
        <v>『廣東話』 V即是R : 2. 四維時空   VR actually : 2. 4D Spacetime【學科邊緣人】</v>
      </c>
      <c r="E3129" s="82">
        <v>43830.0</v>
      </c>
      <c r="F3129" s="80">
        <v>406.0</v>
      </c>
      <c r="G3129" s="80" t="s">
        <v>63</v>
      </c>
      <c r="I3129" s="80" t="s">
        <v>63</v>
      </c>
      <c r="J3129" s="80">
        <v>929.0</v>
      </c>
      <c r="K3129" s="80">
        <v>0.781986531986532</v>
      </c>
      <c r="L3129" s="80" t="s">
        <v>64</v>
      </c>
    </row>
    <row r="3130">
      <c r="A3130" s="80" t="s">
        <v>1260</v>
      </c>
      <c r="B3130" s="81" t="str">
        <f>HYPERLINK("https://www.youtube.com/channel/UCh1k4i86BpiXEO3nzJIYynw", "The Wave")</f>
        <v>The Wave</v>
      </c>
      <c r="C3130" s="80" t="s">
        <v>3511</v>
      </c>
      <c r="D3130" s="81" t="str">
        <f>HYPERLINK("https://youtube.com/watch?v=NUnYr33uyaA", "TheWave | Xperia XZ3 開箱 測試 | 酒紅色")</f>
        <v>TheWave | Xperia XZ3 開箱 測試 | 酒紅色</v>
      </c>
      <c r="E3130" s="82">
        <v>43386.0</v>
      </c>
      <c r="F3130" s="80">
        <v>275.0</v>
      </c>
      <c r="G3130" s="80" t="s">
        <v>63</v>
      </c>
      <c r="H3130" s="80" t="s">
        <v>63</v>
      </c>
      <c r="I3130" s="80" t="s">
        <v>63</v>
      </c>
      <c r="J3130" s="80">
        <v>877.0</v>
      </c>
      <c r="K3130" s="80">
        <v>0.723000824402308</v>
      </c>
      <c r="L3130" s="80" t="s">
        <v>80</v>
      </c>
    </row>
    <row r="3131">
      <c r="A3131" s="80" t="s">
        <v>1670</v>
      </c>
      <c r="B3131" s="81" t="str">
        <f>HYPERLINK("https://www.youtube.com/channel/UC-PIt5m-WOg8UVBkt2RnN0g", "阿JACK睇樓團")</f>
        <v>阿JACK睇樓團</v>
      </c>
      <c r="C3131" s="80" t="s">
        <v>3512</v>
      </c>
      <c r="D3131" s="81" t="str">
        <f>HYPERLINK("https://youtube.com/watch?v=NUv69_QR_7o", "30萬就買到既全新樓 只要你係搵緊樓要睇下 ︳講解平面圖""位置  ︳阿JACK睇樓團 #上車盤 #帝御星濤 #買樓")</f>
        <v>30萬就買到既全新樓 只要你係搵緊樓要睇下 ︳講解平面圖"位置  ︳阿JACK睇樓團 #上車盤 #帝御星濤 #買樓</v>
      </c>
      <c r="E3131" s="82">
        <v>44126.0</v>
      </c>
      <c r="F3131" s="80">
        <v>311.0</v>
      </c>
      <c r="G3131" s="80" t="s">
        <v>63</v>
      </c>
      <c r="I3131" s="80" t="s">
        <v>63</v>
      </c>
      <c r="J3131" s="80">
        <v>1276.0</v>
      </c>
      <c r="K3131" s="80">
        <v>0.989914662529092</v>
      </c>
      <c r="L3131" s="80" t="s">
        <v>64</v>
      </c>
    </row>
    <row r="3132">
      <c r="A3132" s="80" t="s">
        <v>3513</v>
      </c>
      <c r="B3132" s="81" t="str">
        <f>HYPERLINK("https://www.youtube.com/channel/UCEg3pOlQs_nMQ8ArSOacL4Q", "Army有嘢港 | HKArmySayWhat")</f>
        <v>Army有嘢港 | HKArmySayWhat</v>
      </c>
      <c r="C3132" s="80" t="s">
        <v>3514</v>
      </c>
      <c r="D3132" s="81" t="str">
        <f>HYPERLINK("https://youtube.com/watch?v=NUvODfe6FNw", "【防彈之旅】跟BTS一齊拍MV！春日拍攝場地 - 日迎站 [Spring Day (봄날) MV Parody] | Army有嘢港")</f>
        <v>【防彈之旅】跟BTS一齊拍MV！春日拍攝場地 - 日迎站 [Spring Day (봄날) MV Parody] | Army有嘢港</v>
      </c>
      <c r="E3132" s="82">
        <v>42810.0</v>
      </c>
      <c r="F3132" s="80">
        <v>198.0</v>
      </c>
      <c r="G3132" s="80" t="s">
        <v>63</v>
      </c>
      <c r="I3132" s="80" t="s">
        <v>63</v>
      </c>
      <c r="J3132" s="80">
        <v>62.0</v>
      </c>
      <c r="K3132" s="80">
        <v>0.939393939393939</v>
      </c>
      <c r="L3132" s="80" t="s">
        <v>1997</v>
      </c>
    </row>
    <row r="3133">
      <c r="A3133" s="80" t="s">
        <v>124</v>
      </c>
      <c r="B3133" s="81" t="str">
        <f>HYPERLINK("https://www.youtube.com/channel/UCg0vuSE0fBF_NvodyYhMcWg", "Wallace Studio HK")</f>
        <v>Wallace Studio HK</v>
      </c>
      <c r="C3133" s="80" t="s">
        <v>3515</v>
      </c>
      <c r="D3133" s="81" t="str">
        <f>HYPERLINK("https://youtube.com/watch?v=NWgQCN3E30k", "[評細評測] Lenovo Tablet P11 Pro 評測! Pro 到要減價先賣得出!?")</f>
        <v>[評細評測] Lenovo Tablet P11 Pro 評測! Pro 到要減價先賣得出!?</v>
      </c>
      <c r="E3133" s="82">
        <v>44277.0</v>
      </c>
      <c r="F3133" s="80">
        <v>575.0</v>
      </c>
      <c r="G3133" s="80" t="s">
        <v>63</v>
      </c>
      <c r="H3133" s="80" t="s">
        <v>63</v>
      </c>
      <c r="I3133" s="80" t="s">
        <v>63</v>
      </c>
      <c r="J3133" s="80">
        <v>1765.0</v>
      </c>
      <c r="K3133" s="80">
        <v>0.715733982157339</v>
      </c>
      <c r="L3133" s="80" t="s">
        <v>86</v>
      </c>
    </row>
    <row r="3134">
      <c r="A3134" s="80" t="s">
        <v>3162</v>
      </c>
      <c r="B3134" s="81" t="str">
        <f>HYPERLINK("https://www.youtube.com/channel/UCwz2_BsHZOaUO1zvS5zJBTw", "跟Theo一起爬坂道丨Theo Cheong")</f>
        <v>跟Theo一起爬坂道丨Theo Cheong</v>
      </c>
      <c r="C3134" s="80" t="s">
        <v>3516</v>
      </c>
      <c r="D3134" s="81" t="str">
        <f>HYPERLINK("https://youtube.com/watch?v=b6DBMx3TaBI", "大阪拉麵巡禮 - 下 人山人海 都係食番連鎖店| N4 Working Holiday | Vlog")</f>
        <v>大阪拉麵巡禮 - 下 人山人海 都係食番連鎖店| N4 Working Holiday | Vlog</v>
      </c>
      <c r="E3134" s="82">
        <v>43542.0</v>
      </c>
      <c r="F3134" s="80">
        <v>426.0</v>
      </c>
      <c r="G3134" s="80" t="s">
        <v>63</v>
      </c>
      <c r="I3134" s="80" t="s">
        <v>63</v>
      </c>
      <c r="J3134" s="80">
        <v>1256.0</v>
      </c>
      <c r="K3134" s="80">
        <v>0.958047292143402</v>
      </c>
      <c r="L3134" s="80" t="s">
        <v>64</v>
      </c>
    </row>
    <row r="3135">
      <c r="A3135" s="80" t="s">
        <v>3139</v>
      </c>
      <c r="B3135" s="81" t="str">
        <f>HYPERLINK("https://www.youtube.com/channel/UCThO2xnH7XMg6plE8OgJm_w", "choyuen草原")</f>
        <v>choyuen草原</v>
      </c>
      <c r="C3135" s="80" t="s">
        <v>3517</v>
      </c>
      <c r="D3135" s="81" t="str">
        <f>HYPERLINK("https://youtube.com/watch?v=b6qBImO4o44", "『廣東話』希拉莉眨眼 , 蜥蜴人伸脷 Eye of Hillary , Tongue of Reptilian【禁忌的傳說】")</f>
        <v>『廣東話』希拉莉眨眼 , 蜥蜴人伸脷 Eye of Hillary , Tongue of Reptilian【禁忌的傳說】</v>
      </c>
      <c r="E3135" s="82">
        <v>43192.0</v>
      </c>
      <c r="F3135" s="80">
        <v>116.0</v>
      </c>
      <c r="G3135" s="80" t="s">
        <v>63</v>
      </c>
      <c r="I3135" s="80" t="s">
        <v>63</v>
      </c>
      <c r="J3135" s="80">
        <v>338.0</v>
      </c>
      <c r="K3135" s="80">
        <v>0.891820580474934</v>
      </c>
      <c r="L3135" s="80" t="s">
        <v>1071</v>
      </c>
    </row>
    <row r="3136">
      <c r="A3136" s="80" t="s">
        <v>1260</v>
      </c>
      <c r="B3136" s="81" t="str">
        <f>HYPERLINK("https://www.youtube.com/channel/UCh1k4i86BpiXEO3nzJIYynw", "The Wave")</f>
        <v>The Wave</v>
      </c>
      <c r="C3136" s="80" t="s">
        <v>3518</v>
      </c>
      <c r="D3136" s="81" t="str">
        <f>HYPERLINK("https://youtube.com/watch?v=Ncm1LRzCo-0", "TheWave | Sony Xperia XZ3 香港發佈！一星期預售 | 買？唔買？新OLED？！")</f>
        <v>TheWave | Sony Xperia XZ3 香港發佈！一星期預售 | 買？唔買？新OLED？！</v>
      </c>
      <c r="E3136" s="82">
        <v>43377.0</v>
      </c>
      <c r="F3136" s="80">
        <v>154.0</v>
      </c>
      <c r="G3136" s="80" t="s">
        <v>63</v>
      </c>
      <c r="H3136" s="80" t="s">
        <v>63</v>
      </c>
      <c r="I3136" s="80" t="s">
        <v>63</v>
      </c>
      <c r="J3136" s="80">
        <v>494.0</v>
      </c>
      <c r="K3136" s="80">
        <v>0.767080745341614</v>
      </c>
      <c r="L3136" s="80" t="s">
        <v>120</v>
      </c>
    </row>
    <row r="3137">
      <c r="A3137" s="80" t="s">
        <v>127</v>
      </c>
      <c r="B3137" s="81" t="str">
        <f>HYPERLINK("https://www.youtube.com/channel/UC97oYK3XMf9RLtkc0lO8C-Q", "健康旦 HiEggo")</f>
        <v>健康旦 HiEggo</v>
      </c>
      <c r="C3137" s="80" t="s">
        <v>3519</v>
      </c>
      <c r="D3137" s="81" t="str">
        <f>HYPERLINK("https://youtube.com/watch?v=NdtZJ7kLpa0", "阿旦解構司儀說話技巧 推介演說天書 教你學前英國首相邱吉爾講嘢  - 鄭丹瑞 Vlog #1 (CC中文字幕)")</f>
        <v>阿旦解構司儀說話技巧 推介演說天書 教你學前英國首相邱吉爾講嘢  - 鄭丹瑞 Vlog #1 (CC中文字幕)</v>
      </c>
      <c r="E3137" s="82">
        <v>43882.0</v>
      </c>
      <c r="F3137" s="80">
        <v>606.0</v>
      </c>
      <c r="G3137" s="80" t="s">
        <v>63</v>
      </c>
      <c r="I3137" s="80" t="s">
        <v>63</v>
      </c>
      <c r="J3137" s="80">
        <v>2236.0</v>
      </c>
      <c r="K3137" s="80">
        <v>0.936348408710217</v>
      </c>
      <c r="L3137" s="80" t="s">
        <v>102</v>
      </c>
    </row>
    <row r="3138">
      <c r="A3138" s="80" t="s">
        <v>248</v>
      </c>
      <c r="B3138" s="81" t="str">
        <f>HYPERLINK("https://www.youtube.com/channel/UCUEJok-GiWaGlv5nIPwk-GQ", "Price.com.hk 香港格價網")</f>
        <v>Price.com.hk 香港格價網</v>
      </c>
      <c r="C3138" s="80" t="s">
        <v>3520</v>
      </c>
      <c r="D3138" s="81" t="str">
        <f>HYPERLINK("https://youtube.com/watch?v=NfVPbursqI8", "iOS 15 實試一星期！ 6大新功能教學＋試後感｜iOS x Android FaceTime｜Live Text｜Focus Mode｜廣東話【Price.com.hk軟件教學】")</f>
        <v>iOS 15 實試一星期！ 6大新功能教學＋試後感｜iOS x Android FaceTime｜Live Text｜Focus Mode｜廣東話【Price.com.hk軟件教學】</v>
      </c>
      <c r="E3138" s="82">
        <v>44370.0</v>
      </c>
      <c r="F3138" s="80">
        <v>384.0</v>
      </c>
      <c r="G3138" s="80" t="s">
        <v>63</v>
      </c>
      <c r="I3138" s="80" t="s">
        <v>63</v>
      </c>
      <c r="J3138" s="80">
        <v>1539.0</v>
      </c>
      <c r="K3138" s="80">
        <v>0.768347478781827</v>
      </c>
      <c r="L3138" s="80" t="s">
        <v>64</v>
      </c>
    </row>
    <row r="3139">
      <c r="A3139" s="80" t="s">
        <v>3165</v>
      </c>
      <c r="B3139" s="81" t="str">
        <f>HYPERLINK("https://www.youtube.com/channel/UCKmwhu-hyadoBCzzM0TBDHQ", "好易煮 oe cook")</f>
        <v>好易煮 oe cook</v>
      </c>
      <c r="C3139" s="80" t="s">
        <v>3521</v>
      </c>
      <c r="D3139" s="81" t="str">
        <f>HYPERLINK("https://youtube.com/watch?v=bEqvM6du42s", "啤酒五花肉 Stewed Pork Belly with Beer  (有字幕 With Subtitles)")</f>
        <v>啤酒五花肉 Stewed Pork Belly with Beer  (有字幕 With Subtitles)</v>
      </c>
      <c r="E3139" s="82">
        <v>44116.0</v>
      </c>
      <c r="F3139" s="80">
        <v>287.0</v>
      </c>
      <c r="G3139" s="80" t="s">
        <v>63</v>
      </c>
      <c r="H3139" s="80" t="s">
        <v>63</v>
      </c>
      <c r="I3139" s="80" t="s">
        <v>63</v>
      </c>
      <c r="J3139" s="80">
        <v>309.0</v>
      </c>
      <c r="K3139" s="80">
        <v>1.0</v>
      </c>
      <c r="L3139" s="80" t="s">
        <v>3522</v>
      </c>
    </row>
    <row r="3140">
      <c r="A3140" s="80" t="s">
        <v>288</v>
      </c>
      <c r="B3140" s="81" t="str">
        <f>HYPERLINK("https://www.youtube.com/channel/UCDWOYEhVnyD4IHZGVAMLc0g", "Brendan 毛爸")</f>
        <v>Brendan 毛爸</v>
      </c>
      <c r="C3140" s="80" t="s">
        <v>3523</v>
      </c>
      <c r="D3140" s="81" t="str">
        <f>HYPERLINK("https://youtube.com/watch?v=NhgkZR0D9Is", "『S5 天下爭鋒』港台服第五季封測重點丨五隻新武將？丨甚麼技能被改？丨【三國志•戰略版 十服】 《CC中文字幕》")</f>
        <v>『S5 天下爭鋒』港台服第五季封測重點丨五隻新武將？丨甚麼技能被改？丨【三國志•戰略版 十服】 《CC中文字幕》</v>
      </c>
      <c r="E3140" s="82">
        <v>44480.0</v>
      </c>
      <c r="F3140" s="80">
        <v>501.0</v>
      </c>
      <c r="G3140" s="80" t="s">
        <v>63</v>
      </c>
      <c r="I3140" s="80" t="s">
        <v>63</v>
      </c>
      <c r="J3140" s="80">
        <v>1888.0</v>
      </c>
      <c r="K3140" s="80">
        <v>0.98077922077922</v>
      </c>
      <c r="L3140" s="80" t="s">
        <v>64</v>
      </c>
    </row>
    <row r="3141">
      <c r="A3141" s="80" t="s">
        <v>3046</v>
      </c>
      <c r="B3141" s="81" t="str">
        <f>HYPERLINK("https://www.youtube.com/channel/UCk9_geXNUStgv0wjm75vX5Q", "蘇斯克 Ole So")</f>
        <v>蘇斯克 Ole So</v>
      </c>
      <c r="C3141" s="80" t="s">
        <v>3524</v>
      </c>
      <c r="D3141" s="81" t="str">
        <f>HYPERLINK("https://youtube.com/watch?v=bXB2OUEiaC4", "2021年夏天轉會窗 · 曼聯擴軍方針？ | The Transfer Window direction of Manchester United in the 2021 Summer")</f>
        <v>2021年夏天轉會窗 · 曼聯擴軍方針？ | The Transfer Window direction of Manchester United in the 2021 Summer</v>
      </c>
      <c r="E3141" s="82">
        <v>44347.0</v>
      </c>
      <c r="F3141" s="80">
        <v>680.0</v>
      </c>
      <c r="G3141" s="80" t="s">
        <v>63</v>
      </c>
      <c r="I3141" s="80" t="s">
        <v>63</v>
      </c>
      <c r="J3141" s="80">
        <v>1713.0</v>
      </c>
      <c r="K3141" s="80">
        <v>0.764390896921017</v>
      </c>
      <c r="L3141" s="80" t="s">
        <v>64</v>
      </c>
    </row>
    <row r="3142">
      <c r="A3142" s="80" t="s">
        <v>238</v>
      </c>
      <c r="B3142" s="81" t="str">
        <f t="shared" ref="B3142:B3143" si="167">HYPERLINK("https://www.youtube.com/channel/UCSBkm4LwpgBmcA3MCtO8vqg", "Post76影音玩樂")</f>
        <v>Post76影音玩樂</v>
      </c>
      <c r="C3142" s="80" t="s">
        <v>3525</v>
      </c>
      <c r="D3142" s="81" t="str">
        <f>HYPERLINK("https://youtube.com/watch?v=Njr51gohkaI", "Lily Chan 陳潔麗：闊別大家三年，今年 9月12日約定你睇《陳潔麗唱奏會2021》.....其實點解叫""唱奏會""呢？（CC字幕）【音樂專訪 | Post76.hk】")</f>
        <v>Lily Chan 陳潔麗：闊別大家三年，今年 9月12日約定你睇《陳潔麗唱奏會2021》.....其實點解叫"唱奏會"呢？（CC字幕）【音樂專訪 | Post76.hk】</v>
      </c>
      <c r="E3142" s="82">
        <v>44441.0</v>
      </c>
      <c r="F3142" s="80">
        <v>546.0</v>
      </c>
      <c r="G3142" s="80" t="s">
        <v>63</v>
      </c>
      <c r="H3142" s="80" t="s">
        <v>63</v>
      </c>
      <c r="I3142" s="80" t="s">
        <v>63</v>
      </c>
      <c r="J3142" s="80">
        <v>1691.0</v>
      </c>
      <c r="K3142" s="80">
        <v>0.95375070501974</v>
      </c>
      <c r="L3142" s="80" t="s">
        <v>66</v>
      </c>
    </row>
    <row r="3143">
      <c r="A3143" s="80" t="s">
        <v>238</v>
      </c>
      <c r="B3143" s="81" t="str">
        <f t="shared" si="167"/>
        <v>Post76影音玩樂</v>
      </c>
      <c r="C3143" s="80" t="s">
        <v>3526</v>
      </c>
      <c r="D3143" s="81" t="str">
        <f>HYPERLINK("https://youtube.com/watch?v=Nk0BcNWDX_k", "Lotoo PAW S2 發燒級 MQA iPhone &amp; Android USB便攜解碼耳擴（附設cc字幕）【解碼耳擴評測】")</f>
        <v>Lotoo PAW S2 發燒級 MQA iPhone &amp; Android USB便攜解碼耳擴（附設cc字幕）【解碼耳擴評測】</v>
      </c>
      <c r="E3143" s="82">
        <v>44515.0</v>
      </c>
      <c r="F3143" s="80">
        <v>682.0</v>
      </c>
      <c r="G3143" s="80" t="s">
        <v>63</v>
      </c>
      <c r="H3143" s="80" t="s">
        <v>63</v>
      </c>
      <c r="I3143" s="80" t="s">
        <v>63</v>
      </c>
      <c r="J3143" s="80">
        <v>2034.0</v>
      </c>
      <c r="K3143" s="80">
        <v>0.806701030927835</v>
      </c>
      <c r="L3143" s="80" t="s">
        <v>240</v>
      </c>
    </row>
    <row r="3144">
      <c r="A3144" s="80" t="s">
        <v>2753</v>
      </c>
      <c r="B3144" s="81" t="str">
        <f>HYPERLINK("https://www.youtube.com/channel/UCxRXNy5P6fLtHYpawxoiqJQ", "焦點視頻")</f>
        <v>焦點視頻</v>
      </c>
      <c r="C3144" s="80" t="s">
        <v>3527</v>
      </c>
      <c r="D3144" s="81" t="str">
        <f>HYPERLINK("https://youtube.com/watch?v=Nl5pDiqTTTA", "(中字) 2022地母經預言秋季將現崩潰！ 新冠病毒可能將現致命大變種？︱六壬玄學大師徐凱亮師傅《焦點視頻 x 開運王》")</f>
        <v>(中字) 2022地母經預言秋季將現崩潰！ 新冠病毒可能將現致命大變種？︱六壬玄學大師徐凱亮師傅《焦點視頻 x 開運王》</v>
      </c>
      <c r="E3144" s="82">
        <v>44537.0</v>
      </c>
      <c r="F3144" s="80">
        <v>747.0</v>
      </c>
      <c r="G3144" s="80" t="s">
        <v>63</v>
      </c>
      <c r="I3144" s="80" t="s">
        <v>63</v>
      </c>
      <c r="J3144" s="80">
        <v>2803.0</v>
      </c>
      <c r="K3144" s="80">
        <v>0.995737122557726</v>
      </c>
      <c r="L3144" s="80" t="s">
        <v>3012</v>
      </c>
    </row>
    <row r="3145">
      <c r="A3145" s="80" t="s">
        <v>1260</v>
      </c>
      <c r="B3145" s="81" t="str">
        <f>HYPERLINK("https://www.youtube.com/channel/UCh1k4i86BpiXEO3nzJIYynw", "The Wave")</f>
        <v>The Wave</v>
      </c>
      <c r="C3145" s="80" t="s">
        <v>3528</v>
      </c>
      <c r="D3145" s="81" t="str">
        <f>HYPERLINK("https://youtube.com/watch?v=Nm01jszc52k", "TheWave | XA2 Plus突然發佈 😱😱😱 竟然有6GB RAM")</f>
        <v>TheWave | XA2 Plus突然發佈 😱😱😱 竟然有6GB RAM</v>
      </c>
      <c r="E3145" s="82">
        <v>43292.0</v>
      </c>
      <c r="F3145" s="80">
        <v>121.0</v>
      </c>
      <c r="G3145" s="80" t="s">
        <v>63</v>
      </c>
      <c r="H3145" s="80" t="s">
        <v>63</v>
      </c>
      <c r="I3145" s="80" t="s">
        <v>63</v>
      </c>
      <c r="J3145" s="80">
        <v>364.0</v>
      </c>
      <c r="K3145" s="80">
        <v>0.690335305719921</v>
      </c>
      <c r="L3145" s="80" t="s">
        <v>120</v>
      </c>
    </row>
    <row r="3146">
      <c r="A3146" s="80" t="s">
        <v>127</v>
      </c>
      <c r="B3146" s="81" t="str">
        <f>HYPERLINK("https://www.youtube.com/channel/UC97oYK3XMf9RLtkc0lO8C-Q", "健康旦 HiEggo")</f>
        <v>健康旦 HiEggo</v>
      </c>
      <c r="C3146" s="80" t="s">
        <v>3529</v>
      </c>
      <c r="D3146" s="81" t="str">
        <f>HYPERLINK("https://youtube.com/watch?v=Nmnx6D31OQ4", "屎坑旦廁所度掂三個小神仙 三人行初嚐錄音滋味 - 鄭丹瑞《健康旦》 @RTHK 香港電台 《三個小神仙》林珊珊、何嘉麗 Part 4（CC中文字幕）")</f>
        <v>屎坑旦廁所度掂三個小神仙 三人行初嚐錄音滋味 - 鄭丹瑞《健康旦》 @RTHK 香港電台 《三個小神仙》林珊珊、何嘉麗 Part 4（CC中文字幕）</v>
      </c>
      <c r="E3146" s="82">
        <v>43946.0</v>
      </c>
      <c r="F3146" s="80">
        <v>850.0</v>
      </c>
      <c r="G3146" s="80" t="s">
        <v>63</v>
      </c>
      <c r="I3146" s="80" t="s">
        <v>63</v>
      </c>
      <c r="J3146" s="80">
        <v>3050.0</v>
      </c>
      <c r="K3146" s="80">
        <v>0.979762287182781</v>
      </c>
      <c r="L3146" s="80" t="s">
        <v>64</v>
      </c>
    </row>
    <row r="3147">
      <c r="A3147" s="80" t="s">
        <v>1260</v>
      </c>
      <c r="B3147" s="81" t="str">
        <f>HYPERLINK("https://www.youtube.com/channel/UCh1k4i86BpiXEO3nzJIYynw", "The Wave")</f>
        <v>The Wave</v>
      </c>
      <c r="C3147" s="80" t="s">
        <v>3530</v>
      </c>
      <c r="D3147" s="81" t="str">
        <f>HYPERLINK("https://youtube.com/watch?v=NogsFrU1_pE", "TheWave | Xperia XZ2 Premium 播放4K HDR電影電量測試 | 直接結果@1分06秒")</f>
        <v>TheWave | Xperia XZ2 Premium 播放4K HDR電影電量測試 | 直接結果@1分06秒</v>
      </c>
      <c r="E3147" s="82">
        <v>43329.0</v>
      </c>
      <c r="F3147" s="80">
        <v>76.0</v>
      </c>
      <c r="G3147" s="80" t="s">
        <v>63</v>
      </c>
      <c r="H3147" s="80" t="s">
        <v>63</v>
      </c>
      <c r="I3147" s="80" t="s">
        <v>63</v>
      </c>
      <c r="J3147" s="80">
        <v>129.0</v>
      </c>
      <c r="K3147" s="80">
        <v>0.7</v>
      </c>
      <c r="L3147" s="80" t="s">
        <v>120</v>
      </c>
    </row>
    <row r="3148">
      <c r="A3148" s="80" t="s">
        <v>2972</v>
      </c>
      <c r="B3148" s="81" t="str">
        <f>HYPERLINK("https://www.youtube.com/channel/UCVMEQdIDLjHcKAsEwhVXEoQ", "Danny W.")</f>
        <v>Danny W.</v>
      </c>
      <c r="C3148" s="80" t="s">
        <v>3531</v>
      </c>
      <c r="D3148" s="81" t="str">
        <f>HYPERLINK("https://youtube.com/watch?v=Nr4Xv4nXlvk", "Negative 相反意思 港法文 EP 6")</f>
        <v>Negative 相反意思 港法文 EP 6</v>
      </c>
      <c r="E3148" s="82">
        <v>44361.0</v>
      </c>
      <c r="F3148" s="80">
        <v>82.0</v>
      </c>
      <c r="G3148" s="80" t="s">
        <v>63</v>
      </c>
      <c r="I3148" s="80" t="s">
        <v>63</v>
      </c>
      <c r="J3148" s="80">
        <v>142.0</v>
      </c>
      <c r="K3148" s="80">
        <v>0.527881040892193</v>
      </c>
      <c r="L3148" s="80" t="s">
        <v>102</v>
      </c>
    </row>
    <row r="3149">
      <c r="A3149" s="80" t="s">
        <v>1260</v>
      </c>
      <c r="B3149" s="81" t="str">
        <f>HYPERLINK("https://www.youtube.com/channel/UCh1k4i86BpiXEO3nzJIYynw", "The Wave")</f>
        <v>The Wave</v>
      </c>
      <c r="C3149" s="80" t="s">
        <v>3532</v>
      </c>
      <c r="D3149" s="81" t="str">
        <f>HYPERLINK("https://youtube.com/watch?v=NrWFQ2L6Pq4", "TheWave | iPad Mini 2019 &amp; iPad Air 2019 | 真係新嘢？")</f>
        <v>TheWave | iPad Mini 2019 &amp; iPad Air 2019 | 真係新嘢？</v>
      </c>
      <c r="E3149" s="82">
        <v>43544.0</v>
      </c>
      <c r="F3149" s="80">
        <v>147.0</v>
      </c>
      <c r="G3149" s="80" t="s">
        <v>63</v>
      </c>
      <c r="H3149" s="80" t="s">
        <v>63</v>
      </c>
      <c r="I3149" s="80" t="s">
        <v>63</v>
      </c>
      <c r="J3149" s="80">
        <v>412.0</v>
      </c>
      <c r="K3149" s="80">
        <v>0.65953947368421</v>
      </c>
      <c r="L3149" s="80" t="s">
        <v>120</v>
      </c>
    </row>
    <row r="3150">
      <c r="A3150" s="80" t="s">
        <v>3151</v>
      </c>
      <c r="B3150" s="81" t="str">
        <f t="shared" ref="B3150:B3152" si="168">HYPERLINK("https://www.youtube.com/channel/UCARY68c_VZHHXPsEDg9Bptw", "耀佳金融集團Yaw Kai Financial Group")</f>
        <v>耀佳金融集團Yaw Kai Financial Group</v>
      </c>
      <c r="C3150" s="80" t="s">
        <v>3533</v>
      </c>
      <c r="D3150" s="81" t="str">
        <f>HYPERLINK("https://youtube.com/watch?v=boxGqZzRAPY", "【市場點評】中芯(#981) 回 A 即散? 係君實(#1877) 翻版? 未來後市點睇?")</f>
        <v>【市場點評】中芯(#981) 回 A 即散? 係君實(#1877) 翻版? 未來後市點睇?</v>
      </c>
      <c r="E3150" s="82">
        <v>44028.0</v>
      </c>
      <c r="F3150" s="80">
        <v>793.0</v>
      </c>
      <c r="G3150" s="80" t="s">
        <v>63</v>
      </c>
      <c r="I3150" s="80" t="s">
        <v>63</v>
      </c>
      <c r="J3150" s="80">
        <v>2025.0</v>
      </c>
      <c r="K3150" s="80">
        <v>0.974025974025974</v>
      </c>
      <c r="L3150" s="80" t="s">
        <v>64</v>
      </c>
    </row>
    <row r="3151">
      <c r="A3151" s="80" t="s">
        <v>3151</v>
      </c>
      <c r="B3151" s="81" t="str">
        <f t="shared" si="168"/>
        <v>耀佳金融集團Yaw Kai Financial Group</v>
      </c>
      <c r="C3151" s="80" t="s">
        <v>3534</v>
      </c>
      <c r="D3151" s="81" t="str">
        <f>HYPERLINK("https://youtube.com/watch?v=cHLLUrvIzq8", "【市場點評】傳 NVIDIA 有意收購 ARM? 點解獨立上市係唯一出路?")</f>
        <v>【市場點評】傳 NVIDIA 有意收購 ARM? 點解獨立上市係唯一出路?</v>
      </c>
      <c r="E3151" s="82">
        <v>44035.0</v>
      </c>
      <c r="F3151" s="80">
        <v>851.0</v>
      </c>
      <c r="G3151" s="80" t="s">
        <v>63</v>
      </c>
      <c r="I3151" s="80" t="s">
        <v>63</v>
      </c>
      <c r="J3151" s="80">
        <v>2493.0</v>
      </c>
      <c r="K3151" s="80">
        <v>0.883103081827842</v>
      </c>
      <c r="L3151" s="80" t="s">
        <v>64</v>
      </c>
    </row>
    <row r="3152">
      <c r="A3152" s="80" t="s">
        <v>3151</v>
      </c>
      <c r="B3152" s="81" t="str">
        <f t="shared" si="168"/>
        <v>耀佳金融集團Yaw Kai Financial Group</v>
      </c>
      <c r="C3152" s="80" t="s">
        <v>3535</v>
      </c>
      <c r="D3152" s="81" t="str">
        <f>HYPERLINK("https://youtube.com/watch?v=cJi4hVqYU14", "【新股點評】新股熱潮停不了, 海普瑞(9989.HK) &amp; 弘陽服務(1971.HK) 抽唔抽得過?")</f>
        <v>【新股點評】新股熱潮停不了, 海普瑞(9989.HK) &amp; 弘陽服務(1971.HK) 抽唔抽得過?</v>
      </c>
      <c r="E3152" s="82">
        <v>44006.0</v>
      </c>
      <c r="F3152" s="80">
        <v>805.0</v>
      </c>
      <c r="G3152" s="80" t="s">
        <v>63</v>
      </c>
      <c r="I3152" s="80" t="s">
        <v>63</v>
      </c>
      <c r="J3152" s="80">
        <v>2411.0</v>
      </c>
      <c r="K3152" s="80">
        <v>0.96983105390185</v>
      </c>
      <c r="L3152" s="80" t="s">
        <v>64</v>
      </c>
    </row>
    <row r="3153">
      <c r="A3153" s="80" t="s">
        <v>127</v>
      </c>
      <c r="B3153" s="81" t="str">
        <f t="shared" ref="B3153:B3154" si="169">HYPERLINK("https://www.youtube.com/channel/UC97oYK3XMf9RLtkc0lO8C-Q", "健康旦 HiEggo")</f>
        <v>健康旦 HiEggo</v>
      </c>
      <c r="C3153" s="80" t="s">
        <v>3536</v>
      </c>
      <c r="D3153" s="81" t="str">
        <f>HYPERLINK("https://youtube.com/watch?v=NsN7kflR-uo", "希望羅蘭早日康復！羅蘭教老友記斷捨離執屋解悶 食麥皮配雞蛋唔落糖更健康 - 鄭丹瑞《健康旦》 羅蘭 (CC中文字幕)")</f>
        <v>希望羅蘭早日康復！羅蘭教老友記斷捨離執屋解悶 食麥皮配雞蛋唔落糖更健康 - 鄭丹瑞《健康旦》 羅蘭 (CC中文字幕)</v>
      </c>
      <c r="E3153" s="82">
        <v>43903.0</v>
      </c>
      <c r="F3153" s="80">
        <v>720.0</v>
      </c>
      <c r="G3153" s="80" t="s">
        <v>63</v>
      </c>
      <c r="I3153" s="80" t="s">
        <v>63</v>
      </c>
      <c r="J3153" s="80">
        <v>2009.0</v>
      </c>
      <c r="K3153" s="80">
        <v>0.995540138751238</v>
      </c>
      <c r="L3153" s="80" t="s">
        <v>102</v>
      </c>
    </row>
    <row r="3154">
      <c r="A3154" s="80" t="s">
        <v>127</v>
      </c>
      <c r="B3154" s="81" t="str">
        <f t="shared" si="169"/>
        <v>健康旦 HiEggo</v>
      </c>
      <c r="C3154" s="80" t="s">
        <v>3537</v>
      </c>
      <c r="D3154" s="81" t="str">
        <f>HYPERLINK("https://youtube.com/watch?v=NvfI8BRClK8", "血糖高唔食得粥 魚要食細魚 李維恩教授談健康食糧問題 - 鄭丹瑞《健康旦》李維恩教授 Part 4 (CC中文字幕)")</f>
        <v>血糖高唔食得粥 魚要食細魚 李維恩教授談健康食糧問題 - 鄭丹瑞《健康旦》李維恩教授 Part 4 (CC中文字幕)</v>
      </c>
      <c r="E3154" s="82">
        <v>43892.0</v>
      </c>
      <c r="F3154" s="80">
        <v>692.0</v>
      </c>
      <c r="G3154" s="80" t="s">
        <v>63</v>
      </c>
      <c r="I3154" s="80" t="s">
        <v>63</v>
      </c>
      <c r="J3154" s="80">
        <v>2482.0</v>
      </c>
      <c r="K3154" s="80">
        <v>0.990422984836392</v>
      </c>
      <c r="L3154" s="80" t="s">
        <v>102</v>
      </c>
    </row>
    <row r="3155">
      <c r="A3155" s="80" t="s">
        <v>248</v>
      </c>
      <c r="B3155" s="81" t="str">
        <f>HYPERLINK("https://www.youtube.com/channel/UCUEJok-GiWaGlv5nIPwk-GQ", "Price.com.hk 香港格價網")</f>
        <v>Price.com.hk 香港格價網</v>
      </c>
      <c r="C3155" s="80" t="s">
        <v>3538</v>
      </c>
      <c r="D3155" s="81" t="str">
        <f>HYPERLINK("https://youtube.com/watch?v=Nw02sr6h6e8", "2021年十大暖風機推介！傳統式、陶瓷式有咩分別？｜寧靜/慳電之選？浴室用？空氣淨化/加濕功能？｜廣東話【Price.com.hk選購攻略】")</f>
        <v>2021年十大暖風機推介！傳統式、陶瓷式有咩分別？｜寧靜/慳電之選？浴室用？空氣淨化/加濕功能？｜廣東話【Price.com.hk選購攻略】</v>
      </c>
      <c r="E3155" s="82">
        <v>44552.0</v>
      </c>
      <c r="F3155" s="80">
        <v>410.0</v>
      </c>
      <c r="G3155" s="80" t="s">
        <v>63</v>
      </c>
      <c r="I3155" s="80" t="s">
        <v>63</v>
      </c>
      <c r="J3155" s="80">
        <v>1748.0</v>
      </c>
      <c r="K3155" s="80">
        <v>0.923402007395668</v>
      </c>
      <c r="L3155" s="80" t="s">
        <v>64</v>
      </c>
    </row>
    <row r="3156">
      <c r="A3156" s="80" t="s">
        <v>3151</v>
      </c>
      <c r="B3156" s="81" t="str">
        <f>HYPERLINK("https://www.youtube.com/channel/UCARY68c_VZHHXPsEDg9Bptw", "耀佳金融集團Yaw Kai Financial Group")</f>
        <v>耀佳金融集團Yaw Kai Financial Group</v>
      </c>
      <c r="C3156" s="80" t="s">
        <v>3539</v>
      </c>
      <c r="D3156" s="81" t="str">
        <f>HYPERLINK("https://youtube.com/watch?v=cp4-NI01cXQ", "【市場點評】阿里雲就係阿里巴巴 (9988.hk)的未來?")</f>
        <v>【市場點評】阿里雲就係阿里巴巴 (9988.hk)的未來?</v>
      </c>
      <c r="E3156" s="82">
        <v>44018.0</v>
      </c>
      <c r="F3156" s="80">
        <v>1259.0</v>
      </c>
      <c r="G3156" s="80" t="s">
        <v>63</v>
      </c>
      <c r="I3156" s="80" t="s">
        <v>63</v>
      </c>
      <c r="J3156" s="80">
        <v>4062.0</v>
      </c>
      <c r="K3156" s="80">
        <v>0.950397753860552</v>
      </c>
      <c r="L3156" s="80" t="s">
        <v>64</v>
      </c>
    </row>
    <row r="3157">
      <c r="A3157" s="80" t="s">
        <v>3172</v>
      </c>
      <c r="B3157" s="81" t="str">
        <f>HYPERLINK("https://www.youtube.com/channel/UCahNh5t4wkQhSjS2-u0vSlA", "Henry Ng")</f>
        <v>Henry Ng</v>
      </c>
      <c r="C3157" s="80" t="s">
        <v>3540</v>
      </c>
      <c r="D3157" s="81" t="str">
        <f>HYPERLINK("https://youtube.com/watch?v=cp9V6oRXcKg", "世界最快樂嘅國家 不丹 Day 1 廷布 - 2017年1月 《亨利自由行》")</f>
        <v>世界最快樂嘅國家 不丹 Day 1 廷布 - 2017年1月 《亨利自由行》</v>
      </c>
      <c r="E3157" s="82">
        <v>42781.0</v>
      </c>
      <c r="F3157" s="80">
        <v>242.0</v>
      </c>
      <c r="G3157" s="80" t="s">
        <v>63</v>
      </c>
      <c r="I3157" s="80" t="s">
        <v>63</v>
      </c>
      <c r="J3157" s="80">
        <v>310.0</v>
      </c>
      <c r="K3157" s="80">
        <v>0.984126984126984</v>
      </c>
      <c r="L3157" s="80" t="s">
        <v>64</v>
      </c>
    </row>
    <row r="3158">
      <c r="A3158" s="80" t="s">
        <v>2041</v>
      </c>
      <c r="B3158" s="81" t="str">
        <f>HYPERLINK("https://www.youtube.com/channel/UCO6pB-ZN4XJ6MVkibvuEe0A", "SingSingTracker 星昇財經指標")</f>
        <v>SingSingTracker 星昇財經指標</v>
      </c>
      <c r="C3158" s="80" t="s">
        <v>3541</v>
      </c>
      <c r="D3158" s="81" t="str">
        <f>HYPERLINK("https://youtube.com/watch?v=NyLvnVSyhZY", "【想財務自由? 提早退休? 被動收入?】必學投資工具比較｜投資工具入門攻略｜ETF VS 基金｜睡後收入大公開 ｜躺平都有收入｜新手投資懶人包 ｜財富增埴工具 ｜#債券 #ETF #基金")</f>
        <v>【想財務自由? 提早退休? 被動收入?】必學投資工具比較｜投資工具入門攻略｜ETF VS 基金｜睡後收入大公開 ｜躺平都有收入｜新手投資懶人包 ｜財富增埴工具 ｜#債券 #ETF #基金</v>
      </c>
      <c r="E3158" s="82">
        <v>44463.0</v>
      </c>
      <c r="F3158" s="80">
        <v>383.0</v>
      </c>
      <c r="G3158" s="80" t="s">
        <v>63</v>
      </c>
      <c r="I3158" s="80" t="s">
        <v>63</v>
      </c>
      <c r="J3158" s="80">
        <v>1517.0</v>
      </c>
      <c r="K3158" s="80">
        <v>0.954088050314465</v>
      </c>
      <c r="L3158" s="80" t="s">
        <v>64</v>
      </c>
    </row>
    <row r="3159">
      <c r="A3159" s="80" t="s">
        <v>127</v>
      </c>
      <c r="B3159" s="81" t="str">
        <f>HYPERLINK("https://www.youtube.com/channel/UC97oYK3XMf9RLtkc0lO8C-Q", "健康旦 HiEggo")</f>
        <v>健康旦 HiEggo</v>
      </c>
      <c r="C3159" s="80" t="s">
        <v>3542</v>
      </c>
      <c r="D3159" s="81" t="str">
        <f>HYPERLINK("https://youtube.com/watch?v=O-6NUGwVMq4", "靈芝可對付肺炎解毒抗癌特性 調節人體免疫系統達平衡 鹿角靈芝營養比傳統靈芝高 - 鄭丹瑞《健康旦》國際自然療法學院院長 #吳振民 騰泰堂靈芝達人 #徐棣海 (CC中文字幕)")</f>
        <v>靈芝可對付肺炎解毒抗癌特性 調節人體免疫系統達平衡 鹿角靈芝營養比傳統靈芝高 - 鄭丹瑞《健康旦》國際自然療法學院院長 #吳振民 騰泰堂靈芝達人 #徐棣海 (CC中文字幕)</v>
      </c>
      <c r="E3159" s="82">
        <v>44090.0</v>
      </c>
      <c r="F3159" s="80">
        <v>838.0</v>
      </c>
      <c r="G3159" s="80" t="s">
        <v>63</v>
      </c>
      <c r="I3159" s="80" t="s">
        <v>63</v>
      </c>
      <c r="J3159" s="80">
        <v>3163.0</v>
      </c>
      <c r="K3159" s="80">
        <v>0.981688392302917</v>
      </c>
      <c r="L3159" s="80" t="s">
        <v>2771</v>
      </c>
    </row>
    <row r="3160">
      <c r="A3160" s="80" t="s">
        <v>293</v>
      </c>
      <c r="B3160" s="81" t="str">
        <f>HYPERLINK("https://www.youtube.com/channel/UCXRcbXqjORdIvl63I7MtOLQ", "趁熱 Kerry 's kitchen")</f>
        <v>趁熱 Kerry 's kitchen</v>
      </c>
      <c r="C3160" s="80" t="s">
        <v>3543</v>
      </c>
      <c r="D3160" s="81" t="str">
        <f>HYPERLINK("https://youtube.com/watch?v=O1QdQ9xL2N0", "紅蔥頭豆豉雞煲/大牌檔 味道/堅惹味/下 飯菜/簡單 家做/新手 入門/廣東話/中字")</f>
        <v>紅蔥頭豆豉雞煲/大牌檔 味道/堅惹味/下 飯菜/簡單 家做/新手 入門/廣東話/中字</v>
      </c>
      <c r="E3160" s="82">
        <v>44512.0</v>
      </c>
      <c r="F3160" s="80">
        <v>572.0</v>
      </c>
      <c r="G3160" s="80" t="s">
        <v>63</v>
      </c>
      <c r="I3160" s="80" t="s">
        <v>63</v>
      </c>
      <c r="J3160" s="80">
        <v>907.0</v>
      </c>
      <c r="K3160" s="80">
        <v>0.971092077087794</v>
      </c>
      <c r="L3160" s="80" t="s">
        <v>64</v>
      </c>
    </row>
    <row r="3161">
      <c r="A3161" s="80" t="s">
        <v>1260</v>
      </c>
      <c r="B3161" s="81" t="str">
        <f>HYPERLINK("https://www.youtube.com/channel/UCh1k4i86BpiXEO3nzJIYynw", "The Wave")</f>
        <v>The Wave</v>
      </c>
      <c r="C3161" s="80" t="s">
        <v>3544</v>
      </c>
      <c r="D3161" s="81" t="str">
        <f>HYPERLINK("https://youtube.com/watch?v=O3eXdvnhI8o", "TheWave | Xperia 1售價 | 贈品送咩好")</f>
        <v>TheWave | Xperia 1售價 | 贈品送咩好</v>
      </c>
      <c r="E3161" s="82">
        <v>43564.0</v>
      </c>
      <c r="F3161" s="80">
        <v>137.0</v>
      </c>
      <c r="G3161" s="80" t="s">
        <v>63</v>
      </c>
      <c r="H3161" s="80" t="s">
        <v>63</v>
      </c>
      <c r="I3161" s="80" t="s">
        <v>63</v>
      </c>
      <c r="J3161" s="80">
        <v>487.0</v>
      </c>
      <c r="K3161" s="80">
        <v>0.789303079416531</v>
      </c>
      <c r="L3161" s="80" t="s">
        <v>120</v>
      </c>
    </row>
    <row r="3162">
      <c r="A3162" s="80" t="s">
        <v>127</v>
      </c>
      <c r="B3162" s="81" t="str">
        <f t="shared" ref="B3162:B3163" si="170">HYPERLINK("https://www.youtube.com/channel/UC97oYK3XMf9RLtkc0lO8C-Q", "健康旦 HiEggo")</f>
        <v>健康旦 HiEggo</v>
      </c>
      <c r="C3162" s="80" t="s">
        <v>3545</v>
      </c>
      <c r="D3162" s="81" t="str">
        <f>HYPERLINK("https://youtube.com/watch?v=O4f129T_23o", "陳秋霞疫情留家重拾琴譜 專注慈善工作事業 - 鄭丹瑞《健康旦》陳秋霞 Part 2 （CC中文字幕）")</f>
        <v>陳秋霞疫情留家重拾琴譜 專注慈善工作事業 - 鄭丹瑞《健康旦》陳秋霞 Part 2 （CC中文字幕）</v>
      </c>
      <c r="E3162" s="82">
        <v>43928.0</v>
      </c>
      <c r="F3162" s="80">
        <v>832.0</v>
      </c>
      <c r="G3162" s="80" t="s">
        <v>63</v>
      </c>
      <c r="I3162" s="80" t="s">
        <v>63</v>
      </c>
      <c r="J3162" s="80">
        <v>3063.0</v>
      </c>
      <c r="K3162" s="80">
        <v>0.993835171966255</v>
      </c>
      <c r="L3162" s="80" t="s">
        <v>64</v>
      </c>
    </row>
    <row r="3163">
      <c r="A3163" s="80" t="s">
        <v>127</v>
      </c>
      <c r="B3163" s="81" t="str">
        <f t="shared" si="170"/>
        <v>健康旦 HiEggo</v>
      </c>
      <c r="C3163" s="80" t="s">
        <v>3546</v>
      </c>
      <c r="D3163" s="81" t="str">
        <f>HYPERLINK("https://youtube.com/watch?v=O4wTEP1QrDg", "銀屑病改錯名 屬免疫系統問題不會傳染 體內症狀可併發脊椎炎 - 鄭丹瑞《健康旦》#張穎康 皮膚科專科醫生 #馮偉傑 香港銀屑病友會主席 #Gary Part 2 (CC中文字幕)")</f>
        <v>銀屑病改錯名 屬免疫系統問題不會傳染 體內症狀可併發脊椎炎 - 鄭丹瑞《健康旦》#張穎康 皮膚科專科醫生 #馮偉傑 香港銀屑病友會主席 #Gary Part 2 (CC中文字幕)</v>
      </c>
      <c r="E3163" s="82">
        <v>44100.0</v>
      </c>
      <c r="F3163" s="80">
        <v>695.0</v>
      </c>
      <c r="G3163" s="80" t="s">
        <v>63</v>
      </c>
      <c r="I3163" s="80" t="s">
        <v>63</v>
      </c>
      <c r="J3163" s="80">
        <v>2892.0</v>
      </c>
      <c r="K3163" s="80">
        <v>0.987030716723549</v>
      </c>
      <c r="L3163" s="80" t="s">
        <v>64</v>
      </c>
    </row>
    <row r="3164">
      <c r="A3164" s="80" t="s">
        <v>238</v>
      </c>
      <c r="B3164" s="81" t="str">
        <f>HYPERLINK("https://www.youtube.com/channel/UCSBkm4LwpgBmcA3MCtO8vqg", "Post76影音玩樂")</f>
        <v>Post76影音玩樂</v>
      </c>
      <c r="C3164" s="80" t="s">
        <v>3547</v>
      </c>
      <c r="D3164" s="81" t="str">
        <f>HYPERLINK("https://youtube.com/watch?v=O5UwL3nKfpo", "香港人值得擁有：Sony Just ear XJE-MH/HK 香港調音版訂製耳機（附設中文字幕）粵語 【耳機短評 | Post76.hk】")</f>
        <v>香港人值得擁有：Sony Just ear XJE-MH/HK 香港調音版訂製耳機（附設中文字幕）粵語 【耳機短評 | Post76.hk】</v>
      </c>
      <c r="E3164" s="82">
        <v>44320.0</v>
      </c>
      <c r="F3164" s="80">
        <v>311.0</v>
      </c>
      <c r="G3164" s="80" t="s">
        <v>63</v>
      </c>
      <c r="H3164" s="80" t="s">
        <v>63</v>
      </c>
      <c r="I3164" s="80" t="s">
        <v>63</v>
      </c>
      <c r="J3164" s="80">
        <v>1108.0</v>
      </c>
      <c r="K3164" s="80">
        <v>0.872525732383214</v>
      </c>
      <c r="L3164" s="80" t="s">
        <v>66</v>
      </c>
    </row>
    <row r="3165">
      <c r="A3165" s="80" t="s">
        <v>3134</v>
      </c>
      <c r="B3165" s="81" t="str">
        <f>HYPERLINK("https://www.youtube.com/channel/UC_vZsUCJrwYrbIRPHacAS_Q", "Coco哥")</f>
        <v>Coco哥</v>
      </c>
      <c r="C3165" s="80" t="s">
        <v>3548</v>
      </c>
      <c r="D3165" s="81" t="str">
        <f>HYPERLINK("https://youtube.com/watch?v=dBls19uWQvw", "DJI Spark 航拍第五回 | 0°C以下，大風雪放飛❄️。電池失效？！ | 長野遊樂團 Ep4")</f>
        <v>DJI Spark 航拍第五回 | 0°C以下，大風雪放飛❄️。電池失效？！ | 長野遊樂團 Ep4</v>
      </c>
      <c r="E3165" s="82">
        <v>43094.0</v>
      </c>
      <c r="F3165" s="80">
        <v>206.0</v>
      </c>
      <c r="G3165" s="80" t="s">
        <v>63</v>
      </c>
      <c r="I3165" s="80" t="s">
        <v>63</v>
      </c>
      <c r="J3165" s="80">
        <v>379.0</v>
      </c>
      <c r="K3165" s="80">
        <v>0.949874686716792</v>
      </c>
      <c r="L3165" s="80" t="s">
        <v>1013</v>
      </c>
    </row>
    <row r="3166">
      <c r="A3166" s="80" t="s">
        <v>3144</v>
      </c>
      <c r="B3166" s="81" t="str">
        <f>HYPERLINK("https://www.youtube.com/channel/UCZVmFDfn5WnixrHNf25MeJQ", "〈職人吹水〉@SingSingKitchen")</f>
        <v>〈職人吹水〉@SingSingKitchen</v>
      </c>
      <c r="C3166" s="80" t="s">
        <v>3549</v>
      </c>
      <c r="D3166" s="81" t="str">
        <f>HYPERLINK("https://youtube.com/watch?v=dDdGvugZkos", "〈 職人吹水〉 花膠浸 發 吹水篇How to prepare Fish Maw 中英文字幕")</f>
        <v>〈 職人吹水〉 花膠浸 發 吹水篇How to prepare Fish Maw 中英文字幕</v>
      </c>
      <c r="E3166" s="82">
        <v>43348.0</v>
      </c>
      <c r="F3166" s="80">
        <v>572.0</v>
      </c>
      <c r="G3166" s="80" t="s">
        <v>63</v>
      </c>
      <c r="I3166" s="80" t="s">
        <v>63</v>
      </c>
      <c r="J3166" s="80">
        <v>1438.0</v>
      </c>
      <c r="K3166" s="80">
        <v>0.99584487534626</v>
      </c>
      <c r="L3166" s="80" t="s">
        <v>64</v>
      </c>
    </row>
    <row r="3167">
      <c r="A3167" s="80" t="s">
        <v>3377</v>
      </c>
      <c r="B3167" s="81" t="str">
        <f>HYPERLINK("https://www.youtube.com/channel/UCDXW0EMCl6VoonWyvIWAT7Q", "Trip.com HK")</f>
        <v>Trip.com HK</v>
      </c>
      <c r="C3167" s="80" t="s">
        <v>3550</v>
      </c>
      <c r="D3167" s="81" t="str">
        <f>HYPERLINK("https://youtube.com/watch?v=dFRO5WKD2-4", "Trip.com 跟 Ming 仔遊澳門～感受澳門盛事式！")</f>
        <v>Trip.com 跟 Ming 仔遊澳門～感受澳門盛事式！</v>
      </c>
      <c r="E3167" s="82">
        <v>43440.0</v>
      </c>
      <c r="F3167" s="80">
        <v>520.0</v>
      </c>
      <c r="G3167" s="80" t="s">
        <v>63</v>
      </c>
      <c r="I3167" s="80" t="s">
        <v>63</v>
      </c>
      <c r="J3167" s="80">
        <v>1025.0</v>
      </c>
      <c r="K3167" s="80">
        <v>0.93351548269581</v>
      </c>
      <c r="L3167" s="80" t="s">
        <v>64</v>
      </c>
    </row>
    <row r="3168">
      <c r="A3168" s="80" t="s">
        <v>238</v>
      </c>
      <c r="B3168" s="81" t="str">
        <f>HYPERLINK("https://www.youtube.com/channel/UCSBkm4LwpgBmcA3MCtO8vqg", "Post76影音玩樂")</f>
        <v>Post76影音玩樂</v>
      </c>
      <c r="C3168" s="80" t="s">
        <v>3551</v>
      </c>
      <c r="D3168" s="81" t="str">
        <f>HYPERLINK("https://youtube.com/watch?v=OB5Hvb1uCes", "全方位 360° 靚聲 !? Sony SRS-RA5000 獨家支援 360 Reality Audio 技術無線藍牙喇叭 | 粵語 | 中文字幕【 Wifi喇叭評測 | Post76.hk】")</f>
        <v>全方位 360° 靚聲 !? Sony SRS-RA5000 獨家支援 360 Reality Audio 技術無線藍牙喇叭 | 粵語 | 中文字幕【 Wifi喇叭評測 | Post76.hk】</v>
      </c>
      <c r="E3168" s="82">
        <v>44224.0</v>
      </c>
      <c r="F3168" s="80">
        <v>778.0</v>
      </c>
      <c r="G3168" s="80" t="s">
        <v>63</v>
      </c>
      <c r="H3168" s="80" t="s">
        <v>63</v>
      </c>
      <c r="I3168" s="80" t="s">
        <v>63</v>
      </c>
      <c r="J3168" s="80">
        <v>2771.0</v>
      </c>
      <c r="K3168" s="80">
        <v>0.856568778979907</v>
      </c>
      <c r="L3168" s="80" t="s">
        <v>66</v>
      </c>
    </row>
    <row r="3169">
      <c r="A3169" s="80" t="s">
        <v>2829</v>
      </c>
      <c r="B3169" s="81" t="str">
        <f>HYPERLINK("https://www.youtube.com/channel/UC7GnES6AEQlDzaP04UqtyjA", "SOLID IDEA")</f>
        <v>SOLID IDEA</v>
      </c>
      <c r="C3169" s="80" t="s">
        <v>3552</v>
      </c>
      <c r="D3169" s="81" t="str">
        <f>HYPERLINK("https://youtube.com/watch?v=OCBRckXtFF8", "[#設計概念] #TheCampton #不裝修都有設計感 #型格摩登 | 室內設計 | 空間擺位 | SOLID IDEA | (CC中文字幕)")</f>
        <v>[#設計概念] #TheCampton #不裝修都有設計感 #型格摩登 | 室內設計 | 空間擺位 | SOLID IDEA | (CC中文字幕)</v>
      </c>
      <c r="E3169" s="82">
        <v>44400.0</v>
      </c>
      <c r="F3169" s="80">
        <v>188.0</v>
      </c>
      <c r="G3169" s="80" t="s">
        <v>63</v>
      </c>
      <c r="I3169" s="80" t="s">
        <v>63</v>
      </c>
      <c r="J3169" s="80">
        <v>579.0</v>
      </c>
      <c r="K3169" s="80">
        <v>0.869369369369369</v>
      </c>
      <c r="L3169" s="80" t="s">
        <v>64</v>
      </c>
    </row>
    <row r="3170">
      <c r="A3170" s="80" t="s">
        <v>3172</v>
      </c>
      <c r="B3170" s="81" t="str">
        <f>HYPERLINK("https://www.youtube.com/channel/UCahNh5t4wkQhSjS2-u0vSlA", "Henry Ng")</f>
        <v>Henry Ng</v>
      </c>
      <c r="C3170" s="80" t="s">
        <v>3553</v>
      </c>
      <c r="D3170" s="81" t="str">
        <f>HYPERLINK("https://youtube.com/watch?v=dJEH-PHnyWg", "不丹 Day 3 不丹美食 - 2017年1月《亨利自由行》")</f>
        <v>不丹 Day 3 不丹美食 - 2017年1月《亨利自由行》</v>
      </c>
      <c r="E3170" s="82">
        <v>42782.0</v>
      </c>
      <c r="F3170" s="80">
        <v>458.0</v>
      </c>
      <c r="G3170" s="80" t="s">
        <v>63</v>
      </c>
      <c r="I3170" s="80" t="s">
        <v>63</v>
      </c>
      <c r="J3170" s="80">
        <v>590.0</v>
      </c>
      <c r="K3170" s="80">
        <v>0.906298003072196</v>
      </c>
      <c r="L3170" s="80" t="s">
        <v>64</v>
      </c>
    </row>
    <row r="3171">
      <c r="A3171" s="80" t="s">
        <v>2374</v>
      </c>
      <c r="B3171" s="81" t="str">
        <f>HYPERLINK("https://www.youtube.com/channel/UC0lbhIloP3pcKJT07YosZlQ", "講豬hi speakchuhi")</f>
        <v>講豬hi speakchuhi</v>
      </c>
      <c r="C3171" s="80" t="s">
        <v>3554</v>
      </c>
      <c r="D3171" s="81" t="str">
        <f>HYPERLINK("https://youtube.com/watch?v=OHJcTbmu8IY", "夜遊緬甸仰光唐人街🇲🇲| 食蟲係咪好高蛋白質❗️ | 全部都係食食食❗️ | 日日都哈囉喂🎃| Vlog [粵語中文字幕][CC]")</f>
        <v>夜遊緬甸仰光唐人街🇲🇲| 食蟲係咪好高蛋白質❗️ | 全部都係食食食❗️ | 日日都哈囉喂🎃| Vlog [粵語中文字幕][CC]</v>
      </c>
      <c r="E3171" s="82">
        <v>43772.0</v>
      </c>
      <c r="F3171" s="80">
        <v>357.0</v>
      </c>
      <c r="G3171" s="80" t="s">
        <v>63</v>
      </c>
      <c r="I3171" s="80" t="s">
        <v>63</v>
      </c>
      <c r="J3171" s="80">
        <v>802.0</v>
      </c>
      <c r="K3171" s="80">
        <v>0.946871310507674</v>
      </c>
      <c r="L3171" s="80" t="s">
        <v>102</v>
      </c>
    </row>
    <row r="3172">
      <c r="A3172" s="80" t="s">
        <v>2862</v>
      </c>
      <c r="B3172" s="81" t="str">
        <f>HYPERLINK("https://www.youtube.com/channel/UCi6CqLjdoCN_ijofoCJFpCw", "Anton 安冬晴 ")</f>
        <v>Anton 安冬晴 </v>
      </c>
      <c r="C3172" s="80" t="s">
        <v>3555</v>
      </c>
      <c r="D3172" s="81" t="str">
        <f>HYPERLINK("https://youtube.com/watch?v=OH_ZnVgOpr0", "【 超簡單】點樣將IG Stories整到好似KOL咁？｜ IG story 排版APP分享 ( 中文字幕） | Instagram stories layout sharing")</f>
        <v>【 超簡單】點樣將IG Stories整到好似KOL咁？｜ IG story 排版APP分享 ( 中文字幕） | Instagram stories layout sharing</v>
      </c>
      <c r="E3172" s="82">
        <v>43311.0</v>
      </c>
      <c r="F3172" s="80">
        <v>210.0</v>
      </c>
      <c r="G3172" s="80" t="s">
        <v>63</v>
      </c>
      <c r="I3172" s="80" t="s">
        <v>63</v>
      </c>
      <c r="J3172" s="80">
        <v>665.0</v>
      </c>
      <c r="K3172" s="80">
        <v>0.642512077294686</v>
      </c>
      <c r="L3172" s="80" t="s">
        <v>64</v>
      </c>
    </row>
    <row r="3173">
      <c r="A3173" s="80" t="s">
        <v>127</v>
      </c>
      <c r="B3173" s="81" t="str">
        <f>HYPERLINK("https://www.youtube.com/channel/UC97oYK3XMf9RLtkc0lO8C-Q", "健康旦 HiEggo")</f>
        <v>健康旦 HiEggo</v>
      </c>
      <c r="C3173" s="80" t="s">
        <v>3556</v>
      </c>
      <c r="D3173" s="81" t="str">
        <f>HYPERLINK("https://youtube.com/watch?v=OHi4WsqVCDA", "麥玲玲分享玄學家養生之道 曾為家人祈福茹素 - 鄭丹瑞《健康旦》麥玲玲 2020 Part 2 (CC中文字幕)")</f>
        <v>麥玲玲分享玄學家養生之道 曾為家人祈福茹素 - 鄭丹瑞《健康旦》麥玲玲 2020 Part 2 (CC中文字幕)</v>
      </c>
      <c r="E3173" s="82">
        <v>43904.0</v>
      </c>
      <c r="F3173" s="80">
        <v>716.0</v>
      </c>
      <c r="G3173" s="80" t="s">
        <v>63</v>
      </c>
      <c r="I3173" s="80" t="s">
        <v>63</v>
      </c>
      <c r="J3173" s="80">
        <v>3082.0</v>
      </c>
      <c r="K3173" s="80">
        <v>0.990041760359781</v>
      </c>
      <c r="L3173" s="80" t="s">
        <v>102</v>
      </c>
    </row>
    <row r="3174">
      <c r="A3174" s="80" t="s">
        <v>3172</v>
      </c>
      <c r="B3174" s="81" t="str">
        <f>HYPERLINK("https://www.youtube.com/channel/UCahNh5t4wkQhSjS2-u0vSlA", "Henry Ng")</f>
        <v>Henry Ng</v>
      </c>
      <c r="C3174" s="80" t="s">
        <v>3557</v>
      </c>
      <c r="D3174" s="81" t="str">
        <f>HYPERLINK("https://youtube.com/watch?v=duRpZQU8s64", "不丹 Day 4 &amp; 5 虎巢 - 2017年1月《亨利自由行》")</f>
        <v>不丹 Day 4 &amp; 5 虎巢 - 2017年1月《亨利自由行》</v>
      </c>
      <c r="E3174" s="82">
        <v>42784.0</v>
      </c>
      <c r="F3174" s="80">
        <v>636.0</v>
      </c>
      <c r="G3174" s="80" t="s">
        <v>63</v>
      </c>
      <c r="I3174" s="80" t="s">
        <v>63</v>
      </c>
      <c r="J3174" s="80">
        <v>706.0</v>
      </c>
      <c r="K3174" s="80">
        <v>0.901660280970625</v>
      </c>
      <c r="L3174" s="80" t="s">
        <v>64</v>
      </c>
    </row>
    <row r="3175">
      <c r="A3175" s="80" t="s">
        <v>3142</v>
      </c>
      <c r="B3175" s="81" t="str">
        <f>HYPERLINK("https://www.youtube.com/channel/UCO4mttl54gQ0UW-DqyVrvLQ", "陳怡ChanYee")</f>
        <v>陳怡ChanYee</v>
      </c>
      <c r="C3175" s="80" t="s">
        <v>3558</v>
      </c>
      <c r="D3175" s="81" t="str">
        <f>HYPERLINK("https://youtube.com/watch?v=eE-Zae9A2qk", "阿媽語錄（結婚篇）｜陳怡 ChanYee")</f>
        <v>阿媽語錄（結婚篇）｜陳怡 ChanYee</v>
      </c>
      <c r="E3175" s="82">
        <v>43281.0</v>
      </c>
      <c r="F3175" s="80">
        <v>101.0</v>
      </c>
      <c r="G3175" s="80" t="s">
        <v>63</v>
      </c>
      <c r="I3175" s="80" t="s">
        <v>63</v>
      </c>
      <c r="J3175" s="80">
        <v>505.0</v>
      </c>
      <c r="K3175" s="80">
        <v>1.0</v>
      </c>
      <c r="L3175" s="80" t="s">
        <v>64</v>
      </c>
    </row>
    <row r="3176">
      <c r="A3176" s="80" t="s">
        <v>248</v>
      </c>
      <c r="B3176" s="81" t="str">
        <f>HYPERLINK("https://www.youtube.com/channel/UCUEJok-GiWaGlv5nIPwk-GQ", "Price.com.hk 香港格價網")</f>
        <v>Price.com.hk 香港格價網</v>
      </c>
      <c r="C3176" s="80" t="s">
        <v>3559</v>
      </c>
      <c r="D3176" s="81" t="str">
        <f>HYPERLINK("https://youtube.com/watch?v=ONRRJth4-S4", "Apple推出MagSafe充電器．Steam手提遊戲機隨時打PC大作 ．YouTube Shorts登場同TikTok打對台｜廣東話【Price Weekly #71 2021年7月 】")</f>
        <v>Apple推出MagSafe充電器．Steam手提遊戲機隨時打PC大作 ．YouTube Shorts登場同TikTok打對台｜廣東話【Price Weekly #71 2021年7月 】</v>
      </c>
      <c r="E3176" s="82">
        <v>44394.0</v>
      </c>
      <c r="F3176" s="80">
        <v>536.0</v>
      </c>
      <c r="G3176" s="80" t="s">
        <v>63</v>
      </c>
      <c r="I3176" s="80" t="s">
        <v>63</v>
      </c>
      <c r="J3176" s="80">
        <v>1817.0</v>
      </c>
      <c r="K3176" s="80">
        <v>0.710042985541227</v>
      </c>
      <c r="L3176" s="80" t="s">
        <v>64</v>
      </c>
    </row>
    <row r="3177">
      <c r="A3177" s="80" t="s">
        <v>98</v>
      </c>
      <c r="B3177" s="81" t="str">
        <f>HYPERLINK("https://www.youtube.com/channel/UCrquuQB6v1Ued2xyRKZreGQ", "Stephen Leung ")</f>
        <v>Stephen Leung </v>
      </c>
      <c r="C3177" s="80" t="s">
        <v>3560</v>
      </c>
      <c r="D3177" s="81" t="str">
        <f>HYPERLINK("https://youtube.com/watch?v=ONjOxOZAoic", "【早午自助餐 Sunday Brunch】香港 自助餐 午餐 3小時點心任食 Duddell's 都爹利會館 中西合璧 自助餐 精彩雞尾酒 點心 自助餐 | 吃喝玩樂  果籽")</f>
        <v>【早午自助餐 Sunday Brunch】香港 自助餐 午餐 3小時點心任食 Duddell's 都爹利會館 中西合璧 自助餐 精彩雞尾酒 點心 自助餐 | 吃喝玩樂  果籽</v>
      </c>
      <c r="E3177" s="82">
        <v>44367.0</v>
      </c>
      <c r="F3177" s="80">
        <v>581.0</v>
      </c>
      <c r="G3177" s="80" t="s">
        <v>63</v>
      </c>
      <c r="I3177" s="80" t="s">
        <v>63</v>
      </c>
      <c r="J3177" s="80">
        <v>1104.0</v>
      </c>
      <c r="K3177" s="80">
        <v>0.949269131556319</v>
      </c>
      <c r="L3177" s="80" t="s">
        <v>521</v>
      </c>
    </row>
    <row r="3178">
      <c r="A3178" s="80" t="s">
        <v>3158</v>
      </c>
      <c r="B3178" s="81" t="str">
        <f>HYPERLINK("https://www.youtube.com/channel/UCldJqbxFCPolSR6V9lszWDA", "魚波 Yu Ball")</f>
        <v>魚波 Yu Ball</v>
      </c>
      <c r="C3178" s="80" t="s">
        <v>3561</v>
      </c>
      <c r="D3178" s="81" t="str">
        <f>HYPERLINK("https://youtube.com/watch?v=ePuYB536ARw", "愉快的早上😌一部的士，差D令我變成孝順仔🤬🤬(CC字幕)【魚波vlog#29】")</f>
        <v>愉快的早上😌一部的士，差D令我變成孝順仔🤬🤬(CC字幕)【魚波vlog#29】</v>
      </c>
      <c r="E3178" s="82">
        <v>43962.0</v>
      </c>
      <c r="F3178" s="80">
        <v>859.0</v>
      </c>
      <c r="G3178" s="80" t="s">
        <v>63</v>
      </c>
      <c r="I3178" s="80" t="s">
        <v>63</v>
      </c>
      <c r="J3178" s="80">
        <v>2304.0</v>
      </c>
      <c r="K3178" s="80">
        <v>0.927536231884058</v>
      </c>
      <c r="L3178" s="80" t="s">
        <v>521</v>
      </c>
    </row>
    <row r="3179">
      <c r="A3179" s="80" t="s">
        <v>3139</v>
      </c>
      <c r="B3179" s="81" t="str">
        <f>HYPERLINK("https://www.youtube.com/channel/UCThO2xnH7XMg6plE8OgJm_w", "choyuen草原")</f>
        <v>choyuen草原</v>
      </c>
      <c r="C3179" s="80" t="s">
        <v>3562</v>
      </c>
      <c r="D3179" s="81" t="str">
        <f>HYPERLINK("https://youtube.com/watch?v=eQ1hjYvdxlI", "黑警散仔冇腦: 外國勢力都黑暗但高手過港共廢柴 can’t find the right word for HK dark Little Police 【逃犯條例 ExtraditionHK】")</f>
        <v>黑警散仔冇腦: 外國勢力都黑暗但高手過港共廢柴 can’t find the right word for HK dark Little Police 【逃犯條例 ExtraditionHK】</v>
      </c>
      <c r="E3179" s="82">
        <v>43630.0</v>
      </c>
      <c r="F3179" s="80">
        <v>293.0</v>
      </c>
      <c r="G3179" s="80" t="s">
        <v>63</v>
      </c>
      <c r="I3179" s="80" t="s">
        <v>63</v>
      </c>
      <c r="J3179" s="80">
        <v>563.0</v>
      </c>
      <c r="K3179" s="80">
        <v>0.855623100303951</v>
      </c>
      <c r="L3179" s="80" t="s">
        <v>64</v>
      </c>
    </row>
    <row r="3180">
      <c r="A3180" s="80" t="s">
        <v>124</v>
      </c>
      <c r="B3180" s="81" t="str">
        <f>HYPERLINK("https://www.youtube.com/channel/UCg0vuSE0fBF_NvodyYhMcWg", "Wallace Studio HK")</f>
        <v>Wallace Studio HK</v>
      </c>
      <c r="C3180" s="80" t="s">
        <v>3563</v>
      </c>
      <c r="D3180" s="81" t="str">
        <f>HYPERLINK("https://youtube.com/watch?v=OOiZeaVz38c", "[選購指南] Macbook 2020 選購指南 Part 2")</f>
        <v>[選購指南] Macbook 2020 選購指南 Part 2</v>
      </c>
      <c r="E3180" s="82">
        <v>44088.0</v>
      </c>
      <c r="F3180" s="80">
        <v>310.0</v>
      </c>
      <c r="G3180" s="80" t="s">
        <v>63</v>
      </c>
      <c r="H3180" s="80" t="s">
        <v>63</v>
      </c>
      <c r="I3180" s="80" t="s">
        <v>63</v>
      </c>
      <c r="J3180" s="80">
        <v>957.0</v>
      </c>
      <c r="K3180" s="80">
        <v>0.545921277809469</v>
      </c>
      <c r="L3180" s="80" t="s">
        <v>120</v>
      </c>
    </row>
    <row r="3181">
      <c r="A3181" s="80" t="s">
        <v>2862</v>
      </c>
      <c r="B3181" s="81" t="str">
        <f>HYPERLINK("https://www.youtube.com/channel/UCi6CqLjdoCN_ijofoCJFpCw", "Anton 安冬晴 ")</f>
        <v>Anton 安冬晴 </v>
      </c>
      <c r="C3181" s="80" t="s">
        <v>3564</v>
      </c>
      <c r="D3181" s="81" t="str">
        <f>HYPERLINK("https://youtube.com/watch?v=ORNPSg4igtM", "唔想同朋友去完旅行後反面，可以點做？（ CC字幕 ） | ANTON x CHERRY")</f>
        <v>唔想同朋友去完旅行後反面，可以點做？（ CC字幕 ） | ANTON x CHERRY</v>
      </c>
      <c r="E3181" s="82">
        <v>43388.0</v>
      </c>
      <c r="F3181" s="80">
        <v>469.0</v>
      </c>
      <c r="G3181" s="80" t="s">
        <v>63</v>
      </c>
      <c r="I3181" s="80" t="s">
        <v>63</v>
      </c>
      <c r="J3181" s="80">
        <v>683.0</v>
      </c>
      <c r="K3181" s="80">
        <v>0.805424528301886</v>
      </c>
      <c r="L3181" s="80" t="s">
        <v>64</v>
      </c>
    </row>
    <row r="3182">
      <c r="A3182" s="80" t="s">
        <v>2041</v>
      </c>
      <c r="B3182" s="81" t="str">
        <f>HYPERLINK("https://www.youtube.com/channel/UCO6pB-ZN4XJ6MVkibvuEe0A", "SingSingTracker 星昇財經指標")</f>
        <v>SingSingTracker 星昇財經指標</v>
      </c>
      <c r="C3182" s="80" t="s">
        <v>3565</v>
      </c>
      <c r="D3182" s="81" t="str">
        <f>HYPERLINK("https://youtube.com/watch?v=OS5b4eVE8kQ", "ETF界之神❓[ETF三部曲-EP1]【點CC中文字幕】#FWCChannel #量子基金創辨人 #量子基金 #ETF")</f>
        <v>ETF界之神❓[ETF三部曲-EP1]【點CC中文字幕】#FWCChannel #量子基金創辨人 #量子基金 #ETF</v>
      </c>
      <c r="E3182" s="82">
        <v>44302.0</v>
      </c>
      <c r="F3182" s="80">
        <v>437.0</v>
      </c>
      <c r="G3182" s="80" t="s">
        <v>63</v>
      </c>
      <c r="I3182" s="80" t="s">
        <v>63</v>
      </c>
      <c r="J3182" s="80">
        <v>1314.0</v>
      </c>
      <c r="K3182" s="80">
        <v>0.884848484848484</v>
      </c>
      <c r="L3182" s="80" t="s">
        <v>64</v>
      </c>
    </row>
    <row r="3183">
      <c r="A3183" s="80" t="s">
        <v>127</v>
      </c>
      <c r="B3183" s="81" t="str">
        <f>HYPERLINK("https://www.youtube.com/channel/UC97oYK3XMf9RLtkc0lO8C-Q", "健康旦 HiEggo")</f>
        <v>健康旦 HiEggo</v>
      </c>
      <c r="C3183" s="80" t="s">
        <v>3566</v>
      </c>
      <c r="D3183" s="81" t="str">
        <f>HYPERLINK("https://youtube.com/watch?v=OS8ssU3VUAA", "長者退休做義工發放正能量 傳承英國撒瑪利亞會約章 無條件信任求助者 - 鄭丹瑞《健康旦》#撒瑪利亞會 Part 3 (CC中文字幕)")</f>
        <v>長者退休做義工發放正能量 傳承英國撒瑪利亞會約章 無條件信任求助者 - 鄭丹瑞《健康旦》#撒瑪利亞會 Part 3 (CC中文字幕)</v>
      </c>
      <c r="E3183" s="82">
        <v>44061.0</v>
      </c>
      <c r="F3183" s="80">
        <v>603.0</v>
      </c>
      <c r="G3183" s="80" t="s">
        <v>63</v>
      </c>
      <c r="I3183" s="80" t="s">
        <v>63</v>
      </c>
      <c r="J3183" s="80">
        <v>2359.0</v>
      </c>
      <c r="K3183" s="80">
        <v>0.988683989941324</v>
      </c>
      <c r="L3183" s="80" t="s">
        <v>102</v>
      </c>
    </row>
    <row r="3184">
      <c r="A3184" s="80" t="s">
        <v>1260</v>
      </c>
      <c r="B3184" s="81" t="str">
        <f>HYPERLINK("https://www.youtube.com/channel/UCh1k4i86BpiXEO3nzJIYynw", "The Wave")</f>
        <v>The Wave</v>
      </c>
      <c r="C3184" s="80" t="s">
        <v>3567</v>
      </c>
      <c r="D3184" s="81" t="str">
        <f>HYPERLINK("https://youtube.com/watch?v=OTLMVIj3Yts", "TheWave | a7III SD Card讀寫測試 | Sony Tough SD Card 300MB/s")</f>
        <v>TheWave | a7III SD Card讀寫測試 | Sony Tough SD Card 300MB/s</v>
      </c>
      <c r="E3184" s="82">
        <v>43578.0</v>
      </c>
      <c r="F3184" s="80">
        <v>364.0</v>
      </c>
      <c r="G3184" s="80" t="s">
        <v>63</v>
      </c>
      <c r="H3184" s="80" t="s">
        <v>63</v>
      </c>
      <c r="I3184" s="80" t="s">
        <v>63</v>
      </c>
      <c r="J3184" s="80">
        <v>759.0</v>
      </c>
      <c r="K3184" s="80">
        <v>0.692921236291126</v>
      </c>
      <c r="L3184" s="80" t="s">
        <v>120</v>
      </c>
    </row>
    <row r="3185">
      <c r="A3185" s="80" t="s">
        <v>3568</v>
      </c>
      <c r="B3185" s="81" t="str">
        <f>HYPERLINK("https://www.youtube.com/channel/UCjn1kWmv_eC0Fzkx5gmjnVA", "Snow E")</f>
        <v>Snow E</v>
      </c>
      <c r="C3185" s="80" t="s">
        <v>3569</v>
      </c>
      <c r="D3185" s="81" t="str">
        <f>HYPERLINK("https://youtube.com/watch?v=OU9AnkVOapg", "母親節燒錢系列🔥默契二選一🔥每題港幣1萬🔥10萬家用任佢攞🔥 (ft. 馬百良) [CC字幕]")</f>
        <v>母親節燒錢系列🔥默契二選一🔥每題港幣1萬🔥10萬家用任佢攞🔥 (ft. 馬百良) [CC字幕]</v>
      </c>
      <c r="E3185" s="82">
        <v>44320.0</v>
      </c>
      <c r="F3185" s="80">
        <v>523.0</v>
      </c>
      <c r="G3185" s="80" t="s">
        <v>63</v>
      </c>
      <c r="I3185" s="80" t="s">
        <v>63</v>
      </c>
      <c r="J3185" s="80">
        <v>1176.0</v>
      </c>
      <c r="K3185" s="80">
        <v>0.918032786885245</v>
      </c>
      <c r="L3185" s="80" t="s">
        <v>64</v>
      </c>
    </row>
    <row r="3186">
      <c r="A3186" s="80" t="s">
        <v>3570</v>
      </c>
      <c r="B3186" s="81" t="str">
        <f>HYPERLINK("https://www.youtube.com/channel/UC3B69fgm6HOS1YUxjgjxe1g", "RONALD CHAN")</f>
        <v>RONALD CHAN</v>
      </c>
      <c r="C3186" s="80" t="s">
        <v>3571</v>
      </c>
      <c r="D3186" s="81" t="str">
        <f>HYPERLINK("https://youtube.com/watch?v=OUkdrQOocRg", "【野味disco🦠】 野狼Disco 武漢佬版|改歌詞 Cover ｜(CC粵語字幕)")</f>
        <v>【野味disco🦠】 野狼Disco 武漢佬版|改歌詞 Cover ｜(CC粵語字幕)</v>
      </c>
      <c r="E3186" s="82">
        <v>43860.0</v>
      </c>
      <c r="F3186" s="80">
        <v>222.0</v>
      </c>
      <c r="G3186" s="80" t="s">
        <v>63</v>
      </c>
      <c r="I3186" s="80" t="s">
        <v>63</v>
      </c>
      <c r="J3186" s="80">
        <v>710.0</v>
      </c>
      <c r="K3186" s="80">
        <v>0.987482614742698</v>
      </c>
      <c r="L3186" s="80" t="s">
        <v>64</v>
      </c>
    </row>
    <row r="3187">
      <c r="A3187" s="80" t="s">
        <v>2800</v>
      </c>
      <c r="B3187" s="81" t="str">
        <f>HYPERLINK("https://www.youtube.com/channel/UCMqrlsr-AECPc6_3oDr8m9w", "Unicorn 獸哥")</f>
        <v>Unicorn 獸哥</v>
      </c>
      <c r="C3187" s="80" t="s">
        <v>3572</v>
      </c>
      <c r="D3187" s="81" t="str">
        <f>HYPERLINK("https://youtube.com/watch?v=OWhNyurO008", "來緊DC有乜搞作？Dc fandome懶人包")</f>
        <v>來緊DC有乜搞作？Dc fandome懶人包</v>
      </c>
      <c r="E3187" s="82">
        <v>44492.0</v>
      </c>
      <c r="F3187" s="80">
        <v>443.0</v>
      </c>
      <c r="G3187" s="80" t="s">
        <v>63</v>
      </c>
      <c r="I3187" s="80" t="s">
        <v>63</v>
      </c>
      <c r="J3187" s="80">
        <v>1700.0</v>
      </c>
      <c r="K3187" s="80">
        <v>0.637659414853713</v>
      </c>
      <c r="L3187" s="80" t="s">
        <v>64</v>
      </c>
    </row>
    <row r="3188">
      <c r="A3188" s="80" t="s">
        <v>3139</v>
      </c>
      <c r="B3188" s="81" t="str">
        <f>HYPERLINK("https://www.youtube.com/channel/UCThO2xnH7XMg6plE8OgJm_w", "choyuen草原")</f>
        <v>choyuen草原</v>
      </c>
      <c r="C3188" s="80" t="s">
        <v>3573</v>
      </c>
      <c r="D3188" s="81" t="str">
        <f>HYPERLINK("https://youtube.com/watch?v=fJWLS8Swuck", "共濟會英國總舵同我一樣咁低調 Freemasons' hall (UGLE) vs Me")</f>
        <v>共濟會英國總舵同我一樣咁低調 Freemasons' hall (UGLE) vs Me</v>
      </c>
      <c r="E3188" s="82">
        <v>44383.0</v>
      </c>
      <c r="F3188" s="80">
        <v>315.0</v>
      </c>
      <c r="G3188" s="80" t="s">
        <v>63</v>
      </c>
      <c r="I3188" s="80" t="s">
        <v>63</v>
      </c>
      <c r="J3188" s="80">
        <v>592.0</v>
      </c>
      <c r="K3188" s="80">
        <v>0.856729377713458</v>
      </c>
      <c r="L3188" s="80" t="s">
        <v>64</v>
      </c>
    </row>
    <row r="3189">
      <c r="A3189" s="80" t="s">
        <v>3574</v>
      </c>
      <c r="B3189" s="81" t="str">
        <f>HYPERLINK("https://www.youtube.com/channel/UCp9bdEcTMtHShgQW9OFUU4A", "禧爸禧b")</f>
        <v>禧爸禧b</v>
      </c>
      <c r="C3189" s="80" t="s">
        <v>3575</v>
      </c>
      <c r="D3189" s="81" t="str">
        <f>HYPERLINK("https://youtube.com/watch?v=fLNDdRAp5J8", "菲律賓-最快樂國家之一,陽光與海灘｜遊玩百島國家公園,試食鴨仔蛋真係有鴨仔,玩埋航拍")</f>
        <v>菲律賓-最快樂國家之一,陽光與海灘｜遊玩百島國家公園,試食鴨仔蛋真係有鴨仔,玩埋航拍</v>
      </c>
      <c r="E3189" s="82">
        <v>43219.0</v>
      </c>
      <c r="F3189" s="80">
        <v>305.0</v>
      </c>
      <c r="G3189" s="80" t="s">
        <v>63</v>
      </c>
      <c r="I3189" s="80" t="s">
        <v>63</v>
      </c>
      <c r="J3189" s="80">
        <v>957.0</v>
      </c>
      <c r="K3189" s="80">
        <v>0.929126213592233</v>
      </c>
      <c r="L3189" s="80" t="s">
        <v>64</v>
      </c>
    </row>
    <row r="3190">
      <c r="A3190" s="80" t="s">
        <v>3151</v>
      </c>
      <c r="B3190" s="81" t="str">
        <f>HYPERLINK("https://www.youtube.com/channel/UCARY68c_VZHHXPsEDg9Bptw", "耀佳金融集團Yaw Kai Financial Group")</f>
        <v>耀佳金融集團Yaw Kai Financial Group</v>
      </c>
      <c r="C3190" s="80" t="s">
        <v>3576</v>
      </c>
      <c r="D3190" s="81" t="str">
        <f>HYPERLINK("https://youtube.com/watch?v=fYNZ4wXOPTw", "【新股點評】嗶哩嗶哩 (bilibili) B站傳籌備來港第二上市")</f>
        <v>【新股點評】嗶哩嗶哩 (bilibili) B站傳籌備來港第二上市</v>
      </c>
      <c r="E3190" s="82">
        <v>44022.0</v>
      </c>
      <c r="F3190" s="80">
        <v>882.0</v>
      </c>
      <c r="G3190" s="80" t="s">
        <v>63</v>
      </c>
      <c r="I3190" s="80" t="s">
        <v>63</v>
      </c>
      <c r="J3190" s="80">
        <v>2361.0</v>
      </c>
      <c r="K3190" s="80">
        <v>0.946672012830793</v>
      </c>
      <c r="L3190" s="80" t="s">
        <v>64</v>
      </c>
    </row>
    <row r="3191">
      <c r="A3191" s="80" t="s">
        <v>127</v>
      </c>
      <c r="B3191" s="81" t="str">
        <f>HYPERLINK("https://www.youtube.com/channel/UC97oYK3XMf9RLtkc0lO8C-Q", "健康旦 HiEggo")</f>
        <v>健康旦 HiEggo</v>
      </c>
      <c r="C3191" s="80" t="s">
        <v>3577</v>
      </c>
      <c r="D3191" s="81" t="str">
        <f>HYPERLINK("https://youtube.com/watch?v=OYSTlOj6Jlo", "足不出戶解悶神器 阿旦VR打機初體驗 - 鄭丹瑞 旦Vlog (CC中文字幕)")</f>
        <v>足不出戶解悶神器 阿旦VR打機初體驗 - 鄭丹瑞 旦Vlog (CC中文字幕)</v>
      </c>
      <c r="E3191" s="82">
        <v>43905.0</v>
      </c>
      <c r="F3191" s="80">
        <v>643.0</v>
      </c>
      <c r="G3191" s="80" t="s">
        <v>63</v>
      </c>
      <c r="I3191" s="80" t="s">
        <v>63</v>
      </c>
      <c r="J3191" s="80">
        <v>1926.0</v>
      </c>
      <c r="K3191" s="80">
        <v>0.926406926406926</v>
      </c>
      <c r="L3191" s="80" t="s">
        <v>102</v>
      </c>
    </row>
    <row r="3192">
      <c r="A3192" s="80" t="s">
        <v>108</v>
      </c>
      <c r="B3192" s="81" t="str">
        <f>HYPERLINK("https://www.youtube.com/channel/UCZL6QN6Xs-ZrKY3y6Pv6Emg", "廢青 - 日賺3000")</f>
        <v>廢青 - 日賺3000</v>
      </c>
      <c r="C3192" s="80" t="s">
        <v>3578</v>
      </c>
      <c r="D3192" s="81" t="str">
        <f>HYPERLINK("https://youtube.com/watch?v=OZF-fqZK_bc", "【廢青財務自由】廢青增加被動收入💵💵😍3個方法❓ (2020)")</f>
        <v>【廢青財務自由】廢青增加被動收入💵💵😍3個方法❓ (2020)</v>
      </c>
      <c r="E3192" s="82">
        <v>43589.0</v>
      </c>
      <c r="F3192" s="80">
        <v>444.0</v>
      </c>
      <c r="G3192" s="80" t="s">
        <v>63</v>
      </c>
      <c r="I3192" s="80" t="s">
        <v>63</v>
      </c>
      <c r="J3192" s="80">
        <v>1854.0</v>
      </c>
      <c r="K3192" s="80">
        <v>0.791631084543125</v>
      </c>
      <c r="L3192" s="80" t="s">
        <v>64</v>
      </c>
    </row>
    <row r="3193">
      <c r="A3193" s="80" t="s">
        <v>288</v>
      </c>
      <c r="B3193" s="81" t="str">
        <f>HYPERLINK("https://www.youtube.com/channel/UCDWOYEhVnyD4IHZGVAMLc0g", "Brendan 毛爸")</f>
        <v>Brendan 毛爸</v>
      </c>
      <c r="C3193" s="80" t="s">
        <v>3579</v>
      </c>
      <c r="D3193" s="81" t="str">
        <f>HYPERLINK("https://youtube.com/watch?v=O_SW0IgJeWs", "Vip3! 66級主公! 被霸服輕鬆過過關斬將18關！[新三國志手機版- EP38]")</f>
        <v>Vip3! 66級主公! 被霸服輕鬆過過關斬將18關！[新三國志手機版- EP38]</v>
      </c>
      <c r="E3193" s="82">
        <v>43989.0</v>
      </c>
      <c r="F3193" s="80">
        <v>259.0</v>
      </c>
      <c r="G3193" s="80" t="s">
        <v>63</v>
      </c>
      <c r="I3193" s="80" t="s">
        <v>63</v>
      </c>
      <c r="J3193" s="80">
        <v>782.0</v>
      </c>
      <c r="K3193" s="80">
        <v>0.978723404255319</v>
      </c>
      <c r="L3193" s="80" t="s">
        <v>64</v>
      </c>
    </row>
    <row r="3194">
      <c r="A3194" s="80" t="s">
        <v>1260</v>
      </c>
      <c r="B3194" s="81" t="str">
        <f>HYPERLINK("https://www.youtube.com/channel/UCh1k4i86BpiXEO3nzJIYynw", "The Wave")</f>
        <v>The Wave</v>
      </c>
      <c r="C3194" s="80" t="s">
        <v>3580</v>
      </c>
      <c r="D3194" s="81" t="str">
        <f>HYPERLINK("https://youtube.com/watch?v=Oa_QLhqckxo", "TheWave | Xperia 5  藍光電影 電力測試 4K HDR &amp; 1080P")</f>
        <v>TheWave | Xperia 5  藍光電影 電力測試 4K HDR &amp; 1080P</v>
      </c>
      <c r="E3194" s="82">
        <v>43750.0</v>
      </c>
      <c r="F3194" s="80">
        <v>132.0</v>
      </c>
      <c r="G3194" s="80" t="s">
        <v>63</v>
      </c>
      <c r="H3194" s="80" t="s">
        <v>63</v>
      </c>
      <c r="I3194" s="80" t="s">
        <v>63</v>
      </c>
      <c r="J3194" s="80">
        <v>265.0</v>
      </c>
      <c r="K3194" s="80">
        <v>0.720108695652174</v>
      </c>
      <c r="L3194" s="80" t="s">
        <v>1634</v>
      </c>
    </row>
    <row r="3195">
      <c r="A3195" s="80" t="s">
        <v>1987</v>
      </c>
      <c r="B3195" s="81" t="str">
        <f t="shared" ref="B3195:B3196" si="171">HYPERLINK("https://www.youtube.com/channel/UCgGUmm04nVyj-ftaCxVcyBg", "MangoHK大馬獅家")</f>
        <v>MangoHK大馬獅家</v>
      </c>
      <c r="C3195" s="80" t="s">
        <v>3581</v>
      </c>
      <c r="D3195" s="81" t="str">
        <f>HYPERLINK("https://youtube.com/watch?v=ObxsNLbShFA", "【8】🥟手包小餃子, 🍯如何包出家鄕味? {中英字幕}  Subtitled | [DIY]Handmade dumpling | Malaysia Vlog | mm2h")</f>
        <v>【8】🥟手包小餃子, 🍯如何包出家鄕味? {中英字幕}  Subtitled | [DIY]Handmade dumpling | Malaysia Vlog | mm2h</v>
      </c>
      <c r="E3195" s="82">
        <v>44447.0</v>
      </c>
      <c r="F3195" s="80">
        <v>1099.0</v>
      </c>
      <c r="G3195" s="80" t="s">
        <v>63</v>
      </c>
      <c r="I3195" s="80" t="s">
        <v>63</v>
      </c>
      <c r="J3195" s="80">
        <v>1456.0</v>
      </c>
      <c r="K3195" s="80">
        <v>0.982456140350877</v>
      </c>
      <c r="L3195" s="80" t="s">
        <v>896</v>
      </c>
    </row>
    <row r="3196">
      <c r="A3196" s="80" t="s">
        <v>1987</v>
      </c>
      <c r="B3196" s="81" t="str">
        <f t="shared" si="171"/>
        <v>MangoHK大馬獅家</v>
      </c>
      <c r="C3196" s="80" t="s">
        <v>3582</v>
      </c>
      <c r="D3196" s="81" t="str">
        <f>HYPERLINK("https://youtube.com/watch?v=OdgW65j_uhY", "【6】🍚臘腸排骨飯, 🎯一個飯煲就做到？{中英字幕}  Subtitled | [DIY]Pork Ribs Claypot Rice | Malaysia Vlog | mm2h")</f>
        <v>【6】🍚臘腸排骨飯, 🎯一個飯煲就做到？{中英字幕}  Subtitled | [DIY]Pork Ribs Claypot Rice | Malaysia Vlog | mm2h</v>
      </c>
      <c r="E3196" s="82">
        <v>44446.0</v>
      </c>
      <c r="F3196" s="80">
        <v>541.0</v>
      </c>
      <c r="G3196" s="80" t="s">
        <v>63</v>
      </c>
      <c r="I3196" s="80" t="s">
        <v>63</v>
      </c>
      <c r="J3196" s="80">
        <v>1712.0</v>
      </c>
      <c r="K3196" s="80">
        <v>0.982778415614236</v>
      </c>
      <c r="L3196" s="80" t="s">
        <v>896</v>
      </c>
    </row>
    <row r="3197">
      <c r="A3197" s="80" t="s">
        <v>2041</v>
      </c>
      <c r="B3197" s="81" t="str">
        <f>HYPERLINK("https://www.youtube.com/channel/UCO6pB-ZN4XJ6MVkibvuEe0A", "SingSingTracker 星昇財經指標")</f>
        <v>SingSingTracker 星昇財經指標</v>
      </c>
      <c r="C3197" s="80" t="s">
        <v>3583</v>
      </c>
      <c r="D3197" s="81" t="str">
        <f>HYPERLINK("https://youtube.com/watch?v=OeGmObUleBM", "【Nvidia Q3 再創新高 升過龍？ 回調在即？】NVDA Q3 財報分析2021  | Nvidia omniverse 元宇宙｜晶片股｜NVDA Q4預期 #元宇宙股 #潛力晶片股")</f>
        <v>【Nvidia Q3 再創新高 升過龍？ 回調在即？】NVDA Q3 財報分析2021  | Nvidia omniverse 元宇宙｜晶片股｜NVDA Q4預期 #元宇宙股 #潛力晶片股</v>
      </c>
      <c r="E3197" s="82">
        <v>44525.0</v>
      </c>
      <c r="F3197" s="80">
        <v>555.0</v>
      </c>
      <c r="G3197" s="80" t="s">
        <v>63</v>
      </c>
      <c r="I3197" s="80" t="s">
        <v>63</v>
      </c>
      <c r="J3197" s="80">
        <v>1754.0</v>
      </c>
      <c r="K3197" s="80">
        <v>0.770650263620386</v>
      </c>
      <c r="L3197" s="80" t="s">
        <v>64</v>
      </c>
    </row>
    <row r="3198">
      <c r="A3198" s="80" t="s">
        <v>248</v>
      </c>
      <c r="B3198" s="81" t="str">
        <f>HYPERLINK("https://www.youtube.com/channel/UCUEJok-GiWaGlv5nIPwk-GQ", "Price.com.hk 香港格價網")</f>
        <v>Price.com.hk 香港格價網</v>
      </c>
      <c r="C3198" s="80" t="s">
        <v>3584</v>
      </c>
      <c r="D3198" s="81" t="str">
        <f>HYPERLINK("https://youtube.com/watch?v=OfUdmQ8fH_I", "Apple發佈會懶人包﹗萬四蚊1TB史上最貴iPhone｜iPhone 13系列｜全新iPad mini｜Apple Watch S7 ｜功能、售價、推出日期速報【Price.com.hk產品情報】")</f>
        <v>Apple發佈會懶人包﹗萬四蚊1TB史上最貴iPhone｜iPhone 13系列｜全新iPad mini｜Apple Watch S7 ｜功能、售價、推出日期速報【Price.com.hk產品情報】</v>
      </c>
      <c r="E3198" s="82">
        <v>44453.0</v>
      </c>
      <c r="F3198" s="80">
        <v>442.0</v>
      </c>
      <c r="G3198" s="80" t="s">
        <v>63</v>
      </c>
      <c r="I3198" s="80" t="s">
        <v>63</v>
      </c>
      <c r="J3198" s="80">
        <v>1287.0</v>
      </c>
      <c r="K3198" s="80">
        <v>0.696428571428571</v>
      </c>
      <c r="L3198" s="80" t="s">
        <v>64</v>
      </c>
    </row>
    <row r="3199">
      <c r="A3199" s="80" t="s">
        <v>127</v>
      </c>
      <c r="B3199" s="81" t="str">
        <f>HYPERLINK("https://www.youtube.com/channel/UC97oYK3XMf9RLtkc0lO8C-Q", "健康旦 HiEggo")</f>
        <v>健康旦 HiEggo</v>
      </c>
      <c r="C3199" s="80" t="s">
        <v>3585</v>
      </c>
      <c r="D3199" s="81" t="str">
        <f>HYPERLINK("https://youtube.com/watch?v=Oil5XZaEe5w", "旦哥網店Eggoland正式面世 周秀娜健康蜜糖食上癮 雲集好友自家研發健康產品 - 鄭丹瑞《健康旦》#eggoland (CC中文字幕)")</f>
        <v>旦哥網店Eggoland正式面世 周秀娜健康蜜糖食上癮 雲集好友自家研發健康產品 - 鄭丹瑞《健康旦》#eggoland (CC中文字幕)</v>
      </c>
      <c r="E3199" s="82">
        <v>44098.0</v>
      </c>
      <c r="F3199" s="80">
        <v>536.0</v>
      </c>
      <c r="G3199" s="80" t="s">
        <v>63</v>
      </c>
      <c r="I3199" s="80" t="s">
        <v>63</v>
      </c>
      <c r="J3199" s="80">
        <v>1399.0</v>
      </c>
      <c r="K3199" s="80">
        <v>0.926490066225165</v>
      </c>
      <c r="L3199" s="80" t="s">
        <v>3307</v>
      </c>
    </row>
    <row r="3200">
      <c r="A3200" s="80" t="s">
        <v>124</v>
      </c>
      <c r="B3200" s="81" t="str">
        <f>HYPERLINK("https://www.youtube.com/channel/UCg0vuSE0fBF_NvodyYhMcWg", "Wallace Studio HK")</f>
        <v>Wallace Studio HK</v>
      </c>
      <c r="C3200" s="80" t="s">
        <v>3586</v>
      </c>
      <c r="D3200" s="81" t="str">
        <f>HYPERLINK("https://youtube.com/watch?v=OjfwlZBLhwE", "[創作者入門] 剪片軟件大哂冷!! 同你一條片睇哂由入門到進階所有剪片程式 | 新手上路用咩剪片好? | 專業剪片程式除左Adobe有邊個?| 邊個剪片好用啲? (CC 中文字幕)")</f>
        <v>[創作者入門] 剪片軟件大哂冷!! 同你一條片睇哂由入門到進階所有剪片程式 | 新手上路用咩剪片好? | 專業剪片程式除左Adobe有邊個?| 邊個剪片好用啲? (CC 中文字幕)</v>
      </c>
      <c r="E3200" s="82">
        <v>44269.0</v>
      </c>
      <c r="F3200" s="80">
        <v>966.0</v>
      </c>
      <c r="G3200" s="80" t="s">
        <v>63</v>
      </c>
      <c r="H3200" s="80" t="s">
        <v>63</v>
      </c>
      <c r="I3200" s="80" t="s">
        <v>63</v>
      </c>
      <c r="J3200" s="80">
        <v>3467.0</v>
      </c>
      <c r="K3200" s="80">
        <v>0.658499525166191</v>
      </c>
      <c r="L3200" s="80" t="s">
        <v>86</v>
      </c>
    </row>
    <row r="3201">
      <c r="A3201" s="80" t="s">
        <v>3587</v>
      </c>
      <c r="B3201" s="81" t="str">
        <f>HYPERLINK("https://www.youtube.com/channel/UCLYDpGywwns7EhzIgxSKqDw", "宅大大")</f>
        <v>宅大大</v>
      </c>
      <c r="C3201" s="80" t="s">
        <v>3588</v>
      </c>
      <c r="D3201" s="81" t="str">
        <f>HYPERLINK("https://youtube.com/watch?v=OlyU5DNwGR8", "移民潮下，香港樓價反升？(含字幕）")</f>
        <v>移民潮下，香港樓價反升？(含字幕）</v>
      </c>
      <c r="E3201" s="82">
        <v>44469.0</v>
      </c>
      <c r="F3201" s="80">
        <v>2110.0</v>
      </c>
      <c r="G3201" s="80" t="s">
        <v>63</v>
      </c>
      <c r="I3201" s="80" t="s">
        <v>63</v>
      </c>
      <c r="J3201" s="80">
        <v>5694.0</v>
      </c>
      <c r="K3201" s="80">
        <v>0.982910409114448</v>
      </c>
      <c r="L3201" s="80" t="s">
        <v>3589</v>
      </c>
    </row>
    <row r="3202">
      <c r="A3202" s="80" t="s">
        <v>2793</v>
      </c>
      <c r="B3202" s="81" t="str">
        <f>HYPERLINK("https://www.youtube.com/channel/UC03mRlT2h1B4LohYaIj9lHg", "Messiah2048")</f>
        <v>Messiah2048</v>
      </c>
      <c r="C3202" s="80" t="s">
        <v>3590</v>
      </c>
      <c r="D3202" s="81" t="str">
        <f>HYPERLINK("https://youtube.com/watch?v=OoJC2TMDpTM", "黃之鋒：劉江華最佳辯論員。")</f>
        <v>黃之鋒：劉江華最佳辯論員。</v>
      </c>
      <c r="E3202" s="82">
        <v>42042.0</v>
      </c>
      <c r="F3202" s="80">
        <v>189.0</v>
      </c>
      <c r="G3202" s="80" t="s">
        <v>63</v>
      </c>
      <c r="I3202" s="80" t="s">
        <v>63</v>
      </c>
      <c r="J3202" s="80">
        <v>1027.0</v>
      </c>
      <c r="K3202" s="80">
        <v>0.963414634146341</v>
      </c>
      <c r="L3202" s="80" t="s">
        <v>582</v>
      </c>
    </row>
    <row r="3203">
      <c r="A3203" s="80" t="s">
        <v>248</v>
      </c>
      <c r="B3203" s="81" t="str">
        <f>HYPERLINK("https://www.youtube.com/channel/UCUEJok-GiWaGlv5nIPwk-GQ", "Price.com.hk 香港格價網")</f>
        <v>Price.com.hk 香港格價網</v>
      </c>
      <c r="C3203" s="80" t="s">
        <v>3591</v>
      </c>
      <c r="D3203" s="81" t="str">
        <f>HYPERLINK("https://youtube.com/watch?v=OqUUDasQRXg", "遲到真係好過冇到？Samsung Galaxy S21 FE貴過S21 值得入手嗎？｜攝力、跑分、續航力比較｜輕旗艦手機評測｜廣東話【Price.com.hk 產品比較】")</f>
        <v>遲到真係好過冇到？Samsung Galaxy S21 FE貴過S21 值得入手嗎？｜攝力、跑分、續航力比較｜輕旗艦手機評測｜廣東話【Price.com.hk 產品比較】</v>
      </c>
      <c r="E3203" s="82">
        <v>44573.0</v>
      </c>
      <c r="F3203" s="80">
        <v>442.0</v>
      </c>
      <c r="G3203" s="80" t="s">
        <v>63</v>
      </c>
      <c r="I3203" s="80" t="s">
        <v>63</v>
      </c>
      <c r="J3203" s="80">
        <v>1562.0</v>
      </c>
      <c r="K3203" s="80">
        <v>0.825581395348837</v>
      </c>
      <c r="L3203" s="80" t="s">
        <v>64</v>
      </c>
    </row>
    <row r="3204">
      <c r="A3204" s="80" t="s">
        <v>1553</v>
      </c>
      <c r="B3204" s="81" t="str">
        <f>HYPERLINK("https://www.youtube.com/channel/UC5gQ01ai9nF2x43fYmO1vow", "Ck釣魚冒險")</f>
        <v>Ck釣魚冒險</v>
      </c>
      <c r="C3204" s="80" t="s">
        <v>3592</v>
      </c>
      <c r="D3204" s="81" t="str">
        <f>HYPERLINK("https://youtube.com/watch?v=Ou3PP4GL958", "日本釣具店行 札幌  アメリカ屋漁具📣CC字幕")</f>
        <v>日本釣具店行 札幌  アメリカ屋漁具📣CC字幕</v>
      </c>
      <c r="E3204" s="82">
        <v>44048.0</v>
      </c>
      <c r="F3204" s="80">
        <v>297.0</v>
      </c>
      <c r="G3204" s="80" t="s">
        <v>63</v>
      </c>
      <c r="I3204" s="80" t="s">
        <v>63</v>
      </c>
      <c r="J3204" s="80">
        <v>508.0</v>
      </c>
      <c r="K3204" s="80">
        <v>0.90391459074733</v>
      </c>
      <c r="L3204" s="80" t="s">
        <v>64</v>
      </c>
    </row>
    <row r="3205">
      <c r="A3205" s="80" t="s">
        <v>238</v>
      </c>
      <c r="B3205" s="81" t="str">
        <f>HYPERLINK("https://www.youtube.com/channel/UCSBkm4LwpgBmcA3MCtO8vqg", "Post76影音玩樂")</f>
        <v>Post76影音玩樂</v>
      </c>
      <c r="C3205" s="80" t="s">
        <v>3593</v>
      </c>
      <c r="D3205" s="81" t="str">
        <f>HYPERLINK("https://youtube.com/watch?v=OvSdVIXzJUA", "依然穩定之連線及通話 : Jabra Elite 85t主動降噪真無線耳機開箱實測 | 粵語 | 雙中文字幕【耳機評測 | Post76.hk】")</f>
        <v>依然穩定之連線及通話 : Jabra Elite 85t主動降噪真無線耳機開箱實測 | 粵語 | 雙中文字幕【耳機評測 | Post76.hk】</v>
      </c>
      <c r="E3205" s="82">
        <v>44179.0</v>
      </c>
      <c r="F3205" s="80">
        <v>770.0</v>
      </c>
      <c r="G3205" s="80" t="s">
        <v>63</v>
      </c>
      <c r="H3205" s="80" t="s">
        <v>63</v>
      </c>
      <c r="I3205" s="80" t="s">
        <v>63</v>
      </c>
      <c r="J3205" s="80">
        <v>3035.0</v>
      </c>
      <c r="K3205" s="80">
        <v>0.891742522756827</v>
      </c>
      <c r="L3205" s="80" t="s">
        <v>66</v>
      </c>
    </row>
    <row r="3206">
      <c r="A3206" s="80" t="s">
        <v>3172</v>
      </c>
      <c r="B3206" s="81" t="str">
        <f>HYPERLINK("https://www.youtube.com/channel/UCahNh5t4wkQhSjS2-u0vSlA", "Henry Ng")</f>
        <v>Henry Ng</v>
      </c>
      <c r="C3206" s="80" t="s">
        <v>3594</v>
      </c>
      <c r="D3206" s="81" t="str">
        <f>HYPERLINK("https://youtube.com/watch?v=gACzVc8PhsY", "波爾圖一日遊 2017年2月《亨利自由行》")</f>
        <v>波爾圖一日遊 2017年2月《亨利自由行》</v>
      </c>
      <c r="E3206" s="82">
        <v>42801.0</v>
      </c>
      <c r="F3206" s="80">
        <v>360.0</v>
      </c>
      <c r="G3206" s="80" t="s">
        <v>63</v>
      </c>
      <c r="I3206" s="80" t="s">
        <v>63</v>
      </c>
      <c r="J3206" s="80">
        <v>547.0</v>
      </c>
      <c r="K3206" s="80">
        <v>0.805596465390279</v>
      </c>
      <c r="L3206" s="80" t="s">
        <v>64</v>
      </c>
    </row>
    <row r="3207">
      <c r="A3207" s="80" t="s">
        <v>3151</v>
      </c>
      <c r="B3207" s="81" t="str">
        <f>HYPERLINK("https://www.youtube.com/channel/UCARY68c_VZHHXPsEDg9Bptw", "耀佳金融集團Yaw Kai Financial Group")</f>
        <v>耀佳金融集團Yaw Kai Financial Group</v>
      </c>
      <c r="C3207" s="80" t="s">
        <v>3595</v>
      </c>
      <c r="D3207" s="81" t="str">
        <f>HYPERLINK("https://youtube.com/watch?v=gHeyIi5fklU", "【市場點評】美的危機? 創辦人遭綁架挾, 小米生態圈能否圈出個未來?")</f>
        <v>【市場點評】美的危機? 創辦人遭綁架挾, 小米生態圈能否圈出個未來?</v>
      </c>
      <c r="E3207" s="82">
        <v>43997.0</v>
      </c>
      <c r="F3207" s="80">
        <v>677.0</v>
      </c>
      <c r="G3207" s="80" t="s">
        <v>63</v>
      </c>
      <c r="I3207" s="80" t="s">
        <v>63</v>
      </c>
      <c r="J3207" s="80">
        <v>47.0</v>
      </c>
      <c r="K3207" s="80">
        <v>1.0</v>
      </c>
      <c r="L3207" s="80" t="s">
        <v>64</v>
      </c>
    </row>
    <row r="3208">
      <c r="A3208" s="80" t="s">
        <v>3139</v>
      </c>
      <c r="B3208" s="81" t="str">
        <f>HYPERLINK("https://www.youtube.com/channel/UCThO2xnH7XMg6plE8OgJm_w", "choyuen草原")</f>
        <v>choyuen草原</v>
      </c>
      <c r="C3208" s="80" t="s">
        <v>3596</v>
      </c>
      <c r="D3208" s="81" t="str">
        <f>HYPERLINK("https://youtube.com/watch?v=gIYv29z6kXE", "『廣東話』硬兜兜生勾勾外星人現身預言 Alien Show up Prophecy【禁忌的傳說】")</f>
        <v>『廣東話』硬兜兜生勾勾外星人現身預言 Alien Show up Prophecy【禁忌的傳說】</v>
      </c>
      <c r="E3208" s="82">
        <v>43147.0</v>
      </c>
      <c r="F3208" s="80">
        <v>139.0</v>
      </c>
      <c r="G3208" s="80" t="s">
        <v>63</v>
      </c>
      <c r="I3208" s="80" t="s">
        <v>63</v>
      </c>
      <c r="J3208" s="80">
        <v>385.0</v>
      </c>
      <c r="K3208" s="80">
        <v>0.921052631578947</v>
      </c>
      <c r="L3208" s="80" t="s">
        <v>64</v>
      </c>
    </row>
    <row r="3209">
      <c r="A3209" s="80" t="s">
        <v>293</v>
      </c>
      <c r="B3209" s="81" t="str">
        <f>HYPERLINK("https://www.youtube.com/channel/UCXRcbXqjORdIvl63I7MtOLQ", "趁熱 Kerry 's kitchen")</f>
        <v>趁熱 Kerry 's kitchen</v>
      </c>
      <c r="C3209" s="80" t="s">
        <v>3597</v>
      </c>
      <c r="D3209" s="81" t="str">
        <f>HYPERLINK("https://youtube.com/watch?v=OvvwBmUiAis", "凍  雞翼/花雕 雞翼/超簡單/不燥熱/夏日必食/放手 入門/廣東話/中字")</f>
        <v>凍  雞翼/花雕 雞翼/超簡單/不燥熱/夏日必食/放手 入門/廣東話/中字</v>
      </c>
      <c r="E3209" s="82">
        <v>44405.0</v>
      </c>
      <c r="F3209" s="80">
        <v>397.0</v>
      </c>
      <c r="G3209" s="80" t="s">
        <v>63</v>
      </c>
      <c r="I3209" s="80" t="s">
        <v>63</v>
      </c>
      <c r="J3209" s="80">
        <v>857.0</v>
      </c>
      <c r="K3209" s="80">
        <v>0.974971558589306</v>
      </c>
      <c r="L3209" s="80" t="s">
        <v>64</v>
      </c>
    </row>
    <row r="3210">
      <c r="A3210" s="80" t="s">
        <v>3151</v>
      </c>
      <c r="B3210" s="81" t="str">
        <f>HYPERLINK("https://www.youtube.com/channel/UCARY68c_VZHHXPsEDg9Bptw", "耀佳金融集團Yaw Kai Financial Group")</f>
        <v>耀佳金融集團Yaw Kai Financial Group</v>
      </c>
      <c r="C3210" s="80" t="s">
        <v>3598</v>
      </c>
      <c r="D3210" s="81" t="str">
        <f>HYPERLINK("https://youtube.com/watch?v=gXGU1aFZeWw", "【市場點評】本地股非常炒作 / 電動車值錢的是自動駕駛 / 騰訊最大勁敵系遊戲雲 / 981中芯未來發展壓力大")</f>
        <v>【市場點評】本地股非常炒作 / 電動車值錢的是自動駕駛 / 騰訊最大勁敵系遊戲雲 / 981中芯未來發展壓力大</v>
      </c>
      <c r="E3210" s="82">
        <v>44054.0</v>
      </c>
      <c r="F3210" s="80">
        <v>1412.0</v>
      </c>
      <c r="G3210" s="80" t="s">
        <v>63</v>
      </c>
      <c r="I3210" s="80" t="s">
        <v>63</v>
      </c>
      <c r="J3210" s="80">
        <v>5661.0</v>
      </c>
      <c r="K3210" s="80">
        <v>0.905470249520153</v>
      </c>
      <c r="L3210" s="80" t="s">
        <v>64</v>
      </c>
    </row>
    <row r="3211">
      <c r="A3211" s="80" t="s">
        <v>3139</v>
      </c>
      <c r="B3211" s="81" t="str">
        <f t="shared" ref="B3211:B3212" si="172">HYPERLINK("https://www.youtube.com/channel/UCThO2xnH7XMg6plE8OgJm_w", "choyuen草原")</f>
        <v>choyuen草原</v>
      </c>
      <c r="C3211" s="80" t="s">
        <v>3599</v>
      </c>
      <c r="D3211" s="81" t="str">
        <f>HYPERLINK("https://youtube.com/watch?v=gepEOC0LS5I", "『廣東話』蘋果廣告策劃 ,  警黑恐襲 , 元朗武裝獨立 The Apple was on TVB before Yuen Long terror【陰謀妄想症】")</f>
        <v>『廣東話』蘋果廣告策劃 ,  警黑恐襲 , 元朗武裝獨立 The Apple was on TVB before Yuen Long terror【陰謀妄想症】</v>
      </c>
      <c r="E3211" s="82">
        <v>43677.0</v>
      </c>
      <c r="F3211" s="80">
        <v>534.0</v>
      </c>
      <c r="G3211" s="80" t="s">
        <v>63</v>
      </c>
      <c r="I3211" s="80" t="s">
        <v>63</v>
      </c>
      <c r="J3211" s="80">
        <v>1257.0</v>
      </c>
      <c r="K3211" s="80">
        <v>0.963957055214724</v>
      </c>
      <c r="L3211" s="80" t="s">
        <v>64</v>
      </c>
    </row>
    <row r="3212">
      <c r="A3212" s="80" t="s">
        <v>3139</v>
      </c>
      <c r="B3212" s="81" t="str">
        <f t="shared" si="172"/>
        <v>choyuen草原</v>
      </c>
      <c r="C3212" s="80" t="s">
        <v>3600</v>
      </c>
      <c r="D3212" s="81" t="str">
        <f>HYPERLINK("https://youtube.com/watch?v=gfwKS9PxhH4", "給廢老的信: 香港建制貪得無厭, 溫水煮蛙變滾水仲鬧隻青蛙正白痴  Rent-seeking while Political Incapable  【Extradition HK 逃犯條例】")</f>
        <v>給廢老的信: 香港建制貪得無厭, 溫水煮蛙變滾水仲鬧隻青蛙正白痴  Rent-seeking while Political Incapable  【Extradition HK 逃犯條例】</v>
      </c>
      <c r="E3212" s="82">
        <v>43652.0</v>
      </c>
      <c r="F3212" s="80">
        <v>274.0</v>
      </c>
      <c r="G3212" s="80" t="s">
        <v>63</v>
      </c>
      <c r="I3212" s="80" t="s">
        <v>63</v>
      </c>
      <c r="J3212" s="80">
        <v>789.0</v>
      </c>
      <c r="K3212" s="80">
        <v>0.982565379825653</v>
      </c>
      <c r="L3212" s="80" t="s">
        <v>64</v>
      </c>
    </row>
    <row r="3213">
      <c r="A3213" s="80" t="s">
        <v>127</v>
      </c>
      <c r="B3213" s="81" t="str">
        <f>HYPERLINK("https://www.youtube.com/channel/UC97oYK3XMf9RLtkc0lO8C-Q", "健康旦 HiEggo")</f>
        <v>健康旦 HiEggo</v>
      </c>
      <c r="C3213" s="80" t="s">
        <v>3601</v>
      </c>
      <c r="D3213" s="81" t="str">
        <f>HYPERLINK("https://youtube.com/watch?v=P-8CBleUtlg", "咽喉拭子測試，旦哥率先親身實測，分享感受 - 鄭丹瑞《健康旦》醫療集團總裁 #林濤 Part 1 (CC中文字幕)")</f>
        <v>咽喉拭子測試，旦哥率先親身實測，分享感受 - 鄭丹瑞《健康旦》醫療集團總裁 #林濤 Part 1 (CC中文字幕)</v>
      </c>
      <c r="E3213" s="82">
        <v>44067.0</v>
      </c>
      <c r="F3213" s="80">
        <v>600.0</v>
      </c>
      <c r="G3213" s="80" t="s">
        <v>63</v>
      </c>
      <c r="I3213" s="80" t="s">
        <v>63</v>
      </c>
      <c r="J3213" s="80">
        <v>2192.0</v>
      </c>
      <c r="K3213" s="80">
        <v>0.987387387387387</v>
      </c>
      <c r="L3213" s="80" t="s">
        <v>3067</v>
      </c>
    </row>
    <row r="3214">
      <c r="A3214" s="80" t="s">
        <v>3162</v>
      </c>
      <c r="B3214" s="81" t="str">
        <f>HYPERLINK("https://www.youtube.com/channel/UCwz2_BsHZOaUO1zvS5zJBTw", "跟Theo一起爬坂道丨Theo Cheong")</f>
        <v>跟Theo一起爬坂道丨Theo Cheong</v>
      </c>
      <c r="C3214" s="80" t="s">
        <v>3602</v>
      </c>
      <c r="D3214" s="81" t="str">
        <f>HYPERLINK("https://youtube.com/watch?v=gvFBpy-OEiA", "[請打開字幕] 鳥取自駕遊 狂吞松葉蟹 | N4 Working Holiday | Travel | Vlog (上)")</f>
        <v>[請打開字幕] 鳥取自駕遊 狂吞松葉蟹 | N4 Working Holiday | Travel | Vlog (上)</v>
      </c>
      <c r="E3214" s="82">
        <v>43454.0</v>
      </c>
      <c r="F3214" s="80">
        <v>460.0</v>
      </c>
      <c r="G3214" s="80" t="s">
        <v>63</v>
      </c>
      <c r="I3214" s="80" t="s">
        <v>63</v>
      </c>
      <c r="J3214" s="80">
        <v>828.0</v>
      </c>
      <c r="K3214" s="80">
        <v>0.858031088082901</v>
      </c>
      <c r="L3214" s="80" t="s">
        <v>64</v>
      </c>
    </row>
    <row r="3215">
      <c r="A3215" s="80" t="s">
        <v>1390</v>
      </c>
      <c r="B3215" s="81" t="str">
        <f>HYPERLINK("https://www.youtube.com/channel/UCgwEJflQi4WnZ8PU0xdibZQ", "Kinson Ho")</f>
        <v>Kinson Ho</v>
      </c>
      <c r="C3215" s="80" t="s">
        <v>3603</v>
      </c>
      <c r="D3215" s="81" t="str">
        <f>HYPERLINK("https://youtube.com/watch?v=P-owhZc_b9A", "K神任我行 - [CC字幕4K]  泳渡五分洲｜探穴尋石｜女陰穴｜石澳｜大頭洲｜情人橋｜航拍")</f>
        <v>K神任我行 - [CC字幕4K]  泳渡五分洲｜探穴尋石｜女陰穴｜石澳｜大頭洲｜情人橋｜航拍</v>
      </c>
      <c r="E3215" s="82">
        <v>44397.0</v>
      </c>
      <c r="F3215" s="80">
        <v>457.0</v>
      </c>
      <c r="G3215" s="80" t="s">
        <v>63</v>
      </c>
      <c r="I3215" s="80" t="s">
        <v>63</v>
      </c>
      <c r="J3215" s="80">
        <v>565.0</v>
      </c>
      <c r="K3215" s="80">
        <v>0.933884297520661</v>
      </c>
      <c r="L3215" s="80" t="s">
        <v>64</v>
      </c>
    </row>
    <row r="3216">
      <c r="A3216" s="80" t="s">
        <v>108</v>
      </c>
      <c r="B3216" s="81" t="str">
        <f>HYPERLINK("https://www.youtube.com/channel/UCZL6QN6Xs-ZrKY3y6Pv6Emg", "廢青 - 日賺3000")</f>
        <v>廢青 - 日賺3000</v>
      </c>
      <c r="C3216" s="80" t="s">
        <v>3604</v>
      </c>
      <c r="D3216" s="81" t="str">
        <f>HYPERLINK("https://youtube.com/watch?v=P0io115dGGc", "財務自由 | 年輕人必須要儲的資產㊙️㊙️ 冇 ! 你可能輸一世!😭  2020 財務自由教學EP20【廢青 日賺3000】【點CC看中文字幕】")</f>
        <v>財務自由 | 年輕人必須要儲的資產㊙️㊙️ 冇 ! 你可能輸一世!😭  2020 財務自由教學EP20【廢青 日賺3000】【點CC看中文字幕】</v>
      </c>
      <c r="E3216" s="82">
        <v>44049.0</v>
      </c>
      <c r="F3216" s="80">
        <v>657.0</v>
      </c>
      <c r="G3216" s="80" t="s">
        <v>63</v>
      </c>
      <c r="I3216" s="80" t="s">
        <v>63</v>
      </c>
      <c r="J3216" s="80">
        <v>2541.0</v>
      </c>
      <c r="K3216" s="80">
        <v>0.900744416873449</v>
      </c>
      <c r="L3216" s="80" t="s">
        <v>64</v>
      </c>
    </row>
    <row r="3217">
      <c r="A3217" s="80" t="s">
        <v>98</v>
      </c>
      <c r="B3217" s="81" t="str">
        <f>HYPERLINK("https://www.youtube.com/channel/UCrquuQB6v1Ued2xyRKZreGQ", "Stephen Leung ")</f>
        <v>Stephen Leung </v>
      </c>
      <c r="C3217" s="80" t="s">
        <v>3605</v>
      </c>
      <c r="D3217" s="81" t="str">
        <f>HYPERLINK("https://youtube.com/watch?v=P2J5eElt1Ng", "【香港美食】 中日韓放題 200款食品, 觀眾九折 $228全包任食 16款刺身 韓燒 火鍋 仲包三款啤酒 任飲任食兩個鐘 紅火鮮料火鍋專門店 | 吃喝玩樂 2021 香港好去處 日式放題 放題 旺角")</f>
        <v>【香港美食】 中日韓放題 200款食品, 觀眾九折 $228全包任食 16款刺身 韓燒 火鍋 仲包三款啤酒 任飲任食兩個鐘 紅火鮮料火鍋專門店 | 吃喝玩樂 2021 香港好去處 日式放題 放題 旺角</v>
      </c>
      <c r="E3217" s="82">
        <v>44451.0</v>
      </c>
      <c r="F3217" s="80">
        <v>495.0</v>
      </c>
      <c r="G3217" s="80" t="s">
        <v>63</v>
      </c>
      <c r="I3217" s="80" t="s">
        <v>63</v>
      </c>
      <c r="J3217" s="80">
        <v>1318.0</v>
      </c>
      <c r="K3217" s="80">
        <v>0.978470675575352</v>
      </c>
      <c r="L3217" s="80" t="s">
        <v>64</v>
      </c>
    </row>
    <row r="3218">
      <c r="A3218" s="80" t="s">
        <v>1390</v>
      </c>
      <c r="B3218" s="81" t="str">
        <f>HYPERLINK("https://www.youtube.com/channel/UCgwEJflQi4WnZ8PU0xdibZQ", "Kinson Ho")</f>
        <v>Kinson Ho</v>
      </c>
      <c r="C3218" s="80" t="s">
        <v>3606</v>
      </c>
      <c r="D3218" s="81" t="str">
        <f>HYPERLINK("https://youtube.com/watch?v=P4t_lc8vlGc", "K神任我行 - [CC字幕4K] 登山攀爬金魚擺尾｜爬落吊鐘洞有幾難？｜吊鐘洲｜吊鐘洞｜路線分享｜航拍")</f>
        <v>K神任我行 - [CC字幕4K] 登山攀爬金魚擺尾｜爬落吊鐘洞有幾難？｜吊鐘洲｜吊鐘洞｜路線分享｜航拍</v>
      </c>
      <c r="E3218" s="82">
        <v>44538.0</v>
      </c>
      <c r="F3218" s="80">
        <v>1356.0</v>
      </c>
      <c r="G3218" s="80" t="s">
        <v>63</v>
      </c>
      <c r="I3218" s="80" t="s">
        <v>63</v>
      </c>
      <c r="J3218" s="80">
        <v>988.0</v>
      </c>
      <c r="K3218" s="80">
        <v>0.981132075471698</v>
      </c>
      <c r="L3218" s="80" t="s">
        <v>64</v>
      </c>
    </row>
    <row r="3219">
      <c r="A3219" s="80" t="s">
        <v>3607</v>
      </c>
      <c r="B3219" s="81" t="str">
        <f>HYPERLINK("https://www.youtube.com/channel/UC3oZHuZrkBs5OgXwZePWHMA", "龍喵ponpon")</f>
        <v>龍喵ponpon</v>
      </c>
      <c r="C3219" s="80" t="s">
        <v>3608</v>
      </c>
      <c r="D3219" s="81" t="str">
        <f>HYPERLINK("https://youtube.com/watch?v=P5CESkjA2k4", "【美食推介】真係遊客先會去食? ｜獻出我嘅第一次做.....?（ft. Cindy Wong)")</f>
        <v>【美食推介】真係遊客先會去食? ｜獻出我嘅第一次做.....?（ft. Cindy Wong)</v>
      </c>
      <c r="E3219" s="82">
        <v>43613.0</v>
      </c>
      <c r="F3219" s="80">
        <v>213.0</v>
      </c>
      <c r="G3219" s="80" t="s">
        <v>63</v>
      </c>
      <c r="I3219" s="80" t="s">
        <v>63</v>
      </c>
      <c r="J3219" s="80">
        <v>194.0</v>
      </c>
      <c r="K3219" s="80">
        <v>1.0</v>
      </c>
      <c r="L3219" s="80" t="s">
        <v>64</v>
      </c>
    </row>
    <row r="3220">
      <c r="A3220" s="80" t="s">
        <v>3139</v>
      </c>
      <c r="B3220" s="81" t="str">
        <f t="shared" ref="B3220:B3221" si="173">HYPERLINK("https://www.youtube.com/channel/UCThO2xnH7XMg6plE8OgJm_w", "choyuen草原")</f>
        <v>choyuen草原</v>
      </c>
      <c r="C3220" s="80" t="s">
        <v>3609</v>
      </c>
      <c r="D3220" s="81" t="str">
        <f>HYPERLINK("https://youtube.com/watch?v=h9j0s4AXKVY", "『廣東話』光明會碰碰咤之瑞士〈乜乜〉銀行本票 illuminati123 : Swiss bank account【禁忌的傳說】")</f>
        <v>『廣東話』光明會碰碰咤之瑞士〈乜乜〉銀行本票 illuminati123 : Swiss bank account【禁忌的傳說】</v>
      </c>
      <c r="E3220" s="82">
        <v>43600.0</v>
      </c>
      <c r="F3220" s="80">
        <v>395.0</v>
      </c>
      <c r="G3220" s="80" t="s">
        <v>63</v>
      </c>
      <c r="I3220" s="80" t="s">
        <v>63</v>
      </c>
      <c r="J3220" s="80">
        <v>1103.0</v>
      </c>
      <c r="K3220" s="80">
        <v>0.804522246535375</v>
      </c>
      <c r="L3220" s="80" t="s">
        <v>64</v>
      </c>
    </row>
    <row r="3221">
      <c r="A3221" s="80" t="s">
        <v>3139</v>
      </c>
      <c r="B3221" s="81" t="str">
        <f t="shared" si="173"/>
        <v>choyuen草原</v>
      </c>
      <c r="C3221" s="80" t="s">
        <v>3610</v>
      </c>
      <c r="D3221" s="81" t="str">
        <f>HYPERLINK("https://youtube.com/watch?v=hYXkyZthj7U", "去聖殿開個離岸戶口 Temple Church the Earliest banking")</f>
        <v>去聖殿開個離岸戶口 Temple Church the Earliest banking</v>
      </c>
      <c r="E3221" s="82">
        <v>44403.0</v>
      </c>
      <c r="F3221" s="80">
        <v>196.0</v>
      </c>
      <c r="G3221" s="80" t="s">
        <v>63</v>
      </c>
      <c r="I3221" s="80" t="s">
        <v>63</v>
      </c>
      <c r="J3221" s="80">
        <v>407.0</v>
      </c>
      <c r="K3221" s="80">
        <v>0.828920570264765</v>
      </c>
      <c r="L3221" s="80" t="s">
        <v>64</v>
      </c>
    </row>
    <row r="3222">
      <c r="A3222" s="80" t="s">
        <v>3611</v>
      </c>
      <c r="B3222" s="81" t="str">
        <f>HYPERLINK("https://www.youtube.com/channel/UCcetU9127QglBECLbGfRofQ", "鄧卓殷 Amber Tang")</f>
        <v>鄧卓殷 Amber Tang</v>
      </c>
      <c r="C3222" s="80" t="s">
        <v>3612</v>
      </c>
      <c r="D3222" s="81" t="str">
        <f>HYPERLINK("https://youtube.com/watch?v=PAqdnDUBA3E", "🍧高蛋白質雪糕! 4款簡單健康雪糕食譜 低卡! 低脂! 🍨 小朋友都整到 NICE-CREAM | Healthy Ice-cream 4 Ways | 鄧卓殷Amber #AmbeRecipe")</f>
        <v>🍧高蛋白質雪糕! 4款簡單健康雪糕食譜 低卡! 低脂! 🍨 小朋友都整到 NICE-CREAM | Healthy Ice-cream 4 Ways | 鄧卓殷Amber #AmbeRecipe</v>
      </c>
      <c r="E3222" s="82">
        <v>44448.0</v>
      </c>
      <c r="F3222" s="80">
        <v>400.0</v>
      </c>
      <c r="G3222" s="80" t="s">
        <v>63</v>
      </c>
      <c r="I3222" s="80" t="s">
        <v>63</v>
      </c>
      <c r="J3222" s="80">
        <v>923.0</v>
      </c>
      <c r="K3222" s="80">
        <v>0.302523762700753</v>
      </c>
      <c r="L3222" s="80" t="s">
        <v>91</v>
      </c>
    </row>
    <row r="3223">
      <c r="A3223" s="80" t="s">
        <v>2829</v>
      </c>
      <c r="B3223" s="81" t="str">
        <f>HYPERLINK("https://www.youtube.com/channel/UC7GnES6AEQlDzaP04UqtyjA", "SOLID IDEA")</f>
        <v>SOLID IDEA</v>
      </c>
      <c r="C3223" s="80" t="s">
        <v>3613</v>
      </c>
      <c r="D3223" s="81" t="str">
        <f>HYPERLINK("https://youtube.com/watch?v=PAuERCpXPLk", "[#設計概念] #黃金海岸 #2房變3房 訂造傢俬送室內設計 (CC中文字幕)")</f>
        <v>[#設計概念] #黃金海岸 #2房變3房 訂造傢俬送室內設計 (CC中文字幕)</v>
      </c>
      <c r="E3223" s="82">
        <v>44070.0</v>
      </c>
      <c r="F3223" s="80">
        <v>199.0</v>
      </c>
      <c r="G3223" s="80" t="s">
        <v>63</v>
      </c>
      <c r="I3223" s="80" t="s">
        <v>63</v>
      </c>
      <c r="J3223" s="80">
        <v>683.0</v>
      </c>
      <c r="K3223" s="80">
        <v>0.938186813186813</v>
      </c>
      <c r="L3223" s="80" t="s">
        <v>64</v>
      </c>
    </row>
    <row r="3224">
      <c r="A3224" s="80" t="s">
        <v>127</v>
      </c>
      <c r="B3224" s="81" t="str">
        <f t="shared" ref="B3224:B3225" si="174">HYPERLINK("https://www.youtube.com/channel/UC97oYK3XMf9RLtkc0lO8C-Q", "健康旦 HiEggo")</f>
        <v>健康旦 HiEggo</v>
      </c>
      <c r="C3224" s="80" t="s">
        <v>3614</v>
      </c>
      <c r="D3224" s="81" t="str">
        <f>HYPERLINK("https://youtube.com/watch?v=PBNiMrmq9Rk", "中醫穴道按摩舒緩飛蚊症 唔食早餐膽汁沈澱易變膽石 提高將來腦退化風險 - 鄭丹瑞《健康旦》註冊中醫師 #徐澤昌 博士 Part 5 (CC中文字幕)")</f>
        <v>中醫穴道按摩舒緩飛蚊症 唔食早餐膽汁沈澱易變膽石 提高將來腦退化風險 - 鄭丹瑞《健康旦》註冊中醫師 #徐澤昌 博士 Part 5 (CC中文字幕)</v>
      </c>
      <c r="E3224" s="82">
        <v>44102.0</v>
      </c>
      <c r="F3224" s="80">
        <v>573.0</v>
      </c>
      <c r="G3224" s="80" t="s">
        <v>63</v>
      </c>
      <c r="I3224" s="80" t="s">
        <v>63</v>
      </c>
      <c r="J3224" s="80">
        <v>2415.0</v>
      </c>
      <c r="K3224" s="80">
        <v>0.999172527927182</v>
      </c>
      <c r="L3224" s="80" t="s">
        <v>3067</v>
      </c>
    </row>
    <row r="3225">
      <c r="A3225" s="80" t="s">
        <v>127</v>
      </c>
      <c r="B3225" s="81" t="str">
        <f t="shared" si="174"/>
        <v>健康旦 HiEggo</v>
      </c>
      <c r="C3225" s="80" t="s">
        <v>3615</v>
      </c>
      <c r="D3225" s="81" t="str">
        <f>HYPERLINK("https://youtube.com/watch?v=PD5bTuarsnM", "單車座位高度錯傷膝頭 手掌麻痺因頸椎壓到神經 貼牆運動舒緩肩頸痛 - 鄭丹瑞《健康旦》健身教練 #Philip 脊骨神經科醫生 #陳若瑩 Part 5 (CC中文字幕)")</f>
        <v>單車座位高度錯傷膝頭 手掌麻痺因頸椎壓到神經 貼牆運動舒緩肩頸痛 - 鄭丹瑞《健康旦》健身教練 #Philip 脊骨神經科醫生 #陳若瑩 Part 5 (CC中文字幕)</v>
      </c>
      <c r="E3225" s="82">
        <v>44116.0</v>
      </c>
      <c r="F3225" s="80">
        <v>583.0</v>
      </c>
      <c r="G3225" s="80" t="s">
        <v>63</v>
      </c>
      <c r="I3225" s="80" t="s">
        <v>63</v>
      </c>
      <c r="J3225" s="80">
        <v>1745.0</v>
      </c>
      <c r="K3225" s="80">
        <v>0.914091147197485</v>
      </c>
      <c r="L3225" s="80" t="s">
        <v>2771</v>
      </c>
    </row>
    <row r="3226">
      <c r="A3226" s="80" t="s">
        <v>3144</v>
      </c>
      <c r="B3226" s="81" t="str">
        <f>HYPERLINK("https://www.youtube.com/channel/UCZVmFDfn5WnixrHNf25MeJQ", "〈職人吹水〉@SingSingKitchen")</f>
        <v>〈職人吹水〉@SingSingKitchen</v>
      </c>
      <c r="C3226" s="80" t="s">
        <v>3616</v>
      </c>
      <c r="D3226" s="81" t="str">
        <f>HYPERLINK("https://youtube.com/watch?v=hjwOXBZyAkE", "〈職人吹水〉 秘製 羊腩煲 2020 急凍羊肉 點解唔好揀太大隻 毫無保留 詳盡講解 記得保存和分享 附上中文字幕")</f>
        <v>〈職人吹水〉 秘製 羊腩煲 2020 急凍羊肉 點解唔好揀太大隻 毫無保留 詳盡講解 記得保存和分享 附上中文字幕</v>
      </c>
      <c r="E3226" s="82">
        <v>44162.0</v>
      </c>
      <c r="F3226" s="80">
        <v>1483.0</v>
      </c>
      <c r="G3226" s="80" t="s">
        <v>63</v>
      </c>
      <c r="I3226" s="80" t="s">
        <v>63</v>
      </c>
      <c r="J3226" s="80">
        <v>4213.0</v>
      </c>
      <c r="K3226" s="80">
        <v>0.990362012223789</v>
      </c>
      <c r="L3226" s="80" t="s">
        <v>745</v>
      </c>
    </row>
    <row r="3227">
      <c r="A3227" s="80" t="s">
        <v>124</v>
      </c>
      <c r="B3227" s="81" t="str">
        <f>HYPERLINK("https://www.youtube.com/channel/UCg0vuSE0fBF_NvodyYhMcWg", "Wallace Studio HK")</f>
        <v>Wallace Studio HK</v>
      </c>
      <c r="C3227" s="80" t="s">
        <v>3617</v>
      </c>
      <c r="D3227" s="81" t="str">
        <f>HYPERLINK("https://youtube.com/watch?v=PEST-RQ6zAE", "[詳細比較] Galaxy Tab S7+ VS iPad Pro 2020 Part 1 生產力比較| 誰是你的工作最佳夥伴 ? | 2020 最佳平板比較")</f>
        <v>[詳細比較] Galaxy Tab S7+ VS iPad Pro 2020 Part 1 生產力比較| 誰是你的工作最佳夥伴 ? | 2020 最佳平板比較</v>
      </c>
      <c r="E3227" s="82">
        <v>44104.0</v>
      </c>
      <c r="F3227" s="80">
        <v>939.0</v>
      </c>
      <c r="G3227" s="80" t="s">
        <v>63</v>
      </c>
      <c r="H3227" s="80" t="s">
        <v>63</v>
      </c>
      <c r="I3227" s="80" t="s">
        <v>63</v>
      </c>
      <c r="J3227" s="80">
        <v>3523.0</v>
      </c>
      <c r="K3227" s="80">
        <v>0.669581749049429</v>
      </c>
      <c r="L3227" s="80" t="s">
        <v>120</v>
      </c>
    </row>
    <row r="3228">
      <c r="A3228" s="80" t="s">
        <v>2764</v>
      </c>
      <c r="B3228" s="81" t="str">
        <f>HYPERLINK("https://www.youtube.com/channel/UCejZUW4khvxoA4uL2Afz20g", "Housik Laanfei 好食懶飛")</f>
        <v>Housik Laanfei 好食懶飛</v>
      </c>
      <c r="C3228" s="80" t="s">
        <v>3618</v>
      </c>
      <c r="D3228" s="81" t="str">
        <f>HYPERLINK("https://youtube.com/watch?v=PEdbCTs19Co", "[清爽涼拌] 台式鹽水雞 | CC: 廣東話/繁中/ENG SUB | COOKING VLOG")</f>
        <v>[清爽涼拌] 台式鹽水雞 | CC: 廣東話/繁中/ENG SUB | COOKING VLOG</v>
      </c>
      <c r="E3228" s="82">
        <v>44336.0</v>
      </c>
      <c r="F3228" s="80">
        <v>380.0</v>
      </c>
      <c r="G3228" s="80" t="s">
        <v>63</v>
      </c>
      <c r="H3228" s="80" t="s">
        <v>63</v>
      </c>
      <c r="I3228" s="80" t="s">
        <v>63</v>
      </c>
      <c r="J3228" s="80">
        <v>437.0</v>
      </c>
      <c r="K3228" s="80">
        <v>0.975446428571428</v>
      </c>
      <c r="L3228" s="80" t="s">
        <v>80</v>
      </c>
    </row>
    <row r="3229">
      <c r="A3229" s="80" t="s">
        <v>2761</v>
      </c>
      <c r="B3229" s="81" t="str">
        <f>HYPERLINK("https://www.youtube.com/channel/UCr_L9cZdbBU_XDsKDHBBlew", "am730")</f>
        <v>am730</v>
      </c>
      <c r="C3229" s="80" t="s">
        <v>3619</v>
      </c>
      <c r="D3229" s="81" t="str">
        <f>HYPERLINK("https://youtube.com/watch?v=PFUjZtkxLhE", "【樓市C見】通關後港樓勢跌？施永青笑言無知")</f>
        <v>【樓市C見】通關後港樓勢跌？施永青笑言無知</v>
      </c>
      <c r="E3229" s="82">
        <v>44104.0</v>
      </c>
      <c r="F3229" s="80">
        <v>897.0</v>
      </c>
      <c r="G3229" s="80" t="s">
        <v>63</v>
      </c>
      <c r="I3229" s="80" t="s">
        <v>63</v>
      </c>
      <c r="J3229" s="80">
        <v>2529.0</v>
      </c>
      <c r="K3229" s="80">
        <v>0.990211433046202</v>
      </c>
      <c r="L3229" s="80" t="s">
        <v>64</v>
      </c>
    </row>
    <row r="3230">
      <c r="A3230" s="80" t="s">
        <v>291</v>
      </c>
      <c r="B3230" s="81" t="str">
        <f>HYPERLINK("https://www.youtube.com/channel/UClSNJbCUCp_W4yrS3DlCmjw", "飛馬 PEGASUS")</f>
        <v>飛馬 PEGASUS</v>
      </c>
      <c r="C3230" s="80" t="s">
        <v>3620</v>
      </c>
      <c r="D3230" s="81" t="str">
        <f>HYPERLINK("https://youtube.com/watch?v=PGXoB2kM4Jw", "新出AMD Ryzen 3  3100! 普通人都上到 4.5G !? ft. Samson @TechiCardia (CC中文字幕)")</f>
        <v>新出AMD Ryzen 3  3100! 普通人都上到 4.5G !? ft. Samson @TechiCardia (CC中文字幕)</v>
      </c>
      <c r="E3230" s="82">
        <v>43973.0</v>
      </c>
      <c r="F3230" s="80">
        <v>685.0</v>
      </c>
      <c r="G3230" s="80" t="s">
        <v>63</v>
      </c>
      <c r="I3230" s="80" t="s">
        <v>63</v>
      </c>
      <c r="J3230" s="80">
        <v>1649.0</v>
      </c>
      <c r="K3230" s="80">
        <v>0.608936484490398</v>
      </c>
      <c r="L3230" s="80" t="s">
        <v>64</v>
      </c>
    </row>
    <row r="3231">
      <c r="A3231" s="80" t="s">
        <v>1987</v>
      </c>
      <c r="B3231" s="81" t="str">
        <f>HYPERLINK("https://www.youtube.com/channel/UCgGUmm04nVyj-ftaCxVcyBg", "MangoHK大馬獅家")</f>
        <v>MangoHK大馬獅家</v>
      </c>
      <c r="C3231" s="80" t="s">
        <v>3621</v>
      </c>
      <c r="D3231" s="81" t="str">
        <f>HYPERLINK("https://youtube.com/watch?v=PIaKPMExKVQ", "【63】🏮文冬廣福廟🍢經典豆腐卜 {中英字幕} Subtitled | Malaysia Bentong | Malaysia Vlog | mm2h")</f>
        <v>【63】🏮文冬廣福廟🍢經典豆腐卜 {中英字幕} Subtitled | Malaysia Bentong | Malaysia Vlog | mm2h</v>
      </c>
      <c r="E3231" s="82">
        <v>44490.0</v>
      </c>
      <c r="F3231" s="80">
        <v>689.0</v>
      </c>
      <c r="G3231" s="80" t="s">
        <v>63</v>
      </c>
      <c r="I3231" s="80" t="s">
        <v>63</v>
      </c>
      <c r="J3231" s="80">
        <v>1363.0</v>
      </c>
      <c r="K3231" s="80">
        <v>0.973571428571428</v>
      </c>
      <c r="L3231" s="80" t="s">
        <v>896</v>
      </c>
    </row>
    <row r="3232">
      <c r="A3232" s="80" t="s">
        <v>248</v>
      </c>
      <c r="B3232" s="81" t="str">
        <f>HYPERLINK("https://www.youtube.com/channel/UCUEJok-GiWaGlv5nIPwk-GQ", "Price.com.hk 香港格價網")</f>
        <v>Price.com.hk 香港格價網</v>
      </c>
      <c r="C3232" s="80" t="s">
        <v>3622</v>
      </c>
      <c r="D3232" s="81" t="str">
        <f>HYPERLINK("https://youtube.com/watch?v=PJTKmDEWuos", "傳3月舉行 Apple Event新品預測．Spotify將提供HiFi無損音質．眾籌概念相機 Canon PowerShot ZOOM【Price Weekly #51 2021年2月 】")</f>
        <v>傳3月舉行 Apple Event新品預測．Spotify將提供HiFi無損音質．眾籌概念相機 Canon PowerShot ZOOM【Price Weekly #51 2021年2月 】</v>
      </c>
      <c r="E3232" s="82">
        <v>44253.0</v>
      </c>
      <c r="F3232" s="80">
        <v>527.0</v>
      </c>
      <c r="G3232" s="80" t="s">
        <v>63</v>
      </c>
      <c r="I3232" s="80" t="s">
        <v>63</v>
      </c>
      <c r="J3232" s="80">
        <v>1850.0</v>
      </c>
      <c r="K3232" s="80">
        <v>0.744167337087691</v>
      </c>
      <c r="L3232" s="80" t="s">
        <v>64</v>
      </c>
    </row>
    <row r="3233">
      <c r="A3233" s="80" t="s">
        <v>127</v>
      </c>
      <c r="B3233" s="81" t="str">
        <f>HYPERLINK("https://www.youtube.com/channel/UC97oYK3XMf9RLtkc0lO8C-Q", "健康旦 HiEggo")</f>
        <v>健康旦 HiEggo</v>
      </c>
      <c r="C3233" s="80" t="s">
        <v>3623</v>
      </c>
      <c r="D3233" s="81" t="str">
        <f>HYPERLINK("https://youtube.com/watch?v=PLZ37Uv1Qlk", "醫護回家消毒貼士 資深護師分享沙士經驗 減低年輕醫護憂慮  - 鄭丹瑞《健康旦》 (CC中文字幕)")</f>
        <v>醫護回家消毒貼士 資深護師分享沙士經驗 減低年輕醫護憂慮  - 鄭丹瑞《健康旦》 (CC中文字幕)</v>
      </c>
      <c r="E3233" s="82">
        <v>43908.0</v>
      </c>
      <c r="F3233" s="80">
        <v>717.0</v>
      </c>
      <c r="G3233" s="80" t="s">
        <v>63</v>
      </c>
      <c r="I3233" s="80" t="s">
        <v>63</v>
      </c>
      <c r="J3233" s="80">
        <v>2199.0</v>
      </c>
      <c r="K3233" s="80">
        <v>0.995923913043478</v>
      </c>
      <c r="L3233" s="80" t="s">
        <v>102</v>
      </c>
    </row>
    <row r="3234">
      <c r="A3234" s="80" t="s">
        <v>2955</v>
      </c>
      <c r="B3234" s="81" t="str">
        <f>HYPERLINK("https://www.youtube.com/channel/UC1CFGd0qQVW6icz6Zv7bseQ", "八八卦卦")</f>
        <v>八八卦卦</v>
      </c>
      <c r="C3234" s="80" t="s">
        <v>3624</v>
      </c>
      <c r="D3234" s="81" t="str">
        <f>HYPERLINK("https://youtube.com/watch?v=PM2fOWztfOw", "梳乎厘食出煎蛋嘅感覺？超多人幫襯嘅coffee shop！｜Coffee Break丨橙妹八卦開箱丨[CC 字幕]")</f>
        <v>梳乎厘食出煎蛋嘅感覺？超多人幫襯嘅coffee shop！｜Coffee Break丨橙妹八卦開箱丨[CC 字幕]</v>
      </c>
      <c r="E3234" s="82">
        <v>44466.0</v>
      </c>
      <c r="F3234" s="80">
        <v>442.0</v>
      </c>
      <c r="G3234" s="80" t="s">
        <v>63</v>
      </c>
      <c r="I3234" s="80" t="s">
        <v>63</v>
      </c>
      <c r="J3234" s="80">
        <v>944.0</v>
      </c>
      <c r="K3234" s="80">
        <v>0.973195876288659</v>
      </c>
      <c r="L3234" s="80" t="s">
        <v>64</v>
      </c>
    </row>
    <row r="3235">
      <c r="A3235" s="80" t="s">
        <v>3144</v>
      </c>
      <c r="B3235" s="81" t="str">
        <f>HYPERLINK("https://www.youtube.com/channel/UCZVmFDfn5WnixrHNf25MeJQ", "〈職人吹水〉@SingSingKitchen")</f>
        <v>〈職人吹水〉@SingSingKitchen</v>
      </c>
      <c r="C3235" s="80" t="s">
        <v>3625</v>
      </c>
      <c r="D3235" s="81" t="str">
        <f>HYPERLINK("https://youtube.com/watch?v=iAynuPxDumU", "〈職人吹水〉天氣驟降 羊腩 手抓羊 完件羊腩製作 配 網上首次披露 私房 孜然香蔥油製作/ 天氣寒冷首/選簡單好食/ 職人吹水羊腩煲 附上中文字幕")</f>
        <v>〈職人吹水〉天氣驟降 羊腩 手抓羊 完件羊腩製作 配 網上首次披露 私房 孜然香蔥油製作/ 天氣寒冷首/選簡單好食/ 職人吹水羊腩煲 附上中文字幕</v>
      </c>
      <c r="E3235" s="82">
        <v>44507.0</v>
      </c>
      <c r="F3235" s="80">
        <v>1633.0</v>
      </c>
      <c r="G3235" s="80" t="s">
        <v>63</v>
      </c>
      <c r="I3235" s="80" t="s">
        <v>63</v>
      </c>
      <c r="J3235" s="80">
        <v>2708.0</v>
      </c>
      <c r="K3235" s="80">
        <v>0.990852542993047</v>
      </c>
      <c r="L3235" s="80" t="s">
        <v>745</v>
      </c>
    </row>
    <row r="3236">
      <c r="A3236" s="80" t="s">
        <v>293</v>
      </c>
      <c r="B3236" s="81" t="str">
        <f>HYPERLINK("https://www.youtube.com/channel/UCXRcbXqjORdIvl63I7MtOLQ", "趁熱 Kerry 's kitchen")</f>
        <v>趁熱 Kerry 's kitchen</v>
      </c>
      <c r="C3236" s="80" t="s">
        <v>3626</v>
      </c>
      <c r="D3236" s="81" t="str">
        <f>HYPERLINK("https://youtube.com/watch?v=POdz4BwLmPY", "椒鹽 九肚魚/廣東話/中字/鬆脆 竅門/在家做 一樣掂/大牌檔風味/經典啤酒菜/重點 講解/新手 入門")</f>
        <v>椒鹽 九肚魚/廣東話/中字/鬆脆 竅門/在家做 一樣掂/大牌檔風味/經典啤酒菜/重點 講解/新手 入門</v>
      </c>
      <c r="E3236" s="82">
        <v>44571.0</v>
      </c>
      <c r="F3236" s="80">
        <v>572.0</v>
      </c>
      <c r="G3236" s="80" t="s">
        <v>63</v>
      </c>
      <c r="I3236" s="80" t="s">
        <v>63</v>
      </c>
      <c r="J3236" s="80">
        <v>818.0</v>
      </c>
      <c r="K3236" s="80">
        <v>0.987922705314009</v>
      </c>
      <c r="L3236" s="80" t="s">
        <v>64</v>
      </c>
    </row>
    <row r="3237">
      <c r="A3237" s="80" t="s">
        <v>1987</v>
      </c>
      <c r="B3237" s="81" t="str">
        <f>HYPERLINK("https://www.youtube.com/channel/UCgGUmm04nVyj-ftaCxVcyBg", "MangoHK大馬獅家")</f>
        <v>MangoHK大馬獅家</v>
      </c>
      <c r="C3237" s="80" t="s">
        <v>3627</v>
      </c>
      <c r="D3237" s="81" t="str">
        <f>HYPERLINK("https://youtube.com/watch?v=POp1yNGhD0U", "【11】🍶韓式粉絲料理🔥如何炒出來？ {中英字幕}  Subtitled | [DIY]Korean Style Stir Fried | Malaysia Vlog | mm2h")</f>
        <v>【11】🍶韓式粉絲料理🔥如何炒出來？ {中英字幕}  Subtitled | [DIY]Korean Style Stir Fried | Malaysia Vlog | mm2h</v>
      </c>
      <c r="E3237" s="82">
        <v>44449.0</v>
      </c>
      <c r="F3237" s="80">
        <v>792.0</v>
      </c>
      <c r="G3237" s="80" t="s">
        <v>63</v>
      </c>
      <c r="I3237" s="80" t="s">
        <v>63</v>
      </c>
      <c r="J3237" s="80">
        <v>1730.0</v>
      </c>
      <c r="K3237" s="80">
        <v>0.99368179207352</v>
      </c>
      <c r="L3237" s="80" t="s">
        <v>896</v>
      </c>
    </row>
    <row r="3238">
      <c r="A3238" s="80" t="s">
        <v>3142</v>
      </c>
      <c r="B3238" s="81" t="str">
        <f>HYPERLINK("https://www.youtube.com/channel/UCO4mttl54gQ0UW-DqyVrvLQ", "陳怡ChanYee")</f>
        <v>陳怡ChanYee</v>
      </c>
      <c r="C3238" s="80" t="s">
        <v>3628</v>
      </c>
      <c r="D3238" s="81" t="str">
        <f>HYPERLINK("https://youtube.com/watch?v=iW10Wzfaxwg", "【兩性】完全飛仔手冊｜陳怡 ChanYee")</f>
        <v>【兩性】完全飛仔手冊｜陳怡 ChanYee</v>
      </c>
      <c r="E3238" s="82">
        <v>43167.0</v>
      </c>
      <c r="F3238" s="80">
        <v>579.0</v>
      </c>
      <c r="G3238" s="80" t="s">
        <v>63</v>
      </c>
      <c r="I3238" s="80" t="s">
        <v>63</v>
      </c>
      <c r="J3238" s="80">
        <v>2417.0</v>
      </c>
      <c r="K3238" s="80">
        <v>0.923929663608562</v>
      </c>
      <c r="L3238" s="80" t="s">
        <v>64</v>
      </c>
    </row>
    <row r="3239">
      <c r="A3239" s="80" t="s">
        <v>3139</v>
      </c>
      <c r="B3239" s="81" t="str">
        <f>HYPERLINK("https://www.youtube.com/channel/UCThO2xnH7XMg6plE8OgJm_w", "choyuen草原")</f>
        <v>choyuen草原</v>
      </c>
      <c r="C3239" s="80" t="s">
        <v>3629</v>
      </c>
      <c r="D3239" s="81" t="str">
        <f>HYPERLINK("https://youtube.com/watch?v=iYjNMN99sLE", "『廣東話』 V即是R : 1. 普朗克長度   VR actually : 1. Planck Length【學科邊緣人】")</f>
        <v>『廣東話』 V即是R : 1. 普朗克長度   VR actually : 1. Planck Length【學科邊緣人】</v>
      </c>
      <c r="E3239" s="82">
        <v>43643.0</v>
      </c>
      <c r="F3239" s="80">
        <v>387.0</v>
      </c>
      <c r="G3239" s="80" t="s">
        <v>63</v>
      </c>
      <c r="I3239" s="80" t="s">
        <v>63</v>
      </c>
      <c r="J3239" s="80">
        <v>1016.0</v>
      </c>
      <c r="K3239" s="80">
        <v>0.845961698584512</v>
      </c>
      <c r="L3239" s="80" t="s">
        <v>64</v>
      </c>
    </row>
    <row r="3240">
      <c r="A3240" s="80" t="s">
        <v>2780</v>
      </c>
      <c r="B3240" s="81" t="str">
        <f>HYPERLINK("https://www.youtube.com/channel/UC0CojhLcc0VESgaG633m5kA", "RainErs")</f>
        <v>RainErs</v>
      </c>
      <c r="C3240" s="80" t="s">
        <v>3630</v>
      </c>
      <c r="D3240" s="81" t="str">
        <f>HYPERLINK("https://youtube.com/watch?v=PR27fZiLcqI", "香港維港凱悅尚萃酒店[❗StayK唇❗]--長期望住海景房嘅酒店 ❓❓ 抵食又抵玩🔥🔥 ! ! ![有CC字幕]")</f>
        <v>香港維港凱悅尚萃酒店[❗StayK唇❗]--長期望住海景房嘅酒店 ❓❓ 抵食又抵玩🔥🔥 ! ! ![有CC字幕]</v>
      </c>
      <c r="E3240" s="82">
        <v>44348.0</v>
      </c>
      <c r="F3240" s="80">
        <v>935.0</v>
      </c>
      <c r="G3240" s="80" t="s">
        <v>63</v>
      </c>
      <c r="I3240" s="80" t="s">
        <v>63</v>
      </c>
      <c r="J3240" s="80">
        <v>2825.0</v>
      </c>
      <c r="K3240" s="80">
        <v>0.913057530704589</v>
      </c>
      <c r="L3240" s="80" t="s">
        <v>64</v>
      </c>
    </row>
    <row r="3241">
      <c r="A3241" s="80" t="s">
        <v>108</v>
      </c>
      <c r="B3241" s="81" t="str">
        <f>HYPERLINK("https://www.youtube.com/channel/UCZL6QN6Xs-ZrKY3y6Pv6Emg", "廢青 - 日賺3000")</f>
        <v>廢青 - 日賺3000</v>
      </c>
      <c r="C3241" s="80" t="s">
        <v>3631</v>
      </c>
      <c r="D3241" s="81" t="str">
        <f>HYPERLINK("https://youtube.com/watch?v=PSJUh42LXY8", "0282.HK 壹傳媒 🍎🍎 1 秒睇完唔會買! ❌❌  │ 2020 財務自由靠股票 EP44【廢青 日賺3000】")</f>
        <v>0282.HK 壹傳媒 🍎🍎 1 秒睇完唔會買! ❌❌  │ 2020 財務自由靠股票 EP44【廢青 日賺3000】</v>
      </c>
      <c r="E3241" s="82">
        <v>44084.0</v>
      </c>
      <c r="F3241" s="80">
        <v>758.0</v>
      </c>
      <c r="G3241" s="80" t="s">
        <v>63</v>
      </c>
      <c r="I3241" s="80" t="s">
        <v>63</v>
      </c>
      <c r="J3241" s="80">
        <v>2167.0</v>
      </c>
      <c r="K3241" s="80">
        <v>0.890669954788327</v>
      </c>
      <c r="L3241" s="80" t="s">
        <v>64</v>
      </c>
    </row>
    <row r="3242">
      <c r="A3242" s="80" t="s">
        <v>3144</v>
      </c>
      <c r="B3242" s="81" t="str">
        <f>HYPERLINK("https://www.youtube.com/channel/UCZVmFDfn5WnixrHNf25MeJQ", "〈職人吹水〉@SingSingKitchen")</f>
        <v>〈職人吹水〉@SingSingKitchen</v>
      </c>
      <c r="C3242" s="80" t="s">
        <v>3632</v>
      </c>
      <c r="D3242" s="81" t="str">
        <f>HYPERLINK("https://youtube.com/watch?v=isakuKztbIY", "〈職人吹水〉 留住男人的心 又一力作 順德風味 煎焗 香蔥大魚頭 /如何去除魚頭草青味/ 好味就係咁簡單 附上中文字幕")</f>
        <v>〈職人吹水〉 留住男人的心 又一力作 順德風味 煎焗 香蔥大魚頭 /如何去除魚頭草青味/ 好味就係咁簡單 附上中文字幕</v>
      </c>
      <c r="E3242" s="82">
        <v>44517.0</v>
      </c>
      <c r="F3242" s="80">
        <v>912.0</v>
      </c>
      <c r="G3242" s="80" t="s">
        <v>63</v>
      </c>
      <c r="I3242" s="80" t="s">
        <v>63</v>
      </c>
      <c r="J3242" s="80">
        <v>2614.0</v>
      </c>
      <c r="K3242" s="80">
        <v>0.982337467117624</v>
      </c>
      <c r="L3242" s="80" t="s">
        <v>745</v>
      </c>
    </row>
    <row r="3243">
      <c r="A3243" s="80" t="s">
        <v>84</v>
      </c>
      <c r="B3243" s="81" t="str">
        <f>HYPERLINK("https://www.youtube.com/channel/UCs6fW24aVjefTsognevmDnA", "PakTil 拍跳")</f>
        <v>PakTil 拍跳</v>
      </c>
      <c r="C3243" s="80" t="s">
        <v>3633</v>
      </c>
      <c r="D3243" s="81" t="str">
        <f>HYPERLINK("https://youtube.com/watch?v=PZjGKU_Sd6E", "【拍跳短跑】辦公室接電話必學2  腦細Call照Cut")</f>
        <v>【拍跳短跑】辦公室接電話必學2  腦細Call照Cut</v>
      </c>
      <c r="E3243" s="82">
        <v>44063.0</v>
      </c>
      <c r="F3243" s="80">
        <v>64.0</v>
      </c>
      <c r="G3243" s="80" t="s">
        <v>63</v>
      </c>
      <c r="I3243" s="80" t="s">
        <v>63</v>
      </c>
      <c r="J3243" s="80">
        <v>165.0</v>
      </c>
      <c r="K3243" s="80">
        <v>1.0</v>
      </c>
      <c r="L3243" s="80" t="s">
        <v>86</v>
      </c>
    </row>
    <row r="3244">
      <c r="A3244" s="80" t="s">
        <v>2764</v>
      </c>
      <c r="B3244" s="81" t="str">
        <f>HYPERLINK("https://www.youtube.com/channel/UCejZUW4khvxoA4uL2Afz20g", "Housik Laanfei 好食懶飛")</f>
        <v>Housik Laanfei 好食懶飛</v>
      </c>
      <c r="C3244" s="80" t="s">
        <v>3634</v>
      </c>
      <c r="D3244" s="81" t="str">
        <f>HYPERLINK("https://youtube.com/watch?v=PdFUSudW0l0", "[其實唔難整] 瑤柱臘味蘿蔔糕 | CC: 廣東話/繁中/ENG SUB | COOKING VLOG")</f>
        <v>[其實唔難整] 瑤柱臘味蘿蔔糕 | CC: 廣東話/繁中/ENG SUB | COOKING VLOG</v>
      </c>
      <c r="E3244" s="82">
        <v>44224.0</v>
      </c>
      <c r="F3244" s="80">
        <v>524.0</v>
      </c>
      <c r="G3244" s="80" t="s">
        <v>63</v>
      </c>
      <c r="H3244" s="80" t="s">
        <v>63</v>
      </c>
      <c r="I3244" s="80" t="s">
        <v>63</v>
      </c>
      <c r="J3244" s="80">
        <v>476.0</v>
      </c>
      <c r="K3244" s="80">
        <v>0.975409836065573</v>
      </c>
      <c r="L3244" s="80" t="s">
        <v>80</v>
      </c>
    </row>
    <row r="3245">
      <c r="A3245" s="80" t="s">
        <v>2800</v>
      </c>
      <c r="B3245" s="81" t="str">
        <f>HYPERLINK("https://www.youtube.com/channel/UCMqrlsr-AECPc6_3oDr8m9w", "Unicorn 獸哥")</f>
        <v>Unicorn 獸哥</v>
      </c>
      <c r="C3245" s="80" t="s">
        <v>3635</v>
      </c>
      <c r="D3245" s="81" t="str">
        <f>HYPERLINK("https://youtube.com/watch?v=PdnyA2j7DAQ", "一切源於信念 凶靈祭劇透影評")</f>
        <v>一切源於信念 凶靈祭劇透影評</v>
      </c>
      <c r="E3245" s="82">
        <v>44470.0</v>
      </c>
      <c r="F3245" s="80">
        <v>666.0</v>
      </c>
      <c r="G3245" s="80" t="s">
        <v>63</v>
      </c>
      <c r="I3245" s="80" t="s">
        <v>63</v>
      </c>
      <c r="J3245" s="80">
        <v>3178.0</v>
      </c>
      <c r="K3245" s="80">
        <v>0.983596409780253</v>
      </c>
      <c r="L3245" s="80" t="s">
        <v>64</v>
      </c>
    </row>
    <row r="3246">
      <c r="A3246" s="80" t="s">
        <v>127</v>
      </c>
      <c r="B3246" s="81" t="str">
        <f>HYPERLINK("https://www.youtube.com/channel/UC97oYK3XMf9RLtkc0lO8C-Q", "健康旦 HiEggo")</f>
        <v>健康旦 HiEggo</v>
      </c>
      <c r="C3246" s="80" t="s">
        <v>3636</v>
      </c>
      <c r="D3246" s="81" t="str">
        <f>HYPERLINK("https://youtube.com/watch?v=Pf1IRGiY8B0", "ViuTV《辣伙頭》冠軍鄧月平自創菜式「雪山飄雪」魚湯 阿旦讚不絕口成碗食晒 - 鄭丹瑞《健康旦》鄧月平 Part 2  (CC中文字幕)")</f>
        <v>ViuTV《辣伙頭》冠軍鄧月平自創菜式「雪山飄雪」魚湯 阿旦讚不絕口成碗食晒 - 鄭丹瑞《健康旦》鄧月平 Part 2  (CC中文字幕)</v>
      </c>
      <c r="E3246" s="82">
        <v>43912.0</v>
      </c>
      <c r="F3246" s="80">
        <v>606.0</v>
      </c>
      <c r="G3246" s="80" t="s">
        <v>63</v>
      </c>
      <c r="I3246" s="80" t="s">
        <v>63</v>
      </c>
      <c r="J3246" s="80">
        <v>1683.0</v>
      </c>
      <c r="K3246" s="80">
        <v>0.98825601879037</v>
      </c>
      <c r="L3246" s="80" t="s">
        <v>102</v>
      </c>
    </row>
    <row r="3247">
      <c r="A3247" s="80" t="s">
        <v>2955</v>
      </c>
      <c r="B3247" s="81" t="str">
        <f>HYPERLINK("https://www.youtube.com/channel/UC1CFGd0qQVW6icz6Zv7bseQ", "八八卦卦")</f>
        <v>八八卦卦</v>
      </c>
      <c r="C3247" s="80" t="s">
        <v>3637</v>
      </c>
      <c r="D3247" s="81" t="str">
        <f>HYPERLINK("https://youtube.com/watch?v=PgrjeSujfC8", "迪士尼萬聖節有咩特別？排隊排1個鐘嘅表演？！｜Halloween @ Disney 2021｜八卦去玩 [CC字幕]")</f>
        <v>迪士尼萬聖節有咩特別？排隊排1個鐘嘅表演？！｜Halloween @ Disney 2021｜八卦去玩 [CC字幕]</v>
      </c>
      <c r="E3247" s="82">
        <v>44494.0</v>
      </c>
      <c r="F3247" s="80">
        <v>452.0</v>
      </c>
      <c r="G3247" s="80" t="s">
        <v>63</v>
      </c>
      <c r="I3247" s="80" t="s">
        <v>63</v>
      </c>
      <c r="J3247" s="80">
        <v>221.0</v>
      </c>
      <c r="K3247" s="80">
        <v>0.969298245614035</v>
      </c>
      <c r="L3247" s="80" t="s">
        <v>64</v>
      </c>
    </row>
    <row r="3248">
      <c r="A3248" s="80" t="s">
        <v>3139</v>
      </c>
      <c r="B3248" s="81" t="str">
        <f>HYPERLINK("https://www.youtube.com/channel/UCThO2xnH7XMg6plE8OgJm_w", "choyuen草原")</f>
        <v>choyuen草原</v>
      </c>
      <c r="C3248" s="80" t="s">
        <v>3638</v>
      </c>
      <c r="D3248" s="81" t="str">
        <f>HYPERLINK("https://youtube.com/watch?v=jWM-ZIaWEi4", "『廣東話』草原上的故作神秘學 choyuen's mystery catalogue【陰謀妄想症】")</f>
        <v>『廣東話』草原上的故作神秘學 choyuen's mystery catalogue【陰謀妄想症】</v>
      </c>
      <c r="E3248" s="82">
        <v>43859.0</v>
      </c>
      <c r="F3248" s="80">
        <v>560.0</v>
      </c>
      <c r="G3248" s="80" t="s">
        <v>63</v>
      </c>
      <c r="I3248" s="80" t="s">
        <v>63</v>
      </c>
      <c r="J3248" s="80">
        <v>1392.0</v>
      </c>
      <c r="K3248" s="80">
        <v>0.892307692307692</v>
      </c>
      <c r="L3248" s="80" t="s">
        <v>64</v>
      </c>
    </row>
    <row r="3249">
      <c r="A3249" s="80" t="s">
        <v>3639</v>
      </c>
      <c r="B3249" s="81" t="str">
        <f>HYPERLINK("https://www.youtube.com/channel/UCvU4k0Z8HUSWZUrqDodvlAg", "Audrey Yung")</f>
        <v>Audrey Yung</v>
      </c>
      <c r="C3249" s="80" t="s">
        <v>3640</v>
      </c>
      <c r="D3249" s="81" t="str">
        <f>HYPERLINK("https://youtube.com/watch?v=PhFRxoSLaGE", "⛅A Day in my Life 我的一天")</f>
        <v>⛅A Day in my Life 我的一天</v>
      </c>
      <c r="E3249" s="82">
        <v>44194.0</v>
      </c>
      <c r="F3249" s="80">
        <v>555.0</v>
      </c>
      <c r="G3249" s="80" t="s">
        <v>63</v>
      </c>
      <c r="I3249" s="80" t="s">
        <v>63</v>
      </c>
      <c r="J3249" s="80">
        <v>380.0</v>
      </c>
      <c r="K3249" s="80">
        <v>0.892018779342723</v>
      </c>
      <c r="L3249" s="80" t="s">
        <v>1297</v>
      </c>
    </row>
    <row r="3250">
      <c r="A3250" s="80" t="s">
        <v>127</v>
      </c>
      <c r="B3250" s="81" t="str">
        <f>HYPERLINK("https://www.youtube.com/channel/UC97oYK3XMf9RLtkc0lO8C-Q", "健康旦 HiEggo")</f>
        <v>健康旦 HiEggo</v>
      </c>
      <c r="C3250" s="80" t="s">
        <v>3641</v>
      </c>
      <c r="D3250" s="81" t="str">
        <f>HYPERLINK("https://youtube.com/watch?v=PjMp5cpT2L8", "睡眠過多、經期荷爾蒙變化、飲咖啡可誘發偏頭痛 撰寫日記有助醫生診症 預防偏頭痛藥物勿亂食 - 鄭丹瑞《健康旦》#李可倫 醫生 PART 1  (CC中文字幕)")</f>
        <v>睡眠過多、經期荷爾蒙變化、飲咖啡可誘發偏頭痛 撰寫日記有助醫生診症 預防偏頭痛藥物勿亂食 - 鄭丹瑞《健康旦》#李可倫 醫生 PART 1  (CC中文字幕)</v>
      </c>
      <c r="E3250" s="82">
        <v>44004.0</v>
      </c>
      <c r="F3250" s="80">
        <v>604.0</v>
      </c>
      <c r="G3250" s="80" t="s">
        <v>63</v>
      </c>
      <c r="I3250" s="80" t="s">
        <v>63</v>
      </c>
      <c r="J3250" s="80">
        <v>2938.0</v>
      </c>
      <c r="K3250" s="80">
        <v>0.965811965811965</v>
      </c>
      <c r="L3250" s="80" t="s">
        <v>64</v>
      </c>
    </row>
    <row r="3251">
      <c r="A3251" s="80" t="s">
        <v>3144</v>
      </c>
      <c r="B3251" s="81" t="str">
        <f>HYPERLINK("https://www.youtube.com/channel/UCZVmFDfn5WnixrHNf25MeJQ", "〈職人吹水〉@SingSingKitchen")</f>
        <v>〈職人吹水〉@SingSingKitchen</v>
      </c>
      <c r="C3251" s="80" t="s">
        <v>3642</v>
      </c>
      <c r="D3251" s="81" t="str">
        <f>HYPERLINK("https://youtube.com/watch?v=jczv04B9di4", "〈職人吹水〉超濃郁雞湯打邊爐/ 胡椒鹹菜濃郁雞湯 /禦寒火鍋/ 同場加映神秘火鍋配料 中文字幕")</f>
        <v>〈職人吹水〉超濃郁雞湯打邊爐/ 胡椒鹹菜濃郁雞湯 /禦寒火鍋/ 同場加映神秘火鍋配料 中文字幕</v>
      </c>
      <c r="E3251" s="82">
        <v>44523.0</v>
      </c>
      <c r="F3251" s="80">
        <v>1294.0</v>
      </c>
      <c r="G3251" s="80" t="s">
        <v>63</v>
      </c>
      <c r="I3251" s="80" t="s">
        <v>63</v>
      </c>
      <c r="J3251" s="80">
        <v>3451.0</v>
      </c>
      <c r="K3251" s="80">
        <v>0.982910851609228</v>
      </c>
      <c r="L3251" s="80" t="s">
        <v>745</v>
      </c>
    </row>
    <row r="3252">
      <c r="A3252" s="80" t="s">
        <v>2942</v>
      </c>
      <c r="B3252" s="81" t="str">
        <f>HYPERLINK("https://www.youtube.com/channel/UCFOFvhsNWMPHwvbfHl7K6qw", "司徒文進 CROSSBONE")</f>
        <v>司徒文進 CROSSBONE</v>
      </c>
      <c r="C3252" s="80" t="s">
        <v>3643</v>
      </c>
      <c r="D3252" s="81" t="str">
        <f>HYPERLINK("https://youtube.com/watch?v=PnvlPoVBd2I", "(中文字幕)（時事·經濟）司徒文進看澳門樓市：（鋪位篇）")</f>
        <v>(中文字幕)（時事·經濟）司徒文進看澳門樓市：（鋪位篇）</v>
      </c>
      <c r="E3252" s="82">
        <v>44559.0</v>
      </c>
      <c r="F3252" s="80">
        <v>952.0</v>
      </c>
      <c r="G3252" s="80" t="s">
        <v>63</v>
      </c>
      <c r="I3252" s="80" t="s">
        <v>63</v>
      </c>
      <c r="J3252" s="80">
        <v>4047.0</v>
      </c>
      <c r="K3252" s="80">
        <v>0.986832479882955</v>
      </c>
      <c r="L3252" s="80" t="s">
        <v>820</v>
      </c>
    </row>
    <row r="3253">
      <c r="A3253" s="80" t="s">
        <v>2764</v>
      </c>
      <c r="B3253" s="81" t="str">
        <f>HYPERLINK("https://www.youtube.com/channel/UCejZUW4khvxoA4uL2Afz20g", "Housik Laanfei 好食懶飛")</f>
        <v>Housik Laanfei 好食懶飛</v>
      </c>
      <c r="C3253" s="80" t="s">
        <v>3644</v>
      </c>
      <c r="D3253" s="81" t="str">
        <f>HYPERLINK("https://youtube.com/watch?v=PpXFa7bPgvo", "[I'm back] 楊枝甘露 | CC: 廣東話/繁中/ENG SUB | COOKING VLOG")</f>
        <v>[I'm back] 楊枝甘露 | CC: 廣東話/繁中/ENG SUB | COOKING VLOG</v>
      </c>
      <c r="E3253" s="82">
        <v>44406.0</v>
      </c>
      <c r="F3253" s="80">
        <v>405.0</v>
      </c>
      <c r="G3253" s="80" t="s">
        <v>63</v>
      </c>
      <c r="H3253" s="80" t="s">
        <v>63</v>
      </c>
      <c r="I3253" s="80" t="s">
        <v>63</v>
      </c>
      <c r="J3253" s="80">
        <v>280.0</v>
      </c>
      <c r="K3253" s="80">
        <v>0.982456140350877</v>
      </c>
      <c r="L3253" s="80" t="s">
        <v>80</v>
      </c>
    </row>
    <row r="3254">
      <c r="A3254" s="80" t="s">
        <v>238</v>
      </c>
      <c r="B3254" s="81" t="str">
        <f>HYPERLINK("https://www.youtube.com/channel/UCSBkm4LwpgBmcA3MCtO8vqg", "Post76影音玩樂")</f>
        <v>Post76影音玩樂</v>
      </c>
      <c r="C3254" s="80" t="s">
        <v>3645</v>
      </c>
      <c r="D3254" s="81" t="str">
        <f>HYPERLINK("https://youtube.com/watch?v=PpvXKX7JIYE", "英國調聲 Cambridge Audio Melomania Touch 開箱評測 | 7mm 石墨烯單元 | 廣東話回應 | App操作 | 粵語 | 雙中文字幕【True wireless評測】")</f>
        <v>英國調聲 Cambridge Audio Melomania Touch 開箱評測 | 7mm 石墨烯單元 | 廣東話回應 | App操作 | 粵語 | 雙中文字幕【True wireless評測】</v>
      </c>
      <c r="E3254" s="82">
        <v>44197.0</v>
      </c>
      <c r="F3254" s="80">
        <v>800.0</v>
      </c>
      <c r="G3254" s="80" t="s">
        <v>63</v>
      </c>
      <c r="H3254" s="80" t="s">
        <v>63</v>
      </c>
      <c r="I3254" s="80" t="s">
        <v>63</v>
      </c>
      <c r="J3254" s="80">
        <v>2929.0</v>
      </c>
      <c r="K3254" s="80">
        <v>0.816074653822998</v>
      </c>
      <c r="L3254" s="80" t="s">
        <v>66</v>
      </c>
    </row>
    <row r="3255">
      <c r="A3255" s="80" t="s">
        <v>3142</v>
      </c>
      <c r="B3255" s="81" t="str">
        <f>HYPERLINK("https://www.youtube.com/channel/UCO4mttl54gQ0UW-DqyVrvLQ", "陳怡ChanYee")</f>
        <v>陳怡ChanYee</v>
      </c>
      <c r="C3255" s="80" t="s">
        <v>3646</v>
      </c>
      <c r="D3255" s="81" t="str">
        <f>HYPERLINK("https://youtube.com/watch?v=k4kxW6FSedk", "生仔結婚生仔生仔結婚生仔【蝦頭的不生育故事】｜陳怡 ChanYee")</f>
        <v>生仔結婚生仔生仔結婚生仔【蝦頭的不生育故事】｜陳怡 ChanYee</v>
      </c>
      <c r="E3255" s="82">
        <v>43234.0</v>
      </c>
      <c r="F3255" s="80">
        <v>344.0</v>
      </c>
      <c r="G3255" s="80" t="s">
        <v>63</v>
      </c>
      <c r="I3255" s="80" t="s">
        <v>63</v>
      </c>
      <c r="J3255" s="80">
        <v>1609.0</v>
      </c>
      <c r="K3255" s="80">
        <v>0.945358401880141</v>
      </c>
      <c r="L3255" s="80" t="s">
        <v>757</v>
      </c>
    </row>
    <row r="3256">
      <c r="A3256" s="80" t="s">
        <v>3151</v>
      </c>
      <c r="B3256" s="81" t="str">
        <f t="shared" ref="B3256:B3257" si="175">HYPERLINK("https://www.youtube.com/channel/UCARY68c_VZHHXPsEDg9Bptw", "耀佳金融集團Yaw Kai Financial Group")</f>
        <v>耀佳金融集團Yaw Kai Financial Group</v>
      </c>
      <c r="C3256" s="80" t="s">
        <v>3647</v>
      </c>
      <c r="D3256" s="81" t="str">
        <f>HYPERLINK("https://youtube.com/watch?v=kJog0VbRvck", "【市場點評】中美擦槍走火? 糧食供應緊張? 那些股票還在升？")</f>
        <v>【市場點評】中美擦槍走火? 糧食供應緊張? 那些股票還在升？</v>
      </c>
      <c r="E3256" s="82">
        <v>44036.0</v>
      </c>
      <c r="F3256" s="80">
        <v>672.0</v>
      </c>
      <c r="G3256" s="80" t="s">
        <v>63</v>
      </c>
      <c r="I3256" s="80" t="s">
        <v>63</v>
      </c>
      <c r="J3256" s="80">
        <v>2100.0</v>
      </c>
      <c r="K3256" s="80">
        <v>0.985452839042703</v>
      </c>
      <c r="L3256" s="80" t="s">
        <v>64</v>
      </c>
    </row>
    <row r="3257">
      <c r="A3257" s="80" t="s">
        <v>3151</v>
      </c>
      <c r="B3257" s="81" t="str">
        <f t="shared" si="175"/>
        <v>耀佳金融集團Yaw Kai Financial Group</v>
      </c>
      <c r="C3257" s="80" t="s">
        <v>3648</v>
      </c>
      <c r="D3257" s="81" t="str">
        <f>HYPERLINK("https://youtube.com/watch?v=kRfSKglKt0g", "【市場點評】眾安在線(#6060) 新升浪開始? 中芯(#981.HK) 定價後回調?")</f>
        <v>【市場點評】眾安在線(#6060) 新升浪開始? 中芯(#981.HK) 定價後回調?</v>
      </c>
      <c r="E3257" s="82">
        <v>44015.0</v>
      </c>
      <c r="F3257" s="80">
        <v>1083.0</v>
      </c>
      <c r="G3257" s="80" t="s">
        <v>63</v>
      </c>
      <c r="I3257" s="80" t="s">
        <v>63</v>
      </c>
      <c r="J3257" s="80">
        <v>2917.0</v>
      </c>
      <c r="K3257" s="80">
        <v>0.962706270627062</v>
      </c>
      <c r="L3257" s="80" t="s">
        <v>64</v>
      </c>
    </row>
    <row r="3258">
      <c r="A3258" s="80" t="s">
        <v>2829</v>
      </c>
      <c r="B3258" s="81" t="str">
        <f>HYPERLINK("https://www.youtube.com/channel/UC7GnES6AEQlDzaP04UqtyjA", "SOLID IDEA")</f>
        <v>SOLID IDEA</v>
      </c>
      <c r="C3258" s="80" t="s">
        <v>3649</v>
      </c>
      <c r="D3258" s="81" t="str">
        <f>HYPERLINK("https://youtube.com/watch?v=PriVVw8kxFw", "[#設計概念] #TheCampton #送你兩款設計 | 室內設計 | 空間擺位 | SOLID IDEA | (CC中文字幕)")</f>
        <v>[#設計概念] #TheCampton #送你兩款設計 | 室內設計 | 空間擺位 | SOLID IDEA | (CC中文字幕)</v>
      </c>
      <c r="E3258" s="82">
        <v>44449.0</v>
      </c>
      <c r="F3258" s="80">
        <v>192.0</v>
      </c>
      <c r="G3258" s="80" t="s">
        <v>63</v>
      </c>
      <c r="I3258" s="80" t="s">
        <v>63</v>
      </c>
      <c r="J3258" s="80">
        <v>541.0</v>
      </c>
      <c r="K3258" s="80">
        <v>0.836166924265842</v>
      </c>
      <c r="L3258" s="80" t="s">
        <v>64</v>
      </c>
    </row>
    <row r="3259">
      <c r="A3259" s="80" t="s">
        <v>1987</v>
      </c>
      <c r="B3259" s="81" t="str">
        <f>HYPERLINK("https://www.youtube.com/channel/UCgGUmm04nVyj-ftaCxVcyBg", "MangoHK大馬獅家")</f>
        <v>MangoHK大馬獅家</v>
      </c>
      <c r="C3259" s="80" t="s">
        <v>3650</v>
      </c>
      <c r="D3259" s="81" t="str">
        <f>HYPERLINK("https://youtube.com/watch?v=PsBOve1oKeg", "【17】🦧動物園之星🐢太平是全球退休熱點？ {中英字幕}  Subtitled | Malaysia Tai Ping Zoo | Malaysia Vlog | mm2h")</f>
        <v>【17】🦧動物園之星🐢太平是全球退休熱點？ {中英字幕}  Subtitled | Malaysia Tai Ping Zoo | Malaysia Vlog | mm2h</v>
      </c>
      <c r="E3259" s="82">
        <v>44452.0</v>
      </c>
      <c r="F3259" s="80">
        <v>312.0</v>
      </c>
      <c r="G3259" s="80" t="s">
        <v>63</v>
      </c>
      <c r="I3259" s="80" t="s">
        <v>63</v>
      </c>
      <c r="J3259" s="80">
        <v>436.0</v>
      </c>
      <c r="K3259" s="80">
        <v>0.958241758241758</v>
      </c>
      <c r="L3259" s="80" t="s">
        <v>896</v>
      </c>
    </row>
    <row r="3260">
      <c r="A3260" s="80" t="s">
        <v>1260</v>
      </c>
      <c r="B3260" s="81" t="str">
        <f>HYPERLINK("https://www.youtube.com/channel/UCh1k4i86BpiXEO3nzJIYynw", "The Wave")</f>
        <v>The Wave</v>
      </c>
      <c r="C3260" s="80" t="s">
        <v>3651</v>
      </c>
      <c r="D3260" s="81" t="str">
        <f>HYPERLINK("https://youtube.com/watch?v=Ptp323meEhM", "TheWave | Apple 2018年10月發佈會 | 2分鐘簡單總結")</f>
        <v>TheWave | Apple 2018年10月發佈會 | 2分鐘簡單總結</v>
      </c>
      <c r="E3260" s="82">
        <v>43404.0</v>
      </c>
      <c r="F3260" s="80">
        <v>129.0</v>
      </c>
      <c r="G3260" s="80" t="s">
        <v>63</v>
      </c>
      <c r="H3260" s="80" t="s">
        <v>63</v>
      </c>
      <c r="I3260" s="80" t="s">
        <v>63</v>
      </c>
      <c r="J3260" s="80">
        <v>416.0</v>
      </c>
      <c r="K3260" s="80">
        <v>0.641744548286604</v>
      </c>
      <c r="L3260" s="80" t="s">
        <v>120</v>
      </c>
    </row>
    <row r="3261">
      <c r="A3261" s="80" t="s">
        <v>3021</v>
      </c>
      <c r="B3261" s="81" t="str">
        <f>HYPERLINK("https://www.youtube.com/channel/UCEZ8fnigqno2a1z2_JSYjxQ", "9up Youtuber")</f>
        <v>9up Youtuber</v>
      </c>
      <c r="C3261" s="80" t="s">
        <v>3652</v>
      </c>
      <c r="D3261" s="81" t="str">
        <f>HYPERLINK("https://youtube.com/watch?v=PuSEZ_kFNHg", "匯豐股價跌破40蚊之謎!??|9up風水")</f>
        <v>匯豐股價跌破40蚊之謎!??|9up風水</v>
      </c>
      <c r="E3261" s="82">
        <v>43922.0</v>
      </c>
      <c r="F3261" s="80">
        <v>324.0</v>
      </c>
      <c r="G3261" s="80" t="s">
        <v>63</v>
      </c>
      <c r="I3261" s="80" t="s">
        <v>63</v>
      </c>
      <c r="J3261" s="80">
        <v>864.0</v>
      </c>
      <c r="K3261" s="80">
        <v>0.962138084632516</v>
      </c>
      <c r="L3261" s="80" t="s">
        <v>64</v>
      </c>
    </row>
    <row r="3262">
      <c r="A3262" s="80" t="s">
        <v>3144</v>
      </c>
      <c r="B3262" s="81" t="str">
        <f>HYPERLINK("https://www.youtube.com/channel/UCZVmFDfn5WnixrHNf25MeJQ", "〈職人吹水〉@SingSingKitchen")</f>
        <v>〈職人吹水〉@SingSingKitchen</v>
      </c>
      <c r="C3262" s="80" t="s">
        <v>3653</v>
      </c>
      <c r="D3262" s="81" t="str">
        <f>HYPERLINK("https://youtube.com/watch?v=kcPWB4wyPRI", "〈職人吹水〉 美女廚房😋 焗洋蔥湯 Onion soup 80年代餐廳酒廊吹水 編 中英文字幕")</f>
        <v>〈職人吹水〉 美女廚房😋 焗洋蔥湯 Onion soup 80年代餐廳酒廊吹水 編 中英文字幕</v>
      </c>
      <c r="E3262" s="82">
        <v>43330.0</v>
      </c>
      <c r="F3262" s="80">
        <v>623.0</v>
      </c>
      <c r="G3262" s="80" t="s">
        <v>63</v>
      </c>
      <c r="I3262" s="80" t="s">
        <v>63</v>
      </c>
      <c r="J3262" s="80">
        <v>1342.0</v>
      </c>
      <c r="K3262" s="80">
        <v>0.99040590405904</v>
      </c>
      <c r="L3262" s="80" t="s">
        <v>64</v>
      </c>
    </row>
    <row r="3263">
      <c r="A3263" s="80" t="s">
        <v>3172</v>
      </c>
      <c r="B3263" s="81" t="str">
        <f>HYPERLINK("https://www.youtube.com/channel/UCahNh5t4wkQhSjS2-u0vSlA", "Henry Ng")</f>
        <v>Henry Ng</v>
      </c>
      <c r="C3263" s="80" t="s">
        <v>3654</v>
      </c>
      <c r="D3263" s="81" t="str">
        <f>HYPERLINK("https://youtube.com/watch?v=km1zhTUE2iE", "巴賽隆拿 一日遊 2017年1月《亨利自由行》")</f>
        <v>巴賽隆拿 一日遊 2017年1月《亨利自由行》</v>
      </c>
      <c r="E3263" s="82">
        <v>42800.0</v>
      </c>
      <c r="F3263" s="80">
        <v>337.0</v>
      </c>
      <c r="G3263" s="80" t="s">
        <v>63</v>
      </c>
      <c r="I3263" s="80" t="s">
        <v>63</v>
      </c>
      <c r="J3263" s="80">
        <v>503.0</v>
      </c>
      <c r="K3263" s="80">
        <v>0.728985507246376</v>
      </c>
      <c r="L3263" s="80" t="s">
        <v>64</v>
      </c>
    </row>
    <row r="3264">
      <c r="A3264" s="80" t="s">
        <v>1260</v>
      </c>
      <c r="B3264" s="81" t="str">
        <f>HYPERLINK("https://www.youtube.com/channel/UCh1k4i86BpiXEO3nzJIYynw", "The Wave")</f>
        <v>The Wave</v>
      </c>
      <c r="C3264" s="80" t="s">
        <v>3655</v>
      </c>
      <c r="D3264" s="81" t="str">
        <f>HYPERLINK("https://youtube.com/watch?v=Q5_kY8j74zc", "TheWave | 我賣走咗部Xperia 5......🥺🥴")</f>
        <v>TheWave | 我賣走咗部Xperia 5......🥺🥴</v>
      </c>
      <c r="E3264" s="82">
        <v>43873.0</v>
      </c>
      <c r="F3264" s="80">
        <v>153.0</v>
      </c>
      <c r="G3264" s="80" t="s">
        <v>63</v>
      </c>
      <c r="H3264" s="80" t="s">
        <v>63</v>
      </c>
      <c r="I3264" s="80" t="s">
        <v>63</v>
      </c>
      <c r="J3264" s="80">
        <v>503.0</v>
      </c>
      <c r="K3264" s="80">
        <v>0.807383627608346</v>
      </c>
      <c r="L3264" s="80" t="s">
        <v>1634</v>
      </c>
    </row>
    <row r="3265">
      <c r="A3265" s="80" t="s">
        <v>2862</v>
      </c>
      <c r="B3265" s="81" t="str">
        <f>HYPERLINK("https://www.youtube.com/channel/UCi6CqLjdoCN_ijofoCJFpCw", "Anton 安冬晴 ")</f>
        <v>Anton 安冬晴 </v>
      </c>
      <c r="C3265" s="80" t="s">
        <v>3656</v>
      </c>
      <c r="D3265" s="81" t="str">
        <f>HYPERLINK("https://youtube.com/watch?v=Q8WBkFYcpqo", "同我一齊去元朗掃街 😛｜真・元朗人食盡元朗 #3  （CC字幕） | 百味香串燒專門店．甜心鮮果園．天奴豬排餐廳")</f>
        <v>同我一齊去元朗掃街 😛｜真・元朗人食盡元朗 #3  （CC字幕） | 百味香串燒專門店．甜心鮮果園．天奴豬排餐廳</v>
      </c>
      <c r="E3265" s="82">
        <v>43382.0</v>
      </c>
      <c r="F3265" s="80">
        <v>309.0</v>
      </c>
      <c r="G3265" s="80" t="s">
        <v>63</v>
      </c>
      <c r="H3265" s="80" t="s">
        <v>63</v>
      </c>
      <c r="I3265" s="80" t="s">
        <v>63</v>
      </c>
      <c r="J3265" s="80">
        <v>1184.0</v>
      </c>
      <c r="K3265" s="80">
        <v>0.967320261437908</v>
      </c>
      <c r="L3265" s="80" t="s">
        <v>86</v>
      </c>
    </row>
    <row r="3266">
      <c r="A3266" s="80" t="s">
        <v>127</v>
      </c>
      <c r="B3266" s="81" t="str">
        <f>HYPERLINK("https://www.youtube.com/channel/UC97oYK3XMf9RLtkc0lO8C-Q", "健康旦 HiEggo")</f>
        <v>健康旦 HiEggo</v>
      </c>
      <c r="C3266" s="80" t="s">
        <v>3657</v>
      </c>
      <c r="D3266" s="81" t="str">
        <f>HYPERLINK("https://youtube.com/watch?v=Q9xZz4f_9L8", "香樹輝兒子日本通香睿剛分析 鑽石公主號日本點解會處理失當  -鄭丹瑞《健康旦》 香睿剛 Part 1 (CC中文字幕)")</f>
        <v>香樹輝兒子日本通香睿剛分析 鑽石公主號日本點解會處理失當  -鄭丹瑞《健康旦》 香睿剛 Part 1 (CC中文字幕)</v>
      </c>
      <c r="E3266" s="82">
        <v>43901.0</v>
      </c>
      <c r="F3266" s="80">
        <v>792.0</v>
      </c>
      <c r="G3266" s="80" t="s">
        <v>63</v>
      </c>
      <c r="I3266" s="80" t="s">
        <v>63</v>
      </c>
      <c r="J3266" s="80">
        <v>3750.0</v>
      </c>
      <c r="K3266" s="80">
        <v>0.994431185361973</v>
      </c>
      <c r="L3266" s="80" t="s">
        <v>102</v>
      </c>
    </row>
    <row r="3267">
      <c r="A3267" s="80" t="s">
        <v>1606</v>
      </c>
      <c r="B3267" s="81" t="str">
        <f>HYPERLINK("https://www.youtube.com/channel/UCk25FUc8pLiP3A6Zniknxbg", "希治閣【遊戲情報科】")</f>
        <v>希治閣【遊戲情報科】</v>
      </c>
      <c r="C3267" s="80" t="s">
        <v>3658</v>
      </c>
      <c r="D3267" s="81" t="str">
        <f>HYPERLINK("https://youtube.com/watch?v=QB9vA9cOdTY", "遊戲情報科 - EP13 - 2015/4/11 -《EVE：Valkyrie》《Slender: The Arrival》《Devil May Cry 4 Special Edition》")</f>
        <v>遊戲情報科 - EP13 - 2015/4/11 -《EVE：Valkyrie》《Slender: The Arrival》《Devil May Cry 4 Special Edition》</v>
      </c>
      <c r="E3267" s="82">
        <v>42105.0</v>
      </c>
      <c r="F3267" s="80">
        <v>439.0</v>
      </c>
      <c r="G3267" s="80" t="s">
        <v>63</v>
      </c>
      <c r="I3267" s="80" t="s">
        <v>63</v>
      </c>
      <c r="J3267" s="80">
        <v>1681.0</v>
      </c>
      <c r="K3267" s="80">
        <v>0.753136200716845</v>
      </c>
      <c r="L3267" s="80" t="s">
        <v>64</v>
      </c>
    </row>
    <row r="3268">
      <c r="A3268" s="80" t="s">
        <v>3144</v>
      </c>
      <c r="B3268" s="81" t="str">
        <f>HYPERLINK("https://www.youtube.com/channel/UCZVmFDfn5WnixrHNf25MeJQ", "〈職人吹水〉@SingSingKitchen")</f>
        <v>〈職人吹水〉@SingSingKitchen</v>
      </c>
      <c r="C3268" s="80" t="s">
        <v>3659</v>
      </c>
      <c r="D3268" s="81" t="str">
        <f>HYPERLINK("https://youtube.com/watch?v=lo2Bl6q2df0", "〈職人吹水〉 腐乳醬製作 2020 羊腩煲  4K 34分鐘 詳盡版本 包含腐乳醬製作 毫無保留 公開 中文字幕")</f>
        <v>〈職人吹水〉 腐乳醬製作 2020 羊腩煲  4K 34分鐘 詳盡版本 包含腐乳醬製作 毫無保留 公開 中文字幕</v>
      </c>
      <c r="E3268" s="82">
        <v>44192.0</v>
      </c>
      <c r="F3268" s="80">
        <v>2041.0</v>
      </c>
      <c r="G3268" s="80" t="s">
        <v>63</v>
      </c>
      <c r="I3268" s="80" t="s">
        <v>63</v>
      </c>
      <c r="J3268" s="80">
        <v>6049.0</v>
      </c>
      <c r="K3268" s="80">
        <v>0.990016366612111</v>
      </c>
      <c r="L3268" s="80" t="s">
        <v>745</v>
      </c>
    </row>
    <row r="3269">
      <c r="A3269" s="80" t="s">
        <v>3139</v>
      </c>
      <c r="B3269" s="81" t="str">
        <f t="shared" ref="B3269:B3270" si="176">HYPERLINK("https://www.youtube.com/channel/UCThO2xnH7XMg6plE8OgJm_w", "choyuen草原")</f>
        <v>choyuen草原</v>
      </c>
      <c r="C3269" s="80" t="s">
        <v>3660</v>
      </c>
      <c r="D3269" s="81" t="str">
        <f>HYPERLINK("https://youtube.com/watch?v=lxSZ_3zSx3s", "甘迺迪同香港都中左個詛咒…    Curse of Tippecanoe on JFK &amp; HK")</f>
        <v>甘迺迪同香港都中左個詛咒…    Curse of Tippecanoe on JFK &amp; HK</v>
      </c>
      <c r="E3269" s="82">
        <v>44291.0</v>
      </c>
      <c r="F3269" s="80">
        <v>211.0</v>
      </c>
      <c r="G3269" s="80" t="s">
        <v>63</v>
      </c>
      <c r="I3269" s="80" t="s">
        <v>63</v>
      </c>
      <c r="J3269" s="80">
        <v>622.0</v>
      </c>
      <c r="K3269" s="80">
        <v>0.849726775956284</v>
      </c>
      <c r="L3269" s="80" t="s">
        <v>64</v>
      </c>
    </row>
    <row r="3270">
      <c r="A3270" s="80" t="s">
        <v>3139</v>
      </c>
      <c r="B3270" s="81" t="str">
        <f t="shared" si="176"/>
        <v>choyuen草原</v>
      </c>
      <c r="C3270" s="80" t="s">
        <v>3661</v>
      </c>
      <c r="D3270" s="81" t="str">
        <f>HYPERLINK("https://youtube.com/watch?v=m-m8DF7y2I8", "(A. 可有想起我) 小行星帶  (A. the Forgotten) Asteroid belt")</f>
        <v>(A. 可有想起我) 小行星帶  (A. the Forgotten) Asteroid belt</v>
      </c>
      <c r="E3270" s="82">
        <v>44157.0</v>
      </c>
      <c r="F3270" s="80">
        <v>194.0</v>
      </c>
      <c r="G3270" s="80" t="s">
        <v>63</v>
      </c>
      <c r="I3270" s="80" t="s">
        <v>63</v>
      </c>
      <c r="J3270" s="80">
        <v>556.0</v>
      </c>
      <c r="K3270" s="80">
        <v>0.816446402349486</v>
      </c>
      <c r="L3270" s="80" t="s">
        <v>64</v>
      </c>
    </row>
    <row r="3271">
      <c r="A3271" s="80" t="s">
        <v>248</v>
      </c>
      <c r="B3271" s="81" t="str">
        <f>HYPERLINK("https://www.youtube.com/channel/UCUEJok-GiWaGlv5nIPwk-GQ", "Price.com.hk 香港格價網")</f>
        <v>Price.com.hk 香港格價網</v>
      </c>
      <c r="C3271" s="80" t="s">
        <v>3662</v>
      </c>
      <c r="D3271" s="81" t="str">
        <f>HYPERLINK("https://youtube.com/watch?v=QEa6dme1T-0", "iPhone 12用家必睇！Momax Magsafe 無線充電配件有咩揀？｜附Price網購獨家優惠｜特約專題｜廣東話【Price產品開箱】")</f>
        <v>iPhone 12用家必睇！Momax Magsafe 無線充電配件有咩揀？｜附Price網購獨家優惠｜特約專題｜廣東話【Price產品開箱】</v>
      </c>
      <c r="E3271" s="82">
        <v>44315.0</v>
      </c>
      <c r="F3271" s="80">
        <v>222.0</v>
      </c>
      <c r="G3271" s="80" t="s">
        <v>63</v>
      </c>
      <c r="I3271" s="80" t="s">
        <v>63</v>
      </c>
      <c r="J3271" s="80">
        <v>636.0</v>
      </c>
      <c r="K3271" s="80">
        <v>0.721088435374149</v>
      </c>
      <c r="L3271" s="80" t="s">
        <v>64</v>
      </c>
    </row>
    <row r="3272">
      <c r="A3272" s="80" t="s">
        <v>238</v>
      </c>
      <c r="B3272" s="81" t="str">
        <f>HYPERLINK("https://www.youtube.com/channel/UCSBkm4LwpgBmcA3MCtO8vqg", "Post76影音玩樂")</f>
        <v>Post76影音玩樂</v>
      </c>
      <c r="C3272" s="80" t="s">
        <v>3663</v>
      </c>
      <c r="D3272" s="81" t="str">
        <f>HYPERLINK("https://youtube.com/watch?v=QFj8Nbd1VW8", "Jazz 爵士界新星《 Sherine 尚羚 》首隻 MQA 靚聲全英語爵士大碟專訪 : 原來佢係中左音響毒先想唱歌！？ （附設cc字幕）【音樂專訪】")</f>
        <v>Jazz 爵士界新星《 Sherine 尚羚 》首隻 MQA 靚聲全英語爵士大碟專訪 : 原來佢係中左音響毒先想唱歌！？ （附設cc字幕）【音樂專訪】</v>
      </c>
      <c r="E3272" s="82">
        <v>44555.0</v>
      </c>
      <c r="F3272" s="80">
        <v>988.0</v>
      </c>
      <c r="G3272" s="80" t="s">
        <v>63</v>
      </c>
      <c r="H3272" s="80" t="s">
        <v>63</v>
      </c>
      <c r="I3272" s="80" t="s">
        <v>63</v>
      </c>
      <c r="J3272" s="80">
        <v>3200.0</v>
      </c>
      <c r="K3272" s="80">
        <v>0.904721515408538</v>
      </c>
      <c r="L3272" s="80" t="s">
        <v>240</v>
      </c>
    </row>
    <row r="3273">
      <c r="A3273" s="80" t="s">
        <v>3139</v>
      </c>
      <c r="B3273" s="81" t="str">
        <f>HYPERLINK("https://www.youtube.com/channel/UCThO2xnH7XMg6plE8OgJm_w", "choyuen草原")</f>
        <v>choyuen草原</v>
      </c>
      <c r="C3273" s="80" t="s">
        <v>3664</v>
      </c>
      <c r="D3273" s="81" t="str">
        <f>HYPERLINK("https://youtube.com/watch?v=mHsPqh0lhEo", "著草號外 – 疫情麻煩事 infoEscape – during Pandemic")</f>
        <v>著草號外 – 疫情麻煩事 infoEscape – during Pandemic</v>
      </c>
      <c r="E3273" s="82">
        <v>44383.0</v>
      </c>
      <c r="F3273" s="80">
        <v>75.0</v>
      </c>
      <c r="G3273" s="80" t="s">
        <v>63</v>
      </c>
      <c r="I3273" s="80" t="s">
        <v>63</v>
      </c>
      <c r="J3273" s="80">
        <v>135.0</v>
      </c>
      <c r="K3273" s="80">
        <v>0.754189944134078</v>
      </c>
      <c r="L3273" s="80" t="s">
        <v>64</v>
      </c>
    </row>
    <row r="3274">
      <c r="A3274" s="80" t="s">
        <v>2764</v>
      </c>
      <c r="B3274" s="81" t="str">
        <f>HYPERLINK("https://www.youtube.com/channel/UCejZUW4khvxoA4uL2Afz20g", "Housik Laanfei 好食懶飛")</f>
        <v>Housik Laanfei 好食懶飛</v>
      </c>
      <c r="C3274" s="80" t="s">
        <v>3665</v>
      </c>
      <c r="D3274" s="81" t="str">
        <f>HYPERLINK("https://youtube.com/watch?v=QJeNY4GtNmI", "[冰涼爽脆] 蛋花大菜糕 | CC: 廣東話/繁中/ENG SUB | COOKING VLOG")</f>
        <v>[冰涼爽脆] 蛋花大菜糕 | CC: 廣東話/繁中/ENG SUB | COOKING VLOG</v>
      </c>
      <c r="E3274" s="82">
        <v>44378.0</v>
      </c>
      <c r="F3274" s="80">
        <v>280.0</v>
      </c>
      <c r="G3274" s="80" t="s">
        <v>63</v>
      </c>
      <c r="H3274" s="80" t="s">
        <v>63</v>
      </c>
      <c r="I3274" s="80" t="s">
        <v>63</v>
      </c>
      <c r="J3274" s="80">
        <v>303.0</v>
      </c>
      <c r="K3274" s="80">
        <v>0.952681388012618</v>
      </c>
      <c r="L3274" s="80" t="s">
        <v>80</v>
      </c>
    </row>
    <row r="3275">
      <c r="A3275" s="80" t="s">
        <v>3139</v>
      </c>
      <c r="B3275" s="81" t="str">
        <f>HYPERLINK("https://www.youtube.com/channel/UCThO2xnH7XMg6plE8OgJm_w", "choyuen草原")</f>
        <v>choyuen草原</v>
      </c>
      <c r="C3275" s="80" t="s">
        <v>3666</v>
      </c>
      <c r="D3275" s="81" t="str">
        <f>HYPERLINK("https://youtube.com/watch?v=mRwIKOo1vtY", "『廣東話』武漢病毒(A.追線) : 預言 x 鑊 x 計劃 Wuhan Coronavirus: Prophecies or Plan【陰謀妄想症】")</f>
        <v>『廣東話』武漢病毒(A.追線) : 預言 x 鑊 x 計劃 Wuhan Coronavirus: Prophecies or Plan【陰謀妄想症】</v>
      </c>
      <c r="E3275" s="82">
        <v>43948.0</v>
      </c>
      <c r="F3275" s="80">
        <v>587.0</v>
      </c>
      <c r="G3275" s="80" t="s">
        <v>63</v>
      </c>
      <c r="I3275" s="80" t="s">
        <v>63</v>
      </c>
      <c r="J3275" s="80">
        <v>1488.0</v>
      </c>
      <c r="K3275" s="80">
        <v>0.817582417582417</v>
      </c>
      <c r="L3275" s="80" t="s">
        <v>64</v>
      </c>
    </row>
    <row r="3276">
      <c r="A3276" s="80" t="s">
        <v>257</v>
      </c>
      <c r="B3276" s="81" t="str">
        <f>HYPERLINK("https://www.youtube.com/channel/UC1u7XM2b3QCHcGOhD6nDypg", "Poopstirrer")</f>
        <v>Poopstirrer</v>
      </c>
      <c r="C3276" s="80" t="s">
        <v>3667</v>
      </c>
      <c r="D3276" s="81" t="str">
        <f>HYPERLINK("https://youtube.com/watch?v=QMXtgiT3ABc", "搔癢歌王!找數時候!Feat.薑檸樂")</f>
        <v>搔癢歌王!找數時候!Feat.薑檸樂</v>
      </c>
      <c r="E3276" s="82">
        <v>42681.0</v>
      </c>
      <c r="F3276" s="80">
        <v>347.0</v>
      </c>
      <c r="G3276" s="80" t="s">
        <v>63</v>
      </c>
      <c r="I3276" s="80" t="s">
        <v>63</v>
      </c>
      <c r="J3276" s="80">
        <v>426.0</v>
      </c>
      <c r="K3276" s="80">
        <v>0.900634249471458</v>
      </c>
      <c r="L3276" s="80" t="s">
        <v>64</v>
      </c>
    </row>
    <row r="3277">
      <c r="A3277" s="80" t="s">
        <v>2764</v>
      </c>
      <c r="B3277" s="81" t="str">
        <f>HYPERLINK("https://www.youtube.com/channel/UCejZUW4khvxoA4uL2Afz20g", "Housik Laanfei 好食懶飛")</f>
        <v>Housik Laanfei 好食懶飛</v>
      </c>
      <c r="C3277" s="80" t="s">
        <v>3668</v>
      </c>
      <c r="D3277" s="81" t="str">
        <f>HYPERLINK("https://youtube.com/watch?v=QNBYqBUxDfg", "[臺灣鳳梨熱] 菠蘿海鮮炒飯 配鳳梨冰茶 | CC: 廣東話/繁中/ENG SUB | COOKING VLOG")</f>
        <v>[臺灣鳳梨熱] 菠蘿海鮮炒飯 配鳳梨冰茶 | CC: 廣東話/繁中/ENG SUB | COOKING VLOG</v>
      </c>
      <c r="E3277" s="82">
        <v>44273.0</v>
      </c>
      <c r="F3277" s="80">
        <v>490.0</v>
      </c>
      <c r="G3277" s="80" t="s">
        <v>63</v>
      </c>
      <c r="H3277" s="80" t="s">
        <v>63</v>
      </c>
      <c r="I3277" s="80" t="s">
        <v>63</v>
      </c>
      <c r="J3277" s="80">
        <v>347.0</v>
      </c>
      <c r="K3277" s="80">
        <v>0.988165680473372</v>
      </c>
      <c r="L3277" s="80" t="s">
        <v>80</v>
      </c>
    </row>
    <row r="3278">
      <c r="A3278" s="80" t="s">
        <v>2898</v>
      </c>
      <c r="B3278" s="81" t="str">
        <f>HYPERLINK("https://www.youtube.com/channel/UCy5bjMXbFPglSBNDXfivtOA", "消費者委員會")</f>
        <v>消費者委員會</v>
      </c>
      <c r="C3278" s="80" t="s">
        <v>3669</v>
      </c>
      <c r="D3278" s="81" t="str">
        <f>HYPERLINK("https://youtube.com/watch?v=QR1kpxndmiU", "【潤唇膏安全程度大比拼/BabyJohn】")</f>
        <v>【潤唇膏安全程度大比拼/BabyJohn】</v>
      </c>
      <c r="E3278" s="82">
        <v>43905.0</v>
      </c>
      <c r="F3278" s="80">
        <v>193.0</v>
      </c>
      <c r="G3278" s="80" t="s">
        <v>63</v>
      </c>
      <c r="I3278" s="80" t="s">
        <v>63</v>
      </c>
      <c r="J3278" s="80">
        <v>606.0</v>
      </c>
      <c r="K3278" s="80">
        <v>0.932307692307692</v>
      </c>
      <c r="L3278" s="80" t="s">
        <v>64</v>
      </c>
    </row>
    <row r="3279">
      <c r="A3279" s="80" t="s">
        <v>3158</v>
      </c>
      <c r="B3279" s="81" t="str">
        <f>HYPERLINK("https://www.youtube.com/channel/UCldJqbxFCPolSR6V9lszWDA", "魚波 Yu Ball")</f>
        <v>魚波 Yu Ball</v>
      </c>
      <c r="C3279" s="80" t="s">
        <v>3670</v>
      </c>
      <c r="D3279" s="81" t="str">
        <f>HYPERLINK("https://youtube.com/watch?v=ml8-wMUxdxc", "為了煮酸菜魚....我射波 [CN/EN Sub] | 魚波煮")</f>
        <v>為了煮酸菜魚....我射波 [CN/EN Sub] | 魚波煮</v>
      </c>
      <c r="E3279" s="82">
        <v>43532.0</v>
      </c>
      <c r="F3279" s="80">
        <v>539.0</v>
      </c>
      <c r="G3279" s="80" t="s">
        <v>63</v>
      </c>
      <c r="H3279" s="80" t="s">
        <v>63</v>
      </c>
      <c r="I3279" s="80" t="s">
        <v>63</v>
      </c>
      <c r="J3279" s="80">
        <v>1411.0</v>
      </c>
      <c r="K3279" s="80">
        <v>0.966029723991507</v>
      </c>
      <c r="L3279" s="80" t="s">
        <v>3671</v>
      </c>
    </row>
    <row r="3280">
      <c r="A3280" s="80" t="s">
        <v>1553</v>
      </c>
      <c r="B3280" s="81" t="str">
        <f>HYPERLINK("https://www.youtube.com/channel/UC5gQ01ai9nF2x43fYmO1vow", "Ck釣魚冒險")</f>
        <v>Ck釣魚冒險</v>
      </c>
      <c r="C3280" s="80" t="s">
        <v>3672</v>
      </c>
      <c r="D3280" s="81" t="str">
        <f>HYPERLINK("https://youtube.com/watch?v=QTzF8P8rNzI", "【JIG】 西水獨木舟釣行 唔好再拎魔神棍去玩青物 JIGGING / Kayak fishing/ 香港のカヤック ジギング 📣CC字幕")</f>
        <v>【JIG】 西水獨木舟釣行 唔好再拎魔神棍去玩青物 JIGGING / Kayak fishing/ 香港のカヤック ジギング 📣CC字幕</v>
      </c>
      <c r="E3280" s="82">
        <v>44219.0</v>
      </c>
      <c r="F3280" s="80">
        <v>606.0</v>
      </c>
      <c r="G3280" s="80" t="s">
        <v>63</v>
      </c>
      <c r="I3280" s="80" t="s">
        <v>63</v>
      </c>
      <c r="J3280" s="80">
        <v>1177.0</v>
      </c>
      <c r="K3280" s="80">
        <v>0.972727272727272</v>
      </c>
      <c r="L3280" s="80" t="s">
        <v>64</v>
      </c>
    </row>
    <row r="3281">
      <c r="A3281" s="80" t="s">
        <v>248</v>
      </c>
      <c r="B3281" s="81" t="str">
        <f>HYPERLINK("https://www.youtube.com/channel/UCUEJok-GiWaGlv5nIPwk-GQ", "Price.com.hk 香港格價網")</f>
        <v>Price.com.hk 香港格價網</v>
      </c>
      <c r="C3281" s="80" t="s">
        <v>3673</v>
      </c>
      <c r="D3281" s="81" t="str">
        <f>HYPERLINK("https://youtube.com/watch?v=QZDkkmKfG7g", "怪獸晶片登場！GPU快13倍？全新M1 Pro / M1 Max MacBook Pro、AirPods 3、HomePod mini新色｜Apple發佈會懶人包【Price.com.hk產品情報】")</f>
        <v>怪獸晶片登場！GPU快13倍？全新M1 Pro / M1 Max MacBook Pro、AirPods 3、HomePod mini新色｜Apple發佈會懶人包【Price.com.hk產品情報】</v>
      </c>
      <c r="E3281" s="82">
        <v>44487.0</v>
      </c>
      <c r="F3281" s="80">
        <v>459.0</v>
      </c>
      <c r="G3281" s="80" t="s">
        <v>63</v>
      </c>
      <c r="I3281" s="80" t="s">
        <v>63</v>
      </c>
      <c r="J3281" s="80">
        <v>1258.0</v>
      </c>
      <c r="K3281" s="80">
        <v>0.632478632478632</v>
      </c>
      <c r="L3281" s="80" t="s">
        <v>64</v>
      </c>
    </row>
    <row r="3282">
      <c r="A3282" s="80" t="s">
        <v>3172</v>
      </c>
      <c r="B3282" s="81" t="str">
        <f>HYPERLINK("https://www.youtube.com/channel/UCahNh5t4wkQhSjS2-u0vSlA", "Henry Ng")</f>
        <v>Henry Ng</v>
      </c>
      <c r="C3282" s="80" t="s">
        <v>3674</v>
      </c>
      <c r="D3282" s="81" t="str">
        <f>HYPERLINK("https://youtube.com/watch?v=nAdB6ejxYns", "伊撕蘭教重要嘅古城 突尼西亞 凱魯萬 2018年5月《亨利自由行》")</f>
        <v>伊撕蘭教重要嘅古城 突尼西亞 凱魯萬 2018年5月《亨利自由行》</v>
      </c>
      <c r="E3282" s="82">
        <v>43961.0</v>
      </c>
      <c r="F3282" s="80">
        <v>288.0</v>
      </c>
      <c r="G3282" s="80" t="s">
        <v>63</v>
      </c>
      <c r="I3282" s="80" t="s">
        <v>63</v>
      </c>
      <c r="J3282" s="80">
        <v>633.0</v>
      </c>
      <c r="K3282" s="80">
        <v>0.947604790419161</v>
      </c>
      <c r="L3282" s="80" t="s">
        <v>64</v>
      </c>
    </row>
    <row r="3283">
      <c r="A3283" s="80" t="s">
        <v>3142</v>
      </c>
      <c r="B3283" s="81" t="str">
        <f>HYPERLINK("https://www.youtube.com/channel/UCO4mttl54gQ0UW-DqyVrvLQ", "陳怡ChanYee")</f>
        <v>陳怡ChanYee</v>
      </c>
      <c r="C3283" s="80" t="s">
        <v>3675</v>
      </c>
      <c r="D3283" s="81" t="str">
        <f>HYPERLINK("https://youtube.com/watch?v=nCRl9voafvk", "前男友語錄《真實對白》｜陳怡 ChanYee")</f>
        <v>前男友語錄《真實對白》｜陳怡 ChanYee</v>
      </c>
      <c r="E3283" s="82">
        <v>43262.0</v>
      </c>
      <c r="F3283" s="80">
        <v>84.0</v>
      </c>
      <c r="G3283" s="80" t="s">
        <v>63</v>
      </c>
      <c r="H3283" s="80" t="s">
        <v>63</v>
      </c>
      <c r="I3283" s="80" t="s">
        <v>63</v>
      </c>
      <c r="J3283" s="80">
        <v>372.0</v>
      </c>
      <c r="K3283" s="80">
        <v>0.994652406417112</v>
      </c>
      <c r="L3283" s="80" t="s">
        <v>66</v>
      </c>
    </row>
    <row r="3284">
      <c r="A3284" s="80" t="s">
        <v>127</v>
      </c>
      <c r="B3284" s="81" t="str">
        <f>HYPERLINK("https://www.youtube.com/channel/UC97oYK3XMf9RLtkc0lO8C-Q", "健康旦 HiEggo")</f>
        <v>健康旦 HiEggo</v>
      </c>
      <c r="C3284" s="80" t="s">
        <v>3676</v>
      </c>
      <c r="D3284" s="81" t="str">
        <f>HYPERLINK("https://youtube.com/watch?v=Q_nhuy38bBU", "跟住周秀娜做運動 周秀娜推介家居運動 分享保持好身材嘅秘訣 - 鄭丹瑞《健康旦》周秀娜 Part2 (CC中文字幕)")</f>
        <v>跟住周秀娜做運動 周秀娜推介家居運動 分享保持好身材嘅秘訣 - 鄭丹瑞《健康旦》周秀娜 Part2 (CC中文字幕)</v>
      </c>
      <c r="E3284" s="82">
        <v>43897.0</v>
      </c>
      <c r="F3284" s="80">
        <v>755.0</v>
      </c>
      <c r="G3284" s="80" t="s">
        <v>63</v>
      </c>
      <c r="I3284" s="80" t="s">
        <v>63</v>
      </c>
      <c r="J3284" s="80">
        <v>2538.0</v>
      </c>
      <c r="K3284" s="80">
        <v>0.975403535741737</v>
      </c>
      <c r="L3284" s="80" t="s">
        <v>102</v>
      </c>
    </row>
    <row r="3285">
      <c r="A3285" s="80" t="s">
        <v>3677</v>
      </c>
      <c r="B3285" s="81" t="str">
        <f>HYPERLINK("https://www.youtube.com/channel/UCVhXcNB9UMxRZsOibNndFIQ", "我不是youtuber.")</f>
        <v>我不是youtuber.</v>
      </c>
      <c r="C3285" s="80" t="s">
        <v>3678</v>
      </c>
      <c r="D3285" s="81" t="str">
        <f>HYPERLINK("https://youtube.com/watch?v=nr-iIm144bU", "澳門慈幼之聖經小電影")</f>
        <v>澳門慈幼之聖經小電影</v>
      </c>
      <c r="E3285" s="82">
        <v>43198.0</v>
      </c>
      <c r="F3285" s="80">
        <v>497.0</v>
      </c>
      <c r="G3285" s="80" t="s">
        <v>63</v>
      </c>
      <c r="I3285" s="80" t="s">
        <v>63</v>
      </c>
      <c r="J3285" s="80">
        <v>1915.0</v>
      </c>
      <c r="K3285" s="80">
        <v>0.994288681204569</v>
      </c>
      <c r="L3285" s="80" t="s">
        <v>64</v>
      </c>
    </row>
    <row r="3286">
      <c r="A3286" s="80" t="s">
        <v>108</v>
      </c>
      <c r="B3286" s="81" t="str">
        <f>HYPERLINK("https://www.youtube.com/channel/UCZL6QN6Xs-ZrKY3y6Pv6Emg", "廢青 - 日賺3000")</f>
        <v>廢青 - 日賺3000</v>
      </c>
      <c r="C3286" s="80" t="s">
        <v>3679</v>
      </c>
      <c r="D3286" s="81" t="str">
        <f>HYPERLINK("https://youtube.com/watch?v=QcbrKVUIKTo", "🥺新手學投資 本金少點好？🥺 首選揀美股！🔥🔥 （ New 新增中文字幕！）")</f>
        <v>🥺新手學投資 本金少點好？🥺 首選揀美股！🔥🔥 （ New 新增中文字幕！）</v>
      </c>
      <c r="E3286" s="82">
        <v>43874.0</v>
      </c>
      <c r="F3286" s="80">
        <v>843.0</v>
      </c>
      <c r="G3286" s="80" t="s">
        <v>63</v>
      </c>
      <c r="I3286" s="80" t="s">
        <v>63</v>
      </c>
      <c r="J3286" s="80">
        <v>3822.0</v>
      </c>
      <c r="K3286" s="80">
        <v>0.874399450926561</v>
      </c>
      <c r="L3286" s="80" t="s">
        <v>64</v>
      </c>
    </row>
    <row r="3287">
      <c r="A3287" s="80" t="s">
        <v>3162</v>
      </c>
      <c r="B3287" s="81" t="str">
        <f>HYPERLINK("https://www.youtube.com/channel/UCwz2_BsHZOaUO1zvS5zJBTw", "跟Theo一起爬坂道丨Theo Cheong")</f>
        <v>跟Theo一起爬坂道丨Theo Cheong</v>
      </c>
      <c r="C3287" s="80" t="s">
        <v>3680</v>
      </c>
      <c r="D3287" s="81" t="str">
        <f>HYPERLINK("https://youtube.com/watch?v=nwgQipvGqB0", "與架妹去初詣 (新年參拜)?! 係機鋪做舞王? | N4 Working Holiday | Vlog | Osaka")</f>
        <v>與架妹去初詣 (新年參拜)?! 係機鋪做舞王? | N4 Working Holiday | Vlog | Osaka</v>
      </c>
      <c r="E3287" s="82">
        <v>43472.0</v>
      </c>
      <c r="F3287" s="80">
        <v>319.0</v>
      </c>
      <c r="G3287" s="80" t="s">
        <v>63</v>
      </c>
      <c r="I3287" s="80" t="s">
        <v>63</v>
      </c>
      <c r="J3287" s="80">
        <v>413.0</v>
      </c>
      <c r="K3287" s="80">
        <v>0.846311475409836</v>
      </c>
      <c r="L3287" s="80" t="s">
        <v>64</v>
      </c>
    </row>
    <row r="3288">
      <c r="A3288" s="80" t="s">
        <v>3151</v>
      </c>
      <c r="B3288" s="81" t="str">
        <f>HYPERLINK("https://www.youtube.com/channel/UCARY68c_VZHHXPsEDg9Bptw", "耀佳金融集團Yaw Kai Financial Group")</f>
        <v>耀佳金融集團Yaw Kai Financial Group</v>
      </c>
      <c r="C3288" s="80" t="s">
        <v>3681</v>
      </c>
      <c r="D3288" s="81" t="str">
        <f>HYPERLINK("https://youtube.com/watch?v=oBfkTSDlEwc", "【市場點評】中芯(#981.HK) SMIC 仲可以升幾耐?")</f>
        <v>【市場點評】中芯(#981.HK) SMIC 仲可以升幾耐?</v>
      </c>
      <c r="E3288" s="82">
        <v>44011.0</v>
      </c>
      <c r="F3288" s="80">
        <v>828.0</v>
      </c>
      <c r="G3288" s="80" t="s">
        <v>63</v>
      </c>
      <c r="I3288" s="80" t="s">
        <v>63</v>
      </c>
      <c r="J3288" s="80">
        <v>2575.0</v>
      </c>
      <c r="K3288" s="80">
        <v>0.970599321522804</v>
      </c>
      <c r="L3288" s="80" t="s">
        <v>64</v>
      </c>
    </row>
    <row r="3289">
      <c r="A3289" s="80" t="s">
        <v>3172</v>
      </c>
      <c r="B3289" s="81" t="str">
        <f>HYPERLINK("https://www.youtube.com/channel/UCahNh5t4wkQhSjS2-u0vSlA", "Henry Ng")</f>
        <v>Henry Ng</v>
      </c>
      <c r="C3289" s="80" t="s">
        <v>3682</v>
      </c>
      <c r="D3289" s="81" t="str">
        <f>HYPERLINK("https://youtube.com/watch?v=oBlOmQy5ILc", "古巴 蜥蜴島 - 2017年7月《亨利自由行》")</f>
        <v>古巴 蜥蜴島 - 2017年7月《亨利自由行》</v>
      </c>
      <c r="E3289" s="82">
        <v>43214.0</v>
      </c>
      <c r="F3289" s="80">
        <v>339.0</v>
      </c>
      <c r="G3289" s="80" t="s">
        <v>63</v>
      </c>
      <c r="I3289" s="80" t="s">
        <v>63</v>
      </c>
      <c r="J3289" s="80">
        <v>319.0</v>
      </c>
      <c r="K3289" s="80">
        <v>0.785714285714285</v>
      </c>
      <c r="L3289" s="80" t="s">
        <v>64</v>
      </c>
    </row>
    <row r="3290">
      <c r="A3290" s="80" t="s">
        <v>3165</v>
      </c>
      <c r="B3290" s="81" t="str">
        <f>HYPERLINK("https://www.youtube.com/channel/UCKmwhu-hyadoBCzzM0TBDHQ", "好易煮 oe cook")</f>
        <v>好易煮 oe cook</v>
      </c>
      <c r="C3290" s="80" t="s">
        <v>3683</v>
      </c>
      <c r="D3290" s="81" t="str">
        <f>HYPERLINK("https://youtube.com/watch?v=oD_hM6zjqv0", "蕃茄牛肉蛋花湯 Beef Soup With Egg &amp; Tomato  (有字幕 With Subtitles)")</f>
        <v>蕃茄牛肉蛋花湯 Beef Soup With Egg &amp; Tomato  (有字幕 With Subtitles)</v>
      </c>
      <c r="E3290" s="82">
        <v>43830.0</v>
      </c>
      <c r="F3290" s="80">
        <v>323.0</v>
      </c>
      <c r="G3290" s="80" t="s">
        <v>63</v>
      </c>
      <c r="H3290" s="80" t="s">
        <v>63</v>
      </c>
      <c r="I3290" s="80" t="s">
        <v>63</v>
      </c>
      <c r="J3290" s="80">
        <v>138.0</v>
      </c>
      <c r="K3290" s="80">
        <v>1.0</v>
      </c>
      <c r="L3290" s="80" t="s">
        <v>3684</v>
      </c>
    </row>
    <row r="3291">
      <c r="A3291" s="80" t="s">
        <v>127</v>
      </c>
      <c r="B3291" s="81" t="str">
        <f>HYPERLINK("https://www.youtube.com/channel/UC97oYK3XMf9RLtkc0lO8C-Q", "健康旦 HiEggo")</f>
        <v>健康旦 HiEggo</v>
      </c>
      <c r="C3291" s="80" t="s">
        <v>3685</v>
      </c>
      <c r="D3291" s="81" t="str">
        <f>HYPERLINK("https://youtube.com/watch?v=QiPvJtUHw_Q", "陳慧儀推介端午安康健康糭 即場講解當中材料 小米苔麩樣樣有益 - 鄭丹瑞《健康旦》陳慧儀 Part 5 (CC中文字幕)")</f>
        <v>陳慧儀推介端午安康健康糭 即場講解當中材料 小米苔麩樣樣有益 - 鄭丹瑞《健康旦》陳慧儀 Part 5 (CC中文字幕)</v>
      </c>
      <c r="E3291" s="82">
        <v>43987.0</v>
      </c>
      <c r="F3291" s="80">
        <v>595.0</v>
      </c>
      <c r="G3291" s="80" t="s">
        <v>63</v>
      </c>
      <c r="I3291" s="80" t="s">
        <v>63</v>
      </c>
      <c r="J3291" s="80">
        <v>2565.0</v>
      </c>
      <c r="K3291" s="80">
        <v>0.983889528193325</v>
      </c>
      <c r="L3291" s="80" t="s">
        <v>240</v>
      </c>
    </row>
    <row r="3292">
      <c r="A3292" s="80" t="s">
        <v>2972</v>
      </c>
      <c r="B3292" s="81" t="str">
        <f>HYPERLINK("https://www.youtube.com/channel/UCVMEQdIDLjHcKAsEwhVXEoQ", "Danny W.")</f>
        <v>Danny W.</v>
      </c>
      <c r="C3292" s="80" t="s">
        <v>3686</v>
      </c>
      <c r="D3292" s="81" t="str">
        <f>HYPERLINK("https://youtube.com/watch?v=Qjh1SIX1s10", "Consonant Pronunciation 尾音發聲 港法文 EP 2")</f>
        <v>Consonant Pronunciation 尾音發聲 港法文 EP 2</v>
      </c>
      <c r="E3292" s="82">
        <v>44357.0</v>
      </c>
      <c r="F3292" s="80">
        <v>197.0</v>
      </c>
      <c r="G3292" s="80" t="s">
        <v>63</v>
      </c>
      <c r="I3292" s="80" t="s">
        <v>63</v>
      </c>
      <c r="J3292" s="80">
        <v>449.0</v>
      </c>
      <c r="K3292" s="80">
        <v>0.597869507323568</v>
      </c>
      <c r="L3292" s="80" t="s">
        <v>102</v>
      </c>
    </row>
    <row r="3293">
      <c r="A3293" s="80" t="s">
        <v>127</v>
      </c>
      <c r="B3293" s="81" t="str">
        <f>HYPERLINK("https://www.youtube.com/channel/UC97oYK3XMf9RLtkc0lO8C-Q", "健康旦 HiEggo")</f>
        <v>健康旦 HiEggo</v>
      </c>
      <c r="C3293" s="80" t="s">
        <v>3687</v>
      </c>
      <c r="D3293" s="81" t="str">
        <f>HYPERLINK("https://youtube.com/watch?v=Qk73AyuZFGc", "陳慧儀轉行賣超級食物 焙茶蛋糕食到阿旦大叫 - 鄭丹瑞《健康旦》陳慧儀 Part 1（CC中文字幕）")</f>
        <v>陳慧儀轉行賣超級食物 焙茶蛋糕食到阿旦大叫 - 鄭丹瑞《健康旦》陳慧儀 Part 1（CC中文字幕）</v>
      </c>
      <c r="E3293" s="82">
        <v>43934.0</v>
      </c>
      <c r="F3293" s="80">
        <v>724.0</v>
      </c>
      <c r="G3293" s="80" t="s">
        <v>63</v>
      </c>
      <c r="I3293" s="80" t="s">
        <v>63</v>
      </c>
      <c r="J3293" s="80">
        <v>2933.0</v>
      </c>
      <c r="K3293" s="80">
        <v>0.988873904248145</v>
      </c>
      <c r="L3293" s="80" t="s">
        <v>64</v>
      </c>
    </row>
    <row r="3294">
      <c r="A3294" s="80" t="s">
        <v>108</v>
      </c>
      <c r="B3294" s="81" t="str">
        <f>HYPERLINK("https://www.youtube.com/channel/UCZL6QN6Xs-ZrKY3y6Pv6Emg", "廢青 - 日賺3000")</f>
        <v>廢青 - 日賺3000</v>
      </c>
      <c r="C3294" s="80" t="s">
        <v>3688</v>
      </c>
      <c r="D3294" s="81" t="str">
        <f>HYPERLINK("https://youtube.com/watch?v=QlNQ1avPGdM", "2021 不可不知的 3 大股市部署 !! | 廢友必看 !!  EP62【廢青 日賺3000】【點CC看中文字幕】")</f>
        <v>2021 不可不知的 3 大股市部署 !! | 廢友必看 !!  EP62【廢青 日賺3000】【點CC看中文字幕】</v>
      </c>
      <c r="E3294" s="82">
        <v>44308.0</v>
      </c>
      <c r="F3294" s="80">
        <v>1855.0</v>
      </c>
      <c r="G3294" s="80" t="s">
        <v>63</v>
      </c>
      <c r="I3294" s="80" t="s">
        <v>63</v>
      </c>
      <c r="J3294" s="80">
        <v>7433.0</v>
      </c>
      <c r="K3294" s="80">
        <v>0.912360378053271</v>
      </c>
      <c r="L3294" s="80" t="s">
        <v>64</v>
      </c>
    </row>
    <row r="3295">
      <c r="A3295" s="80" t="s">
        <v>2041</v>
      </c>
      <c r="B3295" s="81" t="str">
        <f>HYPERLINK("https://www.youtube.com/channel/UCO6pB-ZN4XJ6MVkibvuEe0A", "SingSingTracker 星昇財經指標")</f>
        <v>SingSingTracker 星昇財經指標</v>
      </c>
      <c r="C3295" s="80" t="s">
        <v>3689</v>
      </c>
      <c r="D3295" s="81" t="str">
        <f>HYPERLINK("https://youtube.com/watch?v=QmUpF-RZivw", "❓4隻港股ETF你一定要識❓《ETF 三部曲EP2》【點CC中文字幕】#FWCChannel​​ #港股ETF #ETF")</f>
        <v>❓4隻港股ETF你一定要識❓《ETF 三部曲EP2》【點CC中文字幕】#FWCChannel​​ #港股ETF #ETF</v>
      </c>
      <c r="E3295" s="82">
        <v>44313.0</v>
      </c>
      <c r="F3295" s="80">
        <v>278.0</v>
      </c>
      <c r="G3295" s="80" t="s">
        <v>63</v>
      </c>
      <c r="I3295" s="80" t="s">
        <v>63</v>
      </c>
      <c r="J3295" s="80">
        <v>1016.0</v>
      </c>
      <c r="K3295" s="80">
        <v>0.887336244541484</v>
      </c>
      <c r="L3295" s="80" t="s">
        <v>64</v>
      </c>
    </row>
    <row r="3296">
      <c r="A3296" s="80" t="s">
        <v>3339</v>
      </c>
      <c r="B3296" s="81" t="str">
        <f>HYPERLINK("https://www.youtube.com/channel/UCo0lvDJ5ikc3hhD30ttGznw", "gingerlemoncola")</f>
        <v>gingerlemoncola</v>
      </c>
      <c r="C3296" s="80" t="s">
        <v>3690</v>
      </c>
      <c r="D3296" s="81" t="str">
        <f>HYPERLINK("https://youtube.com/watch?v=QmnHitrFVA8", "【整蠱】Delete好朋友珍藏咸片  w/浩嵐")</f>
        <v>【整蠱】Delete好朋友珍藏咸片  w/浩嵐</v>
      </c>
      <c r="E3296" s="82">
        <v>43438.0</v>
      </c>
      <c r="F3296" s="80">
        <v>810.0</v>
      </c>
      <c r="G3296" s="80" t="s">
        <v>63</v>
      </c>
      <c r="I3296" s="80" t="s">
        <v>63</v>
      </c>
      <c r="J3296" s="80">
        <v>2528.0</v>
      </c>
      <c r="K3296" s="80">
        <v>0.877777777777777</v>
      </c>
      <c r="L3296" s="80" t="s">
        <v>64</v>
      </c>
    </row>
    <row r="3297">
      <c r="A3297" s="80" t="s">
        <v>3144</v>
      </c>
      <c r="B3297" s="81" t="str">
        <f>HYPERLINK("https://www.youtube.com/channel/UCZVmFDfn5WnixrHNf25MeJQ", "〈職人吹水〉@SingSingKitchen")</f>
        <v>〈職人吹水〉@SingSingKitchen</v>
      </c>
      <c r="C3297" s="80" t="s">
        <v>3691</v>
      </c>
      <c r="D3297" s="81" t="str">
        <f>HYPERLINK("https://youtube.com/watch?v=oSrXuKwjXOo", "〈 職人吹水〉 EP2自助晚餐😋 澳門皇冠假日酒店Buffet Dinner Macau Crown Pleza")</f>
        <v>〈 職人吹水〉 EP2自助晚餐😋 澳門皇冠假日酒店Buffet Dinner Macau Crown Pleza</v>
      </c>
      <c r="E3297" s="82">
        <v>43323.0</v>
      </c>
      <c r="F3297" s="80">
        <v>845.0</v>
      </c>
      <c r="G3297" s="80" t="s">
        <v>63</v>
      </c>
      <c r="I3297" s="80" t="s">
        <v>63</v>
      </c>
      <c r="J3297" s="80">
        <v>946.0</v>
      </c>
      <c r="K3297" s="80">
        <v>0.989539748953974</v>
      </c>
      <c r="L3297" s="80" t="s">
        <v>64</v>
      </c>
    </row>
    <row r="3298">
      <c r="A3298" s="80" t="s">
        <v>3162</v>
      </c>
      <c r="B3298" s="81" t="str">
        <f>HYPERLINK("https://www.youtube.com/channel/UCwz2_BsHZOaUO1zvS5zJBTw", "跟Theo一起爬坂道丨Theo Cheong")</f>
        <v>跟Theo一起爬坂道丨Theo Cheong</v>
      </c>
      <c r="C3298" s="80" t="s">
        <v>3692</v>
      </c>
      <c r="D3298" s="81" t="str">
        <f>HYPERLINK("https://youtube.com/watch?v=ocoTXKVnGz8", "大阪拉麵巡禮 - 上 帶你食大阪人食既拉麵 | N4 Working Holiday | Vlog")</f>
        <v>大阪拉麵巡禮 - 上 帶你食大阪人食既拉麵 | N4 Working Holiday | Vlog</v>
      </c>
      <c r="E3298" s="82">
        <v>43521.0</v>
      </c>
      <c r="F3298" s="80">
        <v>600.0</v>
      </c>
      <c r="G3298" s="80" t="s">
        <v>63</v>
      </c>
      <c r="I3298" s="80" t="s">
        <v>63</v>
      </c>
      <c r="J3298" s="80">
        <v>1753.0</v>
      </c>
      <c r="K3298" s="80">
        <v>0.930961232076473</v>
      </c>
      <c r="L3298" s="80" t="s">
        <v>64</v>
      </c>
    </row>
    <row r="3299">
      <c r="A3299" s="80" t="s">
        <v>3144</v>
      </c>
      <c r="B3299" s="81" t="str">
        <f>HYPERLINK("https://www.youtube.com/channel/UCZVmFDfn5WnixrHNf25MeJQ", "〈職人吹水〉@SingSingKitchen")</f>
        <v>〈職人吹水〉@SingSingKitchen</v>
      </c>
      <c r="C3299" s="80" t="s">
        <v>3693</v>
      </c>
      <c r="D3299" s="81" t="str">
        <f>HYPERLINK("https://youtube.com/watch?v=odzzgn9EmNI", "〈職人吹水〉 超濃郁奶白 魚湯秘技/ 天氣驟降打邊爐/ 超濃郁奶白魚湯 打邊爐 手切原條東星斑/ 梭羅魚濃縮魚湯 附上中文字幕")</f>
        <v>〈職人吹水〉 超濃郁奶白 魚湯秘技/ 天氣驟降打邊爐/ 超濃郁奶白魚湯 打邊爐 手切原條東星斑/ 梭羅魚濃縮魚湯 附上中文字幕</v>
      </c>
      <c r="E3299" s="82">
        <v>44491.0</v>
      </c>
      <c r="F3299" s="80">
        <v>1563.0</v>
      </c>
      <c r="G3299" s="80" t="s">
        <v>63</v>
      </c>
      <c r="I3299" s="80" t="s">
        <v>63</v>
      </c>
      <c r="J3299" s="80">
        <v>3216.0</v>
      </c>
      <c r="K3299" s="80">
        <v>0.990147783251231</v>
      </c>
      <c r="L3299" s="80" t="s">
        <v>745</v>
      </c>
    </row>
    <row r="3300">
      <c r="A3300" s="80" t="s">
        <v>3151</v>
      </c>
      <c r="B3300" s="81" t="str">
        <f>HYPERLINK("https://www.youtube.com/channel/UCARY68c_VZHHXPsEDg9Bptw", "耀佳金融集團Yaw Kai Financial Group")</f>
        <v>耀佳金融集團Yaw Kai Financial Group</v>
      </c>
      <c r="C3300" s="80" t="s">
        <v>3694</v>
      </c>
      <c r="D3300" s="81" t="str">
        <f>HYPERLINK("https://youtube.com/watch?v=osZ3IeYocM8", "【市場點評】恒指公司發布恒生科技指數「港版納指」ATMX權重佔3分之1 ?")</f>
        <v>【市場點評】恒指公司發布恒生科技指數「港版納指」ATMX權重佔3分之1 ?</v>
      </c>
      <c r="E3300" s="82">
        <v>44032.0</v>
      </c>
      <c r="F3300" s="80">
        <v>357.0</v>
      </c>
      <c r="G3300" s="80" t="s">
        <v>63</v>
      </c>
      <c r="I3300" s="80" t="s">
        <v>63</v>
      </c>
      <c r="J3300" s="80">
        <v>1095.0</v>
      </c>
      <c r="K3300" s="80">
        <v>0.960526315789473</v>
      </c>
      <c r="L3300" s="80" t="s">
        <v>64</v>
      </c>
    </row>
    <row r="3301">
      <c r="A3301" s="80" t="s">
        <v>1987</v>
      </c>
      <c r="B3301" s="81" t="str">
        <f>HYPERLINK("https://www.youtube.com/channel/UCgGUmm04nVyj-ftaCxVcyBg", "MangoHK大馬獅家")</f>
        <v>MangoHK大馬獅家</v>
      </c>
      <c r="C3301" s="80" t="s">
        <v>3695</v>
      </c>
      <c r="D3301" s="81" t="str">
        <f>HYPERLINK("https://youtube.com/watch?v=QnaYeLo81j0", "【52】台灣篇👦🏻為咗小孩！👍到底台灣定大馬好？ {中英字幕}  Subtitled | Malaysia or Taiwan | Malaysia Vlog | mm2h")</f>
        <v>【52】台灣篇👦🏻為咗小孩！👍到底台灣定大馬好？ {中英字幕}  Subtitled | Malaysia or Taiwan | Malaysia Vlog | mm2h</v>
      </c>
      <c r="E3301" s="82">
        <v>44480.0</v>
      </c>
      <c r="F3301" s="80">
        <v>623.0</v>
      </c>
      <c r="G3301" s="80" t="s">
        <v>63</v>
      </c>
      <c r="I3301" s="80" t="s">
        <v>63</v>
      </c>
      <c r="J3301" s="80">
        <v>1356.0</v>
      </c>
      <c r="K3301" s="80">
        <v>0.994134897360703</v>
      </c>
      <c r="L3301" s="80" t="s">
        <v>896</v>
      </c>
    </row>
    <row r="3302">
      <c r="A3302" s="80" t="s">
        <v>127</v>
      </c>
      <c r="B3302" s="81" t="str">
        <f>HYPERLINK("https://www.youtube.com/channel/UC97oYK3XMf9RLtkc0lO8C-Q", "健康旦 HiEggo")</f>
        <v>健康旦 HiEggo</v>
      </c>
      <c r="C3302" s="80" t="s">
        <v>3696</v>
      </c>
      <c r="D3302" s="81" t="str">
        <f>HYPERLINK("https://youtube.com/watch?v=QnasiDTMSPY", "陳志雲踩入YouTube開網台 志雲頻道頭炮 我不是歌手志在開心滿足 - 鄭丹瑞《健康旦》陳志雲 Part 1（CC中文字幕）")</f>
        <v>陳志雲踩入YouTube開網台 志雲頻道頭炮 我不是歌手志在開心滿足 - 鄭丹瑞《健康旦》陳志雲 Part 1（CC中文字幕）</v>
      </c>
      <c r="E3302" s="82">
        <v>43952.0</v>
      </c>
      <c r="F3302" s="80">
        <v>683.0</v>
      </c>
      <c r="G3302" s="80" t="s">
        <v>63</v>
      </c>
      <c r="I3302" s="80" t="s">
        <v>63</v>
      </c>
      <c r="J3302" s="80">
        <v>2732.0</v>
      </c>
      <c r="K3302" s="80">
        <v>0.962310672772102</v>
      </c>
      <c r="L3302" s="80" t="s">
        <v>64</v>
      </c>
    </row>
    <row r="3303">
      <c r="A3303" s="80" t="s">
        <v>293</v>
      </c>
      <c r="B3303" s="81" t="str">
        <f>HYPERLINK("https://www.youtube.com/channel/UCXRcbXqjORdIvl63I7MtOLQ", "趁熱 Kerry 's kitchen")</f>
        <v>趁熱 Kerry 's kitchen</v>
      </c>
      <c r="C3303" s="80" t="s">
        <v>3697</v>
      </c>
      <c r="D3303" s="81" t="str">
        <f>HYPERLINK("https://youtube.com/watch?v=Qq5iC6H7OmE", "沙爹 牛肉/廣東話/中字/沙爹金菇肥牛煲/打邊爐剩下的食材重新組合/10分鐘攪掂/不浪費/簡單 家做/新手 入門")</f>
        <v>沙爹 牛肉/廣東話/中字/沙爹金菇肥牛煲/打邊爐剩下的食材重新組合/10分鐘攪掂/不浪費/簡單 家做/新手 入門</v>
      </c>
      <c r="E3303" s="82">
        <v>44566.0</v>
      </c>
      <c r="F3303" s="80">
        <v>494.0</v>
      </c>
      <c r="G3303" s="80" t="s">
        <v>63</v>
      </c>
      <c r="I3303" s="80" t="s">
        <v>63</v>
      </c>
      <c r="J3303" s="80">
        <v>692.0</v>
      </c>
      <c r="K3303" s="80">
        <v>0.977401129943502</v>
      </c>
      <c r="L3303" s="80" t="s">
        <v>64</v>
      </c>
    </row>
    <row r="3304">
      <c r="A3304" s="80" t="s">
        <v>3151</v>
      </c>
      <c r="B3304" s="81" t="str">
        <f>HYPERLINK("https://www.youtube.com/channel/UCARY68c_VZHHXPsEDg9Bptw", "耀佳金融集團Yaw Kai Financial Group")</f>
        <v>耀佳金融集團Yaw Kai Financial Group</v>
      </c>
      <c r="C3304" s="80" t="s">
        <v>3698</v>
      </c>
      <c r="D3304" s="81" t="str">
        <f>HYPERLINK("https://youtube.com/watch?v=p5kd9H-ol68", "【市場點評】網易9999.HK 一手難求/ 基金200倍槓桿狙擊港元")</f>
        <v>【市場點評】網易9999.HK 一手難求/ 基金200倍槓桿狙擊港元</v>
      </c>
      <c r="E3304" s="82">
        <v>43992.0</v>
      </c>
      <c r="F3304" s="80">
        <v>402.0</v>
      </c>
      <c r="G3304" s="80" t="s">
        <v>63</v>
      </c>
      <c r="I3304" s="80" t="s">
        <v>63</v>
      </c>
      <c r="J3304" s="80">
        <v>90.0</v>
      </c>
      <c r="K3304" s="80">
        <v>1.0</v>
      </c>
      <c r="L3304" s="80" t="s">
        <v>64</v>
      </c>
    </row>
    <row r="3305">
      <c r="A3305" s="80" t="s">
        <v>1139</v>
      </c>
      <c r="B3305" s="81" t="str">
        <f>HYPERLINK("https://www.youtube.com/channel/UCw51gVFijIewmXH4tIR0ufw", "Crystal Zen")</f>
        <v>Crystal Zen</v>
      </c>
      <c r="C3305" s="80" t="s">
        <v>3699</v>
      </c>
      <c r="D3305" s="81" t="str">
        <f>HYPERLINK("https://youtube.com/watch?v=Qs8oRN1Rjes", "[買水晶前必睇系列] 揀翡翠綠幽好定綠幽靈好呢？呢條片應該可以幫到你！！！")</f>
        <v>[買水晶前必睇系列] 揀翡翠綠幽好定綠幽靈好呢？呢條片應該可以幫到你！！！</v>
      </c>
      <c r="E3305" s="82">
        <v>44161.0</v>
      </c>
      <c r="F3305" s="80">
        <v>491.0</v>
      </c>
      <c r="G3305" s="80" t="s">
        <v>63</v>
      </c>
      <c r="I3305" s="80" t="s">
        <v>63</v>
      </c>
      <c r="J3305" s="80">
        <v>2041.0</v>
      </c>
      <c r="K3305" s="80">
        <v>0.882022471910112</v>
      </c>
      <c r="L3305" s="80" t="s">
        <v>64</v>
      </c>
    </row>
    <row r="3306">
      <c r="A3306" s="80" t="s">
        <v>98</v>
      </c>
      <c r="B3306" s="81" t="str">
        <f t="shared" ref="B3306:B3307" si="177">HYPERLINK("https://www.youtube.com/channel/UCrquuQB6v1Ued2xyRKZreGQ", "Stephen Leung ")</f>
        <v>Stephen Leung </v>
      </c>
      <c r="C3306" s="80" t="s">
        <v>3700</v>
      </c>
      <c r="D3306" s="81" t="str">
        <f>HYPERLINK("https://youtube.com/watch?v=QtKNyvaSjhc", "【香港美食】香港最豪華自助餐!😋 JW萬豪酒店 自助餐 4小時任食 大大塊花膠扒 海參扣鮑魚 蒜蓉蒸大蝦 花蟹 波士頓龍蝦 JW Cafe 香港JW marriott 萬豪酒店| 吃喝玩樂 電子消費券")</f>
        <v>【香港美食】香港最豪華自助餐!😋 JW萬豪酒店 自助餐 4小時任食 大大塊花膠扒 海參扣鮑魚 蒜蓉蒸大蝦 花蟹 波士頓龍蝦 JW Cafe 香港JW marriott 萬豪酒店| 吃喝玩樂 電子消費券</v>
      </c>
      <c r="E3306" s="82">
        <v>44467.0</v>
      </c>
      <c r="F3306" s="80">
        <v>899.0</v>
      </c>
      <c r="G3306" s="80" t="s">
        <v>63</v>
      </c>
      <c r="I3306" s="80" t="s">
        <v>63</v>
      </c>
      <c r="J3306" s="80">
        <v>1866.0</v>
      </c>
      <c r="K3306" s="80">
        <v>0.931137724550898</v>
      </c>
      <c r="L3306" s="80" t="s">
        <v>521</v>
      </c>
    </row>
    <row r="3307">
      <c r="A3307" s="80" t="s">
        <v>98</v>
      </c>
      <c r="B3307" s="81" t="str">
        <f t="shared" si="177"/>
        <v>Stephen Leung </v>
      </c>
      <c r="C3307" s="80" t="s">
        <v>3701</v>
      </c>
      <c r="D3307" s="81" t="str">
        <f>HYPERLINK("https://youtube.com/watch?v=Qupv2DUYuSg", "【電子消費券 美食指南】 週日燒烤餐 米芝蓮一星  USDA Prime Rib 文華扒房  Mandarin Grill + Bar Sunday Roast | 吃喝玩樂")</f>
        <v>【電子消費券 美食指南】 週日燒烤餐 米芝蓮一星  USDA Prime Rib 文華扒房  Mandarin Grill + Bar Sunday Roast | 吃喝玩樂</v>
      </c>
      <c r="E3307" s="82">
        <v>44377.0</v>
      </c>
      <c r="F3307" s="80">
        <v>551.0</v>
      </c>
      <c r="G3307" s="80" t="s">
        <v>63</v>
      </c>
      <c r="I3307" s="80" t="s">
        <v>63</v>
      </c>
      <c r="J3307" s="80">
        <v>1631.0</v>
      </c>
      <c r="K3307" s="80">
        <v>0.930405019965773</v>
      </c>
      <c r="L3307" s="80" t="s">
        <v>521</v>
      </c>
    </row>
    <row r="3308">
      <c r="A3308" s="80" t="s">
        <v>1390</v>
      </c>
      <c r="B3308" s="81" t="str">
        <f>HYPERLINK("https://www.youtube.com/channel/UCgwEJflQi4WnZ8PU0xdibZQ", "Kinson Ho")</f>
        <v>Kinson Ho</v>
      </c>
      <c r="C3308" s="80" t="s">
        <v>3702</v>
      </c>
      <c r="D3308" s="81" t="str">
        <f>HYPERLINK("https://youtube.com/watch?v=QwCiEwuruHE", "K神任我行 - [CC字幕]清水灣｜火星洞｜扭紋洞｜水浸火星洞｜泳綑｜航拍")</f>
        <v>K神任我行 - [CC字幕]清水灣｜火星洞｜扭紋洞｜水浸火星洞｜泳綑｜航拍</v>
      </c>
      <c r="E3308" s="82">
        <v>44342.0</v>
      </c>
      <c r="F3308" s="80">
        <v>902.0</v>
      </c>
      <c r="G3308" s="80" t="s">
        <v>63</v>
      </c>
      <c r="I3308" s="80" t="s">
        <v>63</v>
      </c>
      <c r="J3308" s="80">
        <v>834.0</v>
      </c>
      <c r="K3308" s="80">
        <v>1.0</v>
      </c>
      <c r="L3308" s="80" t="s">
        <v>64</v>
      </c>
    </row>
    <row r="3309">
      <c r="A3309" s="80" t="s">
        <v>98</v>
      </c>
      <c r="B3309" s="81" t="str">
        <f>HYPERLINK("https://www.youtube.com/channel/UCrquuQB6v1Ued2xyRKZreGQ", "Stephen Leung ")</f>
        <v>Stephen Leung </v>
      </c>
      <c r="C3309" s="80" t="s">
        <v>3703</v>
      </c>
      <c r="D3309" s="81" t="str">
        <f>HYPERLINK("https://youtube.com/watch?v=QwkFCIkq00Q", "【香港美食】銅鑼灣美食 日本宮崎和牛炙燒丼飯 豚肉丼 鰻魚丼 炙宴 ABURI-EN 電子消費券 可用 | 吃喝玩樂 2021 香港好去處")</f>
        <v>【香港美食】銅鑼灣美食 日本宮崎和牛炙燒丼飯 豚肉丼 鰻魚丼 炙宴 ABURI-EN 電子消費券 可用 | 吃喝玩樂 2021 香港好去處</v>
      </c>
      <c r="E3309" s="82">
        <v>44434.0</v>
      </c>
      <c r="F3309" s="80">
        <v>552.0</v>
      </c>
      <c r="G3309" s="80" t="s">
        <v>63</v>
      </c>
      <c r="I3309" s="80" t="s">
        <v>63</v>
      </c>
      <c r="J3309" s="80">
        <v>1475.0</v>
      </c>
      <c r="K3309" s="80">
        <v>0.981370592149035</v>
      </c>
      <c r="L3309" s="80" t="s">
        <v>64</v>
      </c>
    </row>
    <row r="3310">
      <c r="A3310" s="80" t="s">
        <v>84</v>
      </c>
      <c r="B3310" s="81" t="str">
        <f>HYPERLINK("https://www.youtube.com/channel/UCs6fW24aVjefTsognevmDnA", "PakTil 拍跳")</f>
        <v>PakTil 拍跳</v>
      </c>
      <c r="C3310" s="80" t="s">
        <v>3704</v>
      </c>
      <c r="D3310" s="81" t="str">
        <f>HYPERLINK("https://youtube.com/watch?v=QxMuW8Ca7zg", "【拍跳抽水站】趕走脂肪神器 聖誕禮物交換必備")</f>
        <v>【拍跳抽水站】趕走脂肪神器 聖誕禮物交換必備</v>
      </c>
      <c r="E3310" s="82">
        <v>44183.0</v>
      </c>
      <c r="F3310" s="80">
        <v>154.0</v>
      </c>
      <c r="G3310" s="80" t="s">
        <v>63</v>
      </c>
      <c r="I3310" s="80" t="s">
        <v>63</v>
      </c>
      <c r="J3310" s="80">
        <v>358.0</v>
      </c>
      <c r="K3310" s="80">
        <v>0.848341232227488</v>
      </c>
      <c r="L3310" s="80" t="s">
        <v>745</v>
      </c>
    </row>
    <row r="3311">
      <c r="A3311" s="80" t="s">
        <v>3139</v>
      </c>
      <c r="B3311" s="81" t="str">
        <f>HYPERLINK("https://www.youtube.com/channel/UCThO2xnH7XMg6plE8OgJm_w", "choyuen草原")</f>
        <v>choyuen草原</v>
      </c>
      <c r="C3311" s="80" t="s">
        <v>3705</v>
      </c>
      <c r="D3311" s="81" t="str">
        <f>HYPERLINK("https://youtube.com/watch?v=pDI_qNfz0zE", "『廣東話』光明會碰碰咤之$1美金金字塔向你單眼 illuminati123 : USD$1 pyramid blinks【禁忌的傳說】")</f>
        <v>『廣東話』光明會碰碰咤之$1美金金字塔向你單眼 illuminati123 : USD$1 pyramid blinks【禁忌的傳說】</v>
      </c>
      <c r="E3311" s="82">
        <v>43305.0</v>
      </c>
      <c r="F3311" s="80">
        <v>149.0</v>
      </c>
      <c r="G3311" s="80" t="s">
        <v>63</v>
      </c>
      <c r="I3311" s="80" t="s">
        <v>63</v>
      </c>
      <c r="J3311" s="80">
        <v>439.0</v>
      </c>
      <c r="K3311" s="80">
        <v>0.876247504990019</v>
      </c>
      <c r="L3311" s="80" t="s">
        <v>64</v>
      </c>
    </row>
    <row r="3312">
      <c r="A3312" s="80" t="s">
        <v>2972</v>
      </c>
      <c r="B3312" s="81" t="str">
        <f>HYPERLINK("https://www.youtube.com/channel/UCVMEQdIDLjHcKAsEwhVXEoQ", "Danny W.")</f>
        <v>Danny W.</v>
      </c>
      <c r="C3312" s="80" t="s">
        <v>3706</v>
      </c>
      <c r="D3312" s="81" t="str">
        <f>HYPERLINK("https://youtube.com/watch?v=R-aCVLPUwIo", "Apple Pay 加全世界 Transit Card | 集合 Wallet 所有交通卡")</f>
        <v>Apple Pay 加全世界 Transit Card | 集合 Wallet 所有交通卡</v>
      </c>
      <c r="E3312" s="82">
        <v>44354.0</v>
      </c>
      <c r="F3312" s="80">
        <v>13.0</v>
      </c>
      <c r="G3312" s="80" t="s">
        <v>63</v>
      </c>
      <c r="I3312" s="80" t="s">
        <v>63</v>
      </c>
      <c r="J3312" s="80">
        <v>36.0</v>
      </c>
      <c r="K3312" s="80">
        <v>1.0</v>
      </c>
      <c r="L3312" s="80" t="s">
        <v>102</v>
      </c>
    </row>
    <row r="3313">
      <c r="A3313" s="80" t="s">
        <v>238</v>
      </c>
      <c r="B3313" s="81" t="str">
        <f>HYPERLINK("https://www.youtube.com/channel/UCSBkm4LwpgBmcA3MCtO8vqg", "Post76影音玩樂")</f>
        <v>Post76影音玩樂</v>
      </c>
      <c r="C3313" s="80" t="s">
        <v>3707</v>
      </c>
      <c r="D3313" s="81" t="str">
        <f>HYPERLINK("https://youtube.com/watch?v=R0bM_vULuqM", "LG GX 4K OLED 55"" 實試：「零距離」無縫掛牆的純黑家庭影院 | （附設中文字幕）粵語 【電視評測 | Post76.hk】")</f>
        <v>LG GX 4K OLED 55" 實試：「零距離」無縫掛牆的純黑家庭影院 | （附設中文字幕）粵語 【電視評測 | Post76.hk】</v>
      </c>
      <c r="E3313" s="82">
        <v>44248.0</v>
      </c>
      <c r="F3313" s="80">
        <v>783.0</v>
      </c>
      <c r="G3313" s="80" t="s">
        <v>63</v>
      </c>
      <c r="H3313" s="80" t="s">
        <v>63</v>
      </c>
      <c r="I3313" s="80" t="s">
        <v>63</v>
      </c>
      <c r="J3313" s="80">
        <v>2834.0</v>
      </c>
      <c r="K3313" s="80">
        <v>0.890075376884422</v>
      </c>
      <c r="L3313" s="80" t="s">
        <v>66</v>
      </c>
    </row>
    <row r="3314">
      <c r="A3314" s="80" t="s">
        <v>3158</v>
      </c>
      <c r="B3314" s="81" t="str">
        <f>HYPERLINK("https://www.youtube.com/channel/UCldJqbxFCPolSR6V9lszWDA", "魚波 Yu Ball")</f>
        <v>魚波 Yu Ball</v>
      </c>
      <c r="C3314" s="80" t="s">
        <v>3708</v>
      </c>
      <c r="D3314" s="81" t="str">
        <f>HYPERLINK("https://youtube.com/watch?v=pOujmiPCgQ4", "解答各種電單車問題 - 第一集。人肉問答機的煩惱...(CC字幕)【魚波講#13】")</f>
        <v>解答各種電單車問題 - 第一集。人肉問答機的煩惱...(CC字幕)【魚波講#13】</v>
      </c>
      <c r="E3314" s="82">
        <v>44017.0</v>
      </c>
      <c r="F3314" s="80">
        <v>1034.0</v>
      </c>
      <c r="G3314" s="80" t="s">
        <v>63</v>
      </c>
      <c r="I3314" s="80" t="s">
        <v>63</v>
      </c>
      <c r="J3314" s="80">
        <v>4098.0</v>
      </c>
      <c r="K3314" s="80">
        <v>0.913712374581939</v>
      </c>
      <c r="L3314" s="80" t="s">
        <v>66</v>
      </c>
    </row>
    <row r="3315">
      <c r="A3315" s="80" t="s">
        <v>98</v>
      </c>
      <c r="B3315" s="81" t="str">
        <f>HYPERLINK("https://www.youtube.com/channel/UCrquuQB6v1Ued2xyRKZreGQ", "Stephen Leung ")</f>
        <v>Stephen Leung </v>
      </c>
      <c r="C3315" s="80" t="s">
        <v>3709</v>
      </c>
      <c r="D3315" s="81" t="str">
        <f>HYPERLINK("https://youtube.com/watch?v=R1r-Z-hotWw", "【大熱手信開箱】台灣, 香港製造 本地品牌 13款果仁零食 一次過試食 觀眾特價優惠! 嘗琉珍 | 吃喝玩樂 香港好去處")</f>
        <v>【大熱手信開箱】台灣, 香港製造 本地品牌 13款果仁零食 一次過試食 觀眾特價優惠! 嘗琉珍 | 吃喝玩樂 香港好去處</v>
      </c>
      <c r="E3315" s="82">
        <v>44417.0</v>
      </c>
      <c r="F3315" s="80">
        <v>481.0</v>
      </c>
      <c r="G3315" s="80" t="s">
        <v>63</v>
      </c>
      <c r="I3315" s="80" t="s">
        <v>63</v>
      </c>
      <c r="J3315" s="80">
        <v>1341.0</v>
      </c>
      <c r="K3315" s="80">
        <v>0.976693372177713</v>
      </c>
      <c r="L3315" s="80" t="s">
        <v>64</v>
      </c>
    </row>
    <row r="3316">
      <c r="A3316" s="80" t="s">
        <v>127</v>
      </c>
      <c r="B3316" s="81" t="str">
        <f>HYPERLINK("https://www.youtube.com/channel/UC97oYK3XMf9RLtkc0lO8C-Q", "健康旦 HiEggo")</f>
        <v>健康旦 HiEggo</v>
      </c>
      <c r="C3316" s="80" t="s">
        <v>3710</v>
      </c>
      <c r="D3316" s="81" t="str">
        <f>HYPERLINK("https://youtube.com/watch?v=R5V0yiKcaSo", "飲用水有分好與壞 李維恩教授拆解人體水份奧秘 - 鄭丹瑞《健康旦》李維恩 Part 11")</f>
        <v>飲用水有分好與壞 李維恩教授拆解人體水份奧秘 - 鄭丹瑞《健康旦》李維恩 Part 11</v>
      </c>
      <c r="E3316" s="82">
        <v>43930.0</v>
      </c>
      <c r="F3316" s="80">
        <v>715.0</v>
      </c>
      <c r="G3316" s="80" t="s">
        <v>63</v>
      </c>
      <c r="I3316" s="80" t="s">
        <v>63</v>
      </c>
      <c r="J3316" s="80">
        <v>2479.0</v>
      </c>
      <c r="K3316" s="80">
        <v>0.971775774206193</v>
      </c>
      <c r="L3316" s="80" t="s">
        <v>64</v>
      </c>
    </row>
    <row r="3317">
      <c r="A3317" s="80" t="s">
        <v>3151</v>
      </c>
      <c r="B3317" s="81" t="str">
        <f>HYPERLINK("https://www.youtube.com/channel/UCARY68c_VZHHXPsEDg9Bptw", "耀佳金融集團Yaw Kai Financial Group")</f>
        <v>耀佳金融集團Yaw Kai Financial Group</v>
      </c>
      <c r="C3317" s="80" t="s">
        <v>3711</v>
      </c>
      <c r="D3317" s="81" t="str">
        <f>HYPERLINK("https://youtube.com/watch?v=pVkWjnmVDrU", "【市場點評】政府派錢一萬元投資懶人包")</f>
        <v>【市場點評】政府派錢一萬元投資懶人包</v>
      </c>
      <c r="E3317" s="82">
        <v>44004.0</v>
      </c>
      <c r="F3317" s="80">
        <v>564.0</v>
      </c>
      <c r="G3317" s="80" t="s">
        <v>63</v>
      </c>
      <c r="I3317" s="80" t="s">
        <v>63</v>
      </c>
      <c r="J3317" s="80">
        <v>1831.0</v>
      </c>
      <c r="K3317" s="80">
        <v>0.988127361036157</v>
      </c>
      <c r="L3317" s="80" t="s">
        <v>64</v>
      </c>
    </row>
    <row r="3318">
      <c r="A3318" s="80" t="s">
        <v>2825</v>
      </c>
      <c r="B3318" s="81" t="str">
        <f>HYPERLINK("https://www.youtube.com/channel/UCP7XhYDgUbvjvaHxIhjTd_g", "Maviskuku 雞蛋妹")</f>
        <v>Maviskuku 雞蛋妹</v>
      </c>
      <c r="C3318" s="80" t="s">
        <v>3712</v>
      </c>
      <c r="D3318" s="81" t="str">
        <f>HYPERLINK("https://youtube.com/watch?v=R7fTvnUnwvY", "【男人の浪漫】玩具開箱！Pokemon Scale World + 數碼暴龍掌動一、二、三彈")</f>
        <v>【男人の浪漫】玩具開箱！Pokemon Scale World + 數碼暴龍掌動一、二、三彈</v>
      </c>
      <c r="E3318" s="82">
        <v>44357.0</v>
      </c>
      <c r="F3318" s="80">
        <v>526.0</v>
      </c>
      <c r="G3318" s="80" t="s">
        <v>63</v>
      </c>
      <c r="H3318" s="80" t="s">
        <v>63</v>
      </c>
      <c r="I3318" s="80" t="s">
        <v>63</v>
      </c>
      <c r="J3318" s="80">
        <v>1260.0</v>
      </c>
      <c r="K3318" s="80">
        <v>0.869294605809128</v>
      </c>
      <c r="L3318" s="80" t="s">
        <v>66</v>
      </c>
    </row>
    <row r="3319">
      <c r="A3319" s="80" t="s">
        <v>2829</v>
      </c>
      <c r="B3319" s="81" t="str">
        <f>HYPERLINK("https://www.youtube.com/channel/UC7GnES6AEQlDzaP04UqtyjA", "SOLID IDEA")</f>
        <v>SOLID IDEA</v>
      </c>
      <c r="C3319" s="80" t="s">
        <v>3713</v>
      </c>
      <c r="D3319" s="81" t="str">
        <f>HYPERLINK("https://youtube.com/watch?v=R952ct_Rk_Y", "[#設計概念] #TheCampton #莫蘭迪色 | 室內設計 | 空間擺位 | SOLID IDEA | (CC中文字幕)")</f>
        <v>[#設計概念] #TheCampton #莫蘭迪色 | 室內設計 | 空間擺位 | SOLID IDEA | (CC中文字幕)</v>
      </c>
      <c r="E3319" s="82">
        <v>44463.0</v>
      </c>
      <c r="F3319" s="80">
        <v>230.0</v>
      </c>
      <c r="G3319" s="80" t="s">
        <v>63</v>
      </c>
      <c r="I3319" s="80" t="s">
        <v>63</v>
      </c>
      <c r="J3319" s="80">
        <v>587.0</v>
      </c>
      <c r="K3319" s="80">
        <v>0.908668730650154</v>
      </c>
      <c r="L3319" s="80" t="s">
        <v>64</v>
      </c>
    </row>
    <row r="3320">
      <c r="A3320" s="80" t="s">
        <v>98</v>
      </c>
      <c r="B3320" s="81" t="str">
        <f>HYPERLINK("https://www.youtube.com/channel/UCrquuQB6v1Ued2xyRKZreGQ", "Stephen Leung ")</f>
        <v>Stephen Leung </v>
      </c>
      <c r="C3320" s="80" t="s">
        <v>3714</v>
      </c>
      <c r="D3320" s="81" t="str">
        <f>HYPERLINK("https://youtube.com/watch?v=RAg8Datv_yI", "【電子消費券 美食指南】香港美食 抵食 串燒放題 2.5小時 $238全包 任飲任食 放題2021 密密燒 |  tap and go | 八達通 | wechat | alipay 放題 2020")</f>
        <v>【電子消費券 美食指南】香港美食 抵食 串燒放題 2.5小時 $238全包 任飲任食 放題2021 密密燒 |  tap and go | 八達通 | wechat | alipay 放題 2020</v>
      </c>
      <c r="E3320" s="82">
        <v>44386.0</v>
      </c>
      <c r="F3320" s="80">
        <v>582.0</v>
      </c>
      <c r="G3320" s="80" t="s">
        <v>63</v>
      </c>
      <c r="I3320" s="80" t="s">
        <v>63</v>
      </c>
      <c r="J3320" s="80">
        <v>1470.0</v>
      </c>
      <c r="K3320" s="80">
        <v>0.975447909754479</v>
      </c>
      <c r="L3320" s="80" t="s">
        <v>64</v>
      </c>
    </row>
    <row r="3321">
      <c r="A3321" s="80" t="s">
        <v>3170</v>
      </c>
      <c r="B3321" s="81" t="str">
        <f>HYPERLINK("https://www.youtube.com/channel/UC4sYIzNtzgaJudHQcDGtuJA", "CC漫遊")</f>
        <v>CC漫遊</v>
      </c>
      <c r="C3321" s="80" t="s">
        <v>3715</v>
      </c>
      <c r="D3321" s="81" t="str">
        <f>HYPERLINK("https://youtube.com/watch?v=RDO8ekaKu2Q", "【香港行山好去處】2021芒草季到啦｜打橫行去大東山｜日落時嘅金黃芒草｜東涌行山記 Ep.2")</f>
        <v>【香港行山好去處】2021芒草季到啦｜打橫行去大東山｜日落時嘅金黃芒草｜東涌行山記 Ep.2</v>
      </c>
      <c r="E3321" s="82">
        <v>44502.0</v>
      </c>
      <c r="F3321" s="80">
        <v>570.0</v>
      </c>
      <c r="G3321" s="80" t="s">
        <v>63</v>
      </c>
      <c r="I3321" s="80" t="s">
        <v>63</v>
      </c>
      <c r="J3321" s="80">
        <v>1712.0</v>
      </c>
      <c r="K3321" s="80">
        <v>0.949528563505269</v>
      </c>
      <c r="L3321" s="80" t="s">
        <v>102</v>
      </c>
    </row>
    <row r="3322">
      <c r="A3322" s="80" t="s">
        <v>3151</v>
      </c>
      <c r="B3322" s="81" t="str">
        <f>HYPERLINK("https://www.youtube.com/channel/UCARY68c_VZHHXPsEDg9Bptw", "耀佳金融集團Yaw Kai Financial Group")</f>
        <v>耀佳金融集團Yaw Kai Financial Group</v>
      </c>
      <c r="C3322" s="80" t="s">
        <v>3716</v>
      </c>
      <c r="D3322" s="81" t="str">
        <f>HYPERLINK("https://youtube.com/watch?v=q1QB55bqSdQ", "【新股點評】京東攻略 (#9618.hk) 暗盤直擊，定係買阿里巴巴 (#9988.hk) 更好?")</f>
        <v>【新股點評】京東攻略 (#9618.hk) 暗盤直擊，定係買阿里巴巴 (#9988.hk) 更好?</v>
      </c>
      <c r="E3322" s="82">
        <v>43999.0</v>
      </c>
      <c r="F3322" s="80">
        <v>611.0</v>
      </c>
      <c r="G3322" s="80" t="s">
        <v>63</v>
      </c>
      <c r="I3322" s="80" t="s">
        <v>63</v>
      </c>
      <c r="J3322" s="80">
        <v>1783.0</v>
      </c>
      <c r="K3322" s="80">
        <v>0.969548667754214</v>
      </c>
      <c r="L3322" s="80" t="s">
        <v>64</v>
      </c>
    </row>
    <row r="3323">
      <c r="A3323" s="80" t="s">
        <v>248</v>
      </c>
      <c r="B3323" s="81" t="str">
        <f>HYPERLINK("https://www.youtube.com/channel/UCUEJok-GiWaGlv5nIPwk-GQ", "Price.com.hk 香港格價網")</f>
        <v>Price.com.hk 香港格價網</v>
      </c>
      <c r="C3323" s="80" t="s">
        <v>3717</v>
      </c>
      <c r="D3323" s="81" t="str">
        <f>HYPERLINK("https://youtube.com/watch?v=RDqeP7tj5UM", "四色實物在手 Apple iPad mini 6 (2021)買唔買？全新入門iPad 返學首選｜A15降頻｜手感、跑分、聲畫評價｜粉紅、紫、星光、太空灰｜廣東話【Price.com.hk產品比較】")</f>
        <v>四色實物在手 Apple iPad mini 6 (2021)買唔買？全新入門iPad 返學首選｜A15降頻｜手感、跑分、聲畫評價｜粉紅、紫、星光、太空灰｜廣東話【Price.com.hk產品比較】</v>
      </c>
      <c r="E3323" s="82">
        <v>44461.0</v>
      </c>
      <c r="F3323" s="80">
        <v>412.0</v>
      </c>
      <c r="G3323" s="80" t="s">
        <v>63</v>
      </c>
      <c r="I3323" s="80" t="s">
        <v>63</v>
      </c>
      <c r="J3323" s="80">
        <v>1396.0</v>
      </c>
      <c r="K3323" s="80">
        <v>0.724442138038401</v>
      </c>
      <c r="L3323" s="80" t="s">
        <v>64</v>
      </c>
    </row>
    <row r="3324">
      <c r="A3324" s="80" t="s">
        <v>3151</v>
      </c>
      <c r="B3324" s="81" t="str">
        <f>HYPERLINK("https://www.youtube.com/channel/UCARY68c_VZHHXPsEDg9Bptw", "耀佳金融集團Yaw Kai Financial Group")</f>
        <v>耀佳金融集團Yaw Kai Financial Group</v>
      </c>
      <c r="C3324" s="80" t="s">
        <v>3718</v>
      </c>
      <c r="D3324" s="81" t="str">
        <f>HYPERLINK("https://youtube.com/watch?v=qNIJLgiHcnI", "【市場點評】中興(#763.HK) 升到唔理國安法? 中芯(#981.HK) 係中美貿易戰受惠股?")</f>
        <v>【市場點評】中興(#763.HK) 升到唔理國安法? 中芯(#981.HK) 係中美貿易戰受惠股?</v>
      </c>
      <c r="E3324" s="82">
        <v>44000.0</v>
      </c>
      <c r="F3324" s="80">
        <v>619.0</v>
      </c>
      <c r="G3324" s="80" t="s">
        <v>63</v>
      </c>
      <c r="I3324" s="80" t="s">
        <v>63</v>
      </c>
      <c r="J3324" s="80">
        <v>1872.0</v>
      </c>
      <c r="K3324" s="80">
        <v>0.978056426332288</v>
      </c>
      <c r="L3324" s="80" t="s">
        <v>64</v>
      </c>
    </row>
    <row r="3325">
      <c r="A3325" s="80" t="s">
        <v>124</v>
      </c>
      <c r="B3325" s="81" t="str">
        <f>HYPERLINK("https://www.youtube.com/channel/UCg0vuSE0fBF_NvodyYhMcWg", "Wallace Studio HK")</f>
        <v>Wallace Studio HK</v>
      </c>
      <c r="C3325" s="80" t="s">
        <v>3719</v>
      </c>
      <c r="D3325" s="81" t="str">
        <f>HYPERLINK("https://youtube.com/watch?v=RKQk5Q6p1EA", "[效能測試] AORUS 15P YD (Intel i7-11800H, RTX3080 8gb(130W)) 遊戲效能測試")</f>
        <v>[效能測試] AORUS 15P YD (Intel i7-11800H, RTX3080 8gb(130W)) 遊戲效能測試</v>
      </c>
      <c r="E3325" s="82">
        <v>44362.0</v>
      </c>
      <c r="F3325" s="80">
        <v>271.0</v>
      </c>
      <c r="G3325" s="80" t="s">
        <v>63</v>
      </c>
      <c r="H3325" s="80" t="s">
        <v>63</v>
      </c>
      <c r="I3325" s="80" t="s">
        <v>63</v>
      </c>
      <c r="J3325" s="80">
        <v>760.0</v>
      </c>
      <c r="K3325" s="80">
        <v>0.61389337641357</v>
      </c>
      <c r="L3325" s="80" t="s">
        <v>86</v>
      </c>
    </row>
    <row r="3326">
      <c r="A3326" s="80" t="s">
        <v>3165</v>
      </c>
      <c r="B3326" s="81" t="str">
        <f>HYPERLINK("https://www.youtube.com/channel/UCKmwhu-hyadoBCzzM0TBDHQ", "好易煮 oe cook")</f>
        <v>好易煮 oe cook</v>
      </c>
      <c r="C3326" s="80" t="s">
        <v>3720</v>
      </c>
      <c r="D3326" s="81" t="str">
        <f>HYPERLINK("https://youtube.com/watch?v=qPAUEwmb5UY", "食白切雞的五種醬料 5 Sauces For Chicken (Specially Cantonese White Cut Chicken)  **有字幕 With Subtitles**")</f>
        <v>食白切雞的五種醬料 5 Sauces For Chicken (Specially Cantonese White Cut Chicken)  **有字幕 With Subtitles**</v>
      </c>
      <c r="E3326" s="82">
        <v>43823.0</v>
      </c>
      <c r="F3326" s="80">
        <v>684.0</v>
      </c>
      <c r="G3326" s="80" t="s">
        <v>63</v>
      </c>
      <c r="H3326" s="80" t="s">
        <v>63</v>
      </c>
      <c r="I3326" s="80" t="s">
        <v>63</v>
      </c>
      <c r="J3326" s="80">
        <v>880.0</v>
      </c>
      <c r="K3326" s="80">
        <v>0.998864926220204</v>
      </c>
      <c r="L3326" s="80" t="s">
        <v>3721</v>
      </c>
    </row>
    <row r="3327">
      <c r="A3327" s="80" t="s">
        <v>2800</v>
      </c>
      <c r="B3327" s="81" t="str">
        <f>HYPERLINK("https://www.youtube.com/channel/UCMqrlsr-AECPc6_3oDr8m9w", "Unicorn 獸哥")</f>
        <v>Unicorn 獸哥</v>
      </c>
      <c r="C3327" s="80" t="s">
        <v>3722</v>
      </c>
      <c r="D3327" s="81" t="str">
        <f>HYPERLINK("https://youtube.com/watch?v=RNn4mYIvQx8", "iron man都唔夠滿大人打？尚氣曾經做過spider man?尚氣與十環幫傳奇角色介紹")</f>
        <v>iron man都唔夠滿大人打？尚氣曾經做過spider man?尚氣與十環幫傳奇角色介紹</v>
      </c>
      <c r="E3327" s="82">
        <v>44441.0</v>
      </c>
      <c r="F3327" s="80">
        <v>523.0</v>
      </c>
      <c r="G3327" s="80" t="s">
        <v>63</v>
      </c>
      <c r="I3327" s="80" t="s">
        <v>63</v>
      </c>
      <c r="J3327" s="80">
        <v>2063.0</v>
      </c>
      <c r="K3327" s="80">
        <v>0.854244306418219</v>
      </c>
      <c r="L3327" s="80" t="s">
        <v>64</v>
      </c>
    </row>
    <row r="3328">
      <c r="A3328" s="80" t="s">
        <v>3258</v>
      </c>
      <c r="B3328" s="81" t="str">
        <f>HYPERLINK("https://www.youtube.com/channel/UCK4AnMZq28qFthWA54mtdww", "吾知吾識")</f>
        <v>吾知吾識</v>
      </c>
      <c r="C3328" s="80" t="s">
        <v>3723</v>
      </c>
      <c r="D3328" s="81" t="str">
        <f>HYPERLINK("https://youtube.com/watch?v=qPiR2QSD_yM", "能力越大，義務越多！｜Immanuel Kant｜哲學｜Dishonored")</f>
        <v>能力越大，義務越多！｜Immanuel Kant｜哲學｜Dishonored</v>
      </c>
      <c r="E3328" s="82">
        <v>43402.0</v>
      </c>
      <c r="F3328" s="80">
        <v>579.0</v>
      </c>
      <c r="G3328" s="80" t="s">
        <v>63</v>
      </c>
      <c r="I3328" s="80" t="s">
        <v>63</v>
      </c>
      <c r="J3328" s="80">
        <v>2018.0</v>
      </c>
      <c r="K3328" s="80">
        <v>0.774961597542242</v>
      </c>
      <c r="L3328" s="80" t="s">
        <v>64</v>
      </c>
    </row>
    <row r="3329">
      <c r="A3329" s="80" t="s">
        <v>3144</v>
      </c>
      <c r="B3329" s="81" t="str">
        <f>HYPERLINK("https://www.youtube.com/channel/UCZVmFDfn5WnixrHNf25MeJQ", "〈職人吹水〉@SingSingKitchen")</f>
        <v>〈職人吹水〉@SingSingKitchen</v>
      </c>
      <c r="C3329" s="80" t="s">
        <v>3724</v>
      </c>
      <c r="D3329" s="81" t="str">
        <f>HYPERLINK("https://youtube.com/watch?v=qvyTdX1Tnwc", "〈 職人吹水〉第一集房間篇：香港汀蘭居酒店海景套房！（Agoda訂票）")</f>
        <v>〈 職人吹水〉第一集房間篇：香港汀蘭居酒店海景套房！（Agoda訂票）</v>
      </c>
      <c r="E3329" s="82">
        <v>43277.0</v>
      </c>
      <c r="F3329" s="80">
        <v>600.0</v>
      </c>
      <c r="G3329" s="80" t="s">
        <v>63</v>
      </c>
      <c r="H3329" s="80" t="s">
        <v>63</v>
      </c>
      <c r="I3329" s="80" t="s">
        <v>63</v>
      </c>
      <c r="J3329" s="80">
        <v>1140.0</v>
      </c>
      <c r="K3329" s="80">
        <v>0.965796579657965</v>
      </c>
      <c r="L3329" s="80" t="s">
        <v>1013</v>
      </c>
    </row>
    <row r="3330">
      <c r="A3330" s="80" t="s">
        <v>1260</v>
      </c>
      <c r="B3330" s="81" t="str">
        <f>HYPERLINK("https://www.youtube.com/channel/UCh1k4i86BpiXEO3nzJIYynw", "The Wave")</f>
        <v>The Wave</v>
      </c>
      <c r="C3330" s="80" t="s">
        <v>3725</v>
      </c>
      <c r="D3330" s="81" t="str">
        <f>HYPERLINK("https://youtube.com/watch?v=RWCYwjSz5m4", "TheWave | Xperia 1 II 開箱 + 跑分 + 超初步感覺 | 全字幕")</f>
        <v>TheWave | Xperia 1 II 開箱 + 跑分 + 超初步感覺 | 全字幕</v>
      </c>
      <c r="E3330" s="82">
        <v>44002.0</v>
      </c>
      <c r="F3330" s="80">
        <v>314.0</v>
      </c>
      <c r="G3330" s="80" t="s">
        <v>63</v>
      </c>
      <c r="H3330" s="80" t="s">
        <v>63</v>
      </c>
      <c r="I3330" s="80" t="s">
        <v>63</v>
      </c>
      <c r="J3330" s="80">
        <v>819.0</v>
      </c>
      <c r="K3330" s="80">
        <v>0.635376260667183</v>
      </c>
      <c r="L3330" s="80" t="s">
        <v>1634</v>
      </c>
    </row>
    <row r="3331">
      <c r="A3331" s="80" t="s">
        <v>2942</v>
      </c>
      <c r="B3331" s="81" t="str">
        <f>HYPERLINK("https://www.youtube.com/channel/UCFOFvhsNWMPHwvbfHl7K6qw", "司徒文進 CROSSBONE")</f>
        <v>司徒文進 CROSSBONE</v>
      </c>
      <c r="C3331" s="80" t="s">
        <v>3726</v>
      </c>
      <c r="D3331" s="81" t="str">
        <f>HYPERLINK("https://youtube.com/watch?v=RYg7oZ11VbA", "(中字)淺談美容院及髮廊牌照篇，創業必看 經驗小分享^_^（時事·經濟·後疫情思維）司徒文進看澳門樓市2022-01-13")</f>
        <v>(中字)淺談美容院及髮廊牌照篇，創業必看 經驗小分享^_^（時事·經濟·後疫情思維）司徒文進看澳門樓市2022-01-13</v>
      </c>
      <c r="E3331" s="82">
        <v>44574.0</v>
      </c>
      <c r="F3331" s="80">
        <v>969.0</v>
      </c>
      <c r="G3331" s="80" t="s">
        <v>63</v>
      </c>
      <c r="I3331" s="80" t="s">
        <v>63</v>
      </c>
      <c r="J3331" s="80">
        <v>4016.0</v>
      </c>
      <c r="K3331" s="80">
        <v>0.978796002924689</v>
      </c>
      <c r="L3331" s="80" t="s">
        <v>91</v>
      </c>
    </row>
    <row r="3332">
      <c r="A3332" s="80" t="s">
        <v>3139</v>
      </c>
      <c r="B3332" s="81" t="str">
        <f>HYPERLINK("https://www.youtube.com/channel/UCThO2xnH7XMg6plE8OgJm_w", "choyuen草原")</f>
        <v>choyuen草原</v>
      </c>
      <c r="C3332" s="80" t="s">
        <v>3727</v>
      </c>
      <c r="D3332" s="81" t="str">
        <f>HYPERLINK("https://youtube.com/watch?v=rnCOnBDeXy0", "『廣東話』今時今日仲有◤地平說學會◢   究竟咩玩法?   What on earth do the ◤FLAT EARTHers◢ want?【陰謀妄想症】")</f>
        <v>『廣東話』今時今日仲有◤地平說學會◢   究竟咩玩法?   What on earth do the ◤FLAT EARTHers◢ want?【陰謀妄想症】</v>
      </c>
      <c r="E3332" s="82">
        <v>43575.0</v>
      </c>
      <c r="F3332" s="80">
        <v>283.0</v>
      </c>
      <c r="G3332" s="80" t="s">
        <v>63</v>
      </c>
      <c r="I3332" s="80" t="s">
        <v>63</v>
      </c>
      <c r="J3332" s="80">
        <v>775.0</v>
      </c>
      <c r="K3332" s="80">
        <v>0.849780701754385</v>
      </c>
      <c r="L3332" s="80" t="s">
        <v>64</v>
      </c>
    </row>
    <row r="3333">
      <c r="A3333" s="80" t="s">
        <v>3162</v>
      </c>
      <c r="B3333" s="81" t="str">
        <f>HYPERLINK("https://www.youtube.com/channel/UCwz2_BsHZOaUO1zvS5zJBTw", "跟Theo一起爬坂道丨Theo Cheong")</f>
        <v>跟Theo一起爬坂道丨Theo Cheong</v>
      </c>
      <c r="C3333" s="80" t="s">
        <v>3728</v>
      </c>
      <c r="D3333" s="81" t="str">
        <f>HYPERLINK("https://youtube.com/watch?v=ryCzoLx9suc", "乃木坂46 全國握手會參加方法分享+白石麻衣握手Report | N4 Working Holiday | Theo | Sharing | Vlog")</f>
        <v>乃木坂46 全國握手會參加方法分享+白石麻衣握手Report | N4 Working Holiday | Theo | Sharing | Vlog</v>
      </c>
      <c r="E3333" s="82">
        <v>43570.0</v>
      </c>
      <c r="F3333" s="80">
        <v>385.0</v>
      </c>
      <c r="G3333" s="80" t="s">
        <v>63</v>
      </c>
      <c r="I3333" s="80" t="s">
        <v>63</v>
      </c>
      <c r="J3333" s="80">
        <v>1411.0</v>
      </c>
      <c r="K3333" s="80">
        <v>0.895873015873015</v>
      </c>
      <c r="L3333" s="80" t="s">
        <v>64</v>
      </c>
    </row>
    <row r="3334">
      <c r="A3334" s="80" t="s">
        <v>3151</v>
      </c>
      <c r="B3334" s="81" t="str">
        <f>HYPERLINK("https://www.youtube.com/channel/UCARY68c_VZHHXPsEDg9Bptw", "耀佳金融集團Yaw Kai Financial Group")</f>
        <v>耀佳金融集團Yaw Kai Financial Group</v>
      </c>
      <c r="C3334" s="80" t="s">
        <v>3729</v>
      </c>
      <c r="D3334" s="81" t="str">
        <f>HYPERLINK("https://youtube.com/watch?v=s9FHGa0K3yI", "【市場點評】國泰390億資本重組 11供7方式供股點評")</f>
        <v>【市場點評】國泰390億資本重組 11供7方式供股點評</v>
      </c>
      <c r="E3334" s="82">
        <v>43991.0</v>
      </c>
      <c r="F3334" s="80">
        <v>371.0</v>
      </c>
      <c r="G3334" s="80" t="s">
        <v>63</v>
      </c>
      <c r="I3334" s="80" t="s">
        <v>63</v>
      </c>
      <c r="J3334" s="80">
        <v>110.0</v>
      </c>
      <c r="K3334" s="80">
        <v>1.0</v>
      </c>
      <c r="L3334" s="80" t="s">
        <v>64</v>
      </c>
    </row>
    <row r="3335">
      <c r="A3335" s="80" t="s">
        <v>3172</v>
      </c>
      <c r="B3335" s="81" t="str">
        <f>HYPERLINK("https://www.youtube.com/channel/UCahNh5t4wkQhSjS2-u0vSlA", "Henry Ng")</f>
        <v>Henry Ng</v>
      </c>
      <c r="C3335" s="80" t="s">
        <v>3730</v>
      </c>
      <c r="D3335" s="81" t="str">
        <f>HYPERLINK("https://youtube.com/watch?v=sM3xa-BBdtI", "馬爾他 Day 1 瓦萊塔 - 2017年2月《亨利自由行》")</f>
        <v>馬爾他 Day 1 瓦萊塔 - 2017年2月《亨利自由行》</v>
      </c>
      <c r="E3335" s="82">
        <v>42809.0</v>
      </c>
      <c r="F3335" s="80">
        <v>526.0</v>
      </c>
      <c r="G3335" s="80" t="s">
        <v>63</v>
      </c>
      <c r="I3335" s="80" t="s">
        <v>63</v>
      </c>
      <c r="J3335" s="80">
        <v>825.0</v>
      </c>
      <c r="K3335" s="80">
        <v>0.607511045655375</v>
      </c>
      <c r="L3335" s="80" t="s">
        <v>64</v>
      </c>
    </row>
    <row r="3336">
      <c r="A3336" s="80" t="s">
        <v>3162</v>
      </c>
      <c r="B3336" s="81" t="str">
        <f>HYPERLINK("https://www.youtube.com/channel/UCwz2_BsHZOaUO1zvS5zJBTw", "跟Theo一起爬坂道丨Theo Cheong")</f>
        <v>跟Theo一起爬坂道丨Theo Cheong</v>
      </c>
      <c r="C3336" s="80" t="s">
        <v>3731</v>
      </c>
      <c r="D3336" s="81" t="str">
        <f>HYPERLINK("https://youtube.com/watch?v=sNZp1fImly4", "去全日本最出名月餅既名古屋 反轉科學館| Working Holiday | 窮毒L遊日本 Ep.3 | Travel | Theo")</f>
        <v>去全日本最出名月餅既名古屋 反轉科學館| Working Holiday | 窮毒L遊日本 Ep.3 | Travel | Theo</v>
      </c>
      <c r="E3336" s="82">
        <v>43558.0</v>
      </c>
      <c r="F3336" s="80">
        <v>379.0</v>
      </c>
      <c r="G3336" s="80" t="s">
        <v>63</v>
      </c>
      <c r="I3336" s="80" t="s">
        <v>63</v>
      </c>
      <c r="J3336" s="80">
        <v>1117.0</v>
      </c>
      <c r="K3336" s="80">
        <v>0.962101636520241</v>
      </c>
      <c r="L3336" s="80" t="s">
        <v>64</v>
      </c>
    </row>
    <row r="3337">
      <c r="A3337" s="80" t="s">
        <v>3139</v>
      </c>
      <c r="B3337" s="81" t="str">
        <f>HYPERLINK("https://www.youtube.com/channel/UCThO2xnH7XMg6plE8OgJm_w", "choyuen草原")</f>
        <v>choyuen草原</v>
      </c>
      <c r="C3337" s="80" t="s">
        <v>3732</v>
      </c>
      <c r="D3337" s="81" t="str">
        <f>HYPERLINK("https://youtube.com/watch?v=sPGa5myEeco", "庚子年冬至 -- 時代革命 (A. 土星木星合相) 2020 End of an Era (A. Saturn Jupiter conjunction)")</f>
        <v>庚子年冬至 -- 時代革命 (A. 土星木星合相) 2020 End of an Era (A. Saturn Jupiter conjunction)</v>
      </c>
      <c r="E3337" s="82">
        <v>43998.0</v>
      </c>
      <c r="F3337" s="80">
        <v>421.0</v>
      </c>
      <c r="G3337" s="80" t="s">
        <v>63</v>
      </c>
      <c r="I3337" s="80" t="s">
        <v>63</v>
      </c>
      <c r="J3337" s="80">
        <v>1077.0</v>
      </c>
      <c r="K3337" s="80">
        <v>0.857484076433121</v>
      </c>
      <c r="L3337" s="80" t="s">
        <v>102</v>
      </c>
    </row>
    <row r="3338">
      <c r="A3338" s="80" t="s">
        <v>3134</v>
      </c>
      <c r="B3338" s="81" t="str">
        <f>HYPERLINK("https://www.youtube.com/channel/UC_vZsUCJrwYrbIRPHacAS_Q", "Coco哥")</f>
        <v>Coco哥</v>
      </c>
      <c r="C3338" s="80" t="s">
        <v>3733</v>
      </c>
      <c r="D3338" s="81" t="str">
        <f>HYPERLINK("https://youtube.com/watch?v=sRwVBWd-Dps", "秘密！旅行拍片必備 但99%人都無 就是這個東西 ｜香港迪士尼  HK Disneyland")</f>
        <v>秘密！旅行拍片必備 但99%人都無 就是這個東西 ｜香港迪士尼  HK Disneyland</v>
      </c>
      <c r="E3338" s="82">
        <v>43439.0</v>
      </c>
      <c r="F3338" s="80">
        <v>513.0</v>
      </c>
      <c r="G3338" s="80" t="s">
        <v>63</v>
      </c>
      <c r="I3338" s="80" t="s">
        <v>63</v>
      </c>
      <c r="J3338" s="80">
        <v>1177.0</v>
      </c>
      <c r="K3338" s="80">
        <v>0.875744047619047</v>
      </c>
      <c r="L3338" s="80" t="s">
        <v>1013</v>
      </c>
    </row>
    <row r="3339">
      <c r="A3339" s="80" t="s">
        <v>238</v>
      </c>
      <c r="B3339" s="81" t="str">
        <f>HYPERLINK("https://www.youtube.com/channel/UCSBkm4LwpgBmcA3MCtO8vqg", "Post76影音玩樂")</f>
        <v>Post76影音玩樂</v>
      </c>
      <c r="C3339" s="80" t="s">
        <v>3734</v>
      </c>
      <c r="D3339" s="81" t="str">
        <f>HYPERLINK("https://youtube.com/watch?v=RcPheByzD54", "B&amp;W 805 D4 一星期後全力煲練後之成果！ft.😎 「威廉譚(譚sir)」評分新款鑽石高音優劣（附設cc字幕）【喇叭評測】")</f>
        <v>B&amp;W 805 D4 一星期後全力煲練後之成果！ft.😎 「威廉譚(譚sir)」評分新款鑽石高音優劣（附設cc字幕）【喇叭評測】</v>
      </c>
      <c r="E3339" s="82">
        <v>44497.0</v>
      </c>
      <c r="F3339" s="80">
        <v>704.0</v>
      </c>
      <c r="G3339" s="80" t="s">
        <v>63</v>
      </c>
      <c r="H3339" s="80" t="s">
        <v>63</v>
      </c>
      <c r="I3339" s="80" t="s">
        <v>63</v>
      </c>
      <c r="J3339" s="80">
        <v>2556.0</v>
      </c>
      <c r="K3339" s="80">
        <v>0.954443614637789</v>
      </c>
      <c r="L3339" s="80" t="s">
        <v>240</v>
      </c>
    </row>
    <row r="3340">
      <c r="A3340" s="80" t="s">
        <v>248</v>
      </c>
      <c r="B3340" s="81" t="str">
        <f>HYPERLINK("https://www.youtube.com/channel/UCUEJok-GiWaGlv5nIPwk-GQ", "Price.com.hk 香港格價網")</f>
        <v>Price.com.hk 香港格價網</v>
      </c>
      <c r="C3340" s="80" t="s">
        <v>3735</v>
      </c>
      <c r="D3340" s="81" t="str">
        <f>HYPERLINK("https://youtube.com/watch?v=RfQYzaHlWok", "Snapdragon旗艦處理器8 Gen 1發表．iPhoneSE 3支援5G配備A15有望明年發表．PS5 Pro傳將於明2022推出｜廣東話【Price Weekly #91 2021年12月 】")</f>
        <v>Snapdragon旗艦處理器8 Gen 1發表．iPhoneSE 3支援5G配備A15有望明年發表．PS5 Pro傳將於明2022推出｜廣東話【Price Weekly #91 2021年12月 】</v>
      </c>
      <c r="E3340" s="82">
        <v>44534.0</v>
      </c>
      <c r="F3340" s="80">
        <v>447.0</v>
      </c>
      <c r="G3340" s="80" t="s">
        <v>63</v>
      </c>
      <c r="I3340" s="80" t="s">
        <v>63</v>
      </c>
      <c r="J3340" s="80">
        <v>1606.0</v>
      </c>
      <c r="K3340" s="80">
        <v>0.695238095238095</v>
      </c>
      <c r="L3340" s="80" t="s">
        <v>64</v>
      </c>
    </row>
    <row r="3341">
      <c r="A3341" s="80" t="s">
        <v>3139</v>
      </c>
      <c r="B3341" s="81" t="str">
        <f>HYPERLINK("https://www.youtube.com/channel/UCThO2xnH7XMg6plE8OgJm_w", "choyuen草原")</f>
        <v>choyuen草原</v>
      </c>
      <c r="C3341" s="80" t="s">
        <v>3736</v>
      </c>
      <c r="D3341" s="81" t="str">
        <f>HYPERLINK("https://youtube.com/watch?v=scQcguZRw-w", "佢太爺丫發明宗教  Zoroastrian footprints")</f>
        <v>佢太爺丫發明宗教  Zoroastrian footprints</v>
      </c>
      <c r="E3341" s="82">
        <v>44266.0</v>
      </c>
      <c r="F3341" s="80">
        <v>285.0</v>
      </c>
      <c r="G3341" s="80" t="s">
        <v>63</v>
      </c>
      <c r="I3341" s="80" t="s">
        <v>63</v>
      </c>
      <c r="J3341" s="80">
        <v>837.0</v>
      </c>
      <c r="K3341" s="80">
        <v>0.866459627329192</v>
      </c>
      <c r="L3341" s="80" t="s">
        <v>64</v>
      </c>
    </row>
    <row r="3342">
      <c r="A3342" s="80" t="s">
        <v>127</v>
      </c>
      <c r="B3342" s="81" t="str">
        <f>HYPERLINK("https://www.youtube.com/channel/UC97oYK3XMf9RLtkc0lO8C-Q", "健康旦 HiEggo")</f>
        <v>健康旦 HiEggo</v>
      </c>
      <c r="C3342" s="80" t="s">
        <v>3737</v>
      </c>
      <c r="D3342" s="81" t="str">
        <f>HYPERLINK("https://youtube.com/watch?v=Rje3ygbS5x8", "陶傑港產片比喻疫情 李純恩唔做標本靠心境 - 鄭丹瑞《健康旦》 Part 6  (優惠碼: 健康旦 Gaia Group) (CC中文字幕)")</f>
        <v>陶傑港產片比喻疫情 李純恩唔做標本靠心境 - 鄭丹瑞《健康旦》 Part 6  (優惠碼: 健康旦 Gaia Group) (CC中文字幕)</v>
      </c>
      <c r="E3342" s="82">
        <v>43925.0</v>
      </c>
      <c r="F3342" s="80">
        <v>624.0</v>
      </c>
      <c r="G3342" s="80" t="s">
        <v>63</v>
      </c>
      <c r="I3342" s="80" t="s">
        <v>63</v>
      </c>
      <c r="J3342" s="80">
        <v>2457.0</v>
      </c>
      <c r="K3342" s="80">
        <v>0.991525423728813</v>
      </c>
      <c r="L3342" s="80" t="s">
        <v>64</v>
      </c>
    </row>
    <row r="3343">
      <c r="A3343" s="80" t="s">
        <v>2374</v>
      </c>
      <c r="B3343" s="81" t="str">
        <f>HYPERLINK("https://www.youtube.com/channel/UC0lbhIloP3pcKJT07YosZlQ", "講豬hi speakchuhi")</f>
        <v>講豬hi speakchuhi</v>
      </c>
      <c r="C3343" s="80" t="s">
        <v>3738</v>
      </c>
      <c r="D3343" s="81" t="str">
        <f>HYPERLINK("https://youtube.com/watch?v=Rjm2MILr6zQ", "K11Musea 🧻 [廁評]❗️📝| 史上最豪華商場廁所🚽| 5星級的享受😎| 無比舒暢🤡")</f>
        <v>K11Musea 🧻 [廁評]❗️📝| 史上最豪華商場廁所🚽| 5星級的享受😎| 無比舒暢🤡</v>
      </c>
      <c r="E3343" s="82">
        <v>43776.0</v>
      </c>
      <c r="F3343" s="80">
        <v>147.0</v>
      </c>
      <c r="G3343" s="80" t="s">
        <v>63</v>
      </c>
      <c r="I3343" s="80" t="s">
        <v>63</v>
      </c>
      <c r="J3343" s="80">
        <v>496.0</v>
      </c>
      <c r="K3343" s="80">
        <v>0.908424908424908</v>
      </c>
      <c r="L3343" s="80" t="s">
        <v>102</v>
      </c>
    </row>
    <row r="3344">
      <c r="A3344" s="80" t="s">
        <v>1553</v>
      </c>
      <c r="B3344" s="81" t="str">
        <f>HYPERLINK("https://www.youtube.com/channel/UC5gQ01ai9nF2x43fYmO1vow", "Ck釣魚冒險")</f>
        <v>Ck釣魚冒險</v>
      </c>
      <c r="C3344" s="80" t="s">
        <v>3739</v>
      </c>
      <c r="D3344" s="81" t="str">
        <f>HYPERLINK("https://youtube.com/watch?v=RkszA31OUSs", "【Jig】石仔排 爆釣 Jigging 鐵板! 玩到手抽筋 #2 / 香港の近海ジギング #2 📣CC字幕")</f>
        <v>【Jig】石仔排 爆釣 Jigging 鐵板! 玩到手抽筋 #2 / 香港の近海ジギング #2 📣CC字幕</v>
      </c>
      <c r="E3344" s="82">
        <v>44181.0</v>
      </c>
      <c r="F3344" s="80">
        <v>1118.0</v>
      </c>
      <c r="G3344" s="80" t="s">
        <v>63</v>
      </c>
      <c r="I3344" s="80" t="s">
        <v>63</v>
      </c>
      <c r="J3344" s="80">
        <v>1485.0</v>
      </c>
      <c r="K3344" s="80">
        <v>0.872502937720329</v>
      </c>
      <c r="L3344" s="80" t="s">
        <v>64</v>
      </c>
    </row>
    <row r="3345">
      <c r="A3345" s="80" t="s">
        <v>3740</v>
      </c>
      <c r="B3345" s="81" t="str">
        <f>HYPERLINK("https://www.youtube.com/channel/UCPF6eNKcvhsgwJTf8kUKXfg", "CHRISCHONGZX PLAY TV")</f>
        <v>CHRISCHONGZX PLAY TV</v>
      </c>
      <c r="C3345" s="80" t="s">
        <v>3741</v>
      </c>
      <c r="D3345" s="81" t="str">
        <f>HYPERLINK("https://youtube.com/watch?v=svSqBICCmPY", "達哥直播原來真係播片（澳門的達朝子民憤怒鳥）新濠影匯 CTM x Samsung Galaxy Studio體驗館")</f>
        <v>達哥直播原來真係播片（澳門的達朝子民憤怒鳥）新濠影匯 CTM x Samsung Galaxy Studio體驗館</v>
      </c>
      <c r="E3345" s="82">
        <v>43048.0</v>
      </c>
      <c r="F3345" s="80">
        <v>241.0</v>
      </c>
      <c r="G3345" s="80" t="s">
        <v>63</v>
      </c>
      <c r="I3345" s="80" t="s">
        <v>63</v>
      </c>
      <c r="J3345" s="80">
        <v>825.0</v>
      </c>
      <c r="K3345" s="80">
        <v>0.983313468414779</v>
      </c>
      <c r="L3345" s="80" t="s">
        <v>745</v>
      </c>
    </row>
    <row r="3346">
      <c r="A3346" s="80" t="s">
        <v>127</v>
      </c>
      <c r="B3346" s="81" t="str">
        <f>HYPERLINK("https://www.youtube.com/channel/UC97oYK3XMf9RLtkc0lO8C-Q", "健康旦 HiEggo")</f>
        <v>健康旦 HiEggo</v>
      </c>
      <c r="C3346" s="80" t="s">
        <v>3742</v>
      </c>
      <c r="D3346" s="81" t="str">
        <f>HYPERLINK("https://youtube.com/watch?v=Rl2bjXHmeXk", "孕婦產後紮肚治療快速修身 意大利式紮身法由盤骨開始修正  特殊設計繃帶塑造完美坐圍線條 - 鄭丹瑞《健康旦》#PaullyIp 美容養生專家 (CC中文字幕)")</f>
        <v>孕婦產後紮肚治療快速修身 意大利式紮身法由盤骨開始修正  特殊設計繃帶塑造完美坐圍線條 - 鄭丹瑞《健康旦》#PaullyIp 美容養生專家 (CC中文字幕)</v>
      </c>
      <c r="E3346" s="82">
        <v>44018.0</v>
      </c>
      <c r="F3346" s="80">
        <v>609.0</v>
      </c>
      <c r="G3346" s="80" t="s">
        <v>63</v>
      </c>
      <c r="I3346" s="80" t="s">
        <v>63</v>
      </c>
      <c r="J3346" s="80">
        <v>2398.0</v>
      </c>
      <c r="K3346" s="80">
        <v>0.981178396072013</v>
      </c>
      <c r="L3346" s="80" t="s">
        <v>2771</v>
      </c>
    </row>
    <row r="3347">
      <c r="A3347" s="80" t="s">
        <v>2764</v>
      </c>
      <c r="B3347" s="81" t="str">
        <f>HYPERLINK("https://www.youtube.com/channel/UCejZUW4khvxoA4uL2Afz20g", "Housik Laanfei 好食懶飛")</f>
        <v>Housik Laanfei 好食懶飛</v>
      </c>
      <c r="C3347" s="80" t="s">
        <v>3743</v>
      </c>
      <c r="D3347" s="81" t="str">
        <f>HYPERLINK("https://youtube.com/watch?v=Rs28aavxOnY", "[食辣請進] 韓式辣炒年糕 | CC: 廣東話/繁中/ENG SUB | COOKING VLOG")</f>
        <v>[食辣請進] 韓式辣炒年糕 | CC: 廣東話/繁中/ENG SUB | COOKING VLOG</v>
      </c>
      <c r="E3347" s="82">
        <v>44329.0</v>
      </c>
      <c r="F3347" s="80">
        <v>276.0</v>
      </c>
      <c r="G3347" s="80" t="s">
        <v>63</v>
      </c>
      <c r="H3347" s="80" t="s">
        <v>63</v>
      </c>
      <c r="I3347" s="80" t="s">
        <v>63</v>
      </c>
      <c r="J3347" s="80">
        <v>274.0</v>
      </c>
      <c r="K3347" s="80">
        <v>0.974545454545454</v>
      </c>
      <c r="L3347" s="80" t="s">
        <v>80</v>
      </c>
    </row>
    <row r="3348">
      <c r="A3348" s="80" t="s">
        <v>293</v>
      </c>
      <c r="B3348" s="81" t="str">
        <f>HYPERLINK("https://www.youtube.com/channel/UCXRcbXqjORdIvl63I7MtOLQ", "趁熱 Kerry 's kitchen")</f>
        <v>趁熱 Kerry 's kitchen</v>
      </c>
      <c r="C3348" s="80" t="s">
        <v>3744</v>
      </c>
      <c r="D3348" s="81" t="str">
        <f>HYPERLINK("https://youtube.com/watch?v=RvlMB7w_Mqs", "沙拉 骨/大牌檔風味/唔駛炸/急凍排骨做法/天然醃料醃腍排骨/細路餐/廣東話/中字")</f>
        <v>沙拉 骨/大牌檔風味/唔駛炸/急凍排骨做法/天然醃料醃腍排骨/細路餐/廣東話/中字</v>
      </c>
      <c r="E3348" s="82">
        <v>44468.0</v>
      </c>
      <c r="F3348" s="80">
        <v>535.0</v>
      </c>
      <c r="G3348" s="80" t="s">
        <v>63</v>
      </c>
      <c r="I3348" s="80" t="s">
        <v>63</v>
      </c>
      <c r="J3348" s="80">
        <v>646.0</v>
      </c>
      <c r="K3348" s="80">
        <v>0.967065868263473</v>
      </c>
      <c r="L3348" s="80" t="s">
        <v>64</v>
      </c>
    </row>
    <row r="3349">
      <c r="A3349" s="80" t="s">
        <v>3258</v>
      </c>
      <c r="B3349" s="81" t="str">
        <f>HYPERLINK("https://www.youtube.com/channel/UCK4AnMZq28qFthWA54mtdww", "吾知吾識")</f>
        <v>吾知吾識</v>
      </c>
      <c r="C3349" s="80" t="s">
        <v>3745</v>
      </c>
      <c r="D3349" s="81" t="str">
        <f>HYPERLINK("https://youtube.com/watch?v=tOAtRMnZCk8", "點樣Show格甩底？｜Socrates｜哲學｜Assassin’s Creed Odyssey")</f>
        <v>點樣Show格甩底？｜Socrates｜哲學｜Assassin’s Creed Odyssey</v>
      </c>
      <c r="E3349" s="82">
        <v>43398.0</v>
      </c>
      <c r="F3349" s="80">
        <v>591.0</v>
      </c>
      <c r="G3349" s="80" t="s">
        <v>63</v>
      </c>
      <c r="I3349" s="80" t="s">
        <v>63</v>
      </c>
      <c r="J3349" s="80">
        <v>1764.0</v>
      </c>
      <c r="K3349" s="80">
        <v>0.698613861386138</v>
      </c>
      <c r="L3349" s="80" t="s">
        <v>64</v>
      </c>
    </row>
    <row r="3350">
      <c r="A3350" s="80" t="s">
        <v>98</v>
      </c>
      <c r="B3350" s="81" t="str">
        <f>HYPERLINK("https://www.youtube.com/channel/UCrquuQB6v1Ued2xyRKZreGQ", "Stephen Leung ")</f>
        <v>Stephen Leung </v>
      </c>
      <c r="C3350" s="80" t="s">
        <v>3746</v>
      </c>
      <c r="D3350" s="81" t="str">
        <f>HYPERLINK("https://youtube.com/watch?v=RyjJFklTjU8", "【香港美食】A4 日本和牛 燒海鮮!!! 鮑魚 比目魚 任食 買一送一 日式燒肉放題 旺角 八木橋 | 吃喝玩樂 2021 香港好去處 美食 2021")</f>
        <v>【香港美食】A4 日本和牛 燒海鮮!!! 鮑魚 比目魚 任食 買一送一 日式燒肉放題 旺角 八木橋 | 吃喝玩樂 2021 香港好去處 美食 2021</v>
      </c>
      <c r="E3350" s="82">
        <v>44478.0</v>
      </c>
      <c r="F3350" s="80">
        <v>749.0</v>
      </c>
      <c r="G3350" s="80" t="s">
        <v>63</v>
      </c>
      <c r="I3350" s="80" t="s">
        <v>63</v>
      </c>
      <c r="J3350" s="80">
        <v>1617.0</v>
      </c>
      <c r="K3350" s="80">
        <v>0.971171171171171</v>
      </c>
      <c r="L3350" s="80" t="s">
        <v>64</v>
      </c>
    </row>
    <row r="3351">
      <c r="A3351" s="80" t="s">
        <v>238</v>
      </c>
      <c r="B3351" s="81" t="str">
        <f>HYPERLINK("https://www.youtube.com/channel/UCSBkm4LwpgBmcA3MCtO8vqg", "Post76影音玩樂")</f>
        <v>Post76影音玩樂</v>
      </c>
      <c r="C3351" s="80" t="s">
        <v>3747</v>
      </c>
      <c r="D3351" s="81" t="str">
        <f>HYPERLINK("https://youtube.com/watch?v=Ryq0JZSKzMs", "HiBy The New R6 : 迎合串流時代，全面支援MQA，延續國磚抵食夾大件氣勢！ | 粵語 | 雙中文字幕【音樂播放器開箱 | Post76.hk】")</f>
        <v>HiBy The New R6 : 迎合串流時代，全面支援MQA，延續國磚抵食夾大件氣勢！ | 粵語 | 雙中文字幕【音樂播放器開箱 | Post76.hk】</v>
      </c>
      <c r="E3351" s="82">
        <v>44192.0</v>
      </c>
      <c r="F3351" s="80">
        <v>811.0</v>
      </c>
      <c r="G3351" s="80" t="s">
        <v>63</v>
      </c>
      <c r="I3351" s="80" t="s">
        <v>63</v>
      </c>
      <c r="J3351" s="80">
        <v>2768.0</v>
      </c>
      <c r="K3351" s="80">
        <v>0.803250145095763</v>
      </c>
      <c r="L3351" s="80" t="s">
        <v>66</v>
      </c>
    </row>
    <row r="3352">
      <c r="A3352" s="80" t="s">
        <v>3158</v>
      </c>
      <c r="B3352" s="81" t="str">
        <f>HYPERLINK("https://www.youtube.com/channel/UCldJqbxFCPolSR6V9lszWDA", "魚波 Yu Ball")</f>
        <v>魚波 Yu Ball</v>
      </c>
      <c r="C3352" s="80" t="s">
        <v>3748</v>
      </c>
      <c r="D3352" s="81" t="str">
        <f>HYPERLINK("https://youtube.com/watch?v=uPI8mLb37BI", "同小林係沙田練車 | 話左學牌出車會揸壞手勢!又唔聽! (CN SUB) feat. GidoriN 小林 【魚波VLOG#17】")</f>
        <v>同小林係沙田練車 | 話左學牌出車會揸壞手勢!又唔聽! (CN SUB) feat. GidoriN 小林 【魚波VLOG#17】</v>
      </c>
      <c r="E3352" s="82">
        <v>43889.0</v>
      </c>
      <c r="F3352" s="80">
        <v>882.0</v>
      </c>
      <c r="G3352" s="80" t="s">
        <v>63</v>
      </c>
      <c r="I3352" s="80" t="s">
        <v>63</v>
      </c>
      <c r="J3352" s="80">
        <v>2815.0</v>
      </c>
      <c r="K3352" s="80">
        <v>0.923556430446194</v>
      </c>
      <c r="L3352" s="80" t="s">
        <v>64</v>
      </c>
    </row>
    <row r="3353">
      <c r="A3353" s="80" t="s">
        <v>3258</v>
      </c>
      <c r="B3353" s="81" t="str">
        <f>HYPERLINK("https://www.youtube.com/channel/UCK4AnMZq28qFthWA54mtdww", "吾知吾識")</f>
        <v>吾知吾識</v>
      </c>
      <c r="C3353" s="80" t="s">
        <v>3749</v>
      </c>
      <c r="D3353" s="81" t="str">
        <f>HYPERLINK("https://youtube.com/watch?v=uRLDfJOKEH0", "傳奇樂隊｜Queen｜音樂｜Bohemian Rhapsody")</f>
        <v>傳奇樂隊｜Queen｜音樂｜Bohemian Rhapsody</v>
      </c>
      <c r="E3353" s="82">
        <v>43405.0</v>
      </c>
      <c r="F3353" s="80">
        <v>1097.0</v>
      </c>
      <c r="G3353" s="80" t="s">
        <v>63</v>
      </c>
      <c r="I3353" s="80" t="s">
        <v>63</v>
      </c>
      <c r="J3353" s="80">
        <v>2713.0</v>
      </c>
      <c r="K3353" s="80">
        <v>0.587865655471289</v>
      </c>
      <c r="L3353" s="80" t="s">
        <v>64</v>
      </c>
    </row>
    <row r="3354">
      <c r="A3354" s="80" t="s">
        <v>3144</v>
      </c>
      <c r="B3354" s="81" t="str">
        <f>HYPERLINK("https://www.youtube.com/channel/UCZVmFDfn5WnixrHNf25MeJQ", "〈職人吹水〉@SingSingKitchen")</f>
        <v>〈職人吹水〉@SingSingKitchen</v>
      </c>
      <c r="C3354" s="80" t="s">
        <v>3750</v>
      </c>
      <c r="D3354" s="81" t="str">
        <f>HYPERLINK("https://youtube.com/watch?v=uVO62RBYgkM", "〈職人吹水 〉 😋泰式涼拌雞中翼簡單 易做Thai frozen chicken wings")</f>
        <v>〈職人吹水 〉 😋泰式涼拌雞中翼簡單 易做Thai frozen chicken wings</v>
      </c>
      <c r="E3354" s="82">
        <v>43328.0</v>
      </c>
      <c r="F3354" s="80">
        <v>609.0</v>
      </c>
      <c r="G3354" s="80" t="s">
        <v>63</v>
      </c>
      <c r="I3354" s="80" t="s">
        <v>63</v>
      </c>
      <c r="J3354" s="80">
        <v>1054.0</v>
      </c>
      <c r="K3354" s="80">
        <v>0.984126984126984</v>
      </c>
      <c r="L3354" s="80" t="s">
        <v>91</v>
      </c>
    </row>
    <row r="3355">
      <c r="A3355" s="80" t="s">
        <v>127</v>
      </c>
      <c r="B3355" s="81" t="str">
        <f>HYPERLINK("https://www.youtube.com/channel/UC97oYK3XMf9RLtkc0lO8C-Q", "健康旦 HiEggo")</f>
        <v>健康旦 HiEggo</v>
      </c>
      <c r="C3355" s="80" t="s">
        <v>3751</v>
      </c>
      <c r="D3355" s="81" t="str">
        <f>HYPERLINK("https://youtube.com/watch?v=SDkU4gN8hyc", "趙汝威博士直斥過度開發地球資源 南北極喚醒化石病毒 - 鄭丹瑞《健康旦》趙汝威博士 Part 7（CC中文字幕）")</f>
        <v>趙汝威博士直斥過度開發地球資源 南北極喚醒化石病毒 - 鄭丹瑞《健康旦》趙汝威博士 Part 7（CC中文字幕）</v>
      </c>
      <c r="E3355" s="82">
        <v>43942.0</v>
      </c>
      <c r="F3355" s="80">
        <v>838.0</v>
      </c>
      <c r="G3355" s="80" t="s">
        <v>63</v>
      </c>
      <c r="I3355" s="80" t="s">
        <v>63</v>
      </c>
      <c r="J3355" s="80">
        <v>3077.0</v>
      </c>
      <c r="K3355" s="80">
        <v>0.962464810760087</v>
      </c>
      <c r="L3355" s="80" t="s">
        <v>64</v>
      </c>
    </row>
    <row r="3356">
      <c r="A3356" s="80" t="s">
        <v>293</v>
      </c>
      <c r="B3356" s="81" t="str">
        <f>HYPERLINK("https://www.youtube.com/channel/UCXRcbXqjORdIvl63I7MtOLQ", "趁熱 Kerry 's kitchen")</f>
        <v>趁熱 Kerry 's kitchen</v>
      </c>
      <c r="C3356" s="80" t="s">
        <v>3752</v>
      </c>
      <c r="D3356" s="81" t="str">
        <f>HYPERLINK("https://youtube.com/watch?v=SEINq-jBOdk", "粥/7分鐘魚片豬潤[肝]粥/懶人首選/唔駛睇火/超鮮甜/新手 入門/簡單 家做/廣東話/中字")</f>
        <v>粥/7分鐘魚片豬潤[肝]粥/懶人首選/唔駛睇火/超鮮甜/新手 入門/簡單 家做/廣東話/中字</v>
      </c>
      <c r="E3356" s="82">
        <v>44438.0</v>
      </c>
      <c r="F3356" s="80">
        <v>520.0</v>
      </c>
      <c r="G3356" s="80" t="s">
        <v>63</v>
      </c>
      <c r="I3356" s="80" t="s">
        <v>63</v>
      </c>
      <c r="J3356" s="80">
        <v>1275.0</v>
      </c>
      <c r="K3356" s="80">
        <v>0.987606506584043</v>
      </c>
      <c r="L3356" s="80" t="s">
        <v>64</v>
      </c>
    </row>
    <row r="3357">
      <c r="A3357" s="80" t="s">
        <v>3144</v>
      </c>
      <c r="B3357" s="81" t="str">
        <f>HYPERLINK("https://www.youtube.com/channel/UCZVmFDfn5WnixrHNf25MeJQ", "〈職人吹水〉@SingSingKitchen")</f>
        <v>〈職人吹水〉@SingSingKitchen</v>
      </c>
      <c r="C3357" s="80" t="s">
        <v>3753</v>
      </c>
      <c r="D3357" s="81" t="str">
        <f>HYPERLINK("https://youtube.com/watch?v=uqONXM64jLQ", "〈 職人吹水〉  糖醋炒素雞Sweet and sour fried  Veggie chicken")</f>
        <v>〈 職人吹水〉  糖醋炒素雞Sweet and sour fried  Veggie chicken</v>
      </c>
      <c r="E3357" s="82">
        <v>43333.0</v>
      </c>
      <c r="F3357" s="80">
        <v>424.0</v>
      </c>
      <c r="G3357" s="80" t="s">
        <v>63</v>
      </c>
      <c r="I3357" s="80" t="s">
        <v>63</v>
      </c>
      <c r="J3357" s="80">
        <v>811.0</v>
      </c>
      <c r="K3357" s="80">
        <v>0.985419198055893</v>
      </c>
      <c r="L3357" s="80" t="s">
        <v>64</v>
      </c>
    </row>
    <row r="3358">
      <c r="A3358" s="80" t="s">
        <v>3139</v>
      </c>
      <c r="B3358" s="81" t="str">
        <f>HYPERLINK("https://www.youtube.com/channel/UCThO2xnH7XMg6plE8OgJm_w", "choyuen草原")</f>
        <v>choyuen草原</v>
      </c>
      <c r="C3358" s="80" t="s">
        <v>3754</v>
      </c>
      <c r="D3358" s="81" t="str">
        <f>HYPERLINK("https://youtube.com/watch?v=uwbttPP6cJ8", "『廣東話』共濟會古惑仔老餅想當年之美國一向我玩晒 Freemason gangsters good old days : USA of Mine【禁忌的傳說】")</f>
        <v>『廣東話』共濟會古惑仔老餅想當年之美國一向我玩晒 Freemason gangsters good old days : USA of Mine【禁忌的傳說】</v>
      </c>
      <c r="E3358" s="82">
        <v>43239.0</v>
      </c>
      <c r="F3358" s="80">
        <v>293.0</v>
      </c>
      <c r="G3358" s="80" t="s">
        <v>63</v>
      </c>
      <c r="I3358" s="80" t="s">
        <v>63</v>
      </c>
      <c r="J3358" s="80">
        <v>746.0</v>
      </c>
      <c r="K3358" s="80">
        <v>0.734975369458128</v>
      </c>
      <c r="L3358" s="80" t="s">
        <v>64</v>
      </c>
    </row>
    <row r="3359">
      <c r="A3359" s="80" t="s">
        <v>2041</v>
      </c>
      <c r="B3359" s="81" t="str">
        <f>HYPERLINK("https://www.youtube.com/channel/UCO6pB-ZN4XJ6MVkibvuEe0A", "SingSingTracker 星昇財經指標")</f>
        <v>SingSingTracker 星昇財經指標</v>
      </c>
      <c r="C3359" s="80" t="s">
        <v>3755</v>
      </c>
      <c r="D3359" s="81" t="str">
        <f>HYPERLINK("https://youtube.com/watch?v=SMLopm_pxqc", "《魷魚遊戲》收視破頂！Netflix股價未見頂？｜魷魚效應 Netflix創新高｜Netflix股票｜串流媒體 全球化策略｜點CC字幕｜#NFLX #Squidgame #Netflix #faang")</f>
        <v>《魷魚遊戲》收視破頂！Netflix股價未見頂？｜魷魚效應 Netflix創新高｜Netflix股票｜串流媒體 全球化策略｜點CC字幕｜#NFLX #Squidgame #Netflix #faang</v>
      </c>
      <c r="E3359" s="82">
        <v>44484.0</v>
      </c>
      <c r="F3359" s="80">
        <v>343.0</v>
      </c>
      <c r="G3359" s="80" t="s">
        <v>63</v>
      </c>
      <c r="I3359" s="80" t="s">
        <v>63</v>
      </c>
      <c r="J3359" s="80">
        <v>1191.0</v>
      </c>
      <c r="K3359" s="80">
        <v>0.854989231873653</v>
      </c>
      <c r="L3359" s="80" t="s">
        <v>64</v>
      </c>
    </row>
    <row r="3360">
      <c r="A3360" s="80" t="s">
        <v>238</v>
      </c>
      <c r="B3360" s="81" t="str">
        <f>HYPERLINK("https://www.youtube.com/channel/UCSBkm4LwpgBmcA3MCtO8vqg", "Post76影音玩樂")</f>
        <v>Post76影音玩樂</v>
      </c>
      <c r="C3360" s="80" t="s">
        <v>3756</v>
      </c>
      <c r="D3360" s="81" t="str">
        <f>HYPERLINK("https://youtube.com/watch?v=SNQJCH6diBE", "Audio Bastion Tempo 系列桌面/座枱避震機架｜簡易組裝＋使用前後實試！（附設cc字幕）【配件評測】")</f>
        <v>Audio Bastion Tempo 系列桌面/座枱避震機架｜簡易組裝＋使用前後實試！（附設cc字幕）【配件評測】</v>
      </c>
      <c r="E3360" s="82">
        <v>44469.0</v>
      </c>
      <c r="F3360" s="80">
        <v>475.0</v>
      </c>
      <c r="G3360" s="80" t="s">
        <v>63</v>
      </c>
      <c r="H3360" s="80" t="s">
        <v>63</v>
      </c>
      <c r="I3360" s="80" t="s">
        <v>63</v>
      </c>
      <c r="J3360" s="80">
        <v>2032.0</v>
      </c>
      <c r="K3360" s="80">
        <v>0.932110091743119</v>
      </c>
      <c r="L3360" s="80" t="s">
        <v>66</v>
      </c>
    </row>
    <row r="3361">
      <c r="A3361" s="80" t="s">
        <v>3757</v>
      </c>
      <c r="B3361" s="81" t="str">
        <f>HYPERLINK("https://www.youtube.com/channel/UCjJcc0em0PqOtUUQr9KxBuQ", "Fat’n’Skinny一肥一瘦")</f>
        <v>Fat’n’Skinny一肥一瘦</v>
      </c>
      <c r="C3361" s="80" t="s">
        <v>3758</v>
      </c>
      <c r="D3361" s="81" t="str">
        <f>HYPERLINK("https://youtube.com/watch?v=SOoM-aPhZZs", "掃街好去處 | 屯門鐵路風夜市(CC字幕)")</f>
        <v>掃街好去處 | 屯門鐵路風夜市(CC字幕)</v>
      </c>
      <c r="E3361" s="82">
        <v>44230.0</v>
      </c>
      <c r="F3361" s="80">
        <v>268.0</v>
      </c>
      <c r="G3361" s="80" t="s">
        <v>63</v>
      </c>
      <c r="I3361" s="80" t="s">
        <v>63</v>
      </c>
      <c r="J3361" s="80">
        <v>629.0</v>
      </c>
      <c r="K3361" s="80">
        <v>0.995253164556962</v>
      </c>
      <c r="L3361" s="80" t="s">
        <v>64</v>
      </c>
    </row>
    <row r="3362">
      <c r="A3362" s="80" t="s">
        <v>3144</v>
      </c>
      <c r="B3362" s="81" t="str">
        <f>HYPERLINK("https://www.youtube.com/channel/UCZVmFDfn5WnixrHNf25MeJQ", "〈職人吹水〉@SingSingKitchen")</f>
        <v>〈職人吹水〉@SingSingKitchen</v>
      </c>
      <c r="C3362" s="80" t="s">
        <v>3759</v>
      </c>
      <c r="D3362" s="81" t="str">
        <f>HYPERLINK("https://youtube.com/watch?v=v5yHaMWxgW0", "〈 職人吹水〉 茶餐廳沙嗲汁 😋沙茶粉絲煮排骨 Shacha sauce fans boiled pork ribs")</f>
        <v>〈 職人吹水〉 茶餐廳沙嗲汁 😋沙茶粉絲煮排骨 Shacha sauce fans boiled pork ribs</v>
      </c>
      <c r="E3362" s="82">
        <v>43335.0</v>
      </c>
      <c r="F3362" s="80">
        <v>608.0</v>
      </c>
      <c r="G3362" s="80" t="s">
        <v>63</v>
      </c>
      <c r="I3362" s="80" t="s">
        <v>63</v>
      </c>
      <c r="J3362" s="80">
        <v>996.0</v>
      </c>
      <c r="K3362" s="80">
        <v>0.990059642147117</v>
      </c>
      <c r="L3362" s="80" t="s">
        <v>64</v>
      </c>
    </row>
    <row r="3363">
      <c r="A3363" s="80" t="s">
        <v>288</v>
      </c>
      <c r="B3363" s="81" t="str">
        <f>HYPERLINK("https://www.youtube.com/channel/UCDWOYEhVnyD4IHZGVAMLc0g", "Brendan 毛爸")</f>
        <v>Brendan 毛爸</v>
      </c>
      <c r="C3363" s="80" t="s">
        <v>3760</v>
      </c>
      <c r="D3363" s="81" t="str">
        <f>HYPERLINK("https://youtube.com/watch?v=SUWi-CYMpX4", "【香港實況-One Day In Hong Kong】18/2/2020-跟着""毛爸"" 出走香港一天，細看尖沙咀零售業店！試坐全新港鐵屯馬綫一期《啟德站》港鐵站內現況！（請開CC 中文字幕)")</f>
        <v>【香港實況-One Day In Hong Kong】18/2/2020-跟着"毛爸" 出走香港一天，細看尖沙咀零售業店！試坐全新港鐵屯馬綫一期《啟德站》港鐵站內現況！（請開CC 中文字幕)</v>
      </c>
      <c r="E3363" s="82">
        <v>43880.0</v>
      </c>
      <c r="F3363" s="80">
        <v>609.0</v>
      </c>
      <c r="G3363" s="80" t="s">
        <v>63</v>
      </c>
      <c r="I3363" s="80" t="s">
        <v>63</v>
      </c>
      <c r="J3363" s="80">
        <v>1935.0</v>
      </c>
      <c r="K3363" s="80">
        <v>0.968953430145217</v>
      </c>
      <c r="L3363" s="80" t="s">
        <v>64</v>
      </c>
    </row>
    <row r="3364">
      <c r="A3364" s="80" t="s">
        <v>2764</v>
      </c>
      <c r="B3364" s="81" t="str">
        <f>HYPERLINK("https://www.youtube.com/channel/UCejZUW4khvxoA4uL2Afz20g", "Housik Laanfei 好食懶飛")</f>
        <v>Housik Laanfei 好食懶飛</v>
      </c>
      <c r="C3364" s="80" t="s">
        <v>3761</v>
      </c>
      <c r="D3364" s="81" t="str">
        <f>HYPERLINK("https://youtube.com/watch?v=SV93AAzPunw", "[韓癮發作] 韓式辣炒豬肉 | CC: 廣東話/繁中/ENG SUB | COOKING VLOG")</f>
        <v>[韓癮發作] 韓式辣炒豬肉 | CC: 廣東話/繁中/ENG SUB | COOKING VLOG</v>
      </c>
      <c r="E3364" s="82">
        <v>44119.0</v>
      </c>
      <c r="F3364" s="80">
        <v>292.0</v>
      </c>
      <c r="G3364" s="80" t="s">
        <v>63</v>
      </c>
      <c r="H3364" s="80" t="s">
        <v>63</v>
      </c>
      <c r="I3364" s="80" t="s">
        <v>63</v>
      </c>
      <c r="J3364" s="80">
        <v>210.0</v>
      </c>
      <c r="K3364" s="80">
        <v>0.950226244343891</v>
      </c>
      <c r="L3364" s="80" t="s">
        <v>120</v>
      </c>
    </row>
    <row r="3365">
      <c r="A3365" s="80" t="s">
        <v>2041</v>
      </c>
      <c r="B3365" s="81" t="str">
        <f>HYPERLINK("https://www.youtube.com/channel/UCO6pB-ZN4XJ6MVkibvuEe0A", "SingSingTracker 星昇財經指標")</f>
        <v>SingSingTracker 星昇財經指標</v>
      </c>
      <c r="C3365" s="80" t="s">
        <v>3762</v>
      </c>
      <c r="D3365" s="81" t="str">
        <f>HYPERLINK("https://youtube.com/watch?v=SVcZJSTbxRc", "【Disney+ Hong Kong】香港Disney Plus強勢登場｜11月16日正式上線｜Netflix Disney+ 大比併｜Disney+內容 月費 功能 #串流平台 #marvel")</f>
        <v>【Disney+ Hong Kong】香港Disney Plus強勢登場｜11月16日正式上線｜Netflix Disney+ 大比併｜Disney+內容 月費 功能 #串流平台 #marvel</v>
      </c>
      <c r="E3365" s="82">
        <v>44512.0</v>
      </c>
      <c r="F3365" s="80">
        <v>458.0</v>
      </c>
      <c r="G3365" s="80" t="s">
        <v>63</v>
      </c>
      <c r="I3365" s="80" t="s">
        <v>63</v>
      </c>
      <c r="J3365" s="80">
        <v>1584.0</v>
      </c>
      <c r="K3365" s="80">
        <v>0.781450419338924</v>
      </c>
      <c r="L3365" s="80" t="s">
        <v>64</v>
      </c>
    </row>
    <row r="3366">
      <c r="A3366" s="80" t="s">
        <v>3162</v>
      </c>
      <c r="B3366" s="81" t="str">
        <f>HYPERLINK("https://www.youtube.com/channel/UCwz2_BsHZOaUO1zvS5zJBTw", "跟Theo一起爬坂道丨Theo Cheong")</f>
        <v>跟Theo一起爬坂道丨Theo Cheong</v>
      </c>
      <c r="C3366" s="80" t="s">
        <v>3763</v>
      </c>
      <c r="D3366" s="81" t="str">
        <f>HYPERLINK("https://youtube.com/watch?v=vItXhBmL3CQ", "滋賀縣琵琶湖用屎忽滑雪一日遊 | N4 Working Holidy | Vlog | Travel")</f>
        <v>滋賀縣琵琶湖用屎忽滑雪一日遊 | N4 Working Holidy | Vlog | Travel</v>
      </c>
      <c r="E3366" s="82">
        <v>43528.0</v>
      </c>
      <c r="F3366" s="80">
        <v>523.0</v>
      </c>
      <c r="G3366" s="80" t="s">
        <v>63</v>
      </c>
      <c r="I3366" s="80" t="s">
        <v>63</v>
      </c>
      <c r="J3366" s="80">
        <v>942.0</v>
      </c>
      <c r="K3366" s="80">
        <v>0.867403314917127</v>
      </c>
      <c r="L3366" s="80" t="s">
        <v>64</v>
      </c>
    </row>
    <row r="3367">
      <c r="A3367" s="80" t="s">
        <v>3764</v>
      </c>
      <c r="B3367" s="81" t="str">
        <f>HYPERLINK("https://www.youtube.com/channel/UCR8uMeI5ZXlx0gpD0WTOCmg", "靈異鬼故直播頻道 Mermer TV")</f>
        <v>靈異鬼故直播頻道 Mermer TV</v>
      </c>
      <c r="C3367" s="80" t="s">
        <v>3765</v>
      </c>
      <c r="D3367" s="81" t="str">
        <f>HYPERLINK("https://youtube.com/watch?v=vTSLbk2Lq2Q", "塞舌爾 市場受騙（內含香港廣東話粗口成份，不喜勿入）Seychelles Victoria Only Market (English sub)")</f>
        <v>塞舌爾 市場受騙（內含香港廣東話粗口成份，不喜勿入）Seychelles Victoria Only Market (English sub)</v>
      </c>
      <c r="E3367" s="82">
        <v>42229.0</v>
      </c>
      <c r="F3367" s="80">
        <v>406.0</v>
      </c>
      <c r="G3367" s="80" t="s">
        <v>63</v>
      </c>
      <c r="I3367" s="80" t="s">
        <v>63</v>
      </c>
      <c r="J3367" s="80">
        <v>903.0</v>
      </c>
      <c r="K3367" s="80">
        <v>0.262958648806057</v>
      </c>
      <c r="L3367" s="80" t="s">
        <v>64</v>
      </c>
    </row>
    <row r="3368">
      <c r="A3368" s="80" t="s">
        <v>2800</v>
      </c>
      <c r="B3368" s="81" t="str">
        <f>HYPERLINK("https://www.youtube.com/channel/UCMqrlsr-AECPc6_3oDr8m9w", "Unicorn 獸哥")</f>
        <v>Unicorn 獸哥</v>
      </c>
      <c r="C3368" s="80" t="s">
        <v>3766</v>
      </c>
      <c r="D3368" s="81" t="str">
        <f>HYPERLINK("https://youtube.com/watch?v=SZF3hGO30i4", "蜘蛛俠 venom曾經合作對付血蜘蛛？毒魔：血戰大屠殺角色介紹")</f>
        <v>蜘蛛俠 venom曾經合作對付血蜘蛛？毒魔：血戰大屠殺角色介紹</v>
      </c>
      <c r="E3368" s="82">
        <v>44477.0</v>
      </c>
      <c r="F3368" s="80">
        <v>479.0</v>
      </c>
      <c r="G3368" s="80" t="s">
        <v>63</v>
      </c>
      <c r="I3368" s="80" t="s">
        <v>63</v>
      </c>
      <c r="J3368" s="80">
        <v>2227.0</v>
      </c>
      <c r="K3368" s="80">
        <v>0.765555173599175</v>
      </c>
      <c r="L3368" s="80" t="s">
        <v>64</v>
      </c>
    </row>
    <row r="3369">
      <c r="A3369" s="80" t="s">
        <v>2780</v>
      </c>
      <c r="B3369" s="81" t="str">
        <f>HYPERLINK("https://www.youtube.com/channel/UC0CojhLcc0VESgaG633m5kA", "RainErs")</f>
        <v>RainErs</v>
      </c>
      <c r="C3369" s="80" t="s">
        <v>3767</v>
      </c>
      <c r="D3369" s="81" t="str">
        <f>HYPERLINK("https://youtube.com/watch?v=SZPAny8HHGk", "PGYTECH MantisPod螳螂🦎🦎腳架[開箱]--最詳細介紹❗❗//地表最強腳架 ⁉️ [有CC字幕]")</f>
        <v>PGYTECH MantisPod螳螂🦎🦎腳架[開箱]--最詳細介紹❗❗//地表最強腳架 ⁉️ [有CC字幕]</v>
      </c>
      <c r="E3369" s="82">
        <v>44509.0</v>
      </c>
      <c r="F3369" s="80">
        <v>932.0</v>
      </c>
      <c r="G3369" s="80" t="s">
        <v>63</v>
      </c>
      <c r="I3369" s="80" t="s">
        <v>63</v>
      </c>
      <c r="J3369" s="80">
        <v>3784.0</v>
      </c>
      <c r="K3369" s="80">
        <v>0.964567932704562</v>
      </c>
      <c r="L3369" s="80" t="s">
        <v>64</v>
      </c>
    </row>
    <row r="3370">
      <c r="A3370" s="80" t="s">
        <v>288</v>
      </c>
      <c r="B3370" s="81" t="str">
        <f>HYPERLINK("https://www.youtube.com/channel/UCDWOYEhVnyD4IHZGVAMLc0g", "Brendan 毛爸")</f>
        <v>Brendan 毛爸</v>
      </c>
      <c r="C3370" s="80" t="s">
        <v>3768</v>
      </c>
      <c r="D3370" s="81" t="str">
        <f>HYPERLINK("https://youtube.com/watch?v=SbXP4hoKbDA", "【香港實況-One Day In Hong Kong】2/2/2020-跟着""毛爸"" 出走香港一天，看看超市狀況！生活日常用品仍被搶購一空嗎？《EP1》（請開CC 中文字幕）")</f>
        <v>【香港實況-One Day In Hong Kong】2/2/2020-跟着"毛爸" 出走香港一天，看看超市狀況！生活日常用品仍被搶購一空嗎？《EP1》（請開CC 中文字幕）</v>
      </c>
      <c r="E3370" s="82">
        <v>43863.0</v>
      </c>
      <c r="F3370" s="80">
        <v>198.0</v>
      </c>
      <c r="G3370" s="80" t="s">
        <v>63</v>
      </c>
      <c r="I3370" s="80" t="s">
        <v>63</v>
      </c>
      <c r="J3370" s="80">
        <v>431.0</v>
      </c>
      <c r="K3370" s="80">
        <v>0.959910913140311</v>
      </c>
      <c r="L3370" s="80" t="s">
        <v>64</v>
      </c>
    </row>
    <row r="3371">
      <c r="A3371" s="80" t="s">
        <v>127</v>
      </c>
      <c r="B3371" s="81" t="str">
        <f t="shared" ref="B3371:B3372" si="178">HYPERLINK("https://www.youtube.com/channel/UC97oYK3XMf9RLtkc0lO8C-Q", "健康旦 HiEggo")</f>
        <v>健康旦 HiEggo</v>
      </c>
      <c r="C3371" s="80" t="s">
        <v>3769</v>
      </c>
      <c r="D3371" s="81" t="str">
        <f>HYPERLINK("https://youtube.com/watch?v=Sdc2eAQwkXM", "五十肩左右手鬥力舒緩 對付瞓捩頸注意頭部方向 枕頭高度尺寸最重要 - 鄭丹瑞《健康旦》健身教練 #Philip 脊骨神經科醫生  #陳若瑩 Part 4 (CC中文字幕)")</f>
        <v>五十肩左右手鬥力舒緩 對付瞓捩頸注意頭部方向 枕頭高度尺寸最重要 - 鄭丹瑞《健康旦》健身教練 #Philip 脊骨神經科醫生  #陳若瑩 Part 4 (CC中文字幕)</v>
      </c>
      <c r="E3371" s="82">
        <v>44111.0</v>
      </c>
      <c r="F3371" s="80">
        <v>551.0</v>
      </c>
      <c r="G3371" s="80" t="s">
        <v>63</v>
      </c>
      <c r="I3371" s="80" t="s">
        <v>63</v>
      </c>
      <c r="J3371" s="80">
        <v>1841.0</v>
      </c>
      <c r="K3371" s="80">
        <v>0.954380508035251</v>
      </c>
      <c r="L3371" s="80" t="s">
        <v>2771</v>
      </c>
    </row>
    <row r="3372">
      <c r="A3372" s="80" t="s">
        <v>127</v>
      </c>
      <c r="B3372" s="81" t="str">
        <f t="shared" si="178"/>
        <v>健康旦 HiEggo</v>
      </c>
      <c r="C3372" s="80" t="s">
        <v>3770</v>
      </c>
      <c r="D3372" s="81" t="str">
        <f>HYPERLINK("https://youtube.com/watch?v=SeVfZHolQUM", "傳統矯視易角膜反 全飛秒激光矯視後遺症風險低 毋需揭開眼角膜完整度較好  眼科醫生：眼角膜薄或瞳孔太大不宜做手術 - 鄭丹瑞《健康旦》眼科專科醫生  #林順潮 Part 4 (CC中文字幕)")</f>
        <v>傳統矯視易角膜反 全飛秒激光矯視後遺症風險低 毋需揭開眼角膜完整度較好  眼科醫生：眼角膜薄或瞳孔太大不宜做手術 - 鄭丹瑞《健康旦》眼科專科醫生  #林順潮 Part 4 (CC中文字幕)</v>
      </c>
      <c r="E3372" s="82">
        <v>44047.0</v>
      </c>
      <c r="F3372" s="80">
        <v>655.0</v>
      </c>
      <c r="G3372" s="80" t="s">
        <v>63</v>
      </c>
      <c r="I3372" s="80" t="s">
        <v>63</v>
      </c>
      <c r="J3372" s="80">
        <v>2856.0</v>
      </c>
      <c r="K3372" s="80">
        <v>0.970768184908225</v>
      </c>
      <c r="L3372" s="80" t="s">
        <v>2771</v>
      </c>
    </row>
    <row r="3373">
      <c r="A3373" s="80" t="s">
        <v>3158</v>
      </c>
      <c r="B3373" s="81" t="str">
        <f>HYPERLINK("https://www.youtube.com/channel/UCldJqbxFCPolSR6V9lszWDA", "魚波 Yu Ball")</f>
        <v>魚波 Yu Ball</v>
      </c>
      <c r="C3373" s="80" t="s">
        <v>3771</v>
      </c>
      <c r="D3373" s="81" t="str">
        <f>HYPERLINK("https://youtube.com/watch?v=w40wAzuY3ho", "HONDA CBR400RR改死氣喉計劃! 失敗! (CC字幕/CNSUB)【魚波VLOG#20】")</f>
        <v>HONDA CBR400RR改死氣喉計劃! 失敗! (CC字幕/CNSUB)【魚波VLOG#20】</v>
      </c>
      <c r="E3373" s="82">
        <v>43899.0</v>
      </c>
      <c r="F3373" s="80">
        <v>792.0</v>
      </c>
      <c r="G3373" s="80" t="s">
        <v>63</v>
      </c>
      <c r="H3373" s="80" t="s">
        <v>63</v>
      </c>
      <c r="I3373" s="80" t="s">
        <v>63</v>
      </c>
      <c r="J3373" s="80">
        <v>2474.0</v>
      </c>
      <c r="K3373" s="80">
        <v>0.972961186218927</v>
      </c>
      <c r="L3373" s="80" t="s">
        <v>86</v>
      </c>
    </row>
    <row r="3374">
      <c r="A3374" s="80" t="s">
        <v>3162</v>
      </c>
      <c r="B3374" s="81" t="str">
        <f>HYPERLINK("https://www.youtube.com/channel/UCwz2_BsHZOaUO1zvS5zJBTw", "跟Theo一起爬坂道丨Theo Cheong")</f>
        <v>跟Theo一起爬坂道丨Theo Cheong</v>
      </c>
      <c r="C3374" s="80" t="s">
        <v>3772</v>
      </c>
      <c r="D3374" s="81" t="str">
        <f>HYPERLINK("https://youtube.com/watch?v=w5mBnj1OZ2k", "高山一日遊 逛逛高山老街 瘋狂參觀博物館 | Working Holiday | Travel | Vlog | Theo | 窮毒L遊日本 Ep.5")</f>
        <v>高山一日遊 逛逛高山老街 瘋狂參觀博物館 | Working Holiday | Travel | Vlog | Theo | 窮毒L遊日本 Ep.5</v>
      </c>
      <c r="E3374" s="82">
        <v>43573.0</v>
      </c>
      <c r="F3374" s="80">
        <v>523.0</v>
      </c>
      <c r="G3374" s="80" t="s">
        <v>63</v>
      </c>
      <c r="I3374" s="80" t="s">
        <v>63</v>
      </c>
      <c r="J3374" s="80">
        <v>1575.0</v>
      </c>
      <c r="K3374" s="80">
        <v>0.9</v>
      </c>
      <c r="L3374" s="80" t="s">
        <v>64</v>
      </c>
    </row>
    <row r="3375">
      <c r="A3375" s="80" t="s">
        <v>245</v>
      </c>
      <c r="B3375" s="81" t="str">
        <f>HYPERLINK("https://www.youtube.com/channel/UCkZ3cOWgnhJheCK7Ywpiezw", "Eagen Kao")</f>
        <v>Eagen Kao</v>
      </c>
      <c r="C3375" s="80" t="s">
        <v>3773</v>
      </c>
      <c r="D3375" s="81" t="str">
        <f>HYPERLINK("https://youtube.com/watch?v=ShCirg-TXVY", "[講Tech] Eufy Indoor Cam 2K Pan &amp; Tilt 開箱實測，響 Apple Home 之下可以用到幾多功能？ | Gadget評測")</f>
        <v>[講Tech] Eufy Indoor Cam 2K Pan &amp; Tilt 開箱實測，響 Apple Home 之下可以用到幾多功能？ | Gadget評測</v>
      </c>
      <c r="E3375" s="82">
        <v>44377.0</v>
      </c>
      <c r="F3375" s="80">
        <v>575.0</v>
      </c>
      <c r="G3375" s="80" t="s">
        <v>63</v>
      </c>
      <c r="I3375" s="80" t="s">
        <v>63</v>
      </c>
      <c r="J3375" s="80">
        <v>1654.0</v>
      </c>
      <c r="K3375" s="80">
        <v>0.57510431154381</v>
      </c>
      <c r="L3375" s="80" t="s">
        <v>64</v>
      </c>
    </row>
    <row r="3376">
      <c r="A3376" s="80" t="s">
        <v>98</v>
      </c>
      <c r="B3376" s="81" t="str">
        <f>HYPERLINK("https://www.youtube.com/channel/UCrquuQB6v1Ued2xyRKZreGQ", "Stephen Leung ")</f>
        <v>Stephen Leung </v>
      </c>
      <c r="C3376" s="80" t="s">
        <v>3774</v>
      </c>
      <c r="D3376" s="81" t="str">
        <f>HYPERLINK("https://youtube.com/watch?v=SiduzQ6sB98", "【香港美食】金鐘 經典酒樓 懷舊點心車 香港文化 傳統美食 推車仔賣點心 香港傳統飲茶文化 名都酒樓 dim sum  | 吃喝玩樂  2021 香港好去處 消費券  Dim Sum 美食 2021")</f>
        <v>【香港美食】金鐘 經典酒樓 懷舊點心車 香港文化 傳統美食 推車仔賣點心 香港傳統飲茶文化 名都酒樓 dim sum  | 吃喝玩樂  2021 香港好去處 消費券  Dim Sum 美食 2021</v>
      </c>
      <c r="E3376" s="82">
        <v>44462.0</v>
      </c>
      <c r="F3376" s="80">
        <v>579.0</v>
      </c>
      <c r="G3376" s="80" t="s">
        <v>63</v>
      </c>
      <c r="I3376" s="80" t="s">
        <v>63</v>
      </c>
      <c r="J3376" s="80">
        <v>1607.0</v>
      </c>
      <c r="K3376" s="80">
        <v>0.984078383343539</v>
      </c>
      <c r="L3376" s="80" t="s">
        <v>521</v>
      </c>
    </row>
    <row r="3377">
      <c r="A3377" s="80" t="s">
        <v>2800</v>
      </c>
      <c r="B3377" s="81" t="str">
        <f>HYPERLINK("https://www.youtube.com/channel/UCMqrlsr-AECPc6_3oDr8m9w", "Unicorn 獸哥")</f>
        <v>Unicorn 獸哥</v>
      </c>
      <c r="C3377" s="80" t="s">
        <v>3775</v>
      </c>
      <c r="D3377" s="81" t="str">
        <f>HYPERLINK("https://youtube.com/watch?v=Sk5kwttpUak", "從遊戲業界黑暗面到自己的存在意義  Free Guy 爆機自由仁 劇透影評")</f>
        <v>從遊戲業界黑暗面到自己的存在意義  Free Guy 爆機自由仁 劇透影評</v>
      </c>
      <c r="E3377" s="82">
        <v>44433.0</v>
      </c>
      <c r="F3377" s="80">
        <v>558.0</v>
      </c>
      <c r="G3377" s="80" t="s">
        <v>63</v>
      </c>
      <c r="I3377" s="80" t="s">
        <v>63</v>
      </c>
      <c r="J3377" s="80">
        <v>2165.0</v>
      </c>
      <c r="K3377" s="80">
        <v>0.816981132075471</v>
      </c>
      <c r="L3377" s="80" t="s">
        <v>64</v>
      </c>
    </row>
    <row r="3378">
      <c r="A3378" s="80" t="s">
        <v>84</v>
      </c>
      <c r="B3378" s="81" t="str">
        <f>HYPERLINK("https://www.youtube.com/channel/UCs6fW24aVjefTsognevmDnA", "PakTil 拍跳")</f>
        <v>PakTil 拍跳</v>
      </c>
      <c r="C3378" s="80" t="s">
        <v>3776</v>
      </c>
      <c r="D3378" s="81" t="str">
        <f>HYPERLINK("https://youtube.com/watch?v=SkNwwTjekZc", "【拍跳短跑】限聚令食飯 識女仔教學")</f>
        <v>【拍跳短跑】限聚令食飯 識女仔教學</v>
      </c>
      <c r="E3378" s="82">
        <v>44134.0</v>
      </c>
      <c r="F3378" s="80">
        <v>47.0</v>
      </c>
      <c r="G3378" s="80" t="s">
        <v>63</v>
      </c>
      <c r="I3378" s="80" t="s">
        <v>63</v>
      </c>
      <c r="J3378" s="80">
        <v>58.0</v>
      </c>
      <c r="K3378" s="80">
        <v>0.828571428571428</v>
      </c>
      <c r="L3378" s="80" t="s">
        <v>745</v>
      </c>
    </row>
    <row r="3379">
      <c r="A3379" s="80" t="s">
        <v>3139</v>
      </c>
      <c r="B3379" s="81" t="str">
        <f>HYPERLINK("https://www.youtube.com/channel/UCThO2xnH7XMg6plE8OgJm_w", "choyuen草原")</f>
        <v>choyuen草原</v>
      </c>
      <c r="C3379" s="80" t="s">
        <v>3777</v>
      </c>
      <c r="D3379" s="81" t="str">
        <f>HYPERLINK("https://youtube.com/watch?v=wX_9IABvZ_s", "用個兜起金字塔都冇人講 (B. 反重力理論與實踐) The pyramid was built by bowls (B. Anti-gravity Action)")</f>
        <v>用個兜起金字塔都冇人講 (B. 反重力理論與實踐) The pyramid was built by bowls (B. Anti-gravity Action)</v>
      </c>
      <c r="E3379" s="82">
        <v>44547.0</v>
      </c>
      <c r="F3379" s="80">
        <v>329.0</v>
      </c>
      <c r="G3379" s="80" t="s">
        <v>63</v>
      </c>
      <c r="I3379" s="80" t="s">
        <v>63</v>
      </c>
      <c r="J3379" s="80">
        <v>966.0</v>
      </c>
      <c r="K3379" s="80">
        <v>0.878181818181818</v>
      </c>
      <c r="L3379" s="80" t="s">
        <v>64</v>
      </c>
    </row>
    <row r="3380">
      <c r="A3380" s="80" t="s">
        <v>3158</v>
      </c>
      <c r="B3380" s="81" t="str">
        <f>HYPERLINK("https://www.youtube.com/channel/UCldJqbxFCPolSR6V9lszWDA", "魚波 Yu Ball")</f>
        <v>魚波 Yu Ball</v>
      </c>
      <c r="C3380" s="80" t="s">
        <v>3778</v>
      </c>
      <c r="D3380" s="81" t="str">
        <f>HYPERLINK("https://youtube.com/watch?v=wXsOIaLCKFM", "為什麼要開胎? 我對開胎的看法| 石橋Battlax SC用後感!量力而為 | 魚波")</f>
        <v>為什麼要開胎? 我對開胎的看法| 石橋Battlax SC用後感!量力而為 | 魚波</v>
      </c>
      <c r="E3380" s="82">
        <v>43600.0</v>
      </c>
      <c r="F3380" s="80">
        <v>737.0</v>
      </c>
      <c r="G3380" s="80" t="s">
        <v>63</v>
      </c>
      <c r="I3380" s="80" t="s">
        <v>63</v>
      </c>
      <c r="J3380" s="80">
        <v>2427.0</v>
      </c>
      <c r="K3380" s="80">
        <v>0.96004746835443</v>
      </c>
      <c r="L3380" s="80" t="s">
        <v>64</v>
      </c>
    </row>
    <row r="3381">
      <c r="A3381" s="80" t="s">
        <v>3162</v>
      </c>
      <c r="B3381" s="81" t="str">
        <f t="shared" ref="B3381:B3382" si="179">HYPERLINK("https://www.youtube.com/channel/UCwz2_BsHZOaUO1zvS5zJBTw", "跟Theo一起爬坂道丨Theo Cheong")</f>
        <v>跟Theo一起爬坂道丨Theo Cheong</v>
      </c>
      <c r="C3381" s="80" t="s">
        <v>3779</v>
      </c>
      <c r="D3381" s="81" t="str">
        <f>HYPERLINK("https://youtube.com/watch?v=wg_GV60kB4A", "和歌山一日失敗之旅 即埸劏巨型吞拿魚?! | N4 Working Holiday | Travel | Vlog")</f>
        <v>和歌山一日失敗之旅 即埸劏巨型吞拿魚?! | N4 Working Holiday | Travel | Vlog</v>
      </c>
      <c r="E3381" s="82">
        <v>43461.0</v>
      </c>
      <c r="F3381" s="80">
        <v>279.0</v>
      </c>
      <c r="G3381" s="80" t="s">
        <v>63</v>
      </c>
      <c r="I3381" s="80" t="s">
        <v>63</v>
      </c>
      <c r="J3381" s="80">
        <v>504.0</v>
      </c>
      <c r="K3381" s="80">
        <v>0.91970802919708</v>
      </c>
      <c r="L3381" s="80" t="s">
        <v>64</v>
      </c>
    </row>
    <row r="3382">
      <c r="A3382" s="80" t="s">
        <v>3162</v>
      </c>
      <c r="B3382" s="81" t="str">
        <f t="shared" si="179"/>
        <v>跟Theo一起爬坂道丨Theo Cheong</v>
      </c>
      <c r="C3382" s="80" t="s">
        <v>3780</v>
      </c>
      <c r="D3382" s="81" t="str">
        <f>HYPERLINK("https://youtube.com/watch?v=wkFh2Nm3nsg", "三重県伊勢市一日遊 伊勢神宮個外公(宮) 細細粒夫妻岩 | N4 Working Holiday |窮毒L遊日本 Ep.1")</f>
        <v>三重県伊勢市一日遊 伊勢神宮個外公(宮) 細細粒夫妻岩 | N4 Working Holiday |窮毒L遊日本 Ep.1</v>
      </c>
      <c r="E3382" s="82">
        <v>43545.0</v>
      </c>
      <c r="F3382" s="80">
        <v>288.0</v>
      </c>
      <c r="G3382" s="80" t="s">
        <v>63</v>
      </c>
      <c r="I3382" s="80" t="s">
        <v>63</v>
      </c>
      <c r="J3382" s="80">
        <v>867.0</v>
      </c>
      <c r="K3382" s="80">
        <v>0.926282051282051</v>
      </c>
      <c r="L3382" s="80" t="s">
        <v>64</v>
      </c>
    </row>
    <row r="3383">
      <c r="A3383" s="80" t="s">
        <v>3139</v>
      </c>
      <c r="B3383" s="81" t="str">
        <f>HYPERLINK("https://www.youtube.com/channel/UCThO2xnH7XMg6plE8OgJm_w", "choyuen草原")</f>
        <v>choyuen草原</v>
      </c>
      <c r="C3383" s="80" t="s">
        <v>3781</v>
      </c>
      <c r="D3383" s="81" t="str">
        <f>HYPERLINK("https://youtube.com/watch?v=wur6cOqOUgI", "『廣東話』蜥蜴人的習俗→精英儀式→文明陰影 B.蜥蜴人地球史Reptilian convention→Elite ritual→Civilization shadow B【禁忌的傳說】")</f>
        <v>『廣東話』蜥蜴人的習俗→精英儀式→文明陰影 B.蜥蜴人地球史Reptilian convention→Elite ritual→Civilization shadow B【禁忌的傳說】</v>
      </c>
      <c r="E3383" s="82">
        <v>43765.0</v>
      </c>
      <c r="F3383" s="80">
        <v>255.0</v>
      </c>
      <c r="G3383" s="80" t="s">
        <v>63</v>
      </c>
      <c r="I3383" s="80" t="s">
        <v>63</v>
      </c>
      <c r="J3383" s="80">
        <v>658.0</v>
      </c>
      <c r="K3383" s="80">
        <v>0.932011331444759</v>
      </c>
      <c r="L3383" s="80" t="s">
        <v>64</v>
      </c>
    </row>
    <row r="3384">
      <c r="A3384" s="80" t="s">
        <v>2764</v>
      </c>
      <c r="B3384" s="81" t="str">
        <f>HYPERLINK("https://www.youtube.com/channel/UCejZUW4khvxoA4uL2Afz20g", "Housik Laanfei 好食懶飛")</f>
        <v>Housik Laanfei 好食懶飛</v>
      </c>
      <c r="C3384" s="80" t="s">
        <v>3782</v>
      </c>
      <c r="D3384" s="81" t="str">
        <f>HYPERLINK("https://youtube.com/watch?v=SnSrqtevNJM", "[頹飯系列] 牛丼 | CC: 廣東話/繁中/ENG SUB | COOKING VLOG")</f>
        <v>[頹飯系列] 牛丼 | CC: 廣東話/繁中/ENG SUB | COOKING VLOG</v>
      </c>
      <c r="E3384" s="82">
        <v>44259.0</v>
      </c>
      <c r="F3384" s="80">
        <v>150.0</v>
      </c>
      <c r="G3384" s="80" t="s">
        <v>63</v>
      </c>
      <c r="H3384" s="80" t="s">
        <v>63</v>
      </c>
      <c r="I3384" s="80" t="s">
        <v>63</v>
      </c>
      <c r="J3384" s="80">
        <v>138.0</v>
      </c>
      <c r="K3384" s="80">
        <v>0.958333333333333</v>
      </c>
      <c r="L3384" s="80" t="s">
        <v>80</v>
      </c>
    </row>
    <row r="3385">
      <c r="A3385" s="80" t="s">
        <v>293</v>
      </c>
      <c r="B3385" s="81" t="str">
        <f>HYPERLINK("https://www.youtube.com/channel/UCXRcbXqjORdIvl63I7MtOLQ", "趁熱 Kerry 's kitchen")</f>
        <v>趁熱 Kerry 's kitchen</v>
      </c>
      <c r="C3385" s="80" t="s">
        <v>3783</v>
      </c>
      <c r="D3385" s="81" t="str">
        <f>HYPERLINK("https://youtube.com/watch?v=SoCZn1V_9kA", "法式梳乎厘/經典 做法/無敵 不敗竅門/簡單 家做/詳細教程/網友建議/souffle chassic/hot souiffle w/vanilla sauce/粵語 中字/cc subtitle")</f>
        <v>法式梳乎厘/經典 做法/無敵 不敗竅門/簡單 家做/詳細教程/網友建議/souffle chassic/hot souiffle w/vanilla sauce/粵語 中字/cc subtitle</v>
      </c>
      <c r="E3385" s="82">
        <v>44326.0</v>
      </c>
      <c r="F3385" s="80">
        <v>581.0</v>
      </c>
      <c r="G3385" s="80" t="s">
        <v>63</v>
      </c>
      <c r="I3385" s="80" t="s">
        <v>63</v>
      </c>
      <c r="J3385" s="80">
        <v>1890.0</v>
      </c>
      <c r="K3385" s="80">
        <v>0.967741935483871</v>
      </c>
      <c r="L3385" s="80" t="s">
        <v>64</v>
      </c>
    </row>
    <row r="3386">
      <c r="A3386" s="80" t="s">
        <v>248</v>
      </c>
      <c r="B3386" s="81" t="str">
        <f>HYPERLINK("https://www.youtube.com/channel/UCUEJok-GiWaGlv5nIPwk-GQ", "Price.com.hk 香港格價網")</f>
        <v>Price.com.hk 香港格價網</v>
      </c>
      <c r="C3386" s="80" t="s">
        <v>3784</v>
      </c>
      <c r="D3386" s="81" t="str">
        <f>HYPERLINK("https://youtube.com/watch?v=SqGXPeWwQEw", "舒服輕巧大眾化耳機！1MORE Colorbuds 2、Comfobuds 2｜SoundID、ANC降噪、藍牙5.2、IPX5｜｜特約專題【Price.com.hk產品評測】")</f>
        <v>舒服輕巧大眾化耳機！1MORE Colorbuds 2、Comfobuds 2｜SoundID、ANC降噪、藍牙5.2、IPX5｜｜特約專題【Price.com.hk產品評測】</v>
      </c>
      <c r="E3386" s="82">
        <v>44496.0</v>
      </c>
      <c r="F3386" s="80">
        <v>457.0</v>
      </c>
      <c r="G3386" s="80" t="s">
        <v>63</v>
      </c>
      <c r="I3386" s="80" t="s">
        <v>63</v>
      </c>
      <c r="J3386" s="80">
        <v>1554.0</v>
      </c>
      <c r="K3386" s="80">
        <v>0.727187646233037</v>
      </c>
      <c r="L3386" s="80" t="s">
        <v>64</v>
      </c>
    </row>
    <row r="3387">
      <c r="A3387" s="80" t="s">
        <v>84</v>
      </c>
      <c r="B3387" s="81" t="str">
        <f>HYPERLINK("https://www.youtube.com/channel/UCs6fW24aVjefTsognevmDnA", "PakTil 拍跳")</f>
        <v>PakTil 拍跳</v>
      </c>
      <c r="C3387" s="80" t="s">
        <v>3785</v>
      </c>
      <c r="D3387" s="81" t="str">
        <f>HYPERLINK("https://youtube.com/watch?v=SrUSSoCL9wY", "【拍跳短跑】辦公室接電話必學   耍走煩客無難度")</f>
        <v>【拍跳短跑】辦公室接電話必學   耍走煩客無難度</v>
      </c>
      <c r="E3387" s="82">
        <v>44048.0</v>
      </c>
      <c r="F3387" s="80">
        <v>91.0</v>
      </c>
      <c r="G3387" s="80" t="s">
        <v>63</v>
      </c>
      <c r="I3387" s="80" t="s">
        <v>63</v>
      </c>
      <c r="J3387" s="80">
        <v>197.0</v>
      </c>
      <c r="K3387" s="80">
        <v>0.965686274509803</v>
      </c>
      <c r="L3387" s="80" t="s">
        <v>66</v>
      </c>
    </row>
    <row r="3388">
      <c r="A3388" s="80" t="s">
        <v>238</v>
      </c>
      <c r="B3388" s="81" t="str">
        <f>HYPERLINK("https://www.youtube.com/channel/UCSBkm4LwpgBmcA3MCtO8vqg", "Post76影音玩樂")</f>
        <v>Post76影音玩樂</v>
      </c>
      <c r="C3388" s="80" t="s">
        <v>3786</v>
      </c>
      <c r="D3388" s="81" t="str">
        <f>HYPERLINK("https://youtube.com/watch?v=StaO1A2Weo8", "【Studio開箱系列】一Mon兩用真係Work !? 開箱 Samsung Smart Monitor 32"" M7 同你試盡電腦及電視功能（附設中文字幕）粵語 ( Post76.hk )")</f>
        <v>【Studio開箱系列】一Mon兩用真係Work !? 開箱 Samsung Smart Monitor 32" M7 同你試盡電腦及電視功能（附設中文字幕）粵語 ( Post76.hk )</v>
      </c>
      <c r="E3388" s="82">
        <v>44277.0</v>
      </c>
      <c r="F3388" s="80">
        <v>806.0</v>
      </c>
      <c r="G3388" s="80" t="s">
        <v>63</v>
      </c>
      <c r="H3388" s="80" t="s">
        <v>63</v>
      </c>
      <c r="I3388" s="80" t="s">
        <v>63</v>
      </c>
      <c r="J3388" s="80">
        <v>2945.0</v>
      </c>
      <c r="K3388" s="80">
        <v>0.829811214426599</v>
      </c>
      <c r="L3388" s="80" t="s">
        <v>66</v>
      </c>
    </row>
    <row r="3389">
      <c r="A3389" s="80" t="s">
        <v>124</v>
      </c>
      <c r="B3389" s="81" t="str">
        <f>HYPERLINK("https://www.youtube.com/channel/UCg0vuSE0fBF_NvodyYhMcWg", "Wallace Studio HK")</f>
        <v>Wallace Studio HK</v>
      </c>
      <c r="C3389" s="80" t="s">
        <v>3787</v>
      </c>
      <c r="D3389" s="81" t="str">
        <f>HYPERLINK("https://youtube.com/watch?v=SuuDJIWkxwk", "[效能實測] RTX2060 MAX-Q VS RTX 3060 (Laptop 105W) Part1 打機🎮 有冇分別？ ｜ GIGABYTE AORUS 15G VS AERO 15 OLED")</f>
        <v>[效能實測] RTX2060 MAX-Q VS RTX 3060 (Laptop 105W) Part1 打機🎮 有冇分別？ ｜ GIGABYTE AORUS 15G VS AERO 15 OLED</v>
      </c>
      <c r="E3389" s="82">
        <v>44318.0</v>
      </c>
      <c r="F3389" s="80">
        <v>390.0</v>
      </c>
      <c r="G3389" s="80" t="s">
        <v>63</v>
      </c>
      <c r="H3389" s="80" t="s">
        <v>63</v>
      </c>
      <c r="I3389" s="80" t="s">
        <v>63</v>
      </c>
      <c r="J3389" s="80">
        <v>1103.0</v>
      </c>
      <c r="K3389" s="80">
        <v>0.615170105967652</v>
      </c>
      <c r="L3389" s="80" t="s">
        <v>86</v>
      </c>
    </row>
    <row r="3390">
      <c r="A3390" s="80" t="s">
        <v>1139</v>
      </c>
      <c r="B3390" s="81" t="str">
        <f>HYPERLINK("https://www.youtube.com/channel/UCw51gVFijIewmXH4tIR0ufw", "Crystal Zen")</f>
        <v>Crystal Zen</v>
      </c>
      <c r="C3390" s="80" t="s">
        <v>3788</v>
      </c>
      <c r="D3390" s="81" t="str">
        <f>HYPERLINK("https://youtube.com/watch?v=Svg4fUR4hLo", "水晶唔戴應該放邊好？")</f>
        <v>水晶唔戴應該放邊好？</v>
      </c>
      <c r="E3390" s="82">
        <v>43986.0</v>
      </c>
      <c r="F3390" s="80">
        <v>230.0</v>
      </c>
      <c r="G3390" s="80" t="s">
        <v>63</v>
      </c>
      <c r="I3390" s="80" t="s">
        <v>63</v>
      </c>
      <c r="J3390" s="80">
        <v>1075.0</v>
      </c>
      <c r="K3390" s="80">
        <v>0.943810359964881</v>
      </c>
      <c r="L3390" s="80" t="s">
        <v>64</v>
      </c>
    </row>
    <row r="3391">
      <c r="A3391" s="80" t="s">
        <v>2764</v>
      </c>
      <c r="B3391" s="81" t="str">
        <f>HYPERLINK("https://www.youtube.com/channel/UCejZUW4khvxoA4uL2Afz20g", "Housik Laanfei 好食懶飛")</f>
        <v>Housik Laanfei 好食懶飛</v>
      </c>
      <c r="C3391" s="80" t="s">
        <v>3789</v>
      </c>
      <c r="D3391" s="81" t="str">
        <f>HYPERLINK("https://youtube.com/watch?v=SvqEWoTT4ZY", "[我愛台味] 皮蛋豆腐 | CC: 廣東話/繁中/ENG SUB | COOKING VLOG")</f>
        <v>[我愛台味] 皮蛋豆腐 | CC: 廣東話/繁中/ENG SUB | COOKING VLOG</v>
      </c>
      <c r="E3391" s="82">
        <v>44350.0</v>
      </c>
      <c r="F3391" s="80">
        <v>259.0</v>
      </c>
      <c r="G3391" s="80" t="s">
        <v>63</v>
      </c>
      <c r="I3391" s="80" t="s">
        <v>63</v>
      </c>
      <c r="J3391" s="80">
        <v>191.0</v>
      </c>
      <c r="K3391" s="80">
        <v>0.979487179487179</v>
      </c>
      <c r="L3391" s="80" t="s">
        <v>80</v>
      </c>
    </row>
    <row r="3392">
      <c r="A3392" s="80" t="s">
        <v>3158</v>
      </c>
      <c r="B3392" s="81" t="str">
        <f>HYPERLINK("https://www.youtube.com/channel/UCldJqbxFCPolSR6V9lszWDA", "魚波 Yu Ball")</f>
        <v>魚波 Yu Ball</v>
      </c>
      <c r="C3392" s="80" t="s">
        <v>3790</v>
      </c>
      <c r="D3392" s="81" t="str">
        <f>HYPERLINK("https://youtube.com/watch?v=xnVWRLJlBPA", "五分鐘學會電單車換機油 [CN Sub] | 魚波DIY")</f>
        <v>五分鐘學會電單車換機油 [CN Sub] | 魚波DIY</v>
      </c>
      <c r="E3392" s="82">
        <v>43529.0</v>
      </c>
      <c r="F3392" s="80">
        <v>312.0</v>
      </c>
      <c r="G3392" s="80" t="s">
        <v>63</v>
      </c>
      <c r="H3392" s="80" t="s">
        <v>63</v>
      </c>
      <c r="I3392" s="80" t="s">
        <v>63</v>
      </c>
      <c r="J3392" s="80">
        <v>1106.0</v>
      </c>
      <c r="K3392" s="80">
        <v>0.982238010657193</v>
      </c>
      <c r="L3392" s="80" t="s">
        <v>3160</v>
      </c>
    </row>
    <row r="3393">
      <c r="A3393" s="80" t="s">
        <v>3144</v>
      </c>
      <c r="B3393" s="81" t="str">
        <f>HYPERLINK("https://www.youtube.com/channel/UCZVmFDfn5WnixrHNf25MeJQ", "〈職人吹水〉@SingSingKitchen")</f>
        <v>〈職人吹水〉@SingSingKitchen</v>
      </c>
      <c r="C3393" s="80" t="s">
        <v>3791</v>
      </c>
      <c r="D3393" s="81" t="str">
        <f>HYPERLINK("https://youtube.com/watch?v=xoPhWFPgkmM", "〈職人吹水 〉 youtube熱爆影片 北風到 馬友一夜乾 三個重點講解  香煎馬友一夜乾 附上中文字幕")</f>
        <v>〈職人吹水 〉 youtube熱爆影片 北風到 馬友一夜乾 三個重點講解  香煎馬友一夜乾 附上中文字幕</v>
      </c>
      <c r="E3393" s="82">
        <v>44521.0</v>
      </c>
      <c r="F3393" s="80">
        <v>1154.0</v>
      </c>
      <c r="G3393" s="80" t="s">
        <v>63</v>
      </c>
      <c r="I3393" s="80" t="s">
        <v>63</v>
      </c>
      <c r="J3393" s="80">
        <v>2219.0</v>
      </c>
      <c r="K3393" s="80">
        <v>0.986222222222222</v>
      </c>
      <c r="L3393" s="80" t="s">
        <v>745</v>
      </c>
    </row>
    <row r="3394">
      <c r="A3394" s="80" t="s">
        <v>3139</v>
      </c>
      <c r="B3394" s="81" t="str">
        <f>HYPERLINK("https://www.youtube.com/channel/UCThO2xnH7XMg6plE8OgJm_w", "choyuen草原")</f>
        <v>choyuen草原</v>
      </c>
      <c r="C3394" s="80" t="s">
        <v>3792</v>
      </c>
      <c r="D3394" s="81" t="str">
        <f>HYPERLINK("https://youtube.com/watch?v=xtkXH_3VqB4", "給廢青的信: 政治鬥爭冇對錯,  ""暴徒"" 或 ""義士"" 勝利者話事 Power struggles need no correctness 【Extradition HK 逃犯條例】")</f>
        <v>給廢青的信: 政治鬥爭冇對錯,  "暴徒" 或 "義士" 勝利者話事 Power struggles need no correctness 【Extradition HK 逃犯條例】</v>
      </c>
      <c r="E3394" s="82">
        <v>43666.0</v>
      </c>
      <c r="F3394" s="80">
        <v>356.0</v>
      </c>
      <c r="G3394" s="80" t="s">
        <v>63</v>
      </c>
      <c r="I3394" s="80" t="s">
        <v>63</v>
      </c>
      <c r="J3394" s="80">
        <v>826.0</v>
      </c>
      <c r="K3394" s="80">
        <v>0.947247706422018</v>
      </c>
      <c r="L3394" s="80" t="s">
        <v>64</v>
      </c>
    </row>
    <row r="3395">
      <c r="A3395" s="80" t="s">
        <v>3162</v>
      </c>
      <c r="B3395" s="81" t="str">
        <f>HYPERLINK("https://www.youtube.com/channel/UCwz2_BsHZOaUO1zvS5zJBTw", "跟Theo一起爬坂道丨Theo Cheong")</f>
        <v>跟Theo一起爬坂道丨Theo Cheong</v>
      </c>
      <c r="C3395" s="80" t="s">
        <v>3793</v>
      </c>
      <c r="D3395" s="81" t="str">
        <f>HYPERLINK("https://youtube.com/watch?v=xwQTc6bIeGk", "[請打開字幕] 慢遊雪國大山 境港超豪華Airbnb | Working Holiday | Travel | Vlog (下)")</f>
        <v>[請打開字幕] 慢遊雪國大山 境港超豪華Airbnb | Working Holiday | Travel | Vlog (下)</v>
      </c>
      <c r="E3395" s="82">
        <v>43458.0</v>
      </c>
      <c r="F3395" s="80">
        <v>418.0</v>
      </c>
      <c r="G3395" s="80" t="s">
        <v>63</v>
      </c>
      <c r="I3395" s="80" t="s">
        <v>63</v>
      </c>
      <c r="J3395" s="80">
        <v>997.0</v>
      </c>
      <c r="K3395" s="80">
        <v>0.851409052092228</v>
      </c>
      <c r="L3395" s="80" t="s">
        <v>64</v>
      </c>
    </row>
    <row r="3396">
      <c r="A3396" s="80" t="s">
        <v>127</v>
      </c>
      <c r="B3396" s="81" t="str">
        <f>HYPERLINK("https://www.youtube.com/channel/UC97oYK3XMf9RLtkc0lO8C-Q", "健康旦 HiEggo")</f>
        <v>健康旦 HiEggo</v>
      </c>
      <c r="C3396" s="80" t="s">
        <v>3794</v>
      </c>
      <c r="D3396" s="81" t="str">
        <f>HYPERLINK("https://youtube.com/watch?v=SwjSkV0YAVc", "偏頭痛靠止痛藥舒緩 可致每日慢性頭痛 眼矇眼痛應即求醫  腦神經專科醫生詳解偏頭痛原因、症狀、位置 - 鄭丹瑞《健康旦》#陳振江 醫生 PART 1  (CC中文字幕)")</f>
        <v>偏頭痛靠止痛藥舒緩 可致每日慢性頭痛 眼矇眼痛應即求醫  腦神經專科醫生詳解偏頭痛原因、症狀、位置 - 鄭丹瑞《健康旦》#陳振江 醫生 PART 1  (CC中文字幕)</v>
      </c>
      <c r="E3396" s="82">
        <v>44000.0</v>
      </c>
      <c r="F3396" s="80">
        <v>681.0</v>
      </c>
      <c r="G3396" s="80" t="s">
        <v>63</v>
      </c>
      <c r="I3396" s="80" t="s">
        <v>63</v>
      </c>
      <c r="J3396" s="80">
        <v>3328.0</v>
      </c>
      <c r="K3396" s="80">
        <v>0.988123515439429</v>
      </c>
      <c r="L3396" s="80" t="s">
        <v>64</v>
      </c>
    </row>
    <row r="3397">
      <c r="A3397" s="80" t="s">
        <v>2481</v>
      </c>
      <c r="B3397" s="81" t="str">
        <f>HYPERLINK("https://www.youtube.com/channel/UCFT-PtLfmdMIShkQMynOEMQ", "一男一旅 HowFarGo")</f>
        <v>一男一旅 HowFarGo</v>
      </c>
      <c r="C3397" s="80" t="s">
        <v>3795</v>
      </c>
      <c r="D3397" s="81" t="str">
        <f>HYPERLINK("https://youtube.com/watch?v=SylLLtbDYZw", "疫情中郵輪的自助餐 (粤語/有字幕) Buffet on Carnival Panorama during pandemic of COVID-19, with English subtitles.")</f>
        <v>疫情中郵輪的自助餐 (粤語/有字幕) Buffet on Carnival Panorama during pandemic of COVID-19, with English subtitles.</v>
      </c>
      <c r="E3397" s="82">
        <v>44481.0</v>
      </c>
      <c r="F3397" s="80">
        <v>184.0</v>
      </c>
      <c r="G3397" s="80" t="s">
        <v>63</v>
      </c>
      <c r="I3397" s="80" t="s">
        <v>63</v>
      </c>
      <c r="J3397" s="80">
        <v>570.0</v>
      </c>
      <c r="K3397" s="80">
        <v>0.893416927899686</v>
      </c>
      <c r="L3397" s="80" t="s">
        <v>64</v>
      </c>
    </row>
    <row r="3398">
      <c r="A3398" s="80" t="s">
        <v>1260</v>
      </c>
      <c r="B3398" s="81" t="str">
        <f>HYPERLINK("https://www.youtube.com/channel/UCh1k4i86BpiXEO3nzJIYynw", "The Wave")</f>
        <v>The Wave</v>
      </c>
      <c r="C3398" s="80" t="s">
        <v>3796</v>
      </c>
      <c r="D3398" s="81" t="str">
        <f>HYPERLINK("https://youtube.com/watch?v=T0EH2nNJsYc", "TheWave | Sony WF-1000XM4 簡單開箱 + 簡單測試")</f>
        <v>TheWave | Sony WF-1000XM4 簡單開箱 + 簡單測試</v>
      </c>
      <c r="E3398" s="82">
        <v>44373.0</v>
      </c>
      <c r="F3398" s="80">
        <v>301.0</v>
      </c>
      <c r="G3398" s="80" t="s">
        <v>63</v>
      </c>
      <c r="H3398" s="80" t="s">
        <v>63</v>
      </c>
      <c r="I3398" s="80" t="s">
        <v>63</v>
      </c>
      <c r="J3398" s="80">
        <v>525.0</v>
      </c>
      <c r="K3398" s="80">
        <v>0.769117647058823</v>
      </c>
      <c r="L3398" s="80" t="s">
        <v>1634</v>
      </c>
    </row>
    <row r="3399">
      <c r="A3399" s="80" t="s">
        <v>2041</v>
      </c>
      <c r="B3399" s="81" t="str">
        <f>HYPERLINK("https://www.youtube.com/channel/UCO6pB-ZN4XJ6MVkibvuEe0A", "SingSingTracker 星昇財經指標")</f>
        <v>SingSingTracker 星昇財經指標</v>
      </c>
      <c r="C3399" s="80" t="s">
        <v>3797</v>
      </c>
      <c r="D3399" s="81" t="str">
        <f>HYPERLINK("https://youtube.com/watch?v=T1yAR0y1-zg", "【3大股票App大比併】Webull 富途牛牛 華盛通 邊間最抵？｜呢一間真正零佣金，唔使比手續費｜香港投資劵商開戶點揀｜股票App買美股｜0成本賺$6000  #微牛開戶 #富途牛牛 #劵商推薦")</f>
        <v>【3大股票App大比併】Webull 富途牛牛 華盛通 邊間最抵？｜呢一間真正零佣金，唔使比手續費｜香港投資劵商開戶點揀｜股票App買美股｜0成本賺$6000  #微牛開戶 #富途牛牛 #劵商推薦</v>
      </c>
      <c r="E3399" s="82">
        <v>44544.0</v>
      </c>
      <c r="F3399" s="80">
        <v>606.0</v>
      </c>
      <c r="G3399" s="80" t="s">
        <v>63</v>
      </c>
      <c r="I3399" s="80" t="s">
        <v>63</v>
      </c>
      <c r="J3399" s="80">
        <v>2147.0</v>
      </c>
      <c r="K3399" s="80">
        <v>0.912840136054421</v>
      </c>
      <c r="L3399" s="80" t="s">
        <v>64</v>
      </c>
    </row>
    <row r="3400">
      <c r="A3400" s="80" t="s">
        <v>245</v>
      </c>
      <c r="B3400" s="81" t="str">
        <f>HYPERLINK("https://www.youtube.com/channel/UCkZ3cOWgnhJheCK7Ywpiezw", "Eagen Kao")</f>
        <v>Eagen Kao</v>
      </c>
      <c r="C3400" s="80" t="s">
        <v>3798</v>
      </c>
      <c r="D3400" s="81" t="str">
        <f>HYPERLINK("https://youtube.com/watch?v=T2a6CvnTb60", "[台LIFE] 士東市場 - 小時回憶轉變為文青街市，久違的台灣小吃 | 生活VLOG (廣東話)")</f>
        <v>[台LIFE] 士東市場 - 小時回憶轉變為文青街市，久違的台灣小吃 | 生活VLOG (廣東話)</v>
      </c>
      <c r="E3400" s="82">
        <v>44248.0</v>
      </c>
      <c r="F3400" s="80">
        <v>318.0</v>
      </c>
      <c r="G3400" s="80" t="s">
        <v>63</v>
      </c>
      <c r="I3400" s="80" t="s">
        <v>63</v>
      </c>
      <c r="J3400" s="80">
        <v>730.0</v>
      </c>
      <c r="K3400" s="80">
        <v>0.889159561510353</v>
      </c>
      <c r="L3400" s="80" t="s">
        <v>102</v>
      </c>
    </row>
    <row r="3401">
      <c r="A3401" s="80" t="s">
        <v>2829</v>
      </c>
      <c r="B3401" s="81" t="str">
        <f>HYPERLINK("https://www.youtube.com/channel/UC7GnES6AEQlDzaP04UqtyjA", "SOLID IDEA")</f>
        <v>SOLID IDEA</v>
      </c>
      <c r="C3401" s="80" t="s">
        <v>3799</v>
      </c>
      <c r="D3401" s="81" t="str">
        <f>HYPERLINK("https://youtube.com/watch?v=T2bPwvKfuqk", "[#設計概念] #Wetland #風水大宅 #睡房都可以大改成飯廳 | 室內設計 | 空間擺位 | SOLID IDEA | (CC中文字幕)")</f>
        <v>[#設計概念] #Wetland #風水大宅 #睡房都可以大改成飯廳 | 室內設計 | 空間擺位 | SOLID IDEA | (CC中文字幕)</v>
      </c>
      <c r="E3401" s="82">
        <v>44407.0</v>
      </c>
      <c r="F3401" s="80">
        <v>216.0</v>
      </c>
      <c r="G3401" s="80" t="s">
        <v>63</v>
      </c>
      <c r="I3401" s="80" t="s">
        <v>63</v>
      </c>
      <c r="J3401" s="80">
        <v>651.0</v>
      </c>
      <c r="K3401" s="80">
        <v>0.914325842696629</v>
      </c>
      <c r="L3401" s="80" t="s">
        <v>64</v>
      </c>
    </row>
    <row r="3402">
      <c r="A3402" s="80" t="s">
        <v>3162</v>
      </c>
      <c r="B3402" s="81" t="str">
        <f>HYPERLINK("https://www.youtube.com/channel/UCwz2_BsHZOaUO1zvS5zJBTw", "跟Theo一起爬坂道丨Theo Cheong")</f>
        <v>跟Theo一起爬坂道丨Theo Cheong</v>
      </c>
      <c r="C3402" s="80" t="s">
        <v>3800</v>
      </c>
      <c r="D3402" s="81" t="str">
        <f>HYPERLINK("https://youtube.com/watch?v=yHqPeS2bCkI", "神戶 六甲有馬摩耶一日遊 牧羊人被追 | N4 Working Holiday | Vlog | Travel | Japan")</f>
        <v>神戶 六甲有馬摩耶一日遊 牧羊人被追 | N4 Working Holiday | Vlog | Travel | Japan</v>
      </c>
      <c r="E3402" s="82">
        <v>43460.0</v>
      </c>
      <c r="F3402" s="80">
        <v>388.0</v>
      </c>
      <c r="G3402" s="80" t="s">
        <v>63</v>
      </c>
      <c r="I3402" s="80" t="s">
        <v>63</v>
      </c>
      <c r="J3402" s="80">
        <v>847.0</v>
      </c>
      <c r="K3402" s="80">
        <v>0.900106269925611</v>
      </c>
      <c r="L3402" s="80" t="s">
        <v>64</v>
      </c>
    </row>
    <row r="3403">
      <c r="A3403" s="80" t="s">
        <v>3144</v>
      </c>
      <c r="B3403" s="81" t="str">
        <f>HYPERLINK("https://www.youtube.com/channel/UCZVmFDfn5WnixrHNf25MeJQ", "〈職人吹水〉@SingSingKitchen")</f>
        <v>〈職人吹水〉@SingSingKitchen</v>
      </c>
      <c r="C3403" s="80" t="s">
        <v>3801</v>
      </c>
      <c r="D3403" s="81" t="str">
        <f>HYPERLINK("https://youtube.com/watch?v=yNbGTfwjHfk", "〈 職人吹水〉七味椒鹽豆腐🤔 家常簡單易做方法！fried bean curd with salt and pepper")</f>
        <v>〈 職人吹水〉七味椒鹽豆腐🤔 家常簡單易做方法！fried bean curd with salt and pepper</v>
      </c>
      <c r="E3403" s="82">
        <v>43343.0</v>
      </c>
      <c r="F3403" s="80">
        <v>411.0</v>
      </c>
      <c r="G3403" s="80" t="s">
        <v>63</v>
      </c>
      <c r="I3403" s="80" t="s">
        <v>63</v>
      </c>
      <c r="J3403" s="80">
        <v>958.0</v>
      </c>
      <c r="K3403" s="80">
        <v>0.98559670781893</v>
      </c>
      <c r="L3403" s="80" t="s">
        <v>64</v>
      </c>
    </row>
    <row r="3404">
      <c r="A3404" s="80" t="s">
        <v>3158</v>
      </c>
      <c r="B3404" s="81" t="str">
        <f>HYPERLINK("https://www.youtube.com/channel/UCldJqbxFCPolSR6V9lszWDA", "魚波 Yu Ball")</f>
        <v>魚波 Yu Ball</v>
      </c>
      <c r="C3404" s="80" t="s">
        <v>3802</v>
      </c>
      <c r="D3404" s="81" t="str">
        <f>HYPERLINK("https://youtube.com/watch?v=y_2JxFiRI3c", "NEW FIGHTER (悍將) 改裝計劃 EP.2 - 排氣系統! 毒蛇R3白鐵管! [CN Sub] | 魚波DIY")</f>
        <v>NEW FIGHTER (悍將) 改裝計劃 EP.2 - 排氣系統! 毒蛇R3白鐵管! [CN Sub] | 魚波DIY</v>
      </c>
      <c r="E3404" s="82">
        <v>43537.0</v>
      </c>
      <c r="F3404" s="80">
        <v>289.0</v>
      </c>
      <c r="G3404" s="80" t="s">
        <v>63</v>
      </c>
      <c r="H3404" s="80" t="s">
        <v>63</v>
      </c>
      <c r="I3404" s="80" t="s">
        <v>63</v>
      </c>
      <c r="J3404" s="80">
        <v>749.0</v>
      </c>
      <c r="K3404" s="80">
        <v>0.954140127388535</v>
      </c>
      <c r="L3404" s="80" t="s">
        <v>3160</v>
      </c>
    </row>
    <row r="3405">
      <c r="A3405" s="80" t="s">
        <v>127</v>
      </c>
      <c r="B3405" s="81" t="str">
        <f>HYPERLINK("https://www.youtube.com/channel/UC97oYK3XMf9RLtkc0lO8C-Q", "健康旦 HiEggo")</f>
        <v>健康旦 HiEggo</v>
      </c>
      <c r="C3405" s="80" t="s">
        <v>3803</v>
      </c>
      <c r="D3405" s="81" t="str">
        <f>HYPERLINK("https://youtube.com/watch?v=T6XthOFKr30", "踢波被人一腳踢到入醫院 生死一線間 阿旦重提爆肺經歷  - 鄭丹瑞 Vlog (CC中文字幕)")</f>
        <v>踢波被人一腳踢到入醫院 生死一線間 阿旦重提爆肺經歷  - 鄭丹瑞 Vlog (CC中文字幕)</v>
      </c>
      <c r="E3405" s="82">
        <v>43883.0</v>
      </c>
      <c r="F3405" s="80">
        <v>627.0</v>
      </c>
      <c r="G3405" s="80" t="s">
        <v>63</v>
      </c>
      <c r="I3405" s="80" t="s">
        <v>63</v>
      </c>
      <c r="J3405" s="80">
        <v>2013.0</v>
      </c>
      <c r="K3405" s="80">
        <v>0.996534653465346</v>
      </c>
      <c r="L3405" s="80" t="s">
        <v>102</v>
      </c>
    </row>
    <row r="3406">
      <c r="A3406" s="80" t="s">
        <v>124</v>
      </c>
      <c r="B3406" s="81" t="str">
        <f>HYPERLINK("https://www.youtube.com/channel/UCg0vuSE0fBF_NvodyYhMcWg", "Wallace Studio HK")</f>
        <v>Wallace Studio HK</v>
      </c>
      <c r="C3406" s="80" t="s">
        <v>3804</v>
      </c>
      <c r="D3406" s="81" t="str">
        <f>HYPERLINK("https://youtube.com/watch?v=T9Gn8QoW6Uk", "iPad OS  15.0 生產力更新! 多工處理方便左!")</f>
        <v>iPad OS  15.0 生產力更新! 多工處理方便左!</v>
      </c>
      <c r="E3406" s="82">
        <v>44455.0</v>
      </c>
      <c r="F3406" s="80">
        <v>181.0</v>
      </c>
      <c r="G3406" s="80" t="s">
        <v>63</v>
      </c>
      <c r="H3406" s="80" t="s">
        <v>63</v>
      </c>
      <c r="I3406" s="80" t="s">
        <v>63</v>
      </c>
      <c r="J3406" s="80">
        <v>726.0</v>
      </c>
      <c r="K3406" s="80">
        <v>0.720837487537387</v>
      </c>
      <c r="L3406" s="80" t="s">
        <v>86</v>
      </c>
    </row>
    <row r="3407">
      <c r="A3407" s="80" t="s">
        <v>2753</v>
      </c>
      <c r="B3407" s="81" t="str">
        <f>HYPERLINK("https://www.youtube.com/channel/UCxRXNy5P6fLtHYpawxoiqJQ", "焦點視頻")</f>
        <v>焦點視頻</v>
      </c>
      <c r="C3407" s="80" t="s">
        <v>3805</v>
      </c>
      <c r="D3407" s="81" t="str">
        <f>HYPERLINK("https://youtube.com/watch?v=TBXFQg8b29o", "(中字) 香港股市2022有危機！ 中美角力有機會再惡化影響香港？《洪宗玉風水命理》 EP4 20211126")</f>
        <v>(中字) 香港股市2022有危機！ 中美角力有機會再惡化影響香港？《洪宗玉風水命理》 EP4 20211126</v>
      </c>
      <c r="E3407" s="82">
        <v>44526.0</v>
      </c>
      <c r="F3407" s="80">
        <v>559.0</v>
      </c>
      <c r="G3407" s="80" t="s">
        <v>63</v>
      </c>
      <c r="I3407" s="80" t="s">
        <v>63</v>
      </c>
      <c r="J3407" s="80">
        <v>2292.0</v>
      </c>
      <c r="K3407" s="80">
        <v>0.988357050452781</v>
      </c>
      <c r="L3407" s="80" t="s">
        <v>3012</v>
      </c>
    </row>
    <row r="3408">
      <c r="A3408" s="80" t="s">
        <v>3158</v>
      </c>
      <c r="B3408" s="81" t="str">
        <f>HYPERLINK("https://www.youtube.com/channel/UCldJqbxFCPolSR6V9lszWDA", "魚波 Yu Ball")</f>
        <v>魚波 Yu Ball</v>
      </c>
      <c r="C3408" s="80" t="s">
        <v>3806</v>
      </c>
      <c r="D3408" s="81" t="str">
        <f>HYPERLINK("https://youtube.com/watch?v=z1-7bE9_eas", "如何將GoPro安裝在在頭盔上? 詳解+角度調教問題! [CN Sub] | 魚波26")</f>
        <v>如何將GoPro安裝在在頭盔上? 詳解+角度調教問題! [CN Sub] | 魚波26</v>
      </c>
      <c r="E3408" s="82">
        <v>43533.0</v>
      </c>
      <c r="F3408" s="80">
        <v>458.0</v>
      </c>
      <c r="G3408" s="80" t="s">
        <v>63</v>
      </c>
      <c r="H3408" s="80" t="s">
        <v>63</v>
      </c>
      <c r="I3408" s="80" t="s">
        <v>63</v>
      </c>
      <c r="J3408" s="80">
        <v>2123.0</v>
      </c>
      <c r="K3408" s="80">
        <v>0.899195256247352</v>
      </c>
      <c r="L3408" s="80" t="s">
        <v>3160</v>
      </c>
    </row>
    <row r="3409">
      <c r="A3409" s="80" t="s">
        <v>238</v>
      </c>
      <c r="B3409" s="81" t="str">
        <f>HYPERLINK("https://www.youtube.com/channel/UCSBkm4LwpgBmcA3MCtO8vqg", "Post76影音玩樂")</f>
        <v>Post76影音玩樂</v>
      </c>
      <c r="C3409" s="80" t="s">
        <v>3807</v>
      </c>
      <c r="D3409" s="81" t="str">
        <f>HYPERLINK("https://youtube.com/watch?v=TBaKOL2Tx7Q", "😈英倫迷你轟炸機： Chord Anni 小型耳擴 + 合併式擴音機....終極評測（附設cc字幕）【耳擴評測】")</f>
        <v>😈英倫迷你轟炸機： Chord Anni 小型耳擴 + 合併式擴音機....終極評測（附設cc字幕）【耳擴評測】</v>
      </c>
      <c r="E3409" s="82">
        <v>44509.0</v>
      </c>
      <c r="F3409" s="80">
        <v>1326.0</v>
      </c>
      <c r="G3409" s="80" t="s">
        <v>63</v>
      </c>
      <c r="H3409" s="80" t="s">
        <v>63</v>
      </c>
      <c r="I3409" s="80" t="s">
        <v>63</v>
      </c>
      <c r="J3409" s="80">
        <v>5051.0</v>
      </c>
      <c r="K3409" s="80">
        <v>0.881654739046954</v>
      </c>
      <c r="L3409" s="80" t="s">
        <v>240</v>
      </c>
    </row>
    <row r="3410">
      <c r="A3410" s="80" t="s">
        <v>3134</v>
      </c>
      <c r="B3410" s="81" t="str">
        <f>HYPERLINK("https://www.youtube.com/channel/UC_vZsUCJrwYrbIRPHacAS_Q", "Coco哥")</f>
        <v>Coco哥</v>
      </c>
      <c r="C3410" s="80" t="s">
        <v>3808</v>
      </c>
      <c r="D3410" s="81" t="str">
        <f>HYPERLINK("https://youtube.com/watch?v=z4Nh8IWnr0w", "那頭髮動L～很黑！很亮！很柔！如果甩頭髮👨🏻‍🦲變禿頭Margaret仲認得爸爸嗎🥺[粵語中字]")</f>
        <v>那頭髮動L～很黑！很亮！很柔！如果甩頭髮👨🏻‍🦲變禿頭Margaret仲認得爸爸嗎🥺[粵語中字]</v>
      </c>
      <c r="E3410" s="82">
        <v>43670.0</v>
      </c>
      <c r="F3410" s="80">
        <v>394.0</v>
      </c>
      <c r="G3410" s="80" t="s">
        <v>63</v>
      </c>
      <c r="I3410" s="80" t="s">
        <v>63</v>
      </c>
      <c r="J3410" s="80">
        <v>1074.0</v>
      </c>
      <c r="K3410" s="80">
        <v>0.927461139896373</v>
      </c>
      <c r="L3410" s="80" t="s">
        <v>820</v>
      </c>
    </row>
    <row r="3411">
      <c r="A3411" s="80" t="s">
        <v>127</v>
      </c>
      <c r="B3411" s="81" t="str">
        <f>HYPERLINK("https://www.youtube.com/channel/UC97oYK3XMf9RLtkc0lO8C-Q", "健康旦 HiEggo")</f>
        <v>健康旦 HiEggo</v>
      </c>
      <c r="C3411" s="80" t="s">
        <v>3809</v>
      </c>
      <c r="D3411" s="81" t="str">
        <f>HYPERLINK("https://youtube.com/watch?v=TDlPhhS0VZo", "鄧月平日日煮菜 推介百搭食材蕃茄 分享錯誤減肥示範 - 鄭丹瑞《健康旦》鄧月平 Part 3 (CC中文字幕)")</f>
        <v>鄧月平日日煮菜 推介百搭食材蕃茄 分享錯誤減肥示範 - 鄭丹瑞《健康旦》鄧月平 Part 3 (CC中文字幕)</v>
      </c>
      <c r="E3411" s="82">
        <v>43912.0</v>
      </c>
      <c r="F3411" s="80">
        <v>654.0</v>
      </c>
      <c r="G3411" s="80" t="s">
        <v>63</v>
      </c>
      <c r="I3411" s="80" t="s">
        <v>63</v>
      </c>
      <c r="J3411" s="80">
        <v>2294.0</v>
      </c>
      <c r="K3411" s="80">
        <v>0.987091222030981</v>
      </c>
      <c r="L3411" s="80" t="s">
        <v>102</v>
      </c>
    </row>
    <row r="3412">
      <c r="A3412" s="80" t="s">
        <v>288</v>
      </c>
      <c r="B3412" s="81" t="str">
        <f>HYPERLINK("https://www.youtube.com/channel/UCDWOYEhVnyD4IHZGVAMLc0g", "Brendan 毛爸")</f>
        <v>Brendan 毛爸</v>
      </c>
      <c r="C3412" s="80" t="s">
        <v>3810</v>
      </c>
      <c r="D3412" s="81" t="str">
        <f>HYPERLINK("https://youtube.com/watch?v=TEY0YpXaRXI", "《2分鐘學會》自製KFC 蜜糖鬆餅 (少糖版）｜外脆內軟、超簡易、零失敗食譜 | Honey Scone |【 毛飯家庭EP22 】(CC 中文字幕）")</f>
        <v>《2分鐘學會》自製KFC 蜜糖鬆餅 (少糖版）｜外脆內軟、超簡易、零失敗食譜 | Honey Scone |【 毛飯家庭EP22 】(CC 中文字幕）</v>
      </c>
      <c r="E3412" s="82">
        <v>44061.0</v>
      </c>
      <c r="F3412" s="80">
        <v>150.0</v>
      </c>
      <c r="G3412" s="80" t="s">
        <v>63</v>
      </c>
      <c r="I3412" s="80" t="s">
        <v>63</v>
      </c>
      <c r="J3412" s="80">
        <v>450.0</v>
      </c>
      <c r="K3412" s="80">
        <v>0.949367088607594</v>
      </c>
      <c r="L3412" s="80" t="s">
        <v>64</v>
      </c>
    </row>
    <row r="3413">
      <c r="A3413" s="80" t="s">
        <v>293</v>
      </c>
      <c r="B3413" s="81" t="str">
        <f>HYPERLINK("https://www.youtube.com/channel/UCXRcbXqjORdIvl63I7MtOLQ", "趁熱 Kerry 's kitchen")</f>
        <v>趁熱 Kerry 's kitchen</v>
      </c>
      <c r="C3413" s="80" t="s">
        <v>3811</v>
      </c>
      <c r="D3413" s="81" t="str">
        <f>HYPERLINK("https://youtube.com/watch?v=TEkCJLARuIU", "香草煎羊扒/千錘百鍊配方/簿荷乳酪汁/簡單 家做/5分鐘攪掂/粵語/中字/急凍羊排處理方法/lamb chop/中字/請打開cc字幕提供英文及多國語言翻譯")</f>
        <v>香草煎羊扒/千錘百鍊配方/簿荷乳酪汁/簡單 家做/5分鐘攪掂/粵語/中字/急凍羊排處理方法/lamb chop/中字/請打開cc字幕提供英文及多國語言翻譯</v>
      </c>
      <c r="E3413" s="82">
        <v>44340.0</v>
      </c>
      <c r="F3413" s="80">
        <v>401.0</v>
      </c>
      <c r="G3413" s="80" t="s">
        <v>63</v>
      </c>
      <c r="I3413" s="80" t="s">
        <v>63</v>
      </c>
      <c r="J3413" s="80">
        <v>1011.0</v>
      </c>
      <c r="K3413" s="80">
        <v>0.949295774647887</v>
      </c>
      <c r="L3413" s="80" t="s">
        <v>64</v>
      </c>
    </row>
    <row r="3414">
      <c r="A3414" s="80" t="s">
        <v>127</v>
      </c>
      <c r="B3414" s="81" t="str">
        <f>HYPERLINK("https://www.youtube.com/channel/UC97oYK3XMf9RLtkc0lO8C-Q", "健康旦 HiEggo")</f>
        <v>健康旦 HiEggo</v>
      </c>
      <c r="C3414" s="80" t="s">
        <v>3812</v>
      </c>
      <c r="D3414" s="81" t="str">
        <f>HYPERLINK("https://youtube.com/watch?v=TGucrSewNyQ", "遵從恩師黃霑遺願 蕭潮順以李我叔製作首本有聲書 創辦好聲邀請羅家英、米雪作粵劇導讀 - 鄭丹瑞《健康旦》#蕭潮順 好聲創辦人 Part 1 (CC中文字幕)")</f>
        <v>遵從恩師黃霑遺願 蕭潮順以李我叔製作首本有聲書 創辦好聲邀請羅家英、米雪作粵劇導讀 - 鄭丹瑞《健康旦》#蕭潮順 好聲創辦人 Part 1 (CC中文字幕)</v>
      </c>
      <c r="E3414" s="82">
        <v>44023.0</v>
      </c>
      <c r="F3414" s="80">
        <v>586.0</v>
      </c>
      <c r="G3414" s="80" t="s">
        <v>63</v>
      </c>
      <c r="I3414" s="80" t="s">
        <v>63</v>
      </c>
      <c r="J3414" s="80">
        <v>2338.0</v>
      </c>
      <c r="K3414" s="80">
        <v>0.980704697986577</v>
      </c>
      <c r="L3414" s="80" t="s">
        <v>2771</v>
      </c>
    </row>
    <row r="3415">
      <c r="A3415" s="80" t="s">
        <v>3144</v>
      </c>
      <c r="B3415" s="81" t="str">
        <f>HYPERLINK("https://www.youtube.com/channel/UCZVmFDfn5WnixrHNf25MeJQ", "〈職人吹水〉@SingSingKitchen")</f>
        <v>〈職人吹水〉@SingSingKitchen</v>
      </c>
      <c r="C3415" s="80" t="s">
        <v>3813</v>
      </c>
      <c r="D3415" s="81" t="str">
        <f>HYPERLINK("https://youtube.com/watch?v=z_yELqcmnVY", "〈職人吹水〉 黯然銷魂飯 /重點係豉油/ 火雞叉燒王/ 新鮮梅頭做 /食神叉燒 /專業調配叉燒煎蛋飯豉油/ 當中竅門  附上中文字幕")</f>
        <v>〈職人吹水〉 黯然銷魂飯 /重點係豉油/ 火雞叉燒王/ 新鮮梅頭做 /食神叉燒 /專業調配叉燒煎蛋飯豉油/ 當中竅門  附上中文字幕</v>
      </c>
      <c r="E3415" s="82">
        <v>44477.0</v>
      </c>
      <c r="F3415" s="80">
        <v>1215.0</v>
      </c>
      <c r="G3415" s="80" t="s">
        <v>63</v>
      </c>
      <c r="I3415" s="80" t="s">
        <v>63</v>
      </c>
      <c r="J3415" s="80">
        <v>3322.0</v>
      </c>
      <c r="K3415" s="80">
        <v>0.986342042755344</v>
      </c>
      <c r="L3415" s="80" t="s">
        <v>745</v>
      </c>
    </row>
    <row r="3416">
      <c r="A3416" s="80" t="s">
        <v>238</v>
      </c>
      <c r="B3416" s="81" t="str">
        <f>HYPERLINK("https://www.youtube.com/channel/UCSBkm4LwpgBmcA3MCtO8vqg", "Post76影音玩樂")</f>
        <v>Post76影音玩樂</v>
      </c>
      <c r="C3416" s="80" t="s">
        <v>3814</v>
      </c>
      <c r="D3416" s="81" t="str">
        <f>HYPERLINK("https://youtube.com/watch?v=TJv-EvxtGXc", "Philips 4K Android TV PUD7906 50""實測 : $7,xxx 可玩 🎆Ambilight情境光、✨Dolby Vision、🎬Disney+（附設cc字幕）【電視評測】")</f>
        <v>Philips 4K Android TV PUD7906 50"實測 : $7,xxx 可玩 🎆Ambilight情境光、✨Dolby Vision、🎬Disney+（附設cc字幕）【電視評測】</v>
      </c>
      <c r="E3416" s="82">
        <v>44550.0</v>
      </c>
      <c r="F3416" s="80">
        <v>858.0</v>
      </c>
      <c r="G3416" s="80" t="s">
        <v>63</v>
      </c>
      <c r="H3416" s="80" t="s">
        <v>63</v>
      </c>
      <c r="I3416" s="80" t="s">
        <v>63</v>
      </c>
      <c r="J3416" s="80">
        <v>3281.0</v>
      </c>
      <c r="K3416" s="80">
        <v>0.860895202358616</v>
      </c>
      <c r="L3416" s="80" t="s">
        <v>240</v>
      </c>
    </row>
    <row r="3417">
      <c r="A3417" s="80" t="s">
        <v>288</v>
      </c>
      <c r="B3417" s="81" t="str">
        <f>HYPERLINK("https://www.youtube.com/channel/UCDWOYEhVnyD4IHZGVAMLc0g", "Brendan 毛爸")</f>
        <v>Brendan 毛爸</v>
      </c>
      <c r="C3417" s="80" t="s">
        <v>3815</v>
      </c>
      <c r="D3417" s="81" t="str">
        <f>HYPERLINK("https://youtube.com/watch?v=TKcaZ6TbR0I", "『留家抗疫篇』點揀即食麵可以健康啲？ 六款香港常見即食麵大比併｜非廣告😂（請打開CC 中文字幕）【毛飯家庭EP16】")</f>
        <v>『留家抗疫篇』點揀即食麵可以健康啲？ 六款香港常見即食麵大比併｜非廣告😂（請打開CC 中文字幕）【毛飯家庭EP16】</v>
      </c>
      <c r="E3417" s="82">
        <v>44039.0</v>
      </c>
      <c r="F3417" s="80">
        <v>289.0</v>
      </c>
      <c r="G3417" s="80" t="s">
        <v>63</v>
      </c>
      <c r="I3417" s="80" t="s">
        <v>63</v>
      </c>
      <c r="J3417" s="80">
        <v>1117.0</v>
      </c>
      <c r="K3417" s="80">
        <v>0.977252843394575</v>
      </c>
      <c r="L3417" s="80" t="s">
        <v>64</v>
      </c>
    </row>
    <row r="3418">
      <c r="A3418" s="80" t="s">
        <v>1390</v>
      </c>
      <c r="B3418" s="81" t="str">
        <f>HYPERLINK("https://www.youtube.com/channel/UCgwEJflQi4WnZ8PU0xdibZQ", "Kinson Ho")</f>
        <v>Kinson Ho</v>
      </c>
      <c r="C3418" s="80" t="s">
        <v>3816</v>
      </c>
      <c r="D3418" s="81" t="str">
        <f>HYPERLINK("https://youtube.com/watch?v=TMEDvxJRS28", "K神任我行 - [CC字幕] 赤柱古道探古尋橋｜石拱僑｜盾型排水渠｜洪水溢道｜老虎坑｜獅子坑｜1小時內短線遊")</f>
        <v>K神任我行 - [CC字幕] 赤柱古道探古尋橋｜石拱僑｜盾型排水渠｜洪水溢道｜老虎坑｜獅子坑｜1小時內短線遊</v>
      </c>
      <c r="E3418" s="82">
        <v>44344.0</v>
      </c>
      <c r="F3418" s="80">
        <v>1030.0</v>
      </c>
      <c r="G3418" s="80" t="s">
        <v>63</v>
      </c>
      <c r="I3418" s="80" t="s">
        <v>63</v>
      </c>
      <c r="J3418" s="80">
        <v>1430.0</v>
      </c>
      <c r="K3418" s="80">
        <v>0.97945205479452</v>
      </c>
      <c r="L3418" s="80" t="s">
        <v>64</v>
      </c>
    </row>
    <row r="3419">
      <c r="A3419" s="80" t="s">
        <v>2972</v>
      </c>
      <c r="B3419" s="81" t="str">
        <f>HYPERLINK("https://www.youtube.com/channel/UCVMEQdIDLjHcKAsEwhVXEoQ", "Danny W.")</f>
        <v>Danny W.</v>
      </c>
      <c r="C3419" s="80" t="s">
        <v>3817</v>
      </c>
      <c r="D3419" s="81" t="str">
        <f>HYPERLINK("https://youtube.com/watch?v=--sKO7gd-Pg", "教你用計數機 SD mode 統計數據")</f>
        <v>教你用計數機 SD mode 統計數據</v>
      </c>
      <c r="E3419" s="82">
        <v>42742.0</v>
      </c>
      <c r="F3419" s="80">
        <v>245.0</v>
      </c>
      <c r="G3419" s="80" t="s">
        <v>63</v>
      </c>
      <c r="I3419" s="80" t="s">
        <v>63</v>
      </c>
      <c r="J3419" s="80">
        <v>380.0</v>
      </c>
      <c r="K3419" s="80">
        <v>0.631229235880398</v>
      </c>
      <c r="L3419" s="80" t="s">
        <v>102</v>
      </c>
    </row>
    <row r="3420">
      <c r="A3420" s="80" t="s">
        <v>1987</v>
      </c>
      <c r="B3420" s="81" t="str">
        <f>HYPERLINK("https://www.youtube.com/channel/UCgGUmm04nVyj-ftaCxVcyBg", "MangoHK大馬獅家")</f>
        <v>MangoHK大馬獅家</v>
      </c>
      <c r="C3420" s="80" t="s">
        <v>3818</v>
      </c>
      <c r="D3420" s="81" t="str">
        <f>HYPERLINK("https://youtube.com/watch?v=-0f-2iadtRc", "【23】🚢巴生吉膽島🦀海鮮都有肉骨茶？{中英字幕}  Subtitled | Malaysia Pulau Ketam | Malaysia Vlog | mm2h")</f>
        <v>【23】🚢巴生吉膽島🦀海鮮都有肉骨茶？{中英字幕}  Subtitled | Malaysia Pulau Ketam | Malaysia Vlog | mm2h</v>
      </c>
      <c r="E3420" s="82">
        <v>44456.0</v>
      </c>
      <c r="F3420" s="80">
        <v>559.0</v>
      </c>
      <c r="G3420" s="80" t="s">
        <v>63</v>
      </c>
      <c r="I3420" s="80" t="s">
        <v>63</v>
      </c>
      <c r="J3420" s="80">
        <v>1083.0</v>
      </c>
      <c r="K3420" s="80">
        <v>0.973045822102425</v>
      </c>
      <c r="L3420" s="80" t="s">
        <v>896</v>
      </c>
    </row>
    <row r="3421">
      <c r="A3421" s="80" t="s">
        <v>3819</v>
      </c>
      <c r="B3421" s="81" t="str">
        <f>HYPERLINK("https://www.youtube.com/channel/UC_AM43evME8LaRFzElYdjpg", "LM")</f>
        <v>LM</v>
      </c>
      <c r="C3421" s="80" t="s">
        <v>3820</v>
      </c>
      <c r="D3421" s="81" t="str">
        <f>HYPERLINK("https://youtube.com/watch?v=-2TzNbX2NhI", "【得閒搞作】西班牙脆皮乳豬食譜｜ How to make suckling pig/ Lechon｜ 焗爐氣炸鍋Airfryer｜cochinillo al horno｜ 新年賀年菜｜香港廣東話")</f>
        <v>【得閒搞作】西班牙脆皮乳豬食譜｜ How to make suckling pig/ Lechon｜ 焗爐氣炸鍋Airfryer｜cochinillo al horno｜ 新年賀年菜｜香港廣東話</v>
      </c>
      <c r="E3421" s="82">
        <v>43818.0</v>
      </c>
      <c r="F3421" s="80">
        <v>161.0</v>
      </c>
      <c r="G3421" s="80" t="s">
        <v>63</v>
      </c>
      <c r="H3421" s="80" t="s">
        <v>63</v>
      </c>
      <c r="I3421" s="80" t="s">
        <v>63</v>
      </c>
      <c r="J3421" s="80">
        <v>400.0</v>
      </c>
      <c r="K3421" s="80">
        <v>1.0</v>
      </c>
      <c r="L3421" s="80" t="s">
        <v>86</v>
      </c>
    </row>
    <row r="3422">
      <c r="A3422" s="80" t="s">
        <v>293</v>
      </c>
      <c r="B3422" s="81" t="str">
        <f>HYPERLINK("https://www.youtube.com/channel/UCXRcbXqjORdIvl63I7MtOLQ", "趁熱 Kerry 's kitchen")</f>
        <v>趁熱 Kerry 's kitchen</v>
      </c>
      <c r="C3422" s="80" t="s">
        <v>3821</v>
      </c>
      <c r="D3422" s="81" t="str">
        <f>HYPERLINK("https://youtube.com/watch?v=-6Px1f7m6XE", "煲仔 飯/臘腸滑雞煲仔飯/有飯焦才真正香/在家也能做/煲仔豉油做法/完整 教程/值得 收藏/廣東話/中字")</f>
        <v>煲仔 飯/臘腸滑雞煲仔飯/有飯焦才真正香/在家也能做/煲仔豉油做法/完整 教程/值得 收藏/廣東話/中字</v>
      </c>
      <c r="E3422" s="82">
        <v>44505.0</v>
      </c>
      <c r="F3422" s="80">
        <v>703.0</v>
      </c>
      <c r="G3422" s="80" t="s">
        <v>63</v>
      </c>
      <c r="I3422" s="80" t="s">
        <v>63</v>
      </c>
      <c r="J3422" s="80">
        <v>606.0</v>
      </c>
      <c r="K3422" s="80">
        <v>0.971153846153846</v>
      </c>
      <c r="L3422" s="80" t="s">
        <v>64</v>
      </c>
    </row>
    <row r="3423">
      <c r="A3423" s="80" t="s">
        <v>1139</v>
      </c>
      <c r="B3423" s="81" t="str">
        <f>HYPERLINK("https://www.youtube.com/channel/UCw51gVFijIewmXH4tIR0ufw", "Crystal Zen")</f>
        <v>Crystal Zen</v>
      </c>
      <c r="C3423" s="80" t="s">
        <v>3822</v>
      </c>
      <c r="D3423" s="81" t="str">
        <f>HYPERLINK("https://youtube.com/watch?v=-7yiOj0RuLo", "[水晶知多啲第三集]粉晶戴左一定有拖拍？")</f>
        <v>[水晶知多啲第三集]粉晶戴左一定有拖拍？</v>
      </c>
      <c r="E3423" s="82">
        <v>44018.0</v>
      </c>
      <c r="F3423" s="80">
        <v>414.0</v>
      </c>
      <c r="G3423" s="80" t="s">
        <v>63</v>
      </c>
      <c r="I3423" s="80" t="s">
        <v>63</v>
      </c>
      <c r="J3423" s="80">
        <v>1681.0</v>
      </c>
      <c r="K3423" s="80">
        <v>0.934927697441601</v>
      </c>
      <c r="L3423" s="80" t="s">
        <v>64</v>
      </c>
    </row>
    <row r="3424">
      <c r="A3424" s="80" t="s">
        <v>127</v>
      </c>
      <c r="B3424" s="81" t="str">
        <f>HYPERLINK("https://www.youtube.com/channel/UC97oYK3XMf9RLtkc0lO8C-Q", "健康旦 HiEggo")</f>
        <v>健康旦 HiEggo</v>
      </c>
      <c r="C3424" s="80" t="s">
        <v>3823</v>
      </c>
      <c r="D3424" s="81" t="str">
        <f>HYPERLINK("https://youtube.com/watch?v=-BLexzW18Rk", "麥玲玲「十二生肖」演繹法與阿Bob 於 TVB「世紀大合唱」-  鄭丹瑞《健康旦》麥玲玲 2020 Part 3 (CC中文字幕)")</f>
        <v>麥玲玲「十二生肖」演繹法與阿Bob 於 TVB「世紀大合唱」-  鄭丹瑞《健康旦》麥玲玲 2020 Part 3 (CC中文字幕)</v>
      </c>
      <c r="E3424" s="82">
        <v>43904.0</v>
      </c>
      <c r="F3424" s="80">
        <v>665.0</v>
      </c>
      <c r="G3424" s="80" t="s">
        <v>63</v>
      </c>
      <c r="I3424" s="80" t="s">
        <v>63</v>
      </c>
      <c r="J3424" s="80">
        <v>2600.0</v>
      </c>
      <c r="K3424" s="80">
        <v>0.981502453756134</v>
      </c>
      <c r="L3424" s="80" t="s">
        <v>102</v>
      </c>
    </row>
    <row r="3425">
      <c r="A3425" s="80" t="s">
        <v>2972</v>
      </c>
      <c r="B3425" s="81" t="str">
        <f>HYPERLINK("https://www.youtube.com/channel/UCVMEQdIDLjHcKAsEwhVXEoQ", "Danny W.")</f>
        <v>Danny W.</v>
      </c>
      <c r="C3425" s="80" t="s">
        <v>3824</v>
      </c>
      <c r="D3425" s="81" t="str">
        <f>HYPERLINK("https://youtube.com/watch?v=-Bo5dwRqFy4", "iOS 15 EP1 實測 Q&amp;A + 介紹 第一集 [香港語字幕CC]")</f>
        <v>iOS 15 EP1 實測 Q&amp;A + 介紹 第一集 [香港語字幕CC]</v>
      </c>
      <c r="E3425" s="82">
        <v>44354.0</v>
      </c>
      <c r="F3425" s="80">
        <v>202.0</v>
      </c>
      <c r="G3425" s="80" t="s">
        <v>63</v>
      </c>
      <c r="I3425" s="80" t="s">
        <v>63</v>
      </c>
      <c r="J3425" s="80">
        <v>570.0</v>
      </c>
      <c r="K3425" s="80">
        <v>0.614886731391585</v>
      </c>
      <c r="L3425" s="80" t="s">
        <v>102</v>
      </c>
    </row>
    <row r="3426">
      <c r="A3426" s="80" t="s">
        <v>2764</v>
      </c>
      <c r="B3426" s="81" t="str">
        <f>HYPERLINK("https://www.youtube.com/channel/UCejZUW4khvxoA4uL2Afz20g", "Housik Laanfei 好食懶飛")</f>
        <v>Housik Laanfei 好食懶飛</v>
      </c>
      <c r="C3426" s="80" t="s">
        <v>3825</v>
      </c>
      <c r="D3426" s="81" t="str">
        <f>HYPERLINK("https://youtube.com/watch?v=-D9N8ts6TNY", "[簡單美味] 蕃茄大蝦意粉 | CC: 廣東話/繁中/ENG SUB | COOKING VLOG")</f>
        <v>[簡單美味] 蕃茄大蝦意粉 | CC: 廣東話/繁中/ENG SUB | COOKING VLOG</v>
      </c>
      <c r="E3426" s="82">
        <v>44294.0</v>
      </c>
      <c r="F3426" s="80">
        <v>527.0</v>
      </c>
      <c r="G3426" s="80" t="s">
        <v>63</v>
      </c>
      <c r="I3426" s="80" t="s">
        <v>63</v>
      </c>
      <c r="J3426" s="80">
        <v>234.0</v>
      </c>
      <c r="K3426" s="80">
        <v>0.987341772151898</v>
      </c>
      <c r="L3426" s="80" t="s">
        <v>80</v>
      </c>
    </row>
    <row r="3427">
      <c r="A3427" s="80" t="s">
        <v>127</v>
      </c>
      <c r="B3427" s="81" t="str">
        <f>HYPERLINK("https://www.youtube.com/channel/UC97oYK3XMf9RLtkc0lO8C-Q", "健康旦 HiEggo")</f>
        <v>健康旦 HiEggo</v>
      </c>
      <c r="C3427" s="80" t="s">
        <v>3826</v>
      </c>
      <c r="D3427" s="81" t="str">
        <f>HYPERLINK("https://youtube.com/watch?v=-EZQgf8AtAI", "黑妹李麗霞憶述年少輕狂生活 齋啜唔吸成功戒煙妙法 - 鄭丹瑞《健康旦》黑妹李麗霞 Part 3（CC中文字幕）")</f>
        <v>黑妹李麗霞憶述年少輕狂生活 齋啜唔吸成功戒煙妙法 - 鄭丹瑞《健康旦》黑妹李麗霞 Part 3（CC中文字幕）</v>
      </c>
      <c r="E3427" s="82">
        <v>43969.0</v>
      </c>
      <c r="F3427" s="80">
        <v>610.0</v>
      </c>
      <c r="G3427" s="80" t="s">
        <v>63</v>
      </c>
      <c r="I3427" s="80" t="s">
        <v>63</v>
      </c>
      <c r="J3427" s="80">
        <v>2064.0</v>
      </c>
      <c r="K3427" s="80">
        <v>0.99854862119013</v>
      </c>
      <c r="L3427" s="80" t="s">
        <v>64</v>
      </c>
    </row>
    <row r="3428">
      <c r="A3428" s="80" t="s">
        <v>2862</v>
      </c>
      <c r="B3428" s="81" t="str">
        <f>HYPERLINK("https://www.youtube.com/channel/UCi6CqLjdoCN_ijofoCJFpCw", "Anton 安冬晴 ")</f>
        <v>Anton 安冬晴 </v>
      </c>
      <c r="C3428" s="80" t="s">
        <v>3827</v>
      </c>
      <c r="D3428" s="81" t="str">
        <f>HYPERLINK("https://youtube.com/watch?v=-KZX-dpHhNk", "喺香港都感受到渡假風情！｜香港好去處 — 坪洲一日遊｜Journey to Peng Chau")</f>
        <v>喺香港都感受到渡假風情！｜香港好去處 — 坪洲一日遊｜Journey to Peng Chau</v>
      </c>
      <c r="E3428" s="82">
        <v>43531.0</v>
      </c>
      <c r="F3428" s="80">
        <v>214.0</v>
      </c>
      <c r="G3428" s="80" t="s">
        <v>63</v>
      </c>
      <c r="I3428" s="80" t="s">
        <v>63</v>
      </c>
      <c r="J3428" s="80">
        <v>473.0</v>
      </c>
      <c r="K3428" s="80">
        <v>1.0</v>
      </c>
      <c r="L3428" s="80" t="s">
        <v>64</v>
      </c>
    </row>
    <row r="3429">
      <c r="A3429" s="80" t="s">
        <v>2825</v>
      </c>
      <c r="B3429" s="81" t="str">
        <f>HYPERLINK("https://www.youtube.com/channel/UCP7XhYDgUbvjvaHxIhjTd_g", "Maviskuku 雞蛋妹")</f>
        <v>Maviskuku 雞蛋妹</v>
      </c>
      <c r="C3429" s="80" t="s">
        <v>3828</v>
      </c>
      <c r="D3429" s="81" t="str">
        <f>HYPERLINK("https://youtube.com/watch?v=-OU-fQ_MN6g", "【睇片、PS5 測試】Sony BRAVIA XR A80J 4K 電視開箱｜4K Ultra HD OLED 螢幕｜Dolby Vision｜IMAX Enhanced")</f>
        <v>【睇片、PS5 測試】Sony BRAVIA XR A80J 4K 電視開箱｜4K Ultra HD OLED 螢幕｜Dolby Vision｜IMAX Enhanced</v>
      </c>
      <c r="E3429" s="82">
        <v>44484.0</v>
      </c>
      <c r="F3429" s="80">
        <v>425.0</v>
      </c>
      <c r="G3429" s="80" t="s">
        <v>63</v>
      </c>
      <c r="I3429" s="80" t="s">
        <v>63</v>
      </c>
      <c r="J3429" s="80">
        <v>1231.0</v>
      </c>
      <c r="K3429" s="80">
        <v>0.758004926108374</v>
      </c>
      <c r="L3429" s="80" t="s">
        <v>64</v>
      </c>
    </row>
    <row r="3430">
      <c r="A3430" s="80" t="s">
        <v>1606</v>
      </c>
      <c r="B3430" s="81" t="str">
        <f>HYPERLINK("https://www.youtube.com/channel/UCk25FUc8pLiP3A6Zniknxbg", "希治閣【遊戲情報科】")</f>
        <v>希治閣【遊戲情報科】</v>
      </c>
      <c r="C3430" s="80" t="s">
        <v>3829</v>
      </c>
      <c r="D3430" s="81" t="str">
        <f>HYPERLINK("https://youtube.com/watch?v=-OVl6ijSRKo", "遊戲情報科 - EP9 - 2015/3/13 - 《Ride》《Rock Band 4》《閃亂神樂ESTIVAL VERSUS -少女達之選擇-》")</f>
        <v>遊戲情報科 - EP9 - 2015/3/13 - 《Ride》《Rock Band 4》《閃亂神樂ESTIVAL VERSUS -少女達之選擇-》</v>
      </c>
      <c r="E3430" s="82">
        <v>42076.0</v>
      </c>
      <c r="F3430" s="80">
        <v>466.0</v>
      </c>
      <c r="G3430" s="80" t="s">
        <v>63</v>
      </c>
      <c r="I3430" s="80" t="s">
        <v>63</v>
      </c>
      <c r="J3430" s="80">
        <v>1757.0</v>
      </c>
      <c r="K3430" s="80">
        <v>0.837464251668255</v>
      </c>
      <c r="L3430" s="80" t="s">
        <v>64</v>
      </c>
    </row>
    <row r="3431">
      <c r="A3431" s="80" t="s">
        <v>2829</v>
      </c>
      <c r="B3431" s="81" t="str">
        <f>HYPERLINK("https://www.youtube.com/channel/UC7GnES6AEQlDzaP04UqtyjA", "SOLID IDEA")</f>
        <v>SOLID IDEA</v>
      </c>
      <c r="C3431" s="80" t="s">
        <v>3830</v>
      </c>
      <c r="D3431" s="81" t="str">
        <f>HYPERLINK("https://youtube.com/watch?v=-P5W2gOQ3SQ", "[#實境拍攝] #山水盈 直接客戶分享! | 室內設計 | 空間擺位 | SOLID IDEA | (CC中文字幕)")</f>
        <v>[#實境拍攝] #山水盈 直接客戶分享! | 室內設計 | 空間擺位 | SOLID IDEA | (CC中文字幕)</v>
      </c>
      <c r="E3431" s="82">
        <v>44435.0</v>
      </c>
      <c r="F3431" s="80">
        <v>177.0</v>
      </c>
      <c r="G3431" s="80" t="s">
        <v>63</v>
      </c>
      <c r="I3431" s="80" t="s">
        <v>63</v>
      </c>
      <c r="J3431" s="80">
        <v>457.0</v>
      </c>
      <c r="K3431" s="80">
        <v>0.883945841392649</v>
      </c>
      <c r="L3431" s="80" t="s">
        <v>64</v>
      </c>
    </row>
    <row r="3432">
      <c r="A3432" s="80" t="s">
        <v>293</v>
      </c>
      <c r="B3432" s="81" t="str">
        <f>HYPERLINK("https://www.youtube.com/channel/UCXRcbXqjORdIvl63I7MtOLQ", "趁熱 Kerry 's kitchen")</f>
        <v>趁熱 Kerry 's kitchen</v>
      </c>
      <c r="C3432" s="80" t="s">
        <v>3831</v>
      </c>
      <c r="D3432" s="81" t="str">
        <f>HYPERLINK("https://youtube.com/watch?v=-TQCLC5RC_Y", "香港 雞批/堅鬆脆/無面棍也能做/超簡單做法/新手 入門/堅creamy/廣東話/中字")</f>
        <v>香港 雞批/堅鬆脆/無面棍也能做/超簡單做法/新手 入門/堅creamy/廣東話/中字</v>
      </c>
      <c r="E3432" s="82">
        <v>44545.0</v>
      </c>
      <c r="F3432" s="80">
        <v>627.0</v>
      </c>
      <c r="G3432" s="80" t="s">
        <v>63</v>
      </c>
      <c r="I3432" s="80" t="s">
        <v>63</v>
      </c>
      <c r="J3432" s="80">
        <v>717.0</v>
      </c>
      <c r="K3432" s="80">
        <v>0.97683923705722</v>
      </c>
      <c r="L3432" s="80" t="s">
        <v>64</v>
      </c>
    </row>
    <row r="3433">
      <c r="A3433" s="80" t="s">
        <v>248</v>
      </c>
      <c r="B3433" s="81" t="str">
        <f>HYPERLINK("https://www.youtube.com/channel/UCUEJok-GiWaGlv5nIPwk-GQ", "Price.com.hk 香港格價網")</f>
        <v>Price.com.hk 香港格價網</v>
      </c>
      <c r="C3433" s="80" t="s">
        <v>3832</v>
      </c>
      <c r="D3433" s="81" t="str">
        <f>HYPERLINK("https://youtube.com/watch?v=-V4xP2pVyms", "一星期用後感 iPhone SE2 優缺點分享！機身、熒幕、鏡頭、效能、電量  | 廣東話 | 手機評測 【Price.com.hk產品開箱】")</f>
        <v>一星期用後感 iPhone SE2 優缺點分享！機身、熒幕、鏡頭、效能、電量  | 廣東話 | 手機評測 【Price.com.hk產品開箱】</v>
      </c>
      <c r="E3433" s="82">
        <v>43962.0</v>
      </c>
      <c r="F3433" s="80">
        <v>471.0</v>
      </c>
      <c r="G3433" s="80" t="s">
        <v>63</v>
      </c>
      <c r="I3433" s="80" t="s">
        <v>63</v>
      </c>
      <c r="J3433" s="80">
        <v>1766.0</v>
      </c>
      <c r="K3433" s="80">
        <v>0.808608058608058</v>
      </c>
      <c r="L3433" s="80" t="s">
        <v>64</v>
      </c>
    </row>
    <row r="3434">
      <c r="A3434" s="80" t="s">
        <v>293</v>
      </c>
      <c r="B3434" s="81" t="str">
        <f>HYPERLINK("https://www.youtube.com/channel/UCXRcbXqjORdIvl63I7MtOLQ", "趁熱 Kerry 's kitchen")</f>
        <v>趁熱 Kerry 's kitchen</v>
      </c>
      <c r="C3434" s="80" t="s">
        <v>3833</v>
      </c>
      <c r="D3434" s="81" t="str">
        <f>HYPERLINK("https://youtube.com/watch?v=-WDZmMomVu8", "午餐肉 煎蛋/午餐肉芙蓉蛋/在家随手拿起就做/簡單 家做/新手 入門/廣東話/中字/fried egg with meatloaf")</f>
        <v>午餐肉 煎蛋/午餐肉芙蓉蛋/在家随手拿起就做/簡單 家做/新手 入門/廣東話/中字/fried egg with meatloaf</v>
      </c>
      <c r="E3434" s="82">
        <v>44410.0</v>
      </c>
      <c r="F3434" s="80">
        <v>519.0</v>
      </c>
      <c r="G3434" s="80" t="s">
        <v>63</v>
      </c>
      <c r="I3434" s="80" t="s">
        <v>63</v>
      </c>
      <c r="J3434" s="80">
        <v>1519.0</v>
      </c>
      <c r="K3434" s="80">
        <v>0.982535575679172</v>
      </c>
      <c r="L3434" s="80" t="s">
        <v>64</v>
      </c>
    </row>
    <row r="3435">
      <c r="A3435" s="80" t="s">
        <v>2041</v>
      </c>
      <c r="B3435" s="81" t="str">
        <f>HYPERLINK("https://www.youtube.com/channel/UCO6pB-ZN4XJ6MVkibvuEe0A", "SingSingTracker 星昇財經指標")</f>
        <v>SingSingTracker 星昇財經指標</v>
      </c>
      <c r="C3435" s="80" t="s">
        <v>3834</v>
      </c>
      <c r="D3435" s="81" t="str">
        <f>HYPERLINK("https://youtube.com/watch?v=-WiEe_afklQ", "元宇宙概念股攻略｜Metaverse投資策略｜4隻不得不留意的股票｜元宇宙股票懶人包 | MR VR AR ｜元宇宙投資什麼?｜元宇宙ETF｜omniverse #roblox #nvda #meta")</f>
        <v>元宇宙概念股攻略｜Metaverse投資策略｜4隻不得不留意的股票｜元宇宙股票懶人包 | MR VR AR ｜元宇宙投資什麼?｜元宇宙ETF｜omniverse #roblox #nvda #meta</v>
      </c>
      <c r="E3435" s="82">
        <v>44531.0</v>
      </c>
      <c r="F3435" s="80">
        <v>605.0</v>
      </c>
      <c r="G3435" s="80" t="s">
        <v>63</v>
      </c>
      <c r="I3435" s="80" t="s">
        <v>63</v>
      </c>
      <c r="J3435" s="80">
        <v>2194.0</v>
      </c>
      <c r="K3435" s="80">
        <v>0.852701127089001</v>
      </c>
      <c r="L3435" s="80" t="s">
        <v>64</v>
      </c>
    </row>
    <row r="3436">
      <c r="A3436" s="80" t="s">
        <v>1390</v>
      </c>
      <c r="B3436" s="81" t="str">
        <f>HYPERLINK("https://www.youtube.com/channel/UCgwEJflQi4WnZ8PU0xdibZQ", "Kinson Ho")</f>
        <v>Kinson Ho</v>
      </c>
      <c r="C3436" s="80" t="s">
        <v>3835</v>
      </c>
      <c r="D3436" s="81" t="str">
        <f>HYPERLINK("https://youtube.com/watch?v=-Ws1Ncimtpc", "K神任我行 - [CC字幕4K] 沙塘口山｜甕缸灣｜合掌崖｜門樓洞｜我又炒機啦｜航拍機搜救｜十月之星生日會｜遊船河｜路線分享")</f>
        <v>K神任我行 - [CC字幕4K] 沙塘口山｜甕缸灣｜合掌崖｜門樓洞｜我又炒機啦｜航拍機搜救｜十月之星生日會｜遊船河｜路線分享</v>
      </c>
      <c r="E3436" s="82">
        <v>44514.0</v>
      </c>
      <c r="F3436" s="80">
        <v>1259.0</v>
      </c>
      <c r="G3436" s="80" t="s">
        <v>63</v>
      </c>
      <c r="I3436" s="80" t="s">
        <v>63</v>
      </c>
      <c r="J3436" s="80">
        <v>695.0</v>
      </c>
      <c r="K3436" s="80">
        <v>0.959944751381215</v>
      </c>
      <c r="L3436" s="80" t="s">
        <v>64</v>
      </c>
    </row>
    <row r="3437">
      <c r="A3437" s="80" t="s">
        <v>295</v>
      </c>
      <c r="B3437" s="81" t="str">
        <f>HYPERLINK("https://www.youtube.com/channel/UCIotQRUz6c4H-BRsouLt4YQ", "Captain and his squad")</f>
        <v>Captain and his squad</v>
      </c>
      <c r="C3437" s="80" t="s">
        <v>3836</v>
      </c>
      <c r="D3437" s="81" t="str">
        <f>HYPERLINK("https://youtube.com/watch?v=-YWzMW1TbZw", "【 生活 ep.02 : 將流浪狗狗變得意緝毒犬 🐽💉💊💣 】究竟狗狗個鼻有幾勁｜實測 200 粒肉乾狗狗要幾耐先搵得晒，結果居然...《Captain 生活日常》(cc中英字幕)")</f>
        <v>【 生活 ep.02 : 將流浪狗狗變得意緝毒犬 🐽💉💊💣 】究竟狗狗個鼻有幾勁｜實測 200 粒肉乾狗狗要幾耐先搵得晒，結果居然...《Captain 生活日常》(cc中英字幕)</v>
      </c>
      <c r="E3437" s="82">
        <v>44069.0</v>
      </c>
      <c r="F3437" s="80">
        <v>906.0</v>
      </c>
      <c r="G3437" s="80" t="s">
        <v>63</v>
      </c>
      <c r="H3437" s="80" t="s">
        <v>63</v>
      </c>
      <c r="I3437" s="80" t="s">
        <v>63</v>
      </c>
      <c r="J3437" s="80">
        <v>2318.0</v>
      </c>
      <c r="K3437" s="80">
        <v>0.887411715828832</v>
      </c>
      <c r="L3437" s="80" t="s">
        <v>1155</v>
      </c>
    </row>
    <row r="3438">
      <c r="A3438" s="80" t="s">
        <v>2374</v>
      </c>
      <c r="B3438" s="81" t="str">
        <f>HYPERLINK("https://www.youtube.com/channel/UC0lbhIloP3pcKJT07YosZlQ", "講豬hi speakchuhi")</f>
        <v>講豬hi speakchuhi</v>
      </c>
      <c r="C3438" s="80" t="s">
        <v>3837</v>
      </c>
      <c r="D3438" s="81" t="str">
        <f>HYPERLINK("https://youtube.com/watch?v=-Z19G7k9agw", "[BNO續領] 簡易續期BNO護照 十分鐘搞掂 ❗️[中文字幕] | 申請程序❗️| 過晒期 ❗️| 副簽問題❗️| 續領成功❗️CUKC平權前續番先❗️")</f>
        <v>[BNO續領] 簡易續期BNO護照 十分鐘搞掂 ❗️[中文字幕] | 申請程序❗️| 過晒期 ❗️| 副簽問題❗️| 續領成功❗️CUKC平權前續番先❗️</v>
      </c>
      <c r="E3438" s="82">
        <v>43759.0</v>
      </c>
      <c r="F3438" s="80">
        <v>670.0</v>
      </c>
      <c r="G3438" s="80" t="s">
        <v>63</v>
      </c>
      <c r="I3438" s="80" t="s">
        <v>63</v>
      </c>
      <c r="J3438" s="80">
        <v>1641.0</v>
      </c>
      <c r="K3438" s="80">
        <v>0.904630650496141</v>
      </c>
      <c r="L3438" s="80" t="s">
        <v>64</v>
      </c>
    </row>
    <row r="3439">
      <c r="A3439" s="80" t="s">
        <v>288</v>
      </c>
      <c r="B3439" s="81" t="str">
        <f>HYPERLINK("https://www.youtube.com/channel/UCDWOYEhVnyD4IHZGVAMLc0g", "Brendan 毛爸")</f>
        <v>Brendan 毛爸</v>
      </c>
      <c r="C3439" s="80" t="s">
        <v>3838</v>
      </c>
      <c r="D3439" s="81" t="str">
        <f>HYPERLINK("https://youtube.com/watch?v=-_VIClN-dTY", "3分鐘解決U型水管倒水問題！減低肺炎互相感染！預防病毒散播！DIY超簡單小道具！小朋友也可以做！(請開CC 中文字幕）")</f>
        <v>3分鐘解決U型水管倒水問題！減低肺炎互相感染！預防病毒散播！DIY超簡單小道具！小朋友也可以做！(請開CC 中文字幕）</v>
      </c>
      <c r="E3439" s="82">
        <v>43865.0</v>
      </c>
      <c r="F3439" s="80">
        <v>233.0</v>
      </c>
      <c r="G3439" s="80" t="s">
        <v>63</v>
      </c>
      <c r="I3439" s="80" t="s">
        <v>63</v>
      </c>
      <c r="J3439" s="80">
        <v>706.0</v>
      </c>
      <c r="K3439" s="80">
        <v>0.961852861035422</v>
      </c>
      <c r="L3439" s="80" t="s">
        <v>64</v>
      </c>
    </row>
    <row r="3440">
      <c r="A3440" s="80" t="s">
        <v>248</v>
      </c>
      <c r="B3440" s="81" t="str">
        <f>HYPERLINK("https://www.youtube.com/channel/UCUEJok-GiWaGlv5nIPwk-GQ", "Price.com.hk 香港格價網")</f>
        <v>Price.com.hk 香港格價網</v>
      </c>
      <c r="C3440" s="80" t="s">
        <v>3839</v>
      </c>
      <c r="D3440" s="81" t="str">
        <f>HYPERLINK("https://youtube.com/watch?v=-cg0uoE-J9U", "日本品牌 KIOXIA記憶產品系列丨全球第二大快閃記憶廠｜microSD、SD、USB隨身碟丨特約專題【Price.com.hk產品介紹】")</f>
        <v>日本品牌 KIOXIA記憶產品系列丨全球第二大快閃記憶廠｜microSD、SD、USB隨身碟丨特約專題【Price.com.hk產品介紹】</v>
      </c>
      <c r="E3440" s="82">
        <v>44568.0</v>
      </c>
      <c r="F3440" s="80">
        <v>373.0</v>
      </c>
      <c r="G3440" s="80" t="s">
        <v>63</v>
      </c>
      <c r="I3440" s="80" t="s">
        <v>63</v>
      </c>
      <c r="J3440" s="80">
        <v>1308.0</v>
      </c>
      <c r="K3440" s="80">
        <v>0.731543624161073</v>
      </c>
      <c r="L3440" s="80" t="s">
        <v>64</v>
      </c>
    </row>
    <row r="3441">
      <c r="A3441" s="80" t="s">
        <v>127</v>
      </c>
      <c r="B3441" s="81" t="str">
        <f>HYPERLINK("https://www.youtube.com/channel/UC97oYK3XMf9RLtkc0lO8C-Q", "健康旦 HiEggo")</f>
        <v>健康旦 HiEggo</v>
      </c>
      <c r="C3441" s="80" t="s">
        <v>3840</v>
      </c>
      <c r="D3441" s="81" t="str">
        <f>HYPERLINK("https://youtube.com/watch?v=-d2sohTbLus", "陳秋霞談馬來西亞封城令 患癌照賀母校校慶 - 鄭丹瑞《健康旦》陳秋霞 Part 1 （CC中文字幕）")</f>
        <v>陳秋霞談馬來西亞封城令 患癌照賀母校校慶 - 鄭丹瑞《健康旦》陳秋霞 Part 1 （CC中文字幕）</v>
      </c>
      <c r="E3441" s="82">
        <v>43927.0</v>
      </c>
      <c r="F3441" s="80">
        <v>683.0</v>
      </c>
      <c r="G3441" s="80" t="s">
        <v>63</v>
      </c>
      <c r="I3441" s="80" t="s">
        <v>63</v>
      </c>
      <c r="J3441" s="80">
        <v>2182.0</v>
      </c>
      <c r="K3441" s="80">
        <v>0.965059708093763</v>
      </c>
      <c r="L3441" s="80" t="s">
        <v>64</v>
      </c>
    </row>
    <row r="3442">
      <c r="A3442" s="80" t="s">
        <v>124</v>
      </c>
      <c r="B3442" s="81" t="str">
        <f>HYPERLINK("https://www.youtube.com/channel/UCg0vuSE0fBF_NvodyYhMcWg", "Wallace Studio HK")</f>
        <v>Wallace Studio HK</v>
      </c>
      <c r="C3442" s="80" t="s">
        <v>3841</v>
      </c>
      <c r="D3442" s="81" t="str">
        <f>HYPERLINK("https://youtube.com/watch?v=-dv37PyfDlI", "7分鐘總結 Samsung Galaxy Unpacked 2021 發佈會用容|懶人包| 同埋講下我既諗法!")</f>
        <v>7分鐘總結 Samsung Galaxy Unpacked 2021 發佈會用容|懶人包| 同埋講下我既諗法!</v>
      </c>
      <c r="E3442" s="82">
        <v>44419.0</v>
      </c>
      <c r="F3442" s="80">
        <v>412.0</v>
      </c>
      <c r="G3442" s="80" t="s">
        <v>63</v>
      </c>
      <c r="H3442" s="80" t="s">
        <v>63</v>
      </c>
      <c r="I3442" s="80" t="s">
        <v>63</v>
      </c>
      <c r="J3442" s="80">
        <v>1408.0</v>
      </c>
      <c r="K3442" s="80">
        <v>0.703296703296703</v>
      </c>
      <c r="L3442" s="80" t="s">
        <v>86</v>
      </c>
    </row>
    <row r="3443">
      <c r="A3443" s="80" t="s">
        <v>1987</v>
      </c>
      <c r="B3443" s="81" t="str">
        <f>HYPERLINK("https://www.youtube.com/channel/UCgGUmm04nVyj-ftaCxVcyBg", "MangoHK大馬獅家")</f>
        <v>MangoHK大馬獅家</v>
      </c>
      <c r="C3443" s="80" t="s">
        <v>3842</v>
      </c>
      <c r="D3443" s="81" t="str">
        <f>HYPERLINK("https://youtube.com/watch?v=-eP1q-evNY4", "【72】👩🏻‍🌾越南法式味道🥖性價比極高 {中英字幕} Subtitled | Malaysia Vietnamese bread | Malaysia Vlog | mm2h")</f>
        <v>【72】👩🏻‍🌾越南法式味道🥖性價比極高 {中英字幕} Subtitled | Malaysia Vietnamese bread | Malaysia Vlog | mm2h</v>
      </c>
      <c r="E3443" s="82">
        <v>44499.0</v>
      </c>
      <c r="F3443" s="80">
        <v>783.0</v>
      </c>
      <c r="G3443" s="80" t="s">
        <v>63</v>
      </c>
      <c r="I3443" s="80" t="s">
        <v>63</v>
      </c>
      <c r="J3443" s="80">
        <v>2165.0</v>
      </c>
      <c r="K3443" s="80">
        <v>0.967381590705987</v>
      </c>
      <c r="L3443" s="80" t="s">
        <v>896</v>
      </c>
    </row>
    <row r="3444">
      <c r="A3444" s="80" t="s">
        <v>127</v>
      </c>
      <c r="B3444" s="81" t="str">
        <f>HYPERLINK("https://www.youtube.com/channel/UC97oYK3XMf9RLtkc0lO8C-Q", "健康旦 HiEggo")</f>
        <v>健康旦 HiEggo</v>
      </c>
      <c r="C3444" s="80" t="s">
        <v>3843</v>
      </c>
      <c r="D3444" s="81" t="str">
        <f>HYPERLINK("https://youtube.com/watch?v=-hMa0xrxA2w", "即食肉類醬料卡路里高 易致肥增加乳癌、抑鬱症風險 買醬料前應先睇成份表 - 鄭丹瑞《健康旦》養和醫院高級營養師 #陳勁芝 Part 3 (CC中文字幕)")</f>
        <v>即食肉類醬料卡路里高 易致肥增加乳癌、抑鬱症風險 買醬料前應先睇成份表 - 鄭丹瑞《健康旦》養和醫院高級營養師 #陳勁芝 Part 3 (CC中文字幕)</v>
      </c>
      <c r="E3444" s="82">
        <v>44076.0</v>
      </c>
      <c r="F3444" s="80">
        <v>602.0</v>
      </c>
      <c r="G3444" s="80" t="s">
        <v>63</v>
      </c>
      <c r="I3444" s="80" t="s">
        <v>63</v>
      </c>
      <c r="J3444" s="80">
        <v>2157.0</v>
      </c>
      <c r="K3444" s="80">
        <v>0.956965394853593</v>
      </c>
      <c r="L3444" s="80" t="s">
        <v>2771</v>
      </c>
    </row>
    <row r="3445">
      <c r="A3445" s="80" t="s">
        <v>2041</v>
      </c>
      <c r="B3445" s="81" t="str">
        <f>HYPERLINK("https://www.youtube.com/channel/UCO6pB-ZN4XJ6MVkibvuEe0A", "SingSingTracker 星昇財經指標")</f>
        <v>SingSingTracker 星昇財經指標</v>
      </c>
      <c r="C3445" s="80" t="s">
        <v>3844</v>
      </c>
      <c r="D3445" s="81" t="str">
        <f>HYPERLINK("https://youtube.com/watch?v=-iQCu40p1JI", "【新時代手機革命❓】Nokia 同 Sony Ericsson 到底去咗邊呢❓【點CC中文字幕】#FWCChannel")</f>
        <v>【新時代手機革命❓】Nokia 同 Sony Ericsson 到底去咗邊呢❓【點CC中文字幕】#FWCChannel</v>
      </c>
      <c r="E3445" s="82">
        <v>44280.0</v>
      </c>
      <c r="F3445" s="80">
        <v>297.0</v>
      </c>
      <c r="G3445" s="80" t="s">
        <v>63</v>
      </c>
      <c r="I3445" s="80" t="s">
        <v>63</v>
      </c>
      <c r="J3445" s="80">
        <v>900.0</v>
      </c>
      <c r="K3445" s="80">
        <v>0.723472668810289</v>
      </c>
      <c r="L3445" s="80" t="s">
        <v>64</v>
      </c>
    </row>
    <row r="3446">
      <c r="A3446" s="80" t="s">
        <v>3170</v>
      </c>
      <c r="B3446" s="81" t="str">
        <f>HYPERLINK("https://www.youtube.com/channel/UC4sYIzNtzgaJudHQcDGtuJA", "CC漫遊")</f>
        <v>CC漫遊</v>
      </c>
      <c r="C3446" s="80" t="s">
        <v>3845</v>
      </c>
      <c r="D3446" s="81" t="str">
        <f>HYPERLINK("https://youtube.com/watch?v=-jBn0MV1VWI", "【香港行山好去處】最快速上到鳯凰山嘅路線//6點嘅鳯凰山頂有幾多人🌄")</f>
        <v>【香港行山好去處】最快速上到鳯凰山嘅路線//6點嘅鳯凰山頂有幾多人🌄</v>
      </c>
      <c r="E3446" s="82">
        <v>44237.0</v>
      </c>
      <c r="F3446" s="80">
        <v>489.0</v>
      </c>
      <c r="G3446" s="80" t="s">
        <v>63</v>
      </c>
      <c r="I3446" s="80" t="s">
        <v>63</v>
      </c>
      <c r="J3446" s="80">
        <v>1030.0</v>
      </c>
      <c r="K3446" s="80">
        <v>0.970782280867106</v>
      </c>
      <c r="L3446" s="80" t="s">
        <v>102</v>
      </c>
    </row>
    <row r="3447">
      <c r="A3447" s="80" t="s">
        <v>1260</v>
      </c>
      <c r="B3447" s="81" t="str">
        <f>HYPERLINK("https://www.youtube.com/channel/UCh1k4i86BpiXEO3nzJIYynw", "The Wave")</f>
        <v>The Wave</v>
      </c>
      <c r="C3447" s="80" t="s">
        <v>3846</v>
      </c>
      <c r="D3447" s="81" t="str">
        <f>HYPERLINK("https://youtube.com/watch?v=-jkqAaG5UMc", "TheWave | CES 2019 | Sony新產品介紹 | Sony 首部8K HDR電視")</f>
        <v>TheWave | CES 2019 | Sony新產品介紹 | Sony 首部8K HDR電視</v>
      </c>
      <c r="E3447" s="82">
        <v>43473.0</v>
      </c>
      <c r="F3447" s="80">
        <v>106.0</v>
      </c>
      <c r="G3447" s="80" t="s">
        <v>63</v>
      </c>
      <c r="H3447" s="80" t="s">
        <v>63</v>
      </c>
      <c r="I3447" s="80" t="s">
        <v>63</v>
      </c>
      <c r="J3447" s="80">
        <v>304.0</v>
      </c>
      <c r="K3447" s="80">
        <v>0.621676891615542</v>
      </c>
      <c r="L3447" s="80" t="s">
        <v>120</v>
      </c>
    </row>
    <row r="3448">
      <c r="A3448" s="80" t="s">
        <v>127</v>
      </c>
      <c r="B3448" s="81" t="str">
        <f>HYPERLINK("https://www.youtube.com/channel/UC97oYK3XMf9RLtkc0lO8C-Q", "健康旦 HiEggo")</f>
        <v>健康旦 HiEggo</v>
      </c>
      <c r="C3448" s="80" t="s">
        <v>3847</v>
      </c>
      <c r="D3448" s="81" t="str">
        <f>HYPERLINK("https://youtube.com/watch?v=-keJy5nswVw", "越洋請教美國高人 趙汝威博士：新冠病毒「有殼」易殺 下隻「無殼」就大鑊 落大雨或有助紓緩疫情 - 鄭丹瑞《健康旦》趙汝威博士 PART 1")</f>
        <v>越洋請教美國高人 趙汝威博士：新冠病毒「有殼」易殺 下隻「無殼」就大鑊 落大雨或有助紓緩疫情 - 鄭丹瑞《健康旦》趙汝威博士 PART 1</v>
      </c>
      <c r="E3448" s="82">
        <v>43917.0</v>
      </c>
      <c r="F3448" s="80">
        <v>794.0</v>
      </c>
      <c r="G3448" s="80" t="s">
        <v>63</v>
      </c>
      <c r="I3448" s="80" t="s">
        <v>63</v>
      </c>
      <c r="J3448" s="80">
        <v>3182.0</v>
      </c>
      <c r="K3448" s="80">
        <v>0.968940316686967</v>
      </c>
      <c r="L3448" s="80" t="s">
        <v>102</v>
      </c>
    </row>
    <row r="3449">
      <c r="A3449" s="80" t="s">
        <v>248</v>
      </c>
      <c r="B3449" s="81" t="str">
        <f>HYPERLINK("https://www.youtube.com/channel/UCUEJok-GiWaGlv5nIPwk-GQ", "Price.com.hk 香港格價網")</f>
        <v>Price.com.hk 香港格價網</v>
      </c>
      <c r="C3449" s="80" t="s">
        <v>3848</v>
      </c>
      <c r="D3449" s="81" t="str">
        <f>HYPERLINK("https://youtube.com/watch?v=-l2WLfSFlQ4", "免拉線+上網快+Wi-Fi 6 SmarTone Home 5G寬頻｜特約專題｜廣東話【Price.com.hk產品試用】")</f>
        <v>免拉線+上網快+Wi-Fi 6 SmarTone Home 5G寬頻｜特約專題｜廣東話【Price.com.hk產品試用】</v>
      </c>
      <c r="E3449" s="82">
        <v>44160.0</v>
      </c>
      <c r="F3449" s="80">
        <v>343.0</v>
      </c>
      <c r="G3449" s="80" t="s">
        <v>63</v>
      </c>
      <c r="I3449" s="80" t="s">
        <v>63</v>
      </c>
      <c r="J3449" s="80">
        <v>1237.0</v>
      </c>
      <c r="K3449" s="80">
        <v>0.753349573690621</v>
      </c>
      <c r="L3449" s="80" t="s">
        <v>64</v>
      </c>
    </row>
    <row r="3450">
      <c r="A3450" s="80" t="s">
        <v>124</v>
      </c>
      <c r="B3450" s="81" t="str">
        <f>HYPERLINK("https://www.youtube.com/channel/UCg0vuSE0fBF_NvodyYhMcWg", "Wallace Studio HK")</f>
        <v>Wallace Studio HK</v>
      </c>
      <c r="C3450" s="80" t="s">
        <v>3849</v>
      </c>
      <c r="D3450" s="81" t="str">
        <f>HYPERLINK("https://youtube.com/watch?v=-mVaw_EyT_w", "[比較及評測] iPad Air 4 vs iPad Pro 2020 全比較及選購建議! 香港人評測")</f>
        <v>[比較及評測] iPad Air 4 vs iPad Pro 2020 全比較及選購建議! 香港人評測</v>
      </c>
      <c r="E3450" s="82">
        <v>44146.0</v>
      </c>
      <c r="F3450" s="80">
        <v>567.0</v>
      </c>
      <c r="G3450" s="80" t="s">
        <v>63</v>
      </c>
      <c r="I3450" s="80" t="s">
        <v>63</v>
      </c>
      <c r="J3450" s="80">
        <v>1635.0</v>
      </c>
      <c r="K3450" s="80">
        <v>0.599779897285399</v>
      </c>
      <c r="L3450" s="80" t="s">
        <v>64</v>
      </c>
    </row>
    <row r="3451">
      <c r="A3451" s="80" t="s">
        <v>1260</v>
      </c>
      <c r="B3451" s="81" t="str">
        <f>HYPERLINK("https://www.youtube.com/channel/UCh1k4i86BpiXEO3nzJIYynw", "The Wave")</f>
        <v>The Wave</v>
      </c>
      <c r="C3451" s="80" t="s">
        <v>3850</v>
      </c>
      <c r="D3451" s="81" t="str">
        <f>HYPERLINK("https://youtube.com/watch?v=-mwWoCORK9o", "TheWave | ............開箱🤣🤣🤣🤣")</f>
        <v>TheWave | ............開箱🤣🤣🤣🤣</v>
      </c>
      <c r="E3451" s="82">
        <v>44080.0</v>
      </c>
      <c r="F3451" s="80">
        <v>78.0</v>
      </c>
      <c r="G3451" s="80" t="s">
        <v>63</v>
      </c>
      <c r="H3451" s="80" t="s">
        <v>63</v>
      </c>
      <c r="I3451" s="80" t="s">
        <v>63</v>
      </c>
      <c r="J3451" s="80">
        <v>244.0</v>
      </c>
      <c r="K3451" s="80">
        <v>0.666666666666666</v>
      </c>
      <c r="L3451" s="80" t="s">
        <v>1132</v>
      </c>
    </row>
    <row r="3452">
      <c r="A3452" s="80" t="s">
        <v>2898</v>
      </c>
      <c r="B3452" s="81" t="str">
        <f>HYPERLINK("https://www.youtube.com/channel/UCy5bjMXbFPglSBNDXfivtOA", "消費者委員會")</f>
        <v>消費者委員會</v>
      </c>
      <c r="C3452" s="80" t="s">
        <v>3851</v>
      </c>
      <c r="D3452" s="81" t="str">
        <f>HYPERLINK("https://youtube.com/watch?v=-oclRcGRt9U", "《借錢來電 一招搞掂！》開記招先嚟接電話！？")</f>
        <v>《借錢來電 一招搞掂！》開記招先嚟接電話！？</v>
      </c>
      <c r="E3452" s="82">
        <v>43062.0</v>
      </c>
      <c r="F3452" s="80">
        <v>74.0</v>
      </c>
      <c r="G3452" s="80" t="s">
        <v>63</v>
      </c>
      <c r="I3452" s="80" t="s">
        <v>63</v>
      </c>
      <c r="J3452" s="80">
        <v>243.0</v>
      </c>
      <c r="K3452" s="80">
        <v>0.960474308300395</v>
      </c>
      <c r="L3452" s="80" t="s">
        <v>64</v>
      </c>
    </row>
    <row r="3453">
      <c r="A3453" s="80" t="s">
        <v>238</v>
      </c>
      <c r="B3453" s="81" t="str">
        <f>HYPERLINK("https://www.youtube.com/channel/UCSBkm4LwpgBmcA3MCtO8vqg", "Post76影音玩樂")</f>
        <v>Post76影音玩樂</v>
      </c>
      <c r="C3453" s="80" t="s">
        <v>3852</v>
      </c>
      <c r="D3453" s="81" t="str">
        <f>HYPERLINK("https://youtube.com/watch?v=-qubqYM8mm8", "Samsung QN900A Neo QLED 8K 電視 + Samsung HW-Q950A 全景聲11.1.4 Soundbar 西裝返歸玩：Soundbar篇（附設cc字幕）【影音家訪】")</f>
        <v>Samsung QN900A Neo QLED 8K 電視 + Samsung HW-Q950A 全景聲11.1.4 Soundbar 西裝返歸玩：Soundbar篇（附設cc字幕）【影音家訪】</v>
      </c>
      <c r="E3453" s="82">
        <v>44477.0</v>
      </c>
      <c r="F3453" s="80">
        <v>635.0</v>
      </c>
      <c r="G3453" s="80" t="s">
        <v>63</v>
      </c>
      <c r="H3453" s="80" t="s">
        <v>63</v>
      </c>
      <c r="I3453" s="80" t="s">
        <v>63</v>
      </c>
      <c r="J3453" s="80">
        <v>2517.0</v>
      </c>
      <c r="K3453" s="80">
        <v>0.79727589483687</v>
      </c>
      <c r="L3453" s="80" t="s">
        <v>66</v>
      </c>
    </row>
    <row r="3454">
      <c r="A3454" s="80" t="s">
        <v>293</v>
      </c>
      <c r="B3454" s="81" t="str">
        <f>HYPERLINK("https://www.youtube.com/channel/UCXRcbXqjORdIvl63I7MtOLQ", "趁熱 Kerry 's kitchen")</f>
        <v>趁熱 Kerry 's kitchen</v>
      </c>
      <c r="C3454" s="80" t="s">
        <v>3853</v>
      </c>
      <c r="D3454" s="81" t="str">
        <f>HYPERLINK("https://youtube.com/watch?v=-r53DTLxAuw", "扒 豆腐/鮮菇蠔汁扒豆腐/香濃 軟滑/低 成本/新手 入門/簡單 家做/廣東話/中字")</f>
        <v>扒 豆腐/鮮菇蠔汁扒豆腐/香濃 軟滑/低 成本/新手 入門/簡單 家做/廣東話/中字</v>
      </c>
      <c r="E3454" s="82">
        <v>44529.0</v>
      </c>
      <c r="F3454" s="80">
        <v>556.0</v>
      </c>
      <c r="G3454" s="80" t="s">
        <v>63</v>
      </c>
      <c r="I3454" s="80" t="s">
        <v>63</v>
      </c>
      <c r="J3454" s="80">
        <v>796.0</v>
      </c>
      <c r="K3454" s="80">
        <v>0.980295566502463</v>
      </c>
      <c r="L3454" s="80" t="s">
        <v>64</v>
      </c>
    </row>
    <row r="3455">
      <c r="A3455" s="80" t="s">
        <v>1260</v>
      </c>
      <c r="B3455" s="81" t="str">
        <f>HYPERLINK("https://www.youtube.com/channel/UCh1k4i86BpiXEO3nzJIYynw", "The Wave")</f>
        <v>The Wave</v>
      </c>
      <c r="C3455" s="80" t="s">
        <v>3854</v>
      </c>
      <c r="D3455" s="81" t="str">
        <f>HYPERLINK("https://youtube.com/watch?v=-rc1Tv64Mwc", "TheWave | Sony Xperia 5 | IFA 發佈會")</f>
        <v>TheWave | Sony Xperia 5 | IFA 發佈會</v>
      </c>
      <c r="E3455" s="82">
        <v>43713.0</v>
      </c>
      <c r="F3455" s="80">
        <v>200.0</v>
      </c>
      <c r="G3455" s="80" t="s">
        <v>63</v>
      </c>
      <c r="H3455" s="80" t="s">
        <v>63</v>
      </c>
      <c r="I3455" s="80" t="s">
        <v>63</v>
      </c>
      <c r="J3455" s="80">
        <v>500.0</v>
      </c>
      <c r="K3455" s="80">
        <v>0.608272506082725</v>
      </c>
      <c r="L3455" s="80" t="s">
        <v>1634</v>
      </c>
    </row>
    <row r="3456">
      <c r="A3456" s="80" t="s">
        <v>1594</v>
      </c>
      <c r="B3456" s="81" t="str">
        <f>HYPERLINK("https://www.youtube.com/channel/UCUtm1awT2EO9D7uJ2OlMcTQ", "黐住這一家 Sticky Love Family")</f>
        <v>黐住這一家 Sticky Love Family</v>
      </c>
      <c r="C3456" s="80" t="s">
        <v>3855</v>
      </c>
      <c r="D3456" s="81" t="str">
        <f>HYPERLINK("https://youtube.com/watch?v=-shkvPYRygI", "【配音媽媽日常VLOG】唔洗出街都可以嘆四季酒店下午茶外賣? HK Four Seasons Hotel Takeaway Vlog! ENG SUB")</f>
        <v>【配音媽媽日常VLOG】唔洗出街都可以嘆四季酒店下午茶外賣? HK Four Seasons Hotel Takeaway Vlog! ENG SUB</v>
      </c>
      <c r="E3456" s="82">
        <v>44200.0</v>
      </c>
      <c r="F3456" s="80">
        <v>395.0</v>
      </c>
      <c r="G3456" s="80" t="s">
        <v>63</v>
      </c>
      <c r="H3456" s="80" t="s">
        <v>63</v>
      </c>
      <c r="I3456" s="80" t="s">
        <v>63</v>
      </c>
      <c r="J3456" s="80">
        <v>1384.0</v>
      </c>
      <c r="K3456" s="80">
        <v>0.967832167832167</v>
      </c>
      <c r="L3456" s="80" t="s">
        <v>3856</v>
      </c>
    </row>
    <row r="3457">
      <c r="A3457" s="80" t="s">
        <v>98</v>
      </c>
      <c r="B3457" s="81" t="str">
        <f>HYPERLINK("https://www.youtube.com/channel/UCrquuQB6v1Ued2xyRKZreGQ", "Stephen Leung ")</f>
        <v>Stephen Leung </v>
      </c>
      <c r="C3457" s="80" t="s">
        <v>3857</v>
      </c>
      <c r="D3457" s="81" t="str">
        <f>HYPERLINK("https://youtube.com/watch?v=-vy0xDt4ev0", "【香港美食】真正備長炭雞串燒居酒屋 食齊12款稀有部位! 雞心元 | 雞皮 | 雞肝 | 雞腿 | 日式串燒  炭火地雞 yakitori  | 吃喝玩樂")</f>
        <v>【香港美食】真正備長炭雞串燒居酒屋 食齊12款稀有部位! 雞心元 | 雞皮 | 雞肝 | 雞腿 | 日式串燒  炭火地雞 yakitori  | 吃喝玩樂</v>
      </c>
      <c r="E3457" s="82">
        <v>44355.0</v>
      </c>
      <c r="F3457" s="80">
        <v>679.0</v>
      </c>
      <c r="G3457" s="80" t="s">
        <v>63</v>
      </c>
      <c r="I3457" s="80" t="s">
        <v>63</v>
      </c>
      <c r="J3457" s="80">
        <v>2027.0</v>
      </c>
      <c r="K3457" s="80">
        <v>0.961574952561669</v>
      </c>
      <c r="L3457" s="80" t="s">
        <v>64</v>
      </c>
    </row>
    <row r="3458">
      <c r="A3458" s="80" t="s">
        <v>124</v>
      </c>
      <c r="B3458" s="81" t="str">
        <f>HYPERLINK("https://www.youtube.com/channel/UCg0vuSE0fBF_NvodyYhMcWg", "Wallace Studio HK")</f>
        <v>Wallace Studio HK</v>
      </c>
      <c r="C3458" s="80" t="s">
        <v>3858</v>
      </c>
      <c r="D3458" s="81" t="str">
        <f>HYPERLINK("https://youtube.com/watch?v=-zjqemBeeo4", "[詳細評測] Galaxy S21 Ultra詳細評測!設計好好!升級有感!如果唔睇效能...... (CC中文字幕)")</f>
        <v>[詳細評測] Galaxy S21 Ultra詳細評測!設計好好!升級有感!如果唔睇效能...... (CC中文字幕)</v>
      </c>
      <c r="E3458" s="82">
        <v>44234.0</v>
      </c>
      <c r="F3458" s="80">
        <v>795.0</v>
      </c>
      <c r="G3458" s="80" t="s">
        <v>63</v>
      </c>
      <c r="H3458" s="80" t="s">
        <v>63</v>
      </c>
      <c r="I3458" s="80" t="s">
        <v>63</v>
      </c>
      <c r="J3458" s="80">
        <v>2743.0</v>
      </c>
      <c r="K3458" s="80">
        <v>0.732443257676902</v>
      </c>
      <c r="L3458" s="80" t="s">
        <v>86</v>
      </c>
    </row>
    <row r="3459">
      <c r="A3459" s="80" t="s">
        <v>1390</v>
      </c>
      <c r="B3459" s="81" t="str">
        <f>HYPERLINK("https://www.youtube.com/channel/UCgwEJflQi4WnZ8PU0xdibZQ", "Kinson Ho")</f>
        <v>Kinson Ho</v>
      </c>
      <c r="C3459" s="80" t="s">
        <v>3859</v>
      </c>
      <c r="D3459" s="81" t="str">
        <f>HYPERLINK("https://youtube.com/watch?v=0-eIkx_dmIc", "K神任我行 - [CC字幕4K] 舂坎角｜泳綑頭洲｜哥斯拉｜龍爪洞｜南灣｜好多打卡位打唔晒｜頭洲日落｜好玩綑邊路線分享｜航拍")</f>
        <v>K神任我行 - [CC字幕4K] 舂坎角｜泳綑頭洲｜哥斯拉｜龍爪洞｜南灣｜好多打卡位打唔晒｜頭洲日落｜好玩綑邊路線分享｜航拍</v>
      </c>
      <c r="E3459" s="82">
        <v>44449.0</v>
      </c>
      <c r="F3459" s="80">
        <v>1163.0</v>
      </c>
      <c r="G3459" s="80" t="s">
        <v>63</v>
      </c>
      <c r="I3459" s="80" t="s">
        <v>63</v>
      </c>
      <c r="J3459" s="80">
        <v>1286.0</v>
      </c>
      <c r="K3459" s="80">
        <v>0.974242424242424</v>
      </c>
      <c r="L3459" s="80" t="s">
        <v>64</v>
      </c>
    </row>
    <row r="3460">
      <c r="A3460" s="80" t="s">
        <v>1260</v>
      </c>
      <c r="B3460" s="81" t="str">
        <f>HYPERLINK("https://www.youtube.com/channel/UCh1k4i86BpiXEO3nzJIYynw", "The Wave")</f>
        <v>The Wave</v>
      </c>
      <c r="C3460" s="80" t="s">
        <v>3860</v>
      </c>
      <c r="D3460" s="81" t="str">
        <f>HYPERLINK("https://youtube.com/watch?v=00FsaBTYZf8", "TheWave | Macbook Pro 15"" 2018 開箱跑分 | 32GB RAM！！")</f>
        <v>TheWave | Macbook Pro 15" 2018 開箱跑分 | 32GB RAM！！</v>
      </c>
      <c r="E3460" s="82">
        <v>43320.0</v>
      </c>
      <c r="F3460" s="80">
        <v>546.0</v>
      </c>
      <c r="G3460" s="80" t="s">
        <v>63</v>
      </c>
      <c r="H3460" s="80" t="s">
        <v>63</v>
      </c>
      <c r="I3460" s="80" t="s">
        <v>63</v>
      </c>
      <c r="J3460" s="80">
        <v>956.0</v>
      </c>
      <c r="K3460" s="80">
        <v>0.687865497076023</v>
      </c>
      <c r="L3460" s="80" t="s">
        <v>120</v>
      </c>
    </row>
    <row r="3461">
      <c r="A3461" s="80" t="s">
        <v>2041</v>
      </c>
      <c r="B3461" s="81" t="str">
        <f>HYPERLINK("https://www.youtube.com/channel/UCO6pB-ZN4XJ6MVkibvuEe0A", "SingSingTracker 星昇財經指標")</f>
        <v>SingSingTracker 星昇財經指標</v>
      </c>
      <c r="C3461" s="80" t="s">
        <v>3861</v>
      </c>
      <c r="D3461" s="81" t="str">
        <f>HYPERLINK("https://youtube.com/watch?v=00JmTQfKheA", "【Charles Schwab International 國際版開戶教學】Charles Schwab 懶人包｜最快8分鐘極速開戶｜開戶注意事項⚠️｜BNO開戶｜真離岸戶口 #IB開戶 #開戶教學")</f>
        <v>【Charles Schwab International 國際版開戶教學】Charles Schwab 懶人包｜最快8分鐘極速開戶｜開戶注意事項⚠️｜BNO開戶｜真離岸戶口 #IB開戶 #開戶教學</v>
      </c>
      <c r="E3461" s="82">
        <v>44467.0</v>
      </c>
      <c r="F3461" s="80">
        <v>545.0</v>
      </c>
      <c r="G3461" s="80" t="s">
        <v>63</v>
      </c>
      <c r="I3461" s="80" t="s">
        <v>63</v>
      </c>
      <c r="J3461" s="80">
        <v>1521.0</v>
      </c>
      <c r="K3461" s="80">
        <v>0.621069824418129</v>
      </c>
      <c r="L3461" s="80" t="s">
        <v>64</v>
      </c>
    </row>
    <row r="3462">
      <c r="A3462" s="80" t="s">
        <v>108</v>
      </c>
      <c r="B3462" s="81" t="str">
        <f>HYPERLINK("https://www.youtube.com/channel/UCZL6QN6Xs-ZrKY3y6Pv6Emg", "廢青 - 日賺3000")</f>
        <v>廢青 - 日賺3000</v>
      </c>
      <c r="C3462" s="80" t="s">
        <v>3862</v>
      </c>
      <c r="D3462" s="81" t="str">
        <f>HYPERLINK("https://youtube.com/watch?v=01mrGtVQSlY", "【匯豐停派息😭】失去HSBC 9厘股息，廢青仲有40厘高息股喎，怕什麼! 😎💰 EP05【廢青 日賺3000】【點CC看中文字幕】")</f>
        <v>【匯豐停派息😭】失去HSBC 9厘股息，廢青仲有40厘高息股喎，怕什麼! 😎💰 EP05【廢青 日賺3000】【點CC看中文字幕】</v>
      </c>
      <c r="E3462" s="82">
        <v>43938.0</v>
      </c>
      <c r="F3462" s="80">
        <v>770.0</v>
      </c>
      <c r="G3462" s="80" t="s">
        <v>63</v>
      </c>
      <c r="I3462" s="80" t="s">
        <v>63</v>
      </c>
      <c r="J3462" s="80">
        <v>3396.0</v>
      </c>
      <c r="K3462" s="80">
        <v>0.937603533959138</v>
      </c>
      <c r="L3462" s="80" t="s">
        <v>64</v>
      </c>
    </row>
    <row r="3463">
      <c r="A3463" s="80" t="s">
        <v>1260</v>
      </c>
      <c r="B3463" s="81" t="str">
        <f>HYPERLINK("https://www.youtube.com/channel/UCh1k4i86BpiXEO3nzJIYynw", "The Wave")</f>
        <v>The Wave</v>
      </c>
      <c r="C3463" s="80" t="s">
        <v>3863</v>
      </c>
      <c r="D3463" s="81" t="str">
        <f>HYPERLINK("https://youtube.com/watch?v=025USBnaWKU", "TheWave | Sony Xperia XZ Premium 開箱 | 廣東話 | 4K HDR")</f>
        <v>TheWave | Sony Xperia XZ Premium 開箱 | 廣東話 | 4K HDR</v>
      </c>
      <c r="E3463" s="82">
        <v>42919.0</v>
      </c>
      <c r="F3463" s="80">
        <v>158.0</v>
      </c>
      <c r="G3463" s="80" t="s">
        <v>63</v>
      </c>
      <c r="H3463" s="80" t="s">
        <v>63</v>
      </c>
      <c r="I3463" s="80" t="s">
        <v>63</v>
      </c>
      <c r="J3463" s="80">
        <v>424.0</v>
      </c>
      <c r="K3463" s="80">
        <v>0.659409020217729</v>
      </c>
      <c r="L3463" s="80" t="s">
        <v>120</v>
      </c>
    </row>
    <row r="3464">
      <c r="A3464" s="80" t="s">
        <v>1987</v>
      </c>
      <c r="B3464" s="81" t="str">
        <f>HYPERLINK("https://www.youtube.com/channel/UCgGUmm04nVyj-ftaCxVcyBg", "MangoHK大馬獅家")</f>
        <v>MangoHK大馬獅家</v>
      </c>
      <c r="C3464" s="80" t="s">
        <v>3864</v>
      </c>
      <c r="D3464" s="81" t="str">
        <f>HYPERLINK("https://youtube.com/watch?v=03m4kZCHzNo", "【25】🏝風情馬六甲🧕🏼峇峇娘惹榚！{中英字幕}  Subtitled | Malaysia Malaccca | Malaysia Vlog | mm2h")</f>
        <v>【25】🏝風情馬六甲🧕🏼峇峇娘惹榚！{中英字幕}  Subtitled | Malaysia Malaccca | Malaysia Vlog | mm2h</v>
      </c>
      <c r="E3464" s="82">
        <v>44457.0</v>
      </c>
      <c r="F3464" s="80">
        <v>404.0</v>
      </c>
      <c r="G3464" s="80" t="s">
        <v>63</v>
      </c>
      <c r="I3464" s="80" t="s">
        <v>63</v>
      </c>
      <c r="J3464" s="80">
        <v>999.0</v>
      </c>
      <c r="K3464" s="80">
        <v>0.990089197224975</v>
      </c>
      <c r="L3464" s="80" t="s">
        <v>896</v>
      </c>
    </row>
    <row r="3465">
      <c r="A3465" s="80" t="s">
        <v>3865</v>
      </c>
      <c r="B3465" s="81" t="str">
        <f>HYPERLINK("https://www.youtube.com/channel/UCLE4O4nN6oSFkxSmfm18h3g", "HayCanWhat👫 ")</f>
        <v>HayCanWhat👫 </v>
      </c>
      <c r="C3465" s="80" t="s">
        <v>3866</v>
      </c>
      <c r="D3465" s="81" t="str">
        <f>HYPERLINK("https://youtube.com/watch?v=06VlfBoWA-w", "HayCanTravel｜Phuket｜布吉｜#HayCanTravel")</f>
        <v>HayCanTravel｜Phuket｜布吉｜#HayCanTravel</v>
      </c>
      <c r="E3465" s="82">
        <v>43855.0</v>
      </c>
      <c r="F3465" s="80">
        <v>625.0</v>
      </c>
      <c r="G3465" s="80" t="s">
        <v>63</v>
      </c>
      <c r="I3465" s="80" t="s">
        <v>63</v>
      </c>
      <c r="J3465" s="80">
        <v>309.0</v>
      </c>
      <c r="K3465" s="80">
        <v>0.882857142857142</v>
      </c>
      <c r="L3465" s="80" t="s">
        <v>521</v>
      </c>
    </row>
    <row r="3466">
      <c r="A3466" s="80" t="s">
        <v>2825</v>
      </c>
      <c r="B3466" s="81" t="str">
        <f>HYPERLINK("https://www.youtube.com/channel/UCP7XhYDgUbvjvaHxIhjTd_g", "Maviskuku 雞蛋妹")</f>
        <v>Maviskuku 雞蛋妹</v>
      </c>
      <c r="C3466" s="80" t="s">
        <v>3867</v>
      </c>
      <c r="D3466" s="81" t="str">
        <f>HYPERLINK("https://youtube.com/watch?v=0BnGur1xtAo", "8 大電訊商 5G 覆蓋率＋價錢比較！每個台都話覆蓋率 90% 以上，邊個台覆蓋最多？")</f>
        <v>8 大電訊商 5G 覆蓋率＋價錢比較！每個台都話覆蓋率 90% 以上，邊個台覆蓋最多？</v>
      </c>
      <c r="E3466" s="82">
        <v>44396.0</v>
      </c>
      <c r="F3466" s="80">
        <v>525.0</v>
      </c>
      <c r="G3466" s="80" t="s">
        <v>63</v>
      </c>
      <c r="H3466" s="80" t="s">
        <v>63</v>
      </c>
      <c r="I3466" s="80" t="s">
        <v>63</v>
      </c>
      <c r="J3466" s="80">
        <v>1684.0</v>
      </c>
      <c r="K3466" s="80">
        <v>0.861821903787103</v>
      </c>
      <c r="L3466" s="80" t="s">
        <v>66</v>
      </c>
    </row>
    <row r="3467">
      <c r="A3467" s="80" t="s">
        <v>2893</v>
      </c>
      <c r="B3467" s="81" t="str">
        <f>HYPERLINK("https://www.youtube.com/channel/UCS6TtQSjGUpGHJTCHTTFe9g", "玩學實驗室Play &amp; Learn Lab")</f>
        <v>玩學實驗室Play &amp; Learn Lab</v>
      </c>
      <c r="C3467" s="80" t="s">
        <v>3868</v>
      </c>
      <c r="D3467" s="81" t="str">
        <f>HYPERLINK("https://youtube.com/watch?v=0ECtsQjM2x8", "【玩學實驗室 #3】數學博士設計嘅小學雞 Board Game《Heckmeck Junior》｜一齊捉蟲 BBQ｜親子桌遊研習社｜【玩學玩你睇】")</f>
        <v>【玩學實驗室 #3】數學博士設計嘅小學雞 Board Game《Heckmeck Junior》｜一齊捉蟲 BBQ｜親子桌遊研習社｜【玩學玩你睇】</v>
      </c>
      <c r="E3467" s="82">
        <v>44251.0</v>
      </c>
      <c r="F3467" s="80">
        <v>452.0</v>
      </c>
      <c r="G3467" s="80" t="s">
        <v>63</v>
      </c>
      <c r="I3467" s="80" t="s">
        <v>63</v>
      </c>
      <c r="J3467" s="80">
        <v>604.0</v>
      </c>
      <c r="K3467" s="80">
        <v>0.78137128072445</v>
      </c>
      <c r="L3467" s="80" t="s">
        <v>64</v>
      </c>
    </row>
    <row r="3468">
      <c r="A3468" s="80" t="s">
        <v>3869</v>
      </c>
      <c r="B3468" s="81" t="str">
        <f>HYPERLINK("https://www.youtube.com/channel/UCxG_Sl8LTqDJyzurpOSKW0Q", "papa")</f>
        <v>papa</v>
      </c>
      <c r="C3468" s="80" t="s">
        <v>3870</v>
      </c>
      <c r="D3468" s="81" t="str">
        <f>HYPERLINK("https://youtube.com/watch?v=0F0BEisSRVw", "［粵語］papa嘅刺客教條 #2 DLC#1 | 文本闡釋 |  相承 相似 相異 ［CC 字幕］")</f>
        <v>［粵語］papa嘅刺客教條 #2 DLC#1 | 文本闡釋 |  相承 相似 相異 ［CC 字幕］</v>
      </c>
      <c r="E3468" s="82">
        <v>44513.0</v>
      </c>
      <c r="F3468" s="80">
        <v>574.0</v>
      </c>
      <c r="G3468" s="80" t="s">
        <v>63</v>
      </c>
      <c r="I3468" s="80" t="s">
        <v>63</v>
      </c>
      <c r="J3468" s="80">
        <v>2092.0</v>
      </c>
      <c r="K3468" s="80">
        <v>0.9215859030837</v>
      </c>
      <c r="L3468" s="80" t="s">
        <v>64</v>
      </c>
    </row>
    <row r="3469">
      <c r="A3469" s="80" t="s">
        <v>293</v>
      </c>
      <c r="B3469" s="81" t="str">
        <f t="shared" ref="B3469:B3470" si="180">HYPERLINK("https://www.youtube.com/channel/UCXRcbXqjORdIvl63I7MtOLQ", "趁熱 Kerry 's kitchen")</f>
        <v>趁熱 Kerry 's kitchen</v>
      </c>
      <c r="C3469" s="80" t="s">
        <v>3871</v>
      </c>
      <c r="D3469" s="81" t="str">
        <f>HYPERLINK("https://youtube.com/watch?v=0JnMMwD0u74", "黑椒 牛仔骨/天然醃法/茶記黑椒汁做法/黑 椒汁/低 成本/好 下飯/簡單 家做/重點 講解/好 juice/廣東話/中字/新手 入門/pepper short ribs")</f>
        <v>黑椒 牛仔骨/天然醃法/茶記黑椒汁做法/黑 椒汁/低 成本/好 下飯/簡單 家做/重點 講解/好 juice/廣東話/中字/新手 入門/pepper short ribs</v>
      </c>
      <c r="E3469" s="82">
        <v>44487.0</v>
      </c>
      <c r="F3469" s="80">
        <v>564.0</v>
      </c>
      <c r="G3469" s="80" t="s">
        <v>63</v>
      </c>
      <c r="I3469" s="80" t="s">
        <v>63</v>
      </c>
      <c r="J3469" s="80">
        <v>820.0</v>
      </c>
      <c r="K3469" s="80">
        <v>0.985576923076923</v>
      </c>
      <c r="L3469" s="80" t="s">
        <v>64</v>
      </c>
    </row>
    <row r="3470">
      <c r="A3470" s="80" t="s">
        <v>293</v>
      </c>
      <c r="B3470" s="81" t="str">
        <f t="shared" si="180"/>
        <v>趁熱 Kerry 's kitchen</v>
      </c>
      <c r="C3470" s="80" t="s">
        <v>3872</v>
      </c>
      <c r="D3470" s="81" t="str">
        <f>HYPERLINK("https://youtube.com/watch?v=0L6JBoSHuEo", "蠔仔豆腐湯/簡單 家做/新手 入門/滾一滾就飲得/快捷方便/粵語/中字/cc字幕")</f>
        <v>蠔仔豆腐湯/簡單 家做/新手 入門/滾一滾就飲得/快捷方便/粵語/中字/cc字幕</v>
      </c>
      <c r="E3470" s="82">
        <v>44361.0</v>
      </c>
      <c r="F3470" s="80">
        <v>321.0</v>
      </c>
      <c r="G3470" s="80" t="s">
        <v>63</v>
      </c>
      <c r="I3470" s="80" t="s">
        <v>63</v>
      </c>
      <c r="J3470" s="80">
        <v>871.0</v>
      </c>
      <c r="K3470" s="80">
        <v>0.974272930648769</v>
      </c>
      <c r="L3470" s="80" t="s">
        <v>64</v>
      </c>
    </row>
    <row r="3471">
      <c r="A3471" s="80" t="s">
        <v>1260</v>
      </c>
      <c r="B3471" s="81" t="str">
        <f>HYPERLINK("https://www.youtube.com/channel/UCh1k4i86BpiXEO3nzJIYynw", "The Wave")</f>
        <v>The Wave</v>
      </c>
      <c r="C3471" s="80" t="s">
        <v>3873</v>
      </c>
      <c r="D3471" s="81" t="str">
        <f>HYPERLINK("https://youtube.com/watch?v=0PMGPJMo7KE", "TheWave | Xperia 1 配件介紹 淘寶平價選擇")</f>
        <v>TheWave | Xperia 1 配件介紹 淘寶平價選擇</v>
      </c>
      <c r="E3471" s="82">
        <v>43641.0</v>
      </c>
      <c r="F3471" s="80">
        <v>154.0</v>
      </c>
      <c r="G3471" s="80" t="s">
        <v>63</v>
      </c>
      <c r="H3471" s="80" t="s">
        <v>63</v>
      </c>
      <c r="I3471" s="80" t="s">
        <v>63</v>
      </c>
      <c r="J3471" s="80">
        <v>667.0</v>
      </c>
      <c r="K3471" s="80">
        <v>0.875328083989501</v>
      </c>
      <c r="L3471" s="80" t="s">
        <v>1634</v>
      </c>
    </row>
    <row r="3472">
      <c r="A3472" s="80" t="s">
        <v>2893</v>
      </c>
      <c r="B3472" s="81" t="str">
        <f>HYPERLINK("https://www.youtube.com/channel/UCS6TtQSjGUpGHJTCHTTFe9g", "玩學實驗室Play &amp; Learn Lab")</f>
        <v>玩學實驗室Play &amp; Learn Lab</v>
      </c>
      <c r="C3472" s="80" t="s">
        <v>3874</v>
      </c>
      <c r="D3472" s="81" t="str">
        <f>HYPERLINK("https://youtube.com/watch?v=0T2WDjdZpIA", "【玩學實驗室 #8】讓一家人合作戰勝時間的《Robots》｜親子桌遊研習社｜【親子桌遊玩學堂】EP.04｜4K (廣東話字幕)")</f>
        <v>【玩學實驗室 #8】讓一家人合作戰勝時間的《Robots》｜親子桌遊研習社｜【親子桌遊玩學堂】EP.04｜4K (廣東話字幕)</v>
      </c>
      <c r="E3472" s="82">
        <v>44371.0</v>
      </c>
      <c r="F3472" s="80">
        <v>359.0</v>
      </c>
      <c r="G3472" s="80" t="s">
        <v>63</v>
      </c>
      <c r="I3472" s="80" t="s">
        <v>63</v>
      </c>
      <c r="J3472" s="80">
        <v>1156.0</v>
      </c>
      <c r="K3472" s="80">
        <v>0.914556962025316</v>
      </c>
      <c r="L3472" s="80" t="s">
        <v>64</v>
      </c>
    </row>
    <row r="3473">
      <c r="A3473" s="80" t="s">
        <v>1260</v>
      </c>
      <c r="B3473" s="81" t="str">
        <f>HYPERLINK("https://www.youtube.com/channel/UCh1k4i86BpiXEO3nzJIYynw", "The Wave")</f>
        <v>The Wave</v>
      </c>
      <c r="C3473" s="80" t="s">
        <v>3875</v>
      </c>
      <c r="D3473" s="81" t="str">
        <f>HYPERLINK("https://youtube.com/watch?v=0UOUiBzgyh4", "TheWave | Xperia 2 系列 5.7"" 6.1"" 6.5"" 傳聞分析")</f>
        <v>TheWave | Xperia 2 系列 5.7" 6.1" 6.5" 傳聞分析</v>
      </c>
      <c r="E3473" s="82">
        <v>43688.0</v>
      </c>
      <c r="F3473" s="80">
        <v>169.0</v>
      </c>
      <c r="G3473" s="80" t="s">
        <v>63</v>
      </c>
      <c r="H3473" s="80" t="s">
        <v>63</v>
      </c>
      <c r="I3473" s="80" t="s">
        <v>63</v>
      </c>
      <c r="J3473" s="80">
        <v>488.0</v>
      </c>
      <c r="K3473" s="80">
        <v>0.687323943661971</v>
      </c>
      <c r="L3473" s="80" t="s">
        <v>1634</v>
      </c>
    </row>
    <row r="3474">
      <c r="A3474" s="80" t="s">
        <v>248</v>
      </c>
      <c r="B3474" s="81" t="str">
        <f>HYPERLINK("https://www.youtube.com/channel/UCUEJok-GiWaGlv5nIPwk-GQ", "Price.com.hk 香港格價網")</f>
        <v>Price.com.hk 香港格價網</v>
      </c>
      <c r="C3474" s="80" t="s">
        <v>3876</v>
      </c>
      <c r="D3474" s="81" t="str">
        <f>HYPERLINK("https://youtube.com/watch?v=0_RqM61rCYM", "2022新年斷捨離整理攻略-Dyson裝備特輯｜V15 Detect™、V12 Detect Slim™、Digital Slim點揀好？｜特約專題｜廣東話【Price.com.hk產品介紹】")</f>
        <v>2022新年斷捨離整理攻略-Dyson裝備特輯｜V15 Detect™、V12 Detect Slim™、Digital Slim點揀好？｜特約專題｜廣東話【Price.com.hk產品介紹】</v>
      </c>
      <c r="E3474" s="82">
        <v>44572.0</v>
      </c>
      <c r="F3474" s="80">
        <v>427.0</v>
      </c>
      <c r="G3474" s="80" t="s">
        <v>63</v>
      </c>
      <c r="I3474" s="80" t="s">
        <v>63</v>
      </c>
      <c r="J3474" s="80">
        <v>1625.0</v>
      </c>
      <c r="K3474" s="80">
        <v>0.894823788546255</v>
      </c>
      <c r="L3474" s="80" t="s">
        <v>64</v>
      </c>
    </row>
    <row r="3475">
      <c r="A3475" s="80" t="s">
        <v>3170</v>
      </c>
      <c r="B3475" s="81" t="str">
        <f>HYPERLINK("https://www.youtube.com/channel/UC4sYIzNtzgaJudHQcDGtuJA", "CC漫遊")</f>
        <v>CC漫遊</v>
      </c>
      <c r="C3475" s="80" t="s">
        <v>3877</v>
      </c>
      <c r="D3475" s="81" t="str">
        <f>HYPERLINK("https://youtube.com/watch?v=0eBeT9yfwrw", "【香港行山好去處】大棠紅葉以外賞紅葉好地方//烏蛟騰到荔枝窩、三椏//300年歷史嘅客家村🏘//香港最大的紅樹林🌳//海邊有紅岩石嘅海岸公園🌊")</f>
        <v>【香港行山好去處】大棠紅葉以外賞紅葉好地方//烏蛟騰到荔枝窩、三椏//300年歷史嘅客家村🏘//香港最大的紅樹林🌳//海邊有紅岩石嘅海岸公園🌊</v>
      </c>
      <c r="E3475" s="82">
        <v>44243.0</v>
      </c>
      <c r="F3475" s="80">
        <v>552.0</v>
      </c>
      <c r="G3475" s="80" t="s">
        <v>63</v>
      </c>
      <c r="I3475" s="80" t="s">
        <v>63</v>
      </c>
      <c r="J3475" s="80">
        <v>727.0</v>
      </c>
      <c r="K3475" s="80">
        <v>0.985094850948509</v>
      </c>
      <c r="L3475" s="80" t="s">
        <v>102</v>
      </c>
    </row>
    <row r="3476">
      <c r="A3476" s="80" t="s">
        <v>98</v>
      </c>
      <c r="B3476" s="81" t="str">
        <f>HYPERLINK("https://www.youtube.com/channel/UCrquuQB6v1Ued2xyRKZreGQ", "Stephen Leung ")</f>
        <v>Stephen Leung </v>
      </c>
      <c r="C3476" s="80" t="s">
        <v>3878</v>
      </c>
      <c r="D3476" s="81" t="str">
        <f>HYPERLINK("https://youtube.com/watch?v=0fj-Si4cX-M", "【香港美食】流浮山食海鮮 散叫游水海鮮! 不同做法價錢大不同? 質素如何? 流浮山海鮮實測! 成記海鮮酒家 2021 香港好去處 | 電子消費卷 2021 香港本地遊 吃喝玩樂")</f>
        <v>【香港美食】流浮山食海鮮 散叫游水海鮮! 不同做法價錢大不同? 質素如何? 流浮山海鮮實測! 成記海鮮酒家 2021 香港好去處 | 電子消費卷 2021 香港本地遊 吃喝玩樂</v>
      </c>
      <c r="E3476" s="82">
        <v>44412.0</v>
      </c>
      <c r="F3476" s="80">
        <v>841.0</v>
      </c>
      <c r="G3476" s="80" t="s">
        <v>63</v>
      </c>
      <c r="I3476" s="80" t="s">
        <v>63</v>
      </c>
      <c r="J3476" s="80">
        <v>2584.0</v>
      </c>
      <c r="K3476" s="80">
        <v>0.993082244427363</v>
      </c>
      <c r="L3476" s="80" t="s">
        <v>64</v>
      </c>
    </row>
    <row r="3477">
      <c r="A3477" s="80" t="s">
        <v>2041</v>
      </c>
      <c r="B3477" s="81" t="str">
        <f>HYPERLINK("https://www.youtube.com/channel/UCO6pB-ZN4XJ6MVkibvuEe0A", "SingSingTracker 星昇財經指標")</f>
        <v>SingSingTracker 星昇財經指標</v>
      </c>
      <c r="C3477" s="80" t="s">
        <v>3879</v>
      </c>
      <c r="D3477" s="81" t="str">
        <f>HYPERLINK("https://youtube.com/watch?v=0ob2XCtFArg", "【2022美股買什麼？】 通脹加息有咩版塊最受惠？又有咩行業會受到衝擊？｜2022年美股應該點部署｜美股走勢變數多｜加息收水必買ETF｜2021美股重點回顧｜ #tsla #nvda #2022etf")</f>
        <v>【2022美股買什麼？】 通脹加息有咩版塊最受惠？又有咩行業會受到衝擊？｜2022年美股應該點部署｜美股走勢變數多｜加息收水必買ETF｜2021美股重點回顧｜ #tsla #nvda #2022etf</v>
      </c>
      <c r="E3477" s="82">
        <v>44574.0</v>
      </c>
      <c r="F3477" s="80">
        <v>588.0</v>
      </c>
      <c r="G3477" s="80" t="s">
        <v>63</v>
      </c>
      <c r="I3477" s="80" t="s">
        <v>63</v>
      </c>
      <c r="J3477" s="80">
        <v>1885.0</v>
      </c>
      <c r="K3477" s="80">
        <v>0.889150943396226</v>
      </c>
      <c r="L3477" s="80" t="s">
        <v>64</v>
      </c>
    </row>
    <row r="3478">
      <c r="A3478" s="80" t="s">
        <v>127</v>
      </c>
      <c r="B3478" s="81" t="str">
        <f>HYPERLINK("https://www.youtube.com/channel/UC97oYK3XMf9RLtkc0lO8C-Q", "健康旦 HiEggo")</f>
        <v>健康旦 HiEggo</v>
      </c>
      <c r="C3478" s="80" t="s">
        <v>3880</v>
      </c>
      <c r="D3478" s="81" t="str">
        <f>HYPERLINK("https://youtube.com/watch?v=0rGjArBHuHc", "手腳紅疹變水泡 手足口病有抗體都會再感染 嚴重可致心肌炎、腦膜炎 - 鄭丹瑞《健康旦》養和醫院感染及傳染病專科醫生 #徐詩駿 Part 2 (CC中文字幕)")</f>
        <v>手腳紅疹變水泡 手足口病有抗體都會再感染 嚴重可致心肌炎、腦膜炎 - 鄭丹瑞《健康旦》養和醫院感染及傳染病專科醫生 #徐詩駿 Part 2 (CC中文字幕)</v>
      </c>
      <c r="E3478" s="82">
        <v>44097.0</v>
      </c>
      <c r="F3478" s="80">
        <v>584.0</v>
      </c>
      <c r="G3478" s="80" t="s">
        <v>63</v>
      </c>
      <c r="I3478" s="80" t="s">
        <v>63</v>
      </c>
      <c r="J3478" s="80">
        <v>2508.0</v>
      </c>
      <c r="K3478" s="80">
        <v>0.998805256869773</v>
      </c>
      <c r="L3478" s="80" t="s">
        <v>64</v>
      </c>
    </row>
    <row r="3479">
      <c r="A3479" s="80" t="s">
        <v>2942</v>
      </c>
      <c r="B3479" s="81" t="str">
        <f>HYPERLINK("https://www.youtube.com/channel/UCFOFvhsNWMPHwvbfHl7K6qw", "司徒文進 CROSSBONE")</f>
        <v>司徒文進 CROSSBONE</v>
      </c>
      <c r="C3479" s="80" t="s">
        <v>3881</v>
      </c>
      <c r="D3479" s="81" t="str">
        <f>HYPERLINK("https://youtube.com/watch?v=0rqM2H7FVLo", "(中字)《賭場科普》賭場公關（開賭廳系列vol.5）")</f>
        <v>(中字)《賭場科普》賭場公關（開賭廳系列vol.5）</v>
      </c>
      <c r="E3479" s="82">
        <v>44562.0</v>
      </c>
      <c r="F3479" s="80">
        <v>1594.0</v>
      </c>
      <c r="G3479" s="80" t="s">
        <v>63</v>
      </c>
      <c r="I3479" s="80" t="s">
        <v>63</v>
      </c>
      <c r="J3479" s="80">
        <v>6479.0</v>
      </c>
      <c r="K3479" s="80">
        <v>0.96773711725168</v>
      </c>
      <c r="L3479" s="80" t="s">
        <v>820</v>
      </c>
    </row>
    <row r="3480">
      <c r="A3480" s="80" t="s">
        <v>293</v>
      </c>
      <c r="B3480" s="81" t="str">
        <f>HYPERLINK("https://www.youtube.com/channel/UCXRcbXqjORdIvl63I7MtOLQ", "趁熱 Kerry 's kitchen")</f>
        <v>趁熱 Kerry 's kitchen</v>
      </c>
      <c r="C3480" s="80" t="s">
        <v>3882</v>
      </c>
      <c r="D3480" s="81" t="str">
        <f>HYPERLINK("https://youtube.com/watch?v=0sNVmXGEIhA", "車仔 麵咖哩三寶/蘿蔔豬皮魚蛋/乾豬皮處理方法/車仔麵咖哩膽調法/低 成本/好 下飯/簡單 家做/重點 講解/廣東話/中字/新手 入門")</f>
        <v>車仔 麵咖哩三寶/蘿蔔豬皮魚蛋/乾豬皮處理方法/車仔麵咖哩膽調法/低 成本/好 下飯/簡單 家做/重點 講解/廣東話/中字/新手 入門</v>
      </c>
      <c r="E3480" s="82">
        <v>44484.0</v>
      </c>
      <c r="F3480" s="80">
        <v>566.0</v>
      </c>
      <c r="G3480" s="80" t="s">
        <v>63</v>
      </c>
      <c r="I3480" s="80" t="s">
        <v>63</v>
      </c>
      <c r="J3480" s="80">
        <v>874.0</v>
      </c>
      <c r="K3480" s="80">
        <v>0.984234234234234</v>
      </c>
      <c r="L3480" s="80" t="s">
        <v>64</v>
      </c>
    </row>
    <row r="3481">
      <c r="A3481" s="80" t="s">
        <v>291</v>
      </c>
      <c r="B3481" s="81" t="str">
        <f>HYPERLINK("https://www.youtube.com/channel/UClSNJbCUCp_W4yrS3DlCmjw", "飛馬 PEGASUS")</f>
        <v>飛馬 PEGASUS</v>
      </c>
      <c r="C3481" s="80" t="s">
        <v>3883</v>
      </c>
      <c r="D3481" s="81" t="str">
        <f>HYPERLINK("https://youtube.com/watch?v=0yba-Ioc2Rc", "黑店可以有幾黑 - 假卡 GTX960 1GB!?!? (CC中文字幕)")</f>
        <v>黑店可以有幾黑 - 假卡 GTX960 1GB!?!? (CC中文字幕)</v>
      </c>
      <c r="E3481" s="82">
        <v>43399.0</v>
      </c>
      <c r="F3481" s="80">
        <v>319.0</v>
      </c>
      <c r="G3481" s="80" t="s">
        <v>63</v>
      </c>
      <c r="I3481" s="80" t="s">
        <v>63</v>
      </c>
      <c r="J3481" s="80">
        <v>1030.0</v>
      </c>
      <c r="K3481" s="80">
        <v>0.807210031347962</v>
      </c>
      <c r="L3481" s="80" t="s">
        <v>64</v>
      </c>
    </row>
    <row r="3482">
      <c r="A3482" s="80" t="s">
        <v>293</v>
      </c>
      <c r="B3482" s="81" t="str">
        <f>HYPERLINK("https://www.youtube.com/channel/UCXRcbXqjORdIvl63I7MtOLQ", "趁熱 Kerry 's kitchen")</f>
        <v>趁熱 Kerry 's kitchen</v>
      </c>
      <c r="C3482" s="80" t="s">
        <v>3884</v>
      </c>
      <c r="D3482" s="81" t="str">
        <f>HYPERLINK("https://youtube.com/watch?v=10cv3FcNIms", "平底鑊咸魚煎肉餅/多汁/簡單 家做/煎肉餅做法/新手 入門/粵語/中字/請打開cc字幕提供英文及多國語言翻譯")</f>
        <v>平底鑊咸魚煎肉餅/多汁/簡單 家做/煎肉餅做法/新手 入門/粵語/中字/請打開cc字幕提供英文及多國語言翻譯</v>
      </c>
      <c r="E3482" s="82">
        <v>44344.0</v>
      </c>
      <c r="F3482" s="80">
        <v>602.0</v>
      </c>
      <c r="G3482" s="80" t="s">
        <v>63</v>
      </c>
      <c r="I3482" s="80" t="s">
        <v>63</v>
      </c>
      <c r="J3482" s="80">
        <v>1594.0</v>
      </c>
      <c r="K3482" s="80">
        <v>0.983343615052436</v>
      </c>
      <c r="L3482" s="80" t="s">
        <v>64</v>
      </c>
    </row>
    <row r="3483">
      <c r="A3483" s="80" t="s">
        <v>127</v>
      </c>
      <c r="B3483" s="81" t="str">
        <f>HYPERLINK("https://www.youtube.com/channel/UC97oYK3XMf9RLtkc0lO8C-Q", "健康旦 HiEggo")</f>
        <v>健康旦 HiEggo</v>
      </c>
      <c r="C3483" s="80" t="s">
        <v>3885</v>
      </c>
      <c r="D3483" s="81" t="str">
        <f>HYPERLINK("https://youtube.com/watch?v=12u5wxvGMyw", "港人自救本土經濟 陶傑分析對環球經濟影響 - 鄭丹瑞《健康旦》陶傑 Part 3 (CC中文字幕)")</f>
        <v>港人自救本土經濟 陶傑分析對環球經濟影響 - 鄭丹瑞《健康旦》陶傑 Part 3 (CC中文字幕)</v>
      </c>
      <c r="E3483" s="82">
        <v>43901.0</v>
      </c>
      <c r="F3483" s="80">
        <v>698.0</v>
      </c>
      <c r="G3483" s="80" t="s">
        <v>63</v>
      </c>
      <c r="I3483" s="80" t="s">
        <v>63</v>
      </c>
      <c r="J3483" s="80">
        <v>2122.0</v>
      </c>
      <c r="K3483" s="80">
        <v>0.998118532455315</v>
      </c>
      <c r="L3483" s="80" t="s">
        <v>102</v>
      </c>
    </row>
    <row r="3484">
      <c r="A3484" s="80" t="s">
        <v>1260</v>
      </c>
      <c r="B3484" s="81" t="str">
        <f>HYPERLINK("https://www.youtube.com/channel/UCh1k4i86BpiXEO3nzJIYynw", "The Wave")</f>
        <v>The Wave</v>
      </c>
      <c r="C3484" s="80" t="s">
        <v>3886</v>
      </c>
      <c r="D3484" s="81" t="str">
        <f>HYPERLINK("https://youtube.com/watch?v=14r2dpP1DI0", "TheWave | Apple M1 iPad Pro 2021版12.9"" 開箱快速測試 | 電量測試 | 降頻測試 | MiniLED測試 | 4K CC字幕")</f>
        <v>TheWave | Apple M1 iPad Pro 2021版12.9" 開箱快速測試 | 電量測試 | 降頻測試 | MiniLED測試 | 4K CC字幕</v>
      </c>
      <c r="E3484" s="82">
        <v>44338.0</v>
      </c>
      <c r="F3484" s="80">
        <v>157.0</v>
      </c>
      <c r="G3484" s="80" t="s">
        <v>63</v>
      </c>
      <c r="H3484" s="80" t="s">
        <v>63</v>
      </c>
      <c r="I3484" s="80" t="s">
        <v>63</v>
      </c>
      <c r="J3484" s="80">
        <v>474.0</v>
      </c>
      <c r="K3484" s="80">
        <v>0.729230769230769</v>
      </c>
      <c r="L3484" s="80" t="s">
        <v>1634</v>
      </c>
    </row>
    <row r="3485">
      <c r="A3485" s="80" t="s">
        <v>84</v>
      </c>
      <c r="B3485" s="81" t="str">
        <f>HYPERLINK("https://www.youtube.com/channel/UCs6fW24aVjefTsognevmDnA", "PakTil 拍跳")</f>
        <v>PakTil 拍跳</v>
      </c>
      <c r="C3485" s="80" t="s">
        <v>3887</v>
      </c>
      <c r="D3485" s="81" t="str">
        <f>HYPERLINK("https://youtube.com/watch?v=179s9J_JMEc", "【拍跳短跑】為睇女用真人發聲GPS導航！中伏啦！")</f>
        <v>【拍跳短跑】為睇女用真人發聲GPS導航！中伏啦！</v>
      </c>
      <c r="E3485" s="82">
        <v>44084.0</v>
      </c>
      <c r="F3485" s="80">
        <v>100.0</v>
      </c>
      <c r="G3485" s="80" t="s">
        <v>63</v>
      </c>
      <c r="I3485" s="80" t="s">
        <v>63</v>
      </c>
      <c r="J3485" s="80">
        <v>305.0</v>
      </c>
      <c r="K3485" s="80">
        <v>0.897058823529411</v>
      </c>
      <c r="L3485" s="80" t="s">
        <v>86</v>
      </c>
    </row>
    <row r="3486">
      <c r="A3486" s="80" t="s">
        <v>293</v>
      </c>
      <c r="B3486" s="81" t="str">
        <f>HYPERLINK("https://www.youtube.com/channel/UCXRcbXqjORdIvl63I7MtOLQ", "趁熱 Kerry 's kitchen")</f>
        <v>趁熱 Kerry 's kitchen</v>
      </c>
      <c r="C3486" s="80" t="s">
        <v>3888</v>
      </c>
      <c r="D3486" s="81" t="str">
        <f>HYPERLINK("https://youtube.com/watch?v=17jK6iIKJSA", "橄欖菜檸檬蒸魚/急凍魚一樣掂/完全冇腥味/低成本/原創/簡單 家做/廣東話/中字")</f>
        <v>橄欖菜檸檬蒸魚/急凍魚一樣掂/完全冇腥味/低成本/原創/簡單 家做/廣東話/中字</v>
      </c>
      <c r="E3486" s="82">
        <v>44417.0</v>
      </c>
      <c r="F3486" s="80">
        <v>482.0</v>
      </c>
      <c r="G3486" s="80" t="s">
        <v>63</v>
      </c>
      <c r="I3486" s="80" t="s">
        <v>63</v>
      </c>
      <c r="J3486" s="80">
        <v>1319.0</v>
      </c>
      <c r="K3486" s="80">
        <v>0.977761304670126</v>
      </c>
      <c r="L3486" s="80" t="s">
        <v>64</v>
      </c>
    </row>
    <row r="3487">
      <c r="A3487" s="80" t="s">
        <v>108</v>
      </c>
      <c r="B3487" s="81" t="str">
        <f>HYPERLINK("https://www.youtube.com/channel/UCZL6QN6Xs-ZrKY3y6Pv6Emg", "廢青 - 日賺3000")</f>
        <v>廢青 - 日賺3000</v>
      </c>
      <c r="C3487" s="80" t="s">
        <v>3889</v>
      </c>
      <c r="D3487" s="81" t="str">
        <f>HYPERLINK("https://youtube.com/watch?v=19PhsYVfo-A", "【財務自由靠股票】㊙月供股票3大陷阱(上)😱😱😱 (2020 股票投資教學EP2)【廢青 日賺3000】【點CC看中文字幕】")</f>
        <v>【財務自由靠股票】㊙月供股票3大陷阱(上)😱😱😱 (2020 股票投資教學EP2)【廢青 日賺3000】【點CC看中文字幕】</v>
      </c>
      <c r="E3487" s="82">
        <v>43617.0</v>
      </c>
      <c r="F3487" s="80">
        <v>504.0</v>
      </c>
      <c r="G3487" s="80" t="s">
        <v>63</v>
      </c>
      <c r="I3487" s="80" t="s">
        <v>63</v>
      </c>
      <c r="J3487" s="80">
        <v>2025.0</v>
      </c>
      <c r="K3487" s="80">
        <v>0.911341134113411</v>
      </c>
      <c r="L3487" s="80" t="s">
        <v>64</v>
      </c>
    </row>
    <row r="3488">
      <c r="A3488" s="80" t="s">
        <v>293</v>
      </c>
      <c r="B3488" s="81" t="str">
        <f>HYPERLINK("https://www.youtube.com/channel/UCXRcbXqjORdIvl63I7MtOLQ", "趁熱 Kerry 's kitchen")</f>
        <v>趁熱 Kerry 's kitchen</v>
      </c>
      <c r="C3488" s="80" t="s">
        <v>3890</v>
      </c>
      <c r="D3488" s="81" t="str">
        <f>HYPERLINK("https://youtube.com/watch?v=19ttrggN_BY", "芒果 布丁/港式芒果布丁/mango pudding with gelatin/マンゴープリン/粵語/中字/cc subtitle")</f>
        <v>芒果 布丁/港式芒果布丁/mango pudding with gelatin/マンゴープリン/粵語/中字/cc subtitle</v>
      </c>
      <c r="E3488" s="82">
        <v>44319.0</v>
      </c>
      <c r="F3488" s="80">
        <v>415.0</v>
      </c>
      <c r="G3488" s="80" t="s">
        <v>63</v>
      </c>
      <c r="I3488" s="80" t="s">
        <v>63</v>
      </c>
      <c r="J3488" s="80">
        <v>1094.0</v>
      </c>
      <c r="K3488" s="80">
        <v>0.968141592920354</v>
      </c>
      <c r="L3488" s="80" t="s">
        <v>64</v>
      </c>
    </row>
    <row r="3489">
      <c r="A3489" s="80" t="s">
        <v>3819</v>
      </c>
      <c r="B3489" s="81" t="str">
        <f>HYPERLINK("https://www.youtube.com/channel/UC_AM43evME8LaRFzElYdjpg", "LM")</f>
        <v>LM</v>
      </c>
      <c r="C3489" s="80" t="s">
        <v>3891</v>
      </c>
      <c r="D3489" s="81" t="str">
        <f>HYPERLINK("https://youtube.com/watch?v=1LtIqxGfP2M", "【得閒搞作】山本空氣炸鍋最新款7828開箱｜氣炸鍋開鍋方法｜淘寶氣炸鍋選購｜空气炸锅｜Taobao Airfryer｜香港廣東話")</f>
        <v>【得閒搞作】山本空氣炸鍋最新款7828開箱｜氣炸鍋開鍋方法｜淘寶氣炸鍋選購｜空气炸锅｜Taobao Airfryer｜香港廣東話</v>
      </c>
      <c r="E3489" s="82">
        <v>43826.0</v>
      </c>
      <c r="F3489" s="80">
        <v>287.0</v>
      </c>
      <c r="G3489" s="80" t="s">
        <v>63</v>
      </c>
      <c r="H3489" s="80" t="s">
        <v>63</v>
      </c>
      <c r="I3489" s="80" t="s">
        <v>63</v>
      </c>
      <c r="J3489" s="80">
        <v>1063.0</v>
      </c>
      <c r="K3489" s="80">
        <v>0.991236611489776</v>
      </c>
      <c r="L3489" s="80" t="s">
        <v>86</v>
      </c>
    </row>
    <row r="3490">
      <c r="A3490" s="80" t="s">
        <v>3339</v>
      </c>
      <c r="B3490" s="81" t="str">
        <f>HYPERLINK("https://www.youtube.com/channel/UCo0lvDJ5ikc3hhD30ttGznw", "gingerlemoncola")</f>
        <v>gingerlemoncola</v>
      </c>
      <c r="C3490" s="80" t="s">
        <v>3892</v>
      </c>
      <c r="D3490" s="81" t="str">
        <f>HYPERLINK("https://youtube.com/watch?v=1M2BoA6kG88", "女朋友送咗咩畀我？原來我屋企仲有咁多XX！")</f>
        <v>女朋友送咗咩畀我？原來我屋企仲有咁多XX！</v>
      </c>
      <c r="E3490" s="82">
        <v>43497.0</v>
      </c>
      <c r="F3490" s="80">
        <v>608.0</v>
      </c>
      <c r="G3490" s="80" t="s">
        <v>63</v>
      </c>
      <c r="I3490" s="80" t="s">
        <v>63</v>
      </c>
      <c r="J3490" s="80">
        <v>2490.0</v>
      </c>
      <c r="K3490" s="80">
        <v>0.886752136752136</v>
      </c>
      <c r="L3490" s="80" t="s">
        <v>64</v>
      </c>
    </row>
    <row r="3491">
      <c r="A3491" s="80" t="s">
        <v>288</v>
      </c>
      <c r="B3491" s="81" t="str">
        <f>HYPERLINK("https://www.youtube.com/channel/UCDWOYEhVnyD4IHZGVAMLc0g", "Brendan 毛爸")</f>
        <v>Brendan 毛爸</v>
      </c>
      <c r="C3491" s="80" t="s">
        <v>3893</v>
      </c>
      <c r="D3491" s="81" t="str">
        <f>HYPERLINK("https://youtube.com/watch?v=1M_xUTVEN0s", "《攻略-EP1》『三國志·戰略版 』封測試玩！遊戲介紹｜新手玩前必看！起手必備資訊！讓你贏在起跑線！｜光榮 (請開CC 中文字幕)")</f>
        <v>《攻略-EP1》『三國志·戰略版 』封測試玩！遊戲介紹｜新手玩前必看！起手必備資訊！讓你贏在起跑線！｜光榮 (請開CC 中文字幕)</v>
      </c>
      <c r="E3491" s="82">
        <v>44190.0</v>
      </c>
      <c r="F3491" s="80">
        <v>539.0</v>
      </c>
      <c r="G3491" s="80" t="s">
        <v>63</v>
      </c>
      <c r="I3491" s="80" t="s">
        <v>63</v>
      </c>
      <c r="J3491" s="80">
        <v>2253.0</v>
      </c>
      <c r="K3491" s="80">
        <v>0.985133362483603</v>
      </c>
      <c r="L3491" s="80" t="s">
        <v>64</v>
      </c>
    </row>
    <row r="3492">
      <c r="A3492" s="80" t="s">
        <v>1260</v>
      </c>
      <c r="B3492" s="81" t="str">
        <f>HYPERLINK("https://www.youtube.com/channel/UCh1k4i86BpiXEO3nzJIYynw", "The Wave")</f>
        <v>The Wave</v>
      </c>
      <c r="C3492" s="80" t="s">
        <v>3894</v>
      </c>
      <c r="D3492" s="81" t="str">
        <f>HYPERLINK("https://youtube.com/watch?v=1OmjqC64xsY", "TheWave | Xperia 5 充電測試 | USB PD")</f>
        <v>TheWave | Xperia 5 充電測試 | USB PD</v>
      </c>
      <c r="E3492" s="82">
        <v>43754.0</v>
      </c>
      <c r="F3492" s="80">
        <v>143.0</v>
      </c>
      <c r="G3492" s="80" t="s">
        <v>63</v>
      </c>
      <c r="H3492" s="80" t="s">
        <v>63</v>
      </c>
      <c r="I3492" s="80" t="s">
        <v>63</v>
      </c>
      <c r="J3492" s="80">
        <v>459.0</v>
      </c>
      <c r="K3492" s="80">
        <v>0.812389380530973</v>
      </c>
      <c r="L3492" s="80" t="s">
        <v>1634</v>
      </c>
    </row>
    <row r="3493">
      <c r="A3493" s="80" t="s">
        <v>127</v>
      </c>
      <c r="B3493" s="81" t="str">
        <f>HYPERLINK("https://www.youtube.com/channel/UC97oYK3XMf9RLtkc0lO8C-Q", "健康旦 HiEggo")</f>
        <v>健康旦 HiEggo</v>
      </c>
      <c r="C3493" s="80" t="s">
        <v>3895</v>
      </c>
      <c r="D3493" s="81" t="str">
        <f>HYPERLINK("https://youtube.com/watch?v=1R68CKBg9rk", "腦中風可由心臟病引發 飲得多酒或糖尿病增加心律不正機會 薄血丸預防心臟病所併發的中風 - 鄭丹瑞《健康旦》養和醫院心臟科專科醫生 #陳良貴 Part 2 (CC中文字幕) (CC中文字幕)")</f>
        <v>腦中風可由心臟病引發 飲得多酒或糖尿病增加心律不正機會 薄血丸預防心臟病所併發的中風 - 鄭丹瑞《健康旦》養和醫院心臟科專科醫生 #陳良貴 Part 2 (CC中文字幕) (CC中文字幕)</v>
      </c>
      <c r="E3493" s="82">
        <v>44056.0</v>
      </c>
      <c r="F3493" s="80">
        <v>670.0</v>
      </c>
      <c r="G3493" s="80" t="s">
        <v>63</v>
      </c>
      <c r="I3493" s="80" t="s">
        <v>63</v>
      </c>
      <c r="J3493" s="80">
        <v>2417.0</v>
      </c>
      <c r="K3493" s="80">
        <v>0.995469522240527</v>
      </c>
      <c r="L3493" s="80" t="s">
        <v>102</v>
      </c>
    </row>
    <row r="3494">
      <c r="A3494" s="80" t="s">
        <v>124</v>
      </c>
      <c r="B3494" s="81" t="str">
        <f>HYPERLINK("https://www.youtube.com/channel/UCg0vuSE0fBF_NvodyYhMcWg", "Wallace Studio HK")</f>
        <v>Wallace Studio HK</v>
      </c>
      <c r="C3494" s="80" t="s">
        <v>3896</v>
      </c>
      <c r="D3494" s="81" t="str">
        <f>HYPERLINK("https://youtube.com/watch?v=1RVpLlCB1UM", "[比較] iPad Pro 2020 VS Surface Pro 7 VS Surface Pro X 終極比較2/3  效能跑分及實際效能體驗")</f>
        <v>[比較] iPad Pro 2020 VS Surface Pro 7 VS Surface Pro X 終極比較2/3  效能跑分及實際效能體驗</v>
      </c>
      <c r="E3494" s="82">
        <v>44043.0</v>
      </c>
      <c r="F3494" s="80">
        <v>429.0</v>
      </c>
      <c r="G3494" s="80" t="s">
        <v>63</v>
      </c>
      <c r="H3494" s="80" t="s">
        <v>63</v>
      </c>
      <c r="I3494" s="80" t="s">
        <v>63</v>
      </c>
      <c r="J3494" s="80">
        <v>1364.0</v>
      </c>
      <c r="K3494" s="80">
        <v>0.615245827695083</v>
      </c>
      <c r="L3494" s="80" t="s">
        <v>86</v>
      </c>
    </row>
    <row r="3495">
      <c r="A3495" s="80" t="s">
        <v>248</v>
      </c>
      <c r="B3495" s="81" t="str">
        <f>HYPERLINK("https://www.youtube.com/channel/UCUEJok-GiWaGlv5nIPwk-GQ", "Price.com.hk 香港格價網")</f>
        <v>Price.com.hk 香港格價網</v>
      </c>
      <c r="C3495" s="80" t="s">
        <v>3897</v>
      </c>
      <c r="D3495" s="81" t="str">
        <f>HYPERLINK("https://youtube.com/watch?v=1Ybpx3kCqyM", "日本品牌Acoustune RS ONE 首隻入門鑑聽有線耳機 ｜試用後感｜特約專題｜廣東話【Price.com.hk產品評測】")</f>
        <v>日本品牌Acoustune RS ONE 首隻入門鑑聽有線耳機 ｜試用後感｜特約專題｜廣東話【Price.com.hk產品評測】</v>
      </c>
      <c r="E3495" s="82">
        <v>44551.0</v>
      </c>
      <c r="F3495" s="80">
        <v>279.0</v>
      </c>
      <c r="G3495" s="80" t="s">
        <v>63</v>
      </c>
      <c r="I3495" s="80" t="s">
        <v>63</v>
      </c>
      <c r="J3495" s="80">
        <v>821.0</v>
      </c>
      <c r="K3495" s="80">
        <v>0.747042766151046</v>
      </c>
      <c r="L3495" s="80" t="s">
        <v>64</v>
      </c>
    </row>
    <row r="3496">
      <c r="A3496" s="80" t="s">
        <v>3339</v>
      </c>
      <c r="B3496" s="81" t="str">
        <f>HYPERLINK("https://www.youtube.com/channel/UCo0lvDJ5ikc3hhD30ttGznw", "gingerlemoncola")</f>
        <v>gingerlemoncola</v>
      </c>
      <c r="C3496" s="80" t="s">
        <v>3898</v>
      </c>
      <c r="D3496" s="81" t="str">
        <f>HYPERLINK("https://youtube.com/watch?v=1ZnQSfxVx9o", "玩曬AIA咁多個攤位遊戲！第一次玩就贏特別大獎？😳 w/宅男俱樂部")</f>
        <v>玩曬AIA咁多個攤位遊戲！第一次玩就贏特別大獎？😳 w/宅男俱樂部</v>
      </c>
      <c r="E3496" s="82">
        <v>43500.0</v>
      </c>
      <c r="F3496" s="80">
        <v>605.0</v>
      </c>
      <c r="G3496" s="80" t="s">
        <v>63</v>
      </c>
      <c r="I3496" s="80" t="s">
        <v>63</v>
      </c>
      <c r="J3496" s="80">
        <v>898.0</v>
      </c>
      <c r="K3496" s="80">
        <v>0.897102897102897</v>
      </c>
      <c r="L3496" s="80" t="s">
        <v>64</v>
      </c>
    </row>
    <row r="3497">
      <c r="A3497" s="80" t="s">
        <v>2972</v>
      </c>
      <c r="B3497" s="81" t="str">
        <f>HYPERLINK("https://www.youtube.com/channel/UCVMEQdIDLjHcKAsEwhVXEoQ", "Danny W.")</f>
        <v>Danny W.</v>
      </c>
      <c r="C3497" s="80" t="s">
        <v>3899</v>
      </c>
      <c r="D3497" s="81" t="str">
        <f>HYPERLINK("https://youtube.com/watch?v=1cPVetBsP2U", "官網冇嘅Apple Pay智能虛擬八達通必問常見問題")</f>
        <v>官網冇嘅Apple Pay智能虛擬八達通必問常見問題</v>
      </c>
      <c r="E3497" s="82">
        <v>43983.0</v>
      </c>
      <c r="F3497" s="80">
        <v>189.0</v>
      </c>
      <c r="G3497" s="80" t="s">
        <v>63</v>
      </c>
      <c r="I3497" s="80" t="s">
        <v>63</v>
      </c>
      <c r="J3497" s="80">
        <v>596.0</v>
      </c>
      <c r="K3497" s="80">
        <v>0.754430379746835</v>
      </c>
      <c r="L3497" s="80" t="s">
        <v>820</v>
      </c>
    </row>
    <row r="3498">
      <c r="A3498" s="80" t="s">
        <v>248</v>
      </c>
      <c r="B3498" s="81" t="str">
        <f>HYPERLINK("https://www.youtube.com/channel/UCUEJok-GiWaGlv5nIPwk-GQ", "Price.com.hk 香港格價網")</f>
        <v>Price.com.hk 香港格價網</v>
      </c>
      <c r="C3498" s="80" t="s">
        <v>3900</v>
      </c>
      <c r="D3498" s="81" t="str">
        <f>HYPERLINK("https://youtube.com/watch?v=1chiL54SDxU", "最強晶片實機跑分﹗Apple M1 Max MacBook Pro  16吋 外形、熒幕、鍵盤開箱評價｜內附效能、GPU全面測試 對比M1 MBP｜中文字幕｜廣東話【Price.com.hk產品比較】")</f>
        <v>最強晶片實機跑分﹗Apple M1 Max MacBook Pro  16吋 外形、熒幕、鍵盤開箱評價｜內附效能、GPU全面測試 對比M1 MBP｜中文字幕｜廣東話【Price.com.hk產品比較】</v>
      </c>
      <c r="E3498" s="82">
        <v>44494.0</v>
      </c>
      <c r="F3498" s="80">
        <v>599.0</v>
      </c>
      <c r="G3498" s="80" t="s">
        <v>63</v>
      </c>
      <c r="I3498" s="80" t="s">
        <v>63</v>
      </c>
      <c r="J3498" s="80">
        <v>1792.0</v>
      </c>
      <c r="K3498" s="80">
        <v>0.657132379904657</v>
      </c>
      <c r="L3498" s="80" t="s">
        <v>64</v>
      </c>
    </row>
    <row r="3499">
      <c r="A3499" s="80" t="s">
        <v>98</v>
      </c>
      <c r="B3499" s="81" t="str">
        <f>HYPERLINK("https://www.youtube.com/channel/UCrquuQB6v1Ued2xyRKZreGQ", "Stephen Leung ")</f>
        <v>Stephen Leung </v>
      </c>
      <c r="C3499" s="80" t="s">
        <v>3901</v>
      </c>
      <c r="D3499" s="81" t="str">
        <f>HYPERLINK("https://youtube.com/watch?v=1djtCH4zWv0", "【香港美食】$188 經濟日式放題 3小時 主打串燒 炸物 料理 甜品雪糕 任飲任食 觀塘放題 歡喜燒 | 吃喝玩樂  2021 香港好去處")</f>
        <v>【香港美食】$188 經濟日式放題 3小時 主打串燒 炸物 料理 甜品雪糕 任飲任食 觀塘放題 歡喜燒 | 吃喝玩樂  2021 香港好去處</v>
      </c>
      <c r="E3499" s="82">
        <v>44483.0</v>
      </c>
      <c r="F3499" s="80">
        <v>772.0</v>
      </c>
      <c r="G3499" s="80" t="s">
        <v>63</v>
      </c>
      <c r="I3499" s="80" t="s">
        <v>63</v>
      </c>
      <c r="J3499" s="80">
        <v>1525.0</v>
      </c>
      <c r="K3499" s="80">
        <v>0.985778926955397</v>
      </c>
      <c r="L3499" s="80" t="s">
        <v>64</v>
      </c>
    </row>
    <row r="3500">
      <c r="A3500" s="80" t="s">
        <v>2829</v>
      </c>
      <c r="B3500" s="81" t="str">
        <f>HYPERLINK("https://www.youtube.com/channel/UC7GnES6AEQlDzaP04UqtyjA", "SOLID IDEA")</f>
        <v>SOLID IDEA</v>
      </c>
      <c r="C3500" s="80" t="s">
        <v>3902</v>
      </c>
      <c r="D3500" s="81" t="str">
        <f>HYPERLINK("https://youtube.com/watch?v=1gg9dM_t_lo", "[#設計概念] #MALIBU #電競房 #現代簡約 (CC中文字幕)")</f>
        <v>[#設計概念] #MALIBU #電競房 #現代簡約 (CC中文字幕)</v>
      </c>
      <c r="E3500" s="82">
        <v>44082.0</v>
      </c>
      <c r="F3500" s="80">
        <v>161.0</v>
      </c>
      <c r="G3500" s="80" t="s">
        <v>63</v>
      </c>
      <c r="I3500" s="80" t="s">
        <v>63</v>
      </c>
      <c r="J3500" s="80">
        <v>529.0</v>
      </c>
      <c r="K3500" s="80">
        <v>0.926444833625218</v>
      </c>
      <c r="L3500" s="80" t="s">
        <v>64</v>
      </c>
    </row>
    <row r="3501">
      <c r="A3501" s="80" t="s">
        <v>3513</v>
      </c>
      <c r="B3501" s="81" t="str">
        <f>HYPERLINK("https://www.youtube.com/channel/UCEg3pOlQs_nMQ8ArSOacL4Q", "Army有嘢港 | HKArmySayWhat")</f>
        <v>Army有嘢港 | HKArmySayWhat</v>
      </c>
      <c r="C3501" s="80" t="s">
        <v>3903</v>
      </c>
      <c r="D3501" s="81" t="str">
        <f>HYPERLINK("https://youtube.com/watch?v=1hhLgYw-XvA", "【防彈之旅】BTS The Wings Tour 2017 首爾場演唱會！出發！(Day 0 機場) | Army有嘢港")</f>
        <v>【防彈之旅】BTS The Wings Tour 2017 首爾場演唱會！出發！(Day 0 機場) | Army有嘢港</v>
      </c>
      <c r="E3501" s="82">
        <v>42799.0</v>
      </c>
      <c r="F3501" s="80">
        <v>58.0</v>
      </c>
      <c r="G3501" s="80" t="s">
        <v>63</v>
      </c>
      <c r="I3501" s="80" t="s">
        <v>63</v>
      </c>
      <c r="J3501" s="80">
        <v>98.0</v>
      </c>
      <c r="K3501" s="80">
        <v>0.777777777777777</v>
      </c>
      <c r="L3501" s="80" t="s">
        <v>1997</v>
      </c>
    </row>
    <row r="3502">
      <c r="A3502" s="80" t="s">
        <v>2041</v>
      </c>
      <c r="B3502" s="81" t="str">
        <f>HYPERLINK("https://www.youtube.com/channel/UCO6pB-ZN4XJ6MVkibvuEe0A", "SingSingTracker 星昇財經指標")</f>
        <v>SingSingTracker 星昇財經指標</v>
      </c>
      <c r="C3502" s="80" t="s">
        <v>3904</v>
      </c>
      <c r="D3502" s="81" t="str">
        <f>HYPERLINK("https://youtube.com/watch?v=1jJiDVXpJUA", "【Spider-man 蜘蛛俠成救市英雄?!】 AMC爆升1200% 2021年大翻身｜Spider Man No Way Home｜迷因股 | 美股爆升消息 #meme #spiderman")</f>
        <v>【Spider-man 蜘蛛俠成救市英雄?!】 AMC爆升1200% 2021年大翻身｜Spider Man No Way Home｜迷因股 | 美股爆升消息 #meme #spiderman</v>
      </c>
      <c r="E3502" s="82">
        <v>44568.0</v>
      </c>
      <c r="F3502" s="80">
        <v>458.0</v>
      </c>
      <c r="G3502" s="80" t="s">
        <v>63</v>
      </c>
      <c r="I3502" s="80" t="s">
        <v>63</v>
      </c>
      <c r="J3502" s="80">
        <v>1579.0</v>
      </c>
      <c r="K3502" s="80">
        <v>0.861429350791052</v>
      </c>
      <c r="L3502" s="80" t="s">
        <v>64</v>
      </c>
    </row>
    <row r="3503">
      <c r="A3503" s="80" t="s">
        <v>127</v>
      </c>
      <c r="B3503" s="81" t="str">
        <f>HYPERLINK("https://www.youtube.com/channel/UC97oYK3XMf9RLtkc0lO8C-Q", "健康旦 HiEggo")</f>
        <v>健康旦 HiEggo</v>
      </c>
      <c r="C3503" s="80" t="s">
        <v>3905</v>
      </c>
      <c r="D3503" s="81" t="str">
        <f>HYPERLINK("https://youtube.com/watch?v=1k8SFr8kcTs", "趙汝威透露番茄拖慢康復 飲檸檬水後要刷兩次牙 - 鄭丹瑞《健康旦》趙汝威博士 Part 6（CC中文字幕）")</f>
        <v>趙汝威透露番茄拖慢康復 飲檸檬水後要刷兩次牙 - 鄭丹瑞《健康旦》趙汝威博士 Part 6（CC中文字幕）</v>
      </c>
      <c r="E3503" s="82">
        <v>43941.0</v>
      </c>
      <c r="F3503" s="80">
        <v>811.0</v>
      </c>
      <c r="G3503" s="80" t="s">
        <v>63</v>
      </c>
      <c r="I3503" s="80" t="s">
        <v>63</v>
      </c>
      <c r="J3503" s="80">
        <v>2941.0</v>
      </c>
      <c r="K3503" s="80">
        <v>0.96775255018098</v>
      </c>
      <c r="L3503" s="80" t="s">
        <v>64</v>
      </c>
    </row>
    <row r="3504">
      <c r="A3504" s="80" t="s">
        <v>288</v>
      </c>
      <c r="B3504" s="81" t="str">
        <f>HYPERLINK("https://www.youtube.com/channel/UCDWOYEhVnyD4IHZGVAMLc0g", "Brendan 毛爸")</f>
        <v>Brendan 毛爸</v>
      </c>
      <c r="C3504" s="80" t="s">
        <v>3906</v>
      </c>
      <c r="D3504" s="81" t="str">
        <f>HYPERLINK("https://youtube.com/watch?v=1kOcsVDx5lQ", "【兩分鐘學會】《鮮奶燉蛋》甜品做法！免錫紙！又香又滑秘訣！零失敗！簡易食譜！留意水、鮮奶和蛋的黃金比例！【毛飯家庭 - EP8】")</f>
        <v>【兩分鐘學會】《鮮奶燉蛋》甜品做法！免錫紙！又香又滑秘訣！零失敗！簡易食譜！留意水、鮮奶和蛋的黃金比例！【毛飯家庭 - EP8】</v>
      </c>
      <c r="E3504" s="82">
        <v>43897.0</v>
      </c>
      <c r="F3504" s="80">
        <v>170.0</v>
      </c>
      <c r="G3504" s="80" t="s">
        <v>63</v>
      </c>
      <c r="I3504" s="80" t="s">
        <v>63</v>
      </c>
      <c r="J3504" s="80">
        <v>162.0</v>
      </c>
      <c r="K3504" s="80">
        <v>0.925714285714285</v>
      </c>
      <c r="L3504" s="80" t="s">
        <v>64</v>
      </c>
    </row>
    <row r="3505">
      <c r="A3505" s="80" t="s">
        <v>124</v>
      </c>
      <c r="B3505" s="81" t="str">
        <f>HYPERLINK("https://www.youtube.com/channel/UCg0vuSE0fBF_NvodyYhMcWg", "Wallace Studio HK")</f>
        <v>Wallace Studio HK</v>
      </c>
      <c r="C3505" s="80" t="s">
        <v>3907</v>
      </c>
      <c r="D3505" s="81" t="str">
        <f>HYPERLINK("https://youtube.com/watch?v=1mO0oyX4QrM", "[詳細評測] iPad Pro 2021 12.9"" Mini-LED, Apple M1 VS iPad Pro 2020 重大升級，但你未必需要，亦有重大問題!!!")</f>
        <v>[詳細評測] iPad Pro 2021 12.9" Mini-LED, Apple M1 VS iPad Pro 2020 重大升級，但你未必需要，亦有重大問題!!!</v>
      </c>
      <c r="E3505" s="82">
        <v>44403.0</v>
      </c>
      <c r="F3505" s="80">
        <v>847.0</v>
      </c>
      <c r="G3505" s="80" t="s">
        <v>63</v>
      </c>
      <c r="H3505" s="80" t="s">
        <v>63</v>
      </c>
      <c r="I3505" s="80" t="s">
        <v>63</v>
      </c>
      <c r="J3505" s="80">
        <v>3120.0</v>
      </c>
      <c r="K3505" s="80">
        <v>0.754716981132075</v>
      </c>
      <c r="L3505" s="80" t="s">
        <v>86</v>
      </c>
    </row>
    <row r="3506">
      <c r="A3506" s="80" t="s">
        <v>2862</v>
      </c>
      <c r="B3506" s="81" t="str">
        <f>HYPERLINK("https://www.youtube.com/channel/UCi6CqLjdoCN_ijofoCJFpCw", "Anton 安冬晴 ")</f>
        <v>Anton 安冬晴 </v>
      </c>
      <c r="C3506" s="80" t="s">
        <v>3908</v>
      </c>
      <c r="D3506" s="81" t="str">
        <f>HYPERLINK("https://youtube.com/watch?v=1nOpsmTi9po", "去日本買鏡頭 📸｜攝影愛好者必去的相機店")</f>
        <v>去日本買鏡頭 📸｜攝影愛好者必去的相機店</v>
      </c>
      <c r="E3506" s="82">
        <v>43491.0</v>
      </c>
      <c r="F3506" s="80">
        <v>412.0</v>
      </c>
      <c r="G3506" s="80" t="s">
        <v>63</v>
      </c>
      <c r="I3506" s="80" t="s">
        <v>63</v>
      </c>
      <c r="J3506" s="80">
        <v>1011.0</v>
      </c>
      <c r="K3506" s="80">
        <v>0.783113865220759</v>
      </c>
      <c r="L3506" s="80" t="s">
        <v>64</v>
      </c>
    </row>
    <row r="3507">
      <c r="A3507" s="80" t="s">
        <v>288</v>
      </c>
      <c r="B3507" s="81" t="str">
        <f>HYPERLINK("https://www.youtube.com/channel/UCDWOYEhVnyD4IHZGVAMLc0g", "Brendan 毛爸")</f>
        <v>Brendan 毛爸</v>
      </c>
      <c r="C3507" s="80" t="s">
        <v>3909</v>
      </c>
      <c r="D3507" s="81" t="str">
        <f>HYPERLINK("https://youtube.com/watch?v=1qCD-u9D4vQ", "慶祝10,000訂閱｜毛爸和毛毛露面和各位飲杯｜長島冰茶 Long Island Ice Tea教學！多謝大家支持！（請打開CC 中文字幕）")</f>
        <v>慶祝10,000訂閱｜毛爸和毛毛露面和各位飲杯｜長島冰茶 Long Island Ice Tea教學！多謝大家支持！（請打開CC 中文字幕）</v>
      </c>
      <c r="E3507" s="82">
        <v>44037.0</v>
      </c>
      <c r="F3507" s="80">
        <v>252.0</v>
      </c>
      <c r="G3507" s="80" t="s">
        <v>63</v>
      </c>
      <c r="I3507" s="80" t="s">
        <v>63</v>
      </c>
      <c r="J3507" s="80">
        <v>431.0</v>
      </c>
      <c r="K3507" s="80">
        <v>0.773788150807899</v>
      </c>
      <c r="L3507" s="80" t="s">
        <v>64</v>
      </c>
    </row>
    <row r="3508">
      <c r="A3508" s="80" t="s">
        <v>238</v>
      </c>
      <c r="B3508" s="81" t="str">
        <f>HYPERLINK("https://www.youtube.com/channel/UCSBkm4LwpgBmcA3MCtO8vqg", "Post76影音玩樂")</f>
        <v>Post76影音玩樂</v>
      </c>
      <c r="C3508" s="80" t="s">
        <v>3910</v>
      </c>
      <c r="D3508" s="81" t="str">
        <f>HYPERLINK("https://youtube.com/watch?v=1t_GZdzjDEE", "Creative Sound Blaster Katana V2 唔使 $2,600 可玩打心口超低音、自定 EQ、仲玩埋 RGB 燈！？（附設cc字幕）【Soundbar評測】")</f>
        <v>Creative Sound Blaster Katana V2 唔使 $2,600 可玩打心口超低音、自定 EQ、仲玩埋 RGB 燈！？（附設cc字幕）【Soundbar評測】</v>
      </c>
      <c r="E3508" s="82">
        <v>44512.0</v>
      </c>
      <c r="F3508" s="80">
        <v>860.0</v>
      </c>
      <c r="G3508" s="80" t="s">
        <v>63</v>
      </c>
      <c r="H3508" s="80" t="s">
        <v>63</v>
      </c>
      <c r="I3508" s="80" t="s">
        <v>63</v>
      </c>
      <c r="J3508" s="80">
        <v>2689.0</v>
      </c>
      <c r="K3508" s="80">
        <v>0.805572198921509</v>
      </c>
      <c r="L3508" s="80" t="s">
        <v>240</v>
      </c>
    </row>
    <row r="3509">
      <c r="A3509" s="80" t="s">
        <v>1260</v>
      </c>
      <c r="B3509" s="81" t="str">
        <f>HYPERLINK("https://www.youtube.com/channel/UCh1k4i86BpiXEO3nzJIYynw", "The Wave")</f>
        <v>The Wave</v>
      </c>
      <c r="C3509" s="80" t="s">
        <v>3911</v>
      </c>
      <c r="D3509" s="81" t="str">
        <f>HYPERLINK("https://youtube.com/watch?v=1uKGB1gLcDw", "TheWave | WF-1000XM4 一星期用後感 | 比較WF-1000XM3 | 4K CC字幕 | 粵語")</f>
        <v>TheWave | WF-1000XM4 一星期用後感 | 比較WF-1000XM3 | 4K CC字幕 | 粵語</v>
      </c>
      <c r="E3509" s="82">
        <v>44379.0</v>
      </c>
      <c r="F3509" s="80">
        <v>388.0</v>
      </c>
      <c r="G3509" s="80" t="s">
        <v>63</v>
      </c>
      <c r="H3509" s="80" t="s">
        <v>63</v>
      </c>
      <c r="I3509" s="80" t="s">
        <v>63</v>
      </c>
      <c r="J3509" s="80">
        <v>1226.0</v>
      </c>
      <c r="K3509" s="80">
        <v>0.809240924092409</v>
      </c>
      <c r="L3509" s="80" t="s">
        <v>1634</v>
      </c>
    </row>
    <row r="3510">
      <c r="A3510" s="80" t="s">
        <v>3912</v>
      </c>
      <c r="B3510" s="81" t="str">
        <f>HYPERLINK("https://www.youtube.com/channel/UCtQBCR1P2QdYPV1HqfFluCA", "JOY TV")</f>
        <v>JOY TV</v>
      </c>
      <c r="C3510" s="80" t="s">
        <v>3913</v>
      </c>
      <c r="D3510" s="81" t="str">
        <f>HYPERLINK("https://youtube.com/watch?v=1vrDIDr6cS8", "【CC字幕】鐳射筆＝攻擊性武器？｜Benja &amp; Momo")</f>
        <v>【CC字幕】鐳射筆＝攻擊性武器？｜Benja &amp; Momo</v>
      </c>
      <c r="E3510" s="82">
        <v>43683.0</v>
      </c>
      <c r="F3510" s="80">
        <v>278.0</v>
      </c>
      <c r="G3510" s="80" t="s">
        <v>63</v>
      </c>
      <c r="H3510" s="80" t="s">
        <v>63</v>
      </c>
      <c r="I3510" s="80" t="s">
        <v>63</v>
      </c>
      <c r="J3510" s="80">
        <v>1233.0</v>
      </c>
      <c r="K3510" s="80">
        <v>0.980127186009539</v>
      </c>
      <c r="L3510" s="80" t="s">
        <v>86</v>
      </c>
    </row>
    <row r="3511">
      <c r="A3511" s="80" t="s">
        <v>1260</v>
      </c>
      <c r="B3511" s="81" t="str">
        <f>HYPERLINK("https://www.youtube.com/channel/UCh1k4i86BpiXEO3nzJIYynw", "The Wave")</f>
        <v>The Wave</v>
      </c>
      <c r="C3511" s="80" t="s">
        <v>3914</v>
      </c>
      <c r="D3511" s="81" t="str">
        <f>HYPERLINK("https://youtube.com/watch?v=1w1kg9Tl7sE", "TheWave | K9110 Sony Xperia Geekbench 跑分 | 真？假？| 如何製作？🤪")</f>
        <v>TheWave | K9110 Sony Xperia Geekbench 跑分 | 真？假？| 如何製作？🤪</v>
      </c>
      <c r="E3511" s="82">
        <v>43852.0</v>
      </c>
      <c r="F3511" s="80">
        <v>229.0</v>
      </c>
      <c r="G3511" s="80" t="s">
        <v>63</v>
      </c>
      <c r="H3511" s="80" t="s">
        <v>63</v>
      </c>
      <c r="I3511" s="80" t="s">
        <v>63</v>
      </c>
      <c r="J3511" s="80">
        <v>734.0</v>
      </c>
      <c r="K3511" s="80">
        <v>0.730348258706467</v>
      </c>
      <c r="L3511" s="80" t="s">
        <v>1634</v>
      </c>
    </row>
    <row r="3512">
      <c r="A3512" s="80" t="s">
        <v>248</v>
      </c>
      <c r="B3512" s="81" t="str">
        <f>HYPERLINK("https://www.youtube.com/channel/UCUEJok-GiWaGlv5nIPwk-GQ", "Price.com.hk 香港格價網")</f>
        <v>Price.com.hk 香港格價網</v>
      </c>
      <c r="C3512" s="80" t="s">
        <v>3915</v>
      </c>
      <c r="D3512" s="81" t="str">
        <f>HYPERLINK("https://youtube.com/watch?v=22A8vaYS6Iw", "試真啲﹗Apple AirPods 3 佩帶感、音質通話表現、空間音訊、漏音問題、AirPods Pro比較、連接Android機｜Q&amp;A｜中文字幕 | 廣東話 |【Price.com.hk產品比較】")</f>
        <v>試真啲﹗Apple AirPods 3 佩帶感、音質通話表現、空間音訊、漏音問題、AirPods Pro比較、連接Android機｜Q&amp;A｜中文字幕 | 廣東話 |【Price.com.hk產品比較】</v>
      </c>
      <c r="E3512" s="82">
        <v>44503.0</v>
      </c>
      <c r="F3512" s="80">
        <v>546.0</v>
      </c>
      <c r="G3512" s="80" t="s">
        <v>63</v>
      </c>
      <c r="I3512" s="80" t="s">
        <v>63</v>
      </c>
      <c r="J3512" s="80">
        <v>1893.0</v>
      </c>
      <c r="K3512" s="80">
        <v>0.727237802535535</v>
      </c>
      <c r="L3512" s="80" t="s">
        <v>64</v>
      </c>
    </row>
    <row r="3513">
      <c r="A3513" s="80" t="s">
        <v>124</v>
      </c>
      <c r="B3513" s="81" t="str">
        <f>HYPERLINK("https://www.youtube.com/channel/UCg0vuSE0fBF_NvodyYhMcWg", "Wallace Studio HK")</f>
        <v>Wallace Studio HK</v>
      </c>
      <c r="C3513" s="80" t="s">
        <v>3916</v>
      </c>
      <c r="D3513" s="81" t="str">
        <f>HYPERLINK("https://youtube.com/watch?v=25CUl1IL2Sc", "[上手體驗] Apple M1 MacBook Air 開箱及上手體驗！效能怪獸，散熱，電量完勝！")</f>
        <v>[上手體驗] Apple M1 MacBook Air 開箱及上手體驗！效能怪獸，散熱，電量完勝！</v>
      </c>
      <c r="E3513" s="82">
        <v>44153.0</v>
      </c>
      <c r="F3513" s="80">
        <v>435.0</v>
      </c>
      <c r="G3513" s="80" t="s">
        <v>63</v>
      </c>
      <c r="I3513" s="80" t="s">
        <v>63</v>
      </c>
      <c r="J3513" s="80">
        <v>1500.0</v>
      </c>
      <c r="K3513" s="80">
        <v>0.626043405676126</v>
      </c>
      <c r="L3513" s="80" t="s">
        <v>64</v>
      </c>
    </row>
    <row r="3514">
      <c r="A3514" s="80" t="s">
        <v>1553</v>
      </c>
      <c r="B3514" s="81" t="str">
        <f>HYPERLINK("https://www.youtube.com/channel/UC5gQ01ai9nF2x43fYmO1vow", "Ck釣魚冒險")</f>
        <v>Ck釣魚冒險</v>
      </c>
      <c r="C3514" s="80" t="s">
        <v>3917</v>
      </c>
      <c r="D3514" s="81" t="str">
        <f>HYPERLINK("https://youtube.com/watch?v=26oElB-DM18", "日本釣具店行 函館  つり具天狗屋 石川新道店 📣CC字幕")</f>
        <v>日本釣具店行 函館  つり具天狗屋 石川新道店 📣CC字幕</v>
      </c>
      <c r="E3514" s="82">
        <v>44073.0</v>
      </c>
      <c r="F3514" s="80">
        <v>314.0</v>
      </c>
      <c r="G3514" s="80" t="s">
        <v>63</v>
      </c>
      <c r="I3514" s="80" t="s">
        <v>63</v>
      </c>
      <c r="J3514" s="80">
        <v>527.0</v>
      </c>
      <c r="K3514" s="80">
        <v>0.903945111492281</v>
      </c>
      <c r="L3514" s="80" t="s">
        <v>64</v>
      </c>
    </row>
    <row r="3515">
      <c r="A3515" s="80" t="s">
        <v>127</v>
      </c>
      <c r="B3515" s="81" t="str">
        <f t="shared" ref="B3515:B3516" si="181">HYPERLINK("https://www.youtube.com/channel/UC97oYK3XMf9RLtkc0lO8C-Q", "健康旦 HiEggo")</f>
        <v>健康旦 HiEggo</v>
      </c>
      <c r="C3515" s="80" t="s">
        <v>3918</v>
      </c>
      <c r="D3515" s="81" t="str">
        <f>HYPERLINK("https://youtube.com/watch?v=2A8asvjsOq8", "天文台前助理台長梁榮武 分析香港六月梅雨槽形成原因 全球暖化促成旱災暴雨等氣候危機 - 鄭丹瑞《健康旦》#梁榮武 Part 2 (CC中文字幕)")</f>
        <v>天文台前助理台長梁榮武 分析香港六月梅雨槽形成原因 全球暖化促成旱災暴雨等氣候危機 - 鄭丹瑞《健康旦》#梁榮武 Part 2 (CC中文字幕)</v>
      </c>
      <c r="E3515" s="82">
        <v>44021.0</v>
      </c>
      <c r="F3515" s="80">
        <v>695.0</v>
      </c>
      <c r="G3515" s="80" t="s">
        <v>63</v>
      </c>
      <c r="I3515" s="80" t="s">
        <v>63</v>
      </c>
      <c r="J3515" s="80">
        <v>2842.0</v>
      </c>
      <c r="K3515" s="80">
        <v>0.972954467648065</v>
      </c>
      <c r="L3515" s="80" t="s">
        <v>3067</v>
      </c>
    </row>
    <row r="3516">
      <c r="A3516" s="80" t="s">
        <v>127</v>
      </c>
      <c r="B3516" s="81" t="str">
        <f t="shared" si="181"/>
        <v>健康旦 HiEggo</v>
      </c>
      <c r="C3516" s="80" t="s">
        <v>3919</v>
      </c>
      <c r="D3516" s="81" t="str">
        <f>HYPERLINK("https://youtube.com/watch?v=2C4Rp1wcDsc", "盧業瑂憶述幫助盧冠廷入行經過 歌曲《天鳥》原唱係林子祥 重拾結他獻唱名曲泥路上 - 鄭丹瑞《健康旦》#盧業瑂 Part 2 (CC中文字幕)")</f>
        <v>盧業瑂憶述幫助盧冠廷入行經過 歌曲《天鳥》原唱係林子祥 重拾結他獻唱名曲泥路上 - 鄭丹瑞《健康旦》#盧業瑂 Part 2 (CC中文字幕)</v>
      </c>
      <c r="E3516" s="82">
        <v>44015.0</v>
      </c>
      <c r="F3516" s="80">
        <v>573.0</v>
      </c>
      <c r="G3516" s="80" t="s">
        <v>63</v>
      </c>
      <c r="I3516" s="80" t="s">
        <v>63</v>
      </c>
      <c r="J3516" s="80">
        <v>2187.0</v>
      </c>
      <c r="K3516" s="80">
        <v>0.913533834586466</v>
      </c>
      <c r="L3516" s="80" t="s">
        <v>64</v>
      </c>
    </row>
    <row r="3517">
      <c r="A3517" s="80" t="s">
        <v>248</v>
      </c>
      <c r="B3517" s="81" t="str">
        <f>HYPERLINK("https://www.youtube.com/channel/UCUEJok-GiWaGlv5nIPwk-GQ", "Price.com.hk 香港格價網")</f>
        <v>Price.com.hk 香港格價網</v>
      </c>
      <c r="C3517" s="80" t="s">
        <v>3920</v>
      </c>
      <c r="D3517" s="81" t="str">
        <f>HYPERLINK("https://youtube.com/watch?v=2E_e8pXskcE", "【數碼Youtuber集結】玩轉 2020 Price 網上電腦節 ｜10-14/8 每晚8:00pm 特選Super Deal優惠搶先睇 | 密切留意")</f>
        <v>【數碼Youtuber集結】玩轉 2020 Price 網上電腦節 ｜10-14/8 每晚8:00pm 特選Super Deal優惠搶先睇 | 密切留意</v>
      </c>
      <c r="E3517" s="82">
        <v>44050.0</v>
      </c>
      <c r="F3517" s="80">
        <v>65.0</v>
      </c>
      <c r="G3517" s="80" t="s">
        <v>63</v>
      </c>
      <c r="I3517" s="80" t="s">
        <v>63</v>
      </c>
      <c r="J3517" s="80">
        <v>216.0</v>
      </c>
      <c r="K3517" s="80">
        <v>0.546835443037974</v>
      </c>
      <c r="L3517" s="80" t="s">
        <v>64</v>
      </c>
    </row>
    <row r="3518">
      <c r="A3518" s="80" t="s">
        <v>2753</v>
      </c>
      <c r="B3518" s="81" t="str">
        <f>HYPERLINK("https://www.youtube.com/channel/UCxRXNy5P6fLtHYpawxoiqJQ", "焦點視頻")</f>
        <v>焦點視頻</v>
      </c>
      <c r="C3518" s="80" t="s">
        <v>3921</v>
      </c>
      <c r="D3518" s="81" t="str">
        <f>HYPERLINK("https://youtube.com/watch?v=2EuGIfJ9JBM", "(中字) 2022虎年十二生肖運勢排行︱生肖分數表︱簡批︱開運攻略︱命理專家小孟老師《焦點視頻 x 開運王》")</f>
        <v>(中字) 2022虎年十二生肖運勢排行︱生肖分數表︱簡批︱開運攻略︱命理專家小孟老師《焦點視頻 x 開運王》</v>
      </c>
      <c r="E3518" s="82">
        <v>44543.0</v>
      </c>
      <c r="F3518" s="80">
        <v>852.0</v>
      </c>
      <c r="G3518" s="80" t="s">
        <v>63</v>
      </c>
      <c r="I3518" s="80" t="s">
        <v>63</v>
      </c>
      <c r="J3518" s="80">
        <v>3004.0</v>
      </c>
      <c r="K3518" s="80">
        <v>0.994701986754966</v>
      </c>
      <c r="L3518" s="80" t="s">
        <v>2755</v>
      </c>
    </row>
    <row r="3519">
      <c r="A3519" s="80" t="s">
        <v>127</v>
      </c>
      <c r="B3519" s="81" t="str">
        <f>HYPERLINK("https://www.youtube.com/channel/UC97oYK3XMf9RLtkc0lO8C-Q", "健康旦 HiEggo")</f>
        <v>健康旦 HiEggo</v>
      </c>
      <c r="C3519" s="80" t="s">
        <v>3922</v>
      </c>
      <c r="D3519" s="81" t="str">
        <f>HYPERLINK("https://youtube.com/watch?v=2GWoljxTTBI", "石修太極養生肌肉臟腑同時運動 年青時暴食腸胃缺乏休息 少鹽少糖戒宵夜最健康 - 鄭丹瑞《健康旦》#石修 Part 3 (CC中文字幕)")</f>
        <v>石修太極養生肌肉臟腑同時運動 年青時暴食腸胃缺乏休息 少鹽少糖戒宵夜最健康 - 鄭丹瑞《健康旦》#石修 Part 3 (CC中文字幕)</v>
      </c>
      <c r="E3519" s="82">
        <v>44108.0</v>
      </c>
      <c r="F3519" s="80">
        <v>532.0</v>
      </c>
      <c r="G3519" s="80" t="s">
        <v>63</v>
      </c>
      <c r="I3519" s="80" t="s">
        <v>63</v>
      </c>
      <c r="J3519" s="80">
        <v>1805.0</v>
      </c>
      <c r="K3519" s="80">
        <v>0.998340707964601</v>
      </c>
      <c r="L3519" s="80" t="s">
        <v>2771</v>
      </c>
    </row>
    <row r="3520">
      <c r="A3520" s="80" t="s">
        <v>1390</v>
      </c>
      <c r="B3520" s="81" t="str">
        <f>HYPERLINK("https://www.youtube.com/channel/UCgwEJflQi4WnZ8PU0xdibZQ", "Kinson Ho")</f>
        <v>Kinson Ho</v>
      </c>
      <c r="C3520" s="80" t="s">
        <v>3923</v>
      </c>
      <c r="D3520" s="81" t="str">
        <f>HYPERLINK("https://youtube.com/watch?v=2HEm26ucD7Y", "K神任我行 - [CC字幕4K] 蜘蛛俠西貢現身｜同你扒艇玩直立板｜大鏟洲魔戒｜橋咀島｜連島沙洲｜心心天池｜象鼻洞｜倒吊蠟燭洞")</f>
        <v>K神任我行 - [CC字幕4K] 蜘蛛俠西貢現身｜同你扒艇玩直立板｜大鏟洲魔戒｜橋咀島｜連島沙洲｜心心天池｜象鼻洞｜倒吊蠟燭洞</v>
      </c>
      <c r="E3520" s="82">
        <v>44423.0</v>
      </c>
      <c r="F3520" s="80">
        <v>836.0</v>
      </c>
      <c r="G3520" s="80" t="s">
        <v>63</v>
      </c>
      <c r="I3520" s="80" t="s">
        <v>63</v>
      </c>
      <c r="J3520" s="80">
        <v>890.0</v>
      </c>
      <c r="K3520" s="80">
        <v>0.978021978021978</v>
      </c>
      <c r="L3520" s="80" t="s">
        <v>64</v>
      </c>
    </row>
    <row r="3521">
      <c r="A3521" s="80" t="s">
        <v>108</v>
      </c>
      <c r="B3521" s="81" t="str">
        <f>HYPERLINK("https://www.youtube.com/channel/UCZL6QN6Xs-ZrKY3y6Pv6Emg", "廢青 - 日賺3000")</f>
        <v>廢青 - 日賺3000</v>
      </c>
      <c r="C3521" s="80" t="s">
        <v>3924</v>
      </c>
      <c r="D3521" s="81" t="str">
        <f>HYPERLINK("https://youtube.com/watch?v=2Jf1qDwCrFU", "港股股災 , 如何疫市輕鬆管理MPF? (3 個步驟)【點CC看中文字幕】")</f>
        <v>港股股災 , 如何疫市輕鬆管理MPF? (3 個步驟)【點CC看中文字幕】</v>
      </c>
      <c r="E3521" s="82">
        <v>44192.0</v>
      </c>
      <c r="F3521" s="80">
        <v>639.0</v>
      </c>
      <c r="G3521" s="80" t="s">
        <v>63</v>
      </c>
      <c r="I3521" s="80" t="s">
        <v>63</v>
      </c>
      <c r="J3521" s="80">
        <v>2800.0</v>
      </c>
      <c r="K3521" s="80">
        <v>0.940860215053763</v>
      </c>
      <c r="L3521" s="80" t="s">
        <v>64</v>
      </c>
    </row>
    <row r="3522">
      <c r="A3522" s="80" t="s">
        <v>98</v>
      </c>
      <c r="B3522" s="81" t="str">
        <f>HYPERLINK("https://www.youtube.com/channel/UCrquuQB6v1Ued2xyRKZreGQ", "Stephen Leung ")</f>
        <v>Stephen Leung </v>
      </c>
      <c r="C3522" s="80" t="s">
        <v>3925</v>
      </c>
      <c r="D3522" s="81" t="str">
        <f>HYPERLINK("https://youtube.com/watch?v=2Ndp43QaZxs", "【香港美食】佐敦街坊店 抵食上樓 居酒屋 $68 超肥美鰻魚西京燒 蟹味噌甲羅燒 七福神和食亭  | 吃喝玩樂  美食 2021")</f>
        <v>【香港美食】佐敦街坊店 抵食上樓 居酒屋 $68 超肥美鰻魚西京燒 蟹味噌甲羅燒 七福神和食亭  | 吃喝玩樂  美食 2021</v>
      </c>
      <c r="E3522" s="82">
        <v>44553.0</v>
      </c>
      <c r="F3522" s="80">
        <v>766.0</v>
      </c>
      <c r="G3522" s="80" t="s">
        <v>63</v>
      </c>
      <c r="I3522" s="80" t="s">
        <v>63</v>
      </c>
      <c r="J3522" s="80">
        <v>1664.0</v>
      </c>
      <c r="K3522" s="80">
        <v>0.986366330764671</v>
      </c>
      <c r="L3522" s="80" t="s">
        <v>64</v>
      </c>
    </row>
    <row r="3523">
      <c r="A3523" s="80" t="s">
        <v>2804</v>
      </c>
      <c r="B3523" s="81" t="str">
        <f>HYPERLINK("https://www.youtube.com/channel/UCrFrg50t0JqgqV2dkIrH5Hg", "投智財女 GirlbossInvest 創業投資智慧")</f>
        <v>投智財女 GirlbossInvest 創業投資智慧</v>
      </c>
      <c r="C3523" s="80" t="s">
        <v>3926</v>
      </c>
      <c r="D3523" s="81" t="str">
        <f>HYPERLINK("https://youtube.com/watch?v=2RgWaMC5Mi0", "🤬男人慳錢美德被笑孤寒? 5個保面子的無痛省錢大法 🤑 | 2021年「衣食住行玩」慳幾萬 #男人有樓無高潮 #男人最痛 #男人哭吧不是罪 #有字幕有時間列")</f>
        <v>🤬男人慳錢美德被笑孤寒? 5個保面子的無痛省錢大法 🤑 | 2021年「衣食住行玩」慳幾萬 #男人有樓無高潮 #男人最痛 #男人哭吧不是罪 #有字幕有時間列</v>
      </c>
      <c r="E3523" s="82">
        <v>44203.0</v>
      </c>
      <c r="F3523" s="80">
        <v>980.0</v>
      </c>
      <c r="G3523" s="80" t="s">
        <v>63</v>
      </c>
      <c r="I3523" s="80" t="s">
        <v>63</v>
      </c>
      <c r="J3523" s="80">
        <v>3085.0</v>
      </c>
      <c r="K3523" s="80">
        <v>0.953632148377125</v>
      </c>
      <c r="L3523" s="80" t="s">
        <v>102</v>
      </c>
    </row>
    <row r="3524">
      <c r="A3524" s="80" t="s">
        <v>293</v>
      </c>
      <c r="B3524" s="81" t="str">
        <f>HYPERLINK("https://www.youtube.com/channel/UCXRcbXqjORdIvl63I7MtOLQ", "趁熱 Kerry 's kitchen")</f>
        <v>趁熱 Kerry 's kitchen</v>
      </c>
      <c r="C3524" s="80" t="s">
        <v>3927</v>
      </c>
      <c r="D3524" s="81" t="str">
        <f>HYPERLINK("https://youtube.com/watch?v=2TI3zNaEjtI", "梅菜 扣肉/廣東話/中字/不用炸一樣正/入口 即化/軟而不爛竅門/重點 講解/簡單 家做/")</f>
        <v>梅菜 扣肉/廣東話/中字/不用炸一樣正/入口 即化/軟而不爛竅門/重點 講解/簡單 家做/</v>
      </c>
      <c r="E3524" s="82">
        <v>44559.0</v>
      </c>
      <c r="F3524" s="80">
        <v>532.0</v>
      </c>
      <c r="G3524" s="80" t="s">
        <v>63</v>
      </c>
      <c r="I3524" s="80" t="s">
        <v>63</v>
      </c>
      <c r="J3524" s="80">
        <v>740.0</v>
      </c>
      <c r="K3524" s="80">
        <v>0.987983978638184</v>
      </c>
      <c r="L3524" s="80" t="s">
        <v>64</v>
      </c>
    </row>
    <row r="3525">
      <c r="A3525" s="80" t="s">
        <v>127</v>
      </c>
      <c r="B3525" s="81" t="str">
        <f t="shared" ref="B3525:B3526" si="182">HYPERLINK("https://www.youtube.com/channel/UC97oYK3XMf9RLtkc0lO8C-Q", "健康旦 HiEggo")</f>
        <v>健康旦 HiEggo</v>
      </c>
      <c r="C3525" s="80" t="s">
        <v>3928</v>
      </c>
      <c r="D3525" s="81" t="str">
        <f>HYPERLINK("https://youtube.com/watch?v=2UMo8wdPa5I", "韓馬利發燒入院失憶一星期 內蒙古工作患腦膜炎 行過鬼門關後患抑鬱症 - 鄭丹瑞《健康旦》 #韓馬利 Part 1 (CC中文字幕)")</f>
        <v>韓馬利發燒入院失憶一星期 內蒙古工作患腦膜炎 行過鬼門關後患抑鬱症 - 鄭丹瑞《健康旦》 #韓馬利 Part 1 (CC中文字幕)</v>
      </c>
      <c r="E3525" s="82">
        <v>44113.0</v>
      </c>
      <c r="F3525" s="80">
        <v>637.0</v>
      </c>
      <c r="G3525" s="80" t="s">
        <v>63</v>
      </c>
      <c r="I3525" s="80" t="s">
        <v>63</v>
      </c>
      <c r="J3525" s="80">
        <v>2164.0</v>
      </c>
      <c r="K3525" s="80">
        <v>0.977416440831074</v>
      </c>
      <c r="L3525" s="80" t="s">
        <v>64</v>
      </c>
    </row>
    <row r="3526">
      <c r="A3526" s="80" t="s">
        <v>127</v>
      </c>
      <c r="B3526" s="81" t="str">
        <f t="shared" si="182"/>
        <v>健康旦 HiEggo</v>
      </c>
      <c r="C3526" s="80" t="s">
        <v>3929</v>
      </c>
      <c r="D3526" s="81" t="str">
        <f>HYPERLINK("https://youtube.com/watch?v=2VN9e2nKHek", "趙汝威博士多食雞蛋紅肉 一日食開一包煙唔好食兩包- 鄭丹瑞《健康旦》趙汝威 Part 5（CC中文字幕）")</f>
        <v>趙汝威博士多食雞蛋紅肉 一日食開一包煙唔好食兩包- 鄭丹瑞《健康旦》趙汝威 Part 5（CC中文字幕）</v>
      </c>
      <c r="E3526" s="82">
        <v>43941.0</v>
      </c>
      <c r="F3526" s="80">
        <v>793.0</v>
      </c>
      <c r="G3526" s="80" t="s">
        <v>63</v>
      </c>
      <c r="I3526" s="80" t="s">
        <v>63</v>
      </c>
      <c r="J3526" s="80">
        <v>2888.0</v>
      </c>
      <c r="K3526" s="80">
        <v>0.967180174146014</v>
      </c>
      <c r="L3526" s="80" t="s">
        <v>64</v>
      </c>
    </row>
    <row r="3527">
      <c r="A3527" s="80" t="s">
        <v>3930</v>
      </c>
      <c r="B3527" s="81" t="str">
        <f>HYPERLINK("https://www.youtube.com/channel/UCGO_BBmwEXblglcSmr5Zcpg", "Danny Summer 夏韶聲")</f>
        <v>Danny Summer 夏韶聲</v>
      </c>
      <c r="C3527" s="80" t="s">
        <v>3931</v>
      </c>
      <c r="D3527" s="81" t="str">
        <f>HYPERLINK("https://youtube.com/watch?v=2bV_m-L9FNw", "Danny Summer 夏韶聲 - 特別消息 !!! ....真人 SHOW !!")</f>
        <v>Danny Summer 夏韶聲 - 特別消息 !!! ....真人 SHOW !!</v>
      </c>
      <c r="E3527" s="82">
        <v>44432.0</v>
      </c>
      <c r="F3527" s="80">
        <v>224.0</v>
      </c>
      <c r="G3527" s="80" t="s">
        <v>63</v>
      </c>
      <c r="I3527" s="80" t="s">
        <v>63</v>
      </c>
      <c r="J3527" s="80">
        <v>434.0</v>
      </c>
      <c r="K3527" s="80">
        <v>0.92933618843683</v>
      </c>
      <c r="L3527" s="80" t="s">
        <v>64</v>
      </c>
    </row>
    <row r="3528">
      <c r="A3528" s="80" t="s">
        <v>248</v>
      </c>
      <c r="B3528" s="81" t="str">
        <f>HYPERLINK("https://www.youtube.com/channel/UCUEJok-GiWaGlv5nIPwk-GQ", "Price.com.hk 香港格價網")</f>
        <v>Price.com.hk 香港格價網</v>
      </c>
      <c r="C3528" s="80" t="s">
        <v>3932</v>
      </c>
      <c r="D3528" s="81" t="str">
        <f>HYPERLINK("https://youtube.com/watch?v=2lgdZds5_Qk", "降噪＋靚聲 兩者兼得 Anker Soundcore Liberty 3 Pro 真無線耳機｜ ACAA｜ANC｜LDAC｜特約專題｜用後感【price.com.hk產品評測】")</f>
        <v>降噪＋靚聲 兩者兼得 Anker Soundcore Liberty 3 Pro 真無線耳機｜ ACAA｜ANC｜LDAC｜特約專題｜用後感【price.com.hk產品評測】</v>
      </c>
      <c r="E3528" s="82">
        <v>44502.0</v>
      </c>
      <c r="F3528" s="80">
        <v>390.0</v>
      </c>
      <c r="G3528" s="80" t="s">
        <v>63</v>
      </c>
      <c r="I3528" s="80" t="s">
        <v>63</v>
      </c>
      <c r="J3528" s="80">
        <v>1209.0</v>
      </c>
      <c r="K3528" s="80">
        <v>0.811409395973154</v>
      </c>
      <c r="L3528" s="80" t="s">
        <v>64</v>
      </c>
    </row>
    <row r="3529">
      <c r="A3529" s="80" t="s">
        <v>127</v>
      </c>
      <c r="B3529" s="81" t="str">
        <f t="shared" ref="B3529:B3530" si="183">HYPERLINK("https://www.youtube.com/channel/UC97oYK3XMf9RLtkc0lO8C-Q", "健康旦 HiEggo")</f>
        <v>健康旦 HiEggo</v>
      </c>
      <c r="C3529" s="80" t="s">
        <v>3933</v>
      </c>
      <c r="D3529" s="81" t="str">
        <f>HYPERLINK("https://youtube.com/watch?v=2q3OxVQ5wtU", "沙參玉竹銀耳雞湯 煲湯記得最尾先落鹽 - 鄭丹瑞《健康旦》#方曉嵐 Part 8（CC中文字幕）")</f>
        <v>沙參玉竹銀耳雞湯 煲湯記得最尾先落鹽 - 鄭丹瑞《健康旦》#方曉嵐 Part 8（CC中文字幕）</v>
      </c>
      <c r="E3529" s="82">
        <v>43944.0</v>
      </c>
      <c r="F3529" s="80">
        <v>725.0</v>
      </c>
      <c r="G3529" s="80" t="s">
        <v>63</v>
      </c>
      <c r="I3529" s="80" t="s">
        <v>63</v>
      </c>
      <c r="J3529" s="80">
        <v>2898.0</v>
      </c>
      <c r="K3529" s="80">
        <v>0.992125984251968</v>
      </c>
      <c r="L3529" s="80" t="s">
        <v>64</v>
      </c>
    </row>
    <row r="3530">
      <c r="A3530" s="80" t="s">
        <v>127</v>
      </c>
      <c r="B3530" s="81" t="str">
        <f t="shared" si="183"/>
        <v>健康旦 HiEggo</v>
      </c>
      <c r="C3530" s="80" t="s">
        <v>3934</v>
      </c>
      <c r="D3530" s="81" t="str">
        <f>HYPERLINK("https://youtube.com/watch?v=2rZZI3zvf5s", "梁卓偉專訪（下）疫情將於春天完結冬天重臨？何時觸發醫護「選擇性救治」？  - 鄭丹瑞《健康旦》港大梁卓偉教授 - Part 3 (CC中文字幕)")</f>
        <v>梁卓偉專訪（下）疫情將於春天完結冬天重臨？何時觸發醫護「選擇性救治」？  - 鄭丹瑞《健康旦》港大梁卓偉教授 - Part 3 (CC中文字幕)</v>
      </c>
      <c r="E3530" s="82">
        <v>43926.0</v>
      </c>
      <c r="F3530" s="80">
        <v>678.0</v>
      </c>
      <c r="G3530" s="80" t="s">
        <v>63</v>
      </c>
      <c r="I3530" s="80" t="s">
        <v>63</v>
      </c>
      <c r="J3530" s="80">
        <v>2188.0</v>
      </c>
      <c r="K3530" s="80">
        <v>0.999543170397441</v>
      </c>
      <c r="L3530" s="80" t="s">
        <v>102</v>
      </c>
    </row>
    <row r="3531">
      <c r="A3531" s="80" t="s">
        <v>293</v>
      </c>
      <c r="B3531" s="81" t="str">
        <f>HYPERLINK("https://www.youtube.com/channel/UCXRcbXqjORdIvl63I7MtOLQ", "趁熱 Kerry 's kitchen")</f>
        <v>趁熱 Kerry 's kitchen</v>
      </c>
      <c r="C3531" s="80" t="s">
        <v>3935</v>
      </c>
      <c r="D3531" s="81" t="str">
        <f>HYPERLINK("https://youtube.com/watch?v=2twns45UGpE", "豉油皇釀連藕/下飯菜/新手 入門/簡單 家做/廣東話/中字")</f>
        <v>豉油皇釀連藕/下飯菜/新手 入門/簡單 家做/廣東話/中字</v>
      </c>
      <c r="E3531" s="82">
        <v>44419.0</v>
      </c>
      <c r="F3531" s="80">
        <v>854.0</v>
      </c>
      <c r="G3531" s="80" t="s">
        <v>63</v>
      </c>
      <c r="I3531" s="80" t="s">
        <v>63</v>
      </c>
      <c r="J3531" s="80">
        <v>2206.0</v>
      </c>
      <c r="K3531" s="80">
        <v>0.979573712255772</v>
      </c>
      <c r="L3531" s="80" t="s">
        <v>64</v>
      </c>
    </row>
    <row r="3532">
      <c r="A3532" s="80" t="s">
        <v>2481</v>
      </c>
      <c r="B3532" s="81" t="str">
        <f>HYPERLINK("https://www.youtube.com/channel/UCFT-PtLfmdMIShkQMynOEMQ", "一男一旅 HowFarGo")</f>
        <v>一男一旅 HowFarGo</v>
      </c>
      <c r="C3532" s="80" t="s">
        <v>3936</v>
      </c>
      <c r="D3532" s="81" t="str">
        <f>HYPERLINK("https://youtube.com/watch?v=2v2HITreBc4", "疫情中 郵輪有乜改變? (粤語/有字幕) Cruise on Carnival Panorama during pandemic of COVID-19, with English subtitles")</f>
        <v>疫情中 郵輪有乜改變? (粤語/有字幕) Cruise on Carnival Panorama during pandemic of COVID-19, with English subtitles</v>
      </c>
      <c r="E3532" s="82">
        <v>44480.0</v>
      </c>
      <c r="F3532" s="80">
        <v>209.0</v>
      </c>
      <c r="G3532" s="80" t="s">
        <v>63</v>
      </c>
      <c r="I3532" s="80" t="s">
        <v>63</v>
      </c>
      <c r="J3532" s="80">
        <v>567.0</v>
      </c>
      <c r="K3532" s="80">
        <v>0.824127906976744</v>
      </c>
      <c r="L3532" s="80" t="s">
        <v>64</v>
      </c>
    </row>
    <row r="3533">
      <c r="A3533" s="80" t="s">
        <v>108</v>
      </c>
      <c r="B3533" s="81" t="str">
        <f>HYPERLINK("https://www.youtube.com/channel/UCZL6QN6Xs-ZrKY3y6Pv6Emg", "廢青 - 日賺3000")</f>
        <v>廢青 - 日賺3000</v>
      </c>
      <c r="C3533" s="80" t="s">
        <v>3937</v>
      </c>
      <c r="D3533" s="81" t="str">
        <f>HYPERLINK("https://youtube.com/watch?v=2vZPViM7wYw", "股票懶人包!（ FREE !! ）😍 10星期美股入門教學! 🉐🉐【點CC看中文字幕】")</f>
        <v>股票懶人包!（ FREE !! ）😍 10星期美股入門教學! 🉐🉐【點CC看中文字幕】</v>
      </c>
      <c r="E3533" s="82">
        <v>44036.0</v>
      </c>
      <c r="F3533" s="80">
        <v>243.0</v>
      </c>
      <c r="G3533" s="80" t="s">
        <v>63</v>
      </c>
      <c r="I3533" s="80" t="s">
        <v>63</v>
      </c>
      <c r="J3533" s="80">
        <v>939.0</v>
      </c>
      <c r="K3533" s="80">
        <v>0.848238482384823</v>
      </c>
      <c r="L3533" s="80" t="s">
        <v>64</v>
      </c>
    </row>
    <row r="3534">
      <c r="A3534" s="80" t="s">
        <v>98</v>
      </c>
      <c r="B3534" s="81" t="str">
        <f>HYPERLINK("https://www.youtube.com/channel/UCrquuQB6v1Ued2xyRKZreGQ", "Stephen Leung ")</f>
        <v>Stephen Leung </v>
      </c>
      <c r="C3534" s="80" t="s">
        <v>3938</v>
      </c>
      <c r="D3534" s="81" t="str">
        <f>HYPERLINK("https://youtube.com/watch?v=2yltotku-Ic", "【香港美食】大閘蟹放題速報! 2小時任食 放題大挑戰 質素如何？大閘蟹2021  | 吃喝玩樂 大閘蟹放題 2021 香港好去處")</f>
        <v>【香港美食】大閘蟹放題速報! 2小時任食 放題大挑戰 質素如何？大閘蟹2021  | 吃喝玩樂 大閘蟹放題 2021 香港好去處</v>
      </c>
      <c r="E3534" s="82">
        <v>44472.0</v>
      </c>
      <c r="F3534" s="80">
        <v>787.0</v>
      </c>
      <c r="G3534" s="80" t="s">
        <v>63</v>
      </c>
      <c r="I3534" s="80" t="s">
        <v>63</v>
      </c>
      <c r="J3534" s="80">
        <v>1791.0</v>
      </c>
      <c r="K3534" s="80">
        <v>0.981369863013698</v>
      </c>
      <c r="L3534" s="80" t="s">
        <v>64</v>
      </c>
    </row>
    <row r="3535">
      <c r="A3535" s="80" t="s">
        <v>248</v>
      </c>
      <c r="B3535" s="81" t="str">
        <f>HYPERLINK("https://www.youtube.com/channel/UCUEJok-GiWaGlv5nIPwk-GQ", "Price.com.hk 香港格價網")</f>
        <v>Price.com.hk 香港格價網</v>
      </c>
      <c r="C3535" s="80" t="s">
        <v>3939</v>
      </c>
      <c r="D3535" s="81" t="str">
        <f>HYPERLINK("https://youtube.com/watch?v=2zKWlFByJLc", "Apple信仰之布開箱 · DJI全新模組化設計Action 2 · 閂定位都無用!? Facebook仍可追蹤用戶狀態｜廣東話【Price Weekly #86 2021年10月 】")</f>
        <v>Apple信仰之布開箱 · DJI全新模組化設計Action 2 · 閂定位都無用!? Facebook仍可追蹤用戶狀態｜廣東話【Price Weekly #86 2021年10月 】</v>
      </c>
      <c r="E3535" s="82">
        <v>44499.0</v>
      </c>
      <c r="F3535" s="80">
        <v>477.0</v>
      </c>
      <c r="G3535" s="80" t="s">
        <v>63</v>
      </c>
      <c r="I3535" s="80" t="s">
        <v>63</v>
      </c>
      <c r="J3535" s="80">
        <v>1658.0</v>
      </c>
      <c r="K3535" s="80">
        <v>0.666934835076428</v>
      </c>
      <c r="L3535" s="80" t="s">
        <v>64</v>
      </c>
    </row>
    <row r="3536">
      <c r="A3536" s="80" t="s">
        <v>108</v>
      </c>
      <c r="B3536" s="81" t="str">
        <f>HYPERLINK("https://www.youtube.com/channel/UCZL6QN6Xs-ZrKY3y6Pv6Emg", "廢青 - 日賺3000")</f>
        <v>廢青 - 日賺3000</v>
      </c>
      <c r="C3536" s="80" t="s">
        <v>3940</v>
      </c>
      <c r="D3536" s="81" t="str">
        <f>HYPERLINK("https://youtube.com/watch?v=2zrpJxwfGoo", "廢友注意 !! 🔞 異 常 J 片提 示🈲【點CC看中文字幕】")</f>
        <v>廢友注意 !! 🔞 異 常 J 片提 示🈲【點CC看中文字幕】</v>
      </c>
      <c r="E3536" s="82">
        <v>44203.0</v>
      </c>
      <c r="F3536" s="80">
        <v>241.0</v>
      </c>
      <c r="G3536" s="80" t="s">
        <v>63</v>
      </c>
      <c r="I3536" s="80" t="s">
        <v>63</v>
      </c>
      <c r="J3536" s="80">
        <v>913.0</v>
      </c>
      <c r="K3536" s="80">
        <v>0.791161178509532</v>
      </c>
      <c r="L3536" s="80" t="s">
        <v>64</v>
      </c>
    </row>
    <row r="3537">
      <c r="A3537" s="80" t="s">
        <v>127</v>
      </c>
      <c r="B3537" s="81" t="str">
        <f>HYPERLINK("https://www.youtube.com/channel/UC97oYK3XMf9RLtkc0lO8C-Q", "健康旦 HiEggo")</f>
        <v>健康旦 HiEggo</v>
      </c>
      <c r="C3537" s="80" t="s">
        <v>3941</v>
      </c>
      <c r="D3537" s="81" t="str">
        <f>HYPERLINK("https://youtube.com/watch?v=3-PCAJppf5U", "李維恩教授開發科技產品 創新通經絡工具 提你揀口罩要深入認識 - 鄭丹瑞《健康旦》李維恩教授 Part1 (CC中文字幕)")</f>
        <v>李維恩教授開發科技產品 創新通經絡工具 提你揀口罩要深入認識 - 鄭丹瑞《健康旦》李維恩教授 Part1 (CC中文字幕)</v>
      </c>
      <c r="E3537" s="82">
        <v>43888.0</v>
      </c>
      <c r="F3537" s="80">
        <v>884.0</v>
      </c>
      <c r="G3537" s="80" t="s">
        <v>63</v>
      </c>
      <c r="I3537" s="80" t="s">
        <v>63</v>
      </c>
      <c r="J3537" s="80">
        <v>3261.0</v>
      </c>
      <c r="K3537" s="80">
        <v>0.950174825174825</v>
      </c>
      <c r="L3537" s="80" t="s">
        <v>102</v>
      </c>
    </row>
    <row r="3538">
      <c r="A3538" s="80" t="s">
        <v>98</v>
      </c>
      <c r="B3538" s="81" t="str">
        <f>HYPERLINK("https://www.youtube.com/channel/UCrquuQB6v1Ued2xyRKZreGQ", "Stephen Leung ")</f>
        <v>Stephen Leung </v>
      </c>
      <c r="C3538" s="80" t="s">
        <v>3942</v>
      </c>
      <c r="D3538" s="81" t="str">
        <f>HYPERLINK("https://youtube.com/watch?v=32Ed49M8GtE", "【香港美食】 抵食之選! $18.8 蘇格蘭蟶子皇 酸菜魚 招牌香辣蟹 麻辣挑戰 送出10隻香辣炒蟹 麻辣小聚 | 吃喝玩樂")</f>
        <v>【香港美食】 抵食之選! $18.8 蘇格蘭蟶子皇 酸菜魚 招牌香辣蟹 麻辣挑戰 送出10隻香辣炒蟹 麻辣小聚 | 吃喝玩樂</v>
      </c>
      <c r="E3538" s="82">
        <v>44294.0</v>
      </c>
      <c r="F3538" s="80">
        <v>442.0</v>
      </c>
      <c r="G3538" s="80" t="s">
        <v>63</v>
      </c>
      <c r="I3538" s="80" t="s">
        <v>63</v>
      </c>
      <c r="J3538" s="80">
        <v>1146.0</v>
      </c>
      <c r="K3538" s="80">
        <v>0.97865072587532</v>
      </c>
      <c r="L3538" s="80" t="s">
        <v>64</v>
      </c>
    </row>
    <row r="3539">
      <c r="A3539" s="80" t="s">
        <v>1260</v>
      </c>
      <c r="B3539" s="81" t="str">
        <f>HYPERLINK("https://www.youtube.com/channel/UCh1k4i86BpiXEO3nzJIYynw", "The Wave")</f>
        <v>The Wave</v>
      </c>
      <c r="C3539" s="80" t="s">
        <v>3943</v>
      </c>
      <c r="D3539" s="81" t="str">
        <f>HYPERLINK("https://youtube.com/watch?v=32OqCa6TDlc", "TheWave | Xperia 0 傳聞，曲面 CMOS ? 5G ? 4鏡頭手機🤨🤨😮")</f>
        <v>TheWave | Xperia 0 傳聞，曲面 CMOS ? 5G ? 4鏡頭手機🤨🤨😮</v>
      </c>
      <c r="E3539" s="82">
        <v>43618.0</v>
      </c>
      <c r="F3539" s="80">
        <v>194.0</v>
      </c>
      <c r="G3539" s="80" t="s">
        <v>63</v>
      </c>
      <c r="H3539" s="80" t="s">
        <v>63</v>
      </c>
      <c r="I3539" s="80" t="s">
        <v>63</v>
      </c>
      <c r="J3539" s="80">
        <v>688.0</v>
      </c>
      <c r="K3539" s="80">
        <v>0.739459459459459</v>
      </c>
      <c r="L3539" s="80" t="s">
        <v>1132</v>
      </c>
    </row>
    <row r="3540">
      <c r="A3540" s="80" t="s">
        <v>2829</v>
      </c>
      <c r="B3540" s="81" t="str">
        <f>HYPERLINK("https://www.youtube.com/channel/UC7GnES6AEQlDzaP04UqtyjA", "SOLID IDEA")</f>
        <v>SOLID IDEA</v>
      </c>
      <c r="C3540" s="80" t="s">
        <v>3944</v>
      </c>
      <c r="D3540" s="81" t="str">
        <f>HYPERLINK("https://youtube.com/watch?v=34xAi-8re-E", "[#設計概念] #東堤灣畔 兩房 #北歐風 #寵物安樂窩  | 室內設計 | 空間擺位 | SOLID IDEA |  (CC中文字幕)")</f>
        <v>[#設計概念] #東堤灣畔 兩房 #北歐風 #寵物安樂窩  | 室內設計 | 空間擺位 | SOLID IDEA |  (CC中文字幕)</v>
      </c>
      <c r="E3540" s="82">
        <v>44267.0</v>
      </c>
      <c r="F3540" s="80">
        <v>231.0</v>
      </c>
      <c r="G3540" s="80" t="s">
        <v>63</v>
      </c>
      <c r="I3540" s="80" t="s">
        <v>63</v>
      </c>
      <c r="J3540" s="80">
        <v>669.0</v>
      </c>
      <c r="K3540" s="80">
        <v>0.936974789915966</v>
      </c>
      <c r="L3540" s="80" t="s">
        <v>64</v>
      </c>
    </row>
    <row r="3541">
      <c r="A3541" s="80" t="s">
        <v>1260</v>
      </c>
      <c r="B3541" s="81" t="str">
        <f>HYPERLINK("https://www.youtube.com/channel/UCh1k4i86BpiXEO3nzJIYynw", "The Wave")</f>
        <v>The Wave</v>
      </c>
      <c r="C3541" s="80" t="s">
        <v>3945</v>
      </c>
      <c r="D3541" s="81" t="str">
        <f>HYPERLINK("https://youtube.com/watch?v=36jaIEYMS3w", "TheWave | WF-1000XM3 一周評測 | 真無線耳機大比拼 CC字幕")</f>
        <v>TheWave | WF-1000XM3 一周評測 | 真無線耳機大比拼 CC字幕</v>
      </c>
      <c r="E3541" s="82">
        <v>43663.0</v>
      </c>
      <c r="F3541" s="80">
        <v>412.0</v>
      </c>
      <c r="G3541" s="80" t="s">
        <v>63</v>
      </c>
      <c r="H3541" s="80" t="s">
        <v>63</v>
      </c>
      <c r="I3541" s="80" t="s">
        <v>63</v>
      </c>
      <c r="J3541" s="80">
        <v>1631.0</v>
      </c>
      <c r="K3541" s="80">
        <v>0.861140443505807</v>
      </c>
      <c r="L3541" s="80" t="s">
        <v>1634</v>
      </c>
    </row>
    <row r="3542">
      <c r="A3542" s="80" t="s">
        <v>1390</v>
      </c>
      <c r="B3542" s="81" t="str">
        <f>HYPERLINK("https://www.youtube.com/channel/UCgwEJflQi4WnZ8PU0xdibZQ", "Kinson Ho")</f>
        <v>Kinson Ho</v>
      </c>
      <c r="C3542" s="80" t="s">
        <v>3946</v>
      </c>
      <c r="D3542" s="81" t="str">
        <f>HYPERLINK("https://youtube.com/watch?v=37ChQdUDE10", "K神任我行 -  [CC字幕4K] 青衣寮肚山石環影青馬大橋日落｜青衣自然徑｜影日落好地方｜航拍")</f>
        <v>K神任我行 -  [CC字幕4K] 青衣寮肚山石環影青馬大橋日落｜青衣自然徑｜影日落好地方｜航拍</v>
      </c>
      <c r="E3542" s="82">
        <v>44574.0</v>
      </c>
      <c r="F3542" s="80">
        <v>807.0</v>
      </c>
      <c r="G3542" s="80" t="s">
        <v>63</v>
      </c>
      <c r="I3542" s="80" t="s">
        <v>63</v>
      </c>
      <c r="J3542" s="80">
        <v>787.0</v>
      </c>
      <c r="K3542" s="80">
        <v>0.993686868686868</v>
      </c>
      <c r="L3542" s="80" t="s">
        <v>64</v>
      </c>
    </row>
    <row r="3543">
      <c r="A3543" s="80" t="s">
        <v>1139</v>
      </c>
      <c r="B3543" s="81" t="str">
        <f>HYPERLINK("https://www.youtube.com/channel/UCw51gVFijIewmXH4tIR0ufw", "Crystal Zen")</f>
        <v>Crystal Zen</v>
      </c>
      <c r="C3543" s="80" t="s">
        <v>3947</v>
      </c>
      <c r="D3543" s="81" t="str">
        <f>HYPERLINK("https://youtube.com/watch?v=3AK-_K9yGGY", "[買水晶前必睇系列] 跑數做SALES 做生意嘅你 到底戴咩水晶組合係最好？")</f>
        <v>[買水晶前必睇系列] 跑數做SALES 做生意嘅你 到底戴咩水晶組合係最好？</v>
      </c>
      <c r="E3543" s="82">
        <v>44164.0</v>
      </c>
      <c r="F3543" s="80">
        <v>599.0</v>
      </c>
      <c r="G3543" s="80" t="s">
        <v>63</v>
      </c>
      <c r="I3543" s="80" t="s">
        <v>63</v>
      </c>
      <c r="J3543" s="80">
        <v>2643.0</v>
      </c>
      <c r="K3543" s="80">
        <v>0.891399662731871</v>
      </c>
      <c r="L3543" s="80" t="s">
        <v>64</v>
      </c>
    </row>
    <row r="3544">
      <c r="A3544" s="80" t="s">
        <v>108</v>
      </c>
      <c r="B3544" s="81" t="str">
        <f>HYPERLINK("https://www.youtube.com/channel/UCZL6QN6Xs-ZrKY3y6Pv6Emg", "廢青 - 日賺3000")</f>
        <v>廢青 - 日賺3000</v>
      </c>
      <c r="C3544" s="80" t="s">
        <v>3948</v>
      </c>
      <c r="D3544" s="81" t="str">
        <f>HYPERLINK("https://youtube.com/watch?v=3BwtAfnOkQU", "美股開戶 ‼️ 新手必看‼️ EP05【廢青 日賺3000】【點CC看中文字幕】")</f>
        <v>美股開戶 ‼️ 新手必看‼️ EP05【廢青 日賺3000】【點CC看中文字幕】</v>
      </c>
      <c r="E3544" s="82">
        <v>44021.0</v>
      </c>
      <c r="F3544" s="80">
        <v>408.0</v>
      </c>
      <c r="G3544" s="80" t="s">
        <v>63</v>
      </c>
      <c r="I3544" s="80" t="s">
        <v>63</v>
      </c>
      <c r="J3544" s="80">
        <v>1749.0</v>
      </c>
      <c r="K3544" s="80">
        <v>0.946428571428571</v>
      </c>
      <c r="L3544" s="80" t="s">
        <v>64</v>
      </c>
    </row>
    <row r="3545">
      <c r="A3545" s="80" t="s">
        <v>2829</v>
      </c>
      <c r="B3545" s="81" t="str">
        <f>HYPERLINK("https://www.youtube.com/channel/UC7GnES6AEQlDzaP04UqtyjA", "SOLID IDEA")</f>
        <v>SOLID IDEA</v>
      </c>
      <c r="C3545" s="80" t="s">
        <v>3949</v>
      </c>
      <c r="D3545" s="81" t="str">
        <f>HYPERLINK("https://youtube.com/watch?v=3CDI9YgLl5g", "[#設計概念] #尚珒溋 #小朋友設計 #輕奢風 | 室內設計 | 空間擺位 | SOLID IDEA | (CC中文字幕)")</f>
        <v>[#設計概念] #尚珒溋 #小朋友設計 #輕奢風 | 室內設計 | 空間擺位 | SOLID IDEA | (CC中文字幕)</v>
      </c>
      <c r="E3545" s="82">
        <v>44428.0</v>
      </c>
      <c r="F3545" s="80">
        <v>271.0</v>
      </c>
      <c r="G3545" s="80" t="s">
        <v>63</v>
      </c>
      <c r="I3545" s="80" t="s">
        <v>63</v>
      </c>
      <c r="J3545" s="80">
        <v>849.0</v>
      </c>
      <c r="K3545" s="80">
        <v>0.950727883538633</v>
      </c>
      <c r="L3545" s="80" t="s">
        <v>64</v>
      </c>
    </row>
    <row r="3546">
      <c r="A3546" s="80" t="s">
        <v>2041</v>
      </c>
      <c r="B3546" s="81" t="str">
        <f>HYPERLINK("https://www.youtube.com/channel/UCO6pB-ZN4XJ6MVkibvuEe0A", "SingSingTracker 星昇財經指標")</f>
        <v>SingSingTracker 星昇財經指標</v>
      </c>
      <c r="C3546" s="80" t="s">
        <v>3950</v>
      </c>
      <c r="D3546" s="81" t="str">
        <f>HYPERLINK("https://youtube.com/watch?v=3CPk1TAySRU", "【Apple史上最強晶片現身(重新上載)】MacBook Pro 2021全新設計｜M1 Pro M1 Max 效能｜10核CPU｜蘋果發佈會｜Apple自研晶片｜Intel被分手主因 (點CC字幕)")</f>
        <v>【Apple史上最強晶片現身(重新上載)】MacBook Pro 2021全新設計｜M1 Pro M1 Max 效能｜10核CPU｜蘋果發佈會｜Apple自研晶片｜Intel被分手主因 (點CC字幕)</v>
      </c>
      <c r="E3546" s="82">
        <v>44493.0</v>
      </c>
      <c r="F3546" s="80">
        <v>427.0</v>
      </c>
      <c r="G3546" s="80" t="s">
        <v>63</v>
      </c>
      <c r="I3546" s="80" t="s">
        <v>63</v>
      </c>
      <c r="J3546" s="80">
        <v>1391.0</v>
      </c>
      <c r="K3546" s="80">
        <v>0.809662398137369</v>
      </c>
      <c r="L3546" s="80" t="s">
        <v>64</v>
      </c>
    </row>
    <row r="3547">
      <c r="A3547" s="80" t="s">
        <v>3339</v>
      </c>
      <c r="B3547" s="81" t="str">
        <f>HYPERLINK("https://www.youtube.com/channel/UCo0lvDJ5ikc3hhD30ttGznw", "gingerlemoncola")</f>
        <v>gingerlemoncola</v>
      </c>
      <c r="C3547" s="80" t="s">
        <v>3951</v>
      </c>
      <c r="D3547" s="81" t="str">
        <f>HYPERLINK("https://youtube.com/watch?v=3ChNxfFSjQI", "【大事回顧】2018年我做咗啲乜？最高點擊影片竟然係？！")</f>
        <v>【大事回顧】2018年我做咗啲乜？最高點擊影片竟然係？！</v>
      </c>
      <c r="E3547" s="82">
        <v>43463.0</v>
      </c>
      <c r="F3547" s="80">
        <v>506.0</v>
      </c>
      <c r="G3547" s="80" t="s">
        <v>63</v>
      </c>
      <c r="I3547" s="80" t="s">
        <v>63</v>
      </c>
      <c r="J3547" s="80">
        <v>1882.0</v>
      </c>
      <c r="K3547" s="80">
        <v>0.906114588348579</v>
      </c>
      <c r="L3547" s="80" t="s">
        <v>64</v>
      </c>
    </row>
    <row r="3548">
      <c r="A3548" s="80" t="s">
        <v>2829</v>
      </c>
      <c r="B3548" s="81" t="str">
        <f t="shared" ref="B3548:B3549" si="184">HYPERLINK("https://www.youtube.com/channel/UC7GnES6AEQlDzaP04UqtyjA", "SOLID IDEA")</f>
        <v>SOLID IDEA</v>
      </c>
      <c r="C3548" s="80" t="s">
        <v>3952</v>
      </c>
      <c r="D3548" s="81" t="str">
        <f>HYPERLINK("https://youtube.com/watch?v=3DyAa1_Tm54", "[#設計概念] #翠豐臺 #二手樓 話比你聽翻新   | 室內設計 | 空間擺位 | SOLID IDEA |  (CC中文字幕)")</f>
        <v>[#設計概念] #翠豐臺 #二手樓 話比你聽翻新   | 室內設計 | 空間擺位 | SOLID IDEA |  (CC中文字幕)</v>
      </c>
      <c r="E3548" s="82">
        <v>44512.0</v>
      </c>
      <c r="F3548" s="80">
        <v>197.0</v>
      </c>
      <c r="G3548" s="80" t="s">
        <v>63</v>
      </c>
      <c r="I3548" s="80" t="s">
        <v>63</v>
      </c>
      <c r="J3548" s="80">
        <v>630.0</v>
      </c>
      <c r="K3548" s="80">
        <v>0.953101361573373</v>
      </c>
      <c r="L3548" s="80" t="s">
        <v>64</v>
      </c>
    </row>
    <row r="3549">
      <c r="A3549" s="80" t="s">
        <v>2829</v>
      </c>
      <c r="B3549" s="81" t="str">
        <f t="shared" si="184"/>
        <v>SOLID IDEA</v>
      </c>
      <c r="C3549" s="80" t="s">
        <v>3953</v>
      </c>
      <c r="D3549" s="81" t="str">
        <f>HYPERLINK("https://youtube.com/watch?v=3FBGtiC56Qc", "[#設計概念] #Wetland #酒店風 #大改主人房   | 室內設計 | 空間擺位 | SOLID IDEA |  (CC中文字幕)")</f>
        <v>[#設計概念] #Wetland #酒店風 #大改主人房   | 室內設計 | 空間擺位 | SOLID IDEA |  (CC中文字幕)</v>
      </c>
      <c r="E3549" s="82">
        <v>44285.0</v>
      </c>
      <c r="F3549" s="80">
        <v>232.0</v>
      </c>
      <c r="G3549" s="80" t="s">
        <v>63</v>
      </c>
      <c r="I3549" s="80" t="s">
        <v>63</v>
      </c>
      <c r="J3549" s="80">
        <v>710.0</v>
      </c>
      <c r="K3549" s="80">
        <v>0.941644562334217</v>
      </c>
      <c r="L3549" s="80" t="s">
        <v>64</v>
      </c>
    </row>
    <row r="3550">
      <c r="A3550" s="80" t="s">
        <v>2764</v>
      </c>
      <c r="B3550" s="81" t="str">
        <f>HYPERLINK("https://www.youtube.com/channel/UCejZUW4khvxoA4uL2Afz20g", "Housik Laanfei 好食懶飛")</f>
        <v>Housik Laanfei 好食懶飛</v>
      </c>
      <c r="C3550" s="80" t="s">
        <v>3954</v>
      </c>
      <c r="D3550" s="81" t="str">
        <f>HYPERLINK("https://youtube.com/watch?v=3HG5inw4wxU", "[頹飯系列] 蛋黃醬午餐肉蓋飯 | CC: 廣東話/繁中/ENG SUB | COOKING VLOG")</f>
        <v>[頹飯系列] 蛋黃醬午餐肉蓋飯 | CC: 廣東話/繁中/ENG SUB | COOKING VLOG</v>
      </c>
      <c r="E3550" s="82">
        <v>44280.0</v>
      </c>
      <c r="F3550" s="80">
        <v>245.0</v>
      </c>
      <c r="G3550" s="80" t="s">
        <v>63</v>
      </c>
      <c r="H3550" s="80" t="s">
        <v>63</v>
      </c>
      <c r="I3550" s="80" t="s">
        <v>63</v>
      </c>
      <c r="J3550" s="80">
        <v>130.0</v>
      </c>
      <c r="K3550" s="80">
        <v>0.921985815602836</v>
      </c>
      <c r="L3550" s="80" t="s">
        <v>80</v>
      </c>
    </row>
    <row r="3551">
      <c r="A3551" s="80" t="s">
        <v>1260</v>
      </c>
      <c r="B3551" s="81" t="str">
        <f>HYPERLINK("https://www.youtube.com/channel/UCh1k4i86BpiXEO3nzJIYynw", "The Wave")</f>
        <v>The Wave</v>
      </c>
      <c r="C3551" s="80" t="s">
        <v>3955</v>
      </c>
      <c r="D3551" s="81" t="str">
        <f>HYPERLINK("https://youtube.com/watch?v=3I2YeCSUXoI", "TheWave | Apple Watch Series 6 開箱")</f>
        <v>TheWave | Apple Watch Series 6 開箱</v>
      </c>
      <c r="E3551" s="82">
        <v>44105.0</v>
      </c>
      <c r="F3551" s="80">
        <v>147.0</v>
      </c>
      <c r="G3551" s="80" t="s">
        <v>63</v>
      </c>
      <c r="H3551" s="80" t="s">
        <v>63</v>
      </c>
      <c r="I3551" s="80" t="s">
        <v>63</v>
      </c>
      <c r="J3551" s="80">
        <v>428.0</v>
      </c>
      <c r="K3551" s="80">
        <v>0.85</v>
      </c>
      <c r="L3551" s="80" t="s">
        <v>1634</v>
      </c>
    </row>
    <row r="3552">
      <c r="A3552" s="80" t="s">
        <v>2829</v>
      </c>
      <c r="B3552" s="81" t="str">
        <f>HYPERLINK("https://www.youtube.com/channel/UC7GnES6AEQlDzaP04UqtyjA", "SOLID IDEA")</f>
        <v>SOLID IDEA</v>
      </c>
      <c r="C3552" s="80" t="s">
        <v>3956</v>
      </c>
      <c r="D3552" s="81" t="str">
        <f>HYPERLINK("https://youtube.com/watch?v=3JMFSiYrQyI", "[#設計概念​] #凱滙​ #輕奢風​ #打疫苗抽單位​ | 室內設計 | 空間擺位 | SOLID IDEA | (CC中文字幕)")</f>
        <v>[#設計概念​] #凱滙​ #輕奢風​ #打疫苗抽單位​ | 室內設計 | 空間擺位 | SOLID IDEA | (CC中文字幕)</v>
      </c>
      <c r="E3552" s="82">
        <v>44365.0</v>
      </c>
      <c r="F3552" s="80">
        <v>249.0</v>
      </c>
      <c r="G3552" s="80" t="s">
        <v>63</v>
      </c>
      <c r="I3552" s="80" t="s">
        <v>63</v>
      </c>
      <c r="J3552" s="80">
        <v>743.0</v>
      </c>
      <c r="K3552" s="80">
        <v>0.947704081632653</v>
      </c>
      <c r="L3552" s="80" t="s">
        <v>64</v>
      </c>
    </row>
    <row r="3553">
      <c r="A3553" s="80" t="s">
        <v>2041</v>
      </c>
      <c r="B3553" s="81" t="str">
        <f t="shared" ref="B3553:B3554" si="185">HYPERLINK("https://www.youtube.com/channel/UCO6pB-ZN4XJ6MVkibvuEe0A", "SingSingTracker 星昇財經指標")</f>
        <v>SingSingTracker 星昇財經指標</v>
      </c>
      <c r="C3553" s="80" t="s">
        <v>3957</v>
      </c>
      <c r="D3553" s="81" t="str">
        <f>HYPERLINK("https://youtube.com/watch?v=3JT4dsd-R9k", "【 魔鬼股票系列：賭都可以發達？】賭業股的潛力如何？｜係賭場身上搵錢？(點CC中文字幕) #銀河娛樂 #Macau #賭博股")</f>
        <v>【 魔鬼股票系列：賭都可以發達？】賭業股的潛力如何？｜係賭場身上搵錢？(點CC中文字幕) #銀河娛樂 #Macau #賭博股</v>
      </c>
      <c r="E3553" s="82">
        <v>44343.0</v>
      </c>
      <c r="F3553" s="80">
        <v>283.0</v>
      </c>
      <c r="G3553" s="80" t="s">
        <v>63</v>
      </c>
      <c r="I3553" s="80" t="s">
        <v>63</v>
      </c>
      <c r="J3553" s="80">
        <v>1208.0</v>
      </c>
      <c r="K3553" s="80">
        <v>0.947450980392156</v>
      </c>
      <c r="L3553" s="80" t="s">
        <v>64</v>
      </c>
    </row>
    <row r="3554">
      <c r="A3554" s="80" t="s">
        <v>2041</v>
      </c>
      <c r="B3554" s="81" t="str">
        <f t="shared" si="185"/>
        <v>SingSingTracker 星昇財經指標</v>
      </c>
      <c r="C3554" s="80" t="s">
        <v>3958</v>
      </c>
      <c r="D3554" s="81" t="str">
        <f>HYPERLINK("https://youtube.com/watch?v=3JVqWNT2RbA", "【3個儲錢大法，教你輕鬆儲錢】月光族救星 #儲蓄習慣 #輕易存錢 #52週儲錢法")</f>
        <v>【3個儲錢大法，教你輕鬆儲錢】月光族救星 #儲蓄習慣 #輕易存錢 #52週儲錢法</v>
      </c>
      <c r="E3554" s="82">
        <v>44393.0</v>
      </c>
      <c r="F3554" s="80">
        <v>282.0</v>
      </c>
      <c r="G3554" s="80" t="s">
        <v>63</v>
      </c>
      <c r="I3554" s="80" t="s">
        <v>63</v>
      </c>
      <c r="J3554" s="80">
        <v>1076.0</v>
      </c>
      <c r="K3554" s="80">
        <v>0.934839270199826</v>
      </c>
      <c r="L3554" s="80" t="s">
        <v>64</v>
      </c>
    </row>
    <row r="3555">
      <c r="A3555" s="80" t="s">
        <v>3930</v>
      </c>
      <c r="B3555" s="81" t="str">
        <f>HYPERLINK("https://www.youtube.com/channel/UCGO_BBmwEXblglcSmr5Zcpg", "Danny Summer 夏韶聲")</f>
        <v>Danny Summer 夏韶聲</v>
      </c>
      <c r="C3555" s="80" t="s">
        <v>3959</v>
      </c>
      <c r="D3555" s="81" t="str">
        <f>HYPERLINK("https://youtube.com/watch?v=3Kw6rEJMFTI", "開心的歌")</f>
        <v>開心的歌</v>
      </c>
      <c r="E3555" s="82">
        <v>44575.0</v>
      </c>
      <c r="F3555" s="80">
        <v>243.0</v>
      </c>
      <c r="G3555" s="80" t="s">
        <v>63</v>
      </c>
      <c r="I3555" s="80" t="s">
        <v>63</v>
      </c>
      <c r="J3555" s="80">
        <v>368.0</v>
      </c>
      <c r="K3555" s="80">
        <v>0.936386768447837</v>
      </c>
      <c r="L3555" s="80" t="s">
        <v>64</v>
      </c>
    </row>
    <row r="3556">
      <c r="A3556" s="80" t="s">
        <v>1390</v>
      </c>
      <c r="B3556" s="81" t="str">
        <f>HYPERLINK("https://www.youtube.com/channel/UCgwEJflQi4WnZ8PU0xdibZQ", "Kinson Ho")</f>
        <v>Kinson Ho</v>
      </c>
      <c r="C3556" s="80" t="s">
        <v>3960</v>
      </c>
      <c r="D3556" s="81" t="str">
        <f>HYPERLINK("https://youtube.com/watch?v=3MLPK3ju6hY", "K神任我行 - 泳綑半月灣象鼻洞｜滘西洲｜威士忌灣｜鹽田排｜航拍")</f>
        <v>K神任我行 - 泳綑半月灣象鼻洞｜滘西洲｜威士忌灣｜鹽田排｜航拍</v>
      </c>
      <c r="E3556" s="82">
        <v>44339.0</v>
      </c>
      <c r="F3556" s="80">
        <v>549.0</v>
      </c>
      <c r="G3556" s="80" t="s">
        <v>63</v>
      </c>
      <c r="I3556" s="80" t="s">
        <v>63</v>
      </c>
      <c r="J3556" s="80">
        <v>438.0</v>
      </c>
      <c r="K3556" s="80">
        <v>0.986486486486486</v>
      </c>
      <c r="L3556" s="80" t="s">
        <v>64</v>
      </c>
    </row>
    <row r="3557">
      <c r="A3557" s="80" t="s">
        <v>2829</v>
      </c>
      <c r="B3557" s="81" t="str">
        <f>HYPERLINK("https://www.youtube.com/channel/UC7GnES6AEQlDzaP04UqtyjA", "SOLID IDEA")</f>
        <v>SOLID IDEA</v>
      </c>
      <c r="C3557" s="80" t="s">
        <v>3961</v>
      </c>
      <c r="D3557" s="81" t="str">
        <f>HYPERLINK("https://youtube.com/watch?v=3SY6cQqrRfM", "[#設計概念] #天鑽 #600呎  貼地歐式風格")</f>
        <v>[#設計概念] #天鑽 #600呎  貼地歐式風格</v>
      </c>
      <c r="E3557" s="82">
        <v>44090.0</v>
      </c>
      <c r="F3557" s="80">
        <v>214.0</v>
      </c>
      <c r="G3557" s="80" t="s">
        <v>63</v>
      </c>
      <c r="I3557" s="80" t="s">
        <v>63</v>
      </c>
      <c r="J3557" s="80">
        <v>685.0</v>
      </c>
      <c r="K3557" s="80">
        <v>0.94744121715076</v>
      </c>
      <c r="L3557" s="80" t="s">
        <v>64</v>
      </c>
    </row>
    <row r="3558">
      <c r="A3558" s="80" t="s">
        <v>1390</v>
      </c>
      <c r="B3558" s="81" t="str">
        <f>HYPERLINK("https://www.youtube.com/channel/UCgwEJflQi4WnZ8PU0xdibZQ", "Kinson Ho")</f>
        <v>Kinson Ho</v>
      </c>
      <c r="C3558" s="80" t="s">
        <v>3962</v>
      </c>
      <c r="D3558" s="81" t="str">
        <f>HYPERLINK("https://youtube.com/watch?v=3TukSjzs6GU", "K神任我行 - [CC字幕4K] 娥眉洲｜豬頭洲/白沙洲｜鶴環咀｜神仙灶｜圓桌石｜針孔洞｜快閃赤洲｜麒麟排")</f>
        <v>K神任我行 - [CC字幕4K] 娥眉洲｜豬頭洲/白沙洲｜鶴環咀｜神仙灶｜圓桌石｜針孔洞｜快閃赤洲｜麒麟排</v>
      </c>
      <c r="E3558" s="82">
        <v>44482.0</v>
      </c>
      <c r="F3558" s="80">
        <v>768.0</v>
      </c>
      <c r="G3558" s="80" t="s">
        <v>63</v>
      </c>
      <c r="I3558" s="80" t="s">
        <v>63</v>
      </c>
      <c r="J3558" s="80">
        <v>591.0</v>
      </c>
      <c r="K3558" s="80">
        <v>0.98829431438127</v>
      </c>
      <c r="L3558" s="80" t="s">
        <v>64</v>
      </c>
    </row>
    <row r="3559">
      <c r="A3559" s="80" t="s">
        <v>295</v>
      </c>
      <c r="B3559" s="81" t="str">
        <f>HYPERLINK("https://www.youtube.com/channel/UCIotQRUz6c4H-BRsouLt4YQ", "Captain and his squad")</f>
        <v>Captain and his squad</v>
      </c>
      <c r="C3559" s="80" t="s">
        <v>3963</v>
      </c>
      <c r="D3559" s="81" t="str">
        <f>HYPERLINK("https://youtube.com/watch?v=3WSbMIdCX2E", "【 教學 】幫 Balu &amp; Poki 教狗 《家訪編》 Eong Air 一日學到幾多野？仲會唔會狗狗搶繩搶到主人仆_?")</f>
        <v>【 教學 】幫 Balu &amp; Poki 教狗 《家訪編》 Eong Air 一日學到幾多野？仲會唔會狗狗搶繩搶到主人仆_?</v>
      </c>
      <c r="E3559" s="82">
        <v>44340.0</v>
      </c>
      <c r="F3559" s="80">
        <v>944.0</v>
      </c>
      <c r="G3559" s="80" t="s">
        <v>63</v>
      </c>
      <c r="I3559" s="80" t="s">
        <v>63</v>
      </c>
      <c r="J3559" s="80">
        <v>2950.0</v>
      </c>
      <c r="K3559" s="80">
        <v>0.755441741357234</v>
      </c>
      <c r="L3559" s="80" t="s">
        <v>102</v>
      </c>
    </row>
    <row r="3560">
      <c r="A3560" s="80" t="s">
        <v>127</v>
      </c>
      <c r="B3560" s="81" t="str">
        <f>HYPERLINK("https://www.youtube.com/channel/UC97oYK3XMf9RLtkc0lO8C-Q", "健康旦 HiEggo")</f>
        <v>健康旦 HiEggo</v>
      </c>
      <c r="C3560" s="80" t="s">
        <v>3964</v>
      </c>
      <c r="D3560" s="81" t="str">
        <f>HYPERLINK("https://youtube.com/watch?v=3WoG-8lEI3Y", "彭家麗當年凌晨遇劫 扑頭受傷後被逼放棄電單車 後遺症困擾至今 - 鄭丹瑞《健康旦》#彭家麗 Part 1 (CC中文字幕)")</f>
        <v>彭家麗當年凌晨遇劫 扑頭受傷後被逼放棄電單車 後遺症困擾至今 - 鄭丹瑞《健康旦》#彭家麗 Part 1 (CC中文字幕)</v>
      </c>
      <c r="E3560" s="82">
        <v>44029.0</v>
      </c>
      <c r="F3560" s="80">
        <v>801.0</v>
      </c>
      <c r="G3560" s="80" t="s">
        <v>63</v>
      </c>
      <c r="I3560" s="80" t="s">
        <v>63</v>
      </c>
      <c r="J3560" s="80">
        <v>3067.0</v>
      </c>
      <c r="K3560" s="80">
        <v>0.99772283669486</v>
      </c>
      <c r="L3560" s="80" t="s">
        <v>3067</v>
      </c>
    </row>
    <row r="3561">
      <c r="A3561" s="80" t="s">
        <v>1390</v>
      </c>
      <c r="B3561" s="81" t="str">
        <f>HYPERLINK("https://www.youtube.com/channel/UCgwEJflQi4WnZ8PU0xdibZQ", "Kinson Ho")</f>
        <v>Kinson Ho</v>
      </c>
      <c r="C3561" s="80" t="s">
        <v>3965</v>
      </c>
      <c r="D3561" s="81" t="str">
        <f>HYPERLINK("https://youtube.com/watch?v=3WqHeNwAQeg", "K神任我行 -  [CC字幕4K] 青山腹地｜豬仔石｜十字星石室｜花香爐頂｜方包石｜青松紅壑｜路線分享｜航拍")</f>
        <v>K神任我行 -  [CC字幕4K] 青山腹地｜豬仔石｜十字星石室｜花香爐頂｜方包石｜青松紅壑｜路線分享｜航拍</v>
      </c>
      <c r="E3561" s="82">
        <v>44542.0</v>
      </c>
      <c r="F3561" s="80">
        <v>1000.0</v>
      </c>
      <c r="G3561" s="80" t="s">
        <v>63</v>
      </c>
      <c r="I3561" s="80" t="s">
        <v>63</v>
      </c>
      <c r="J3561" s="80">
        <v>852.0</v>
      </c>
      <c r="K3561" s="80">
        <v>0.980437284234752</v>
      </c>
      <c r="L3561" s="80" t="s">
        <v>64</v>
      </c>
    </row>
    <row r="3562">
      <c r="A3562" s="80" t="s">
        <v>3930</v>
      </c>
      <c r="B3562" s="81" t="str">
        <f>HYPERLINK("https://www.youtube.com/channel/UCGO_BBmwEXblglcSmr5Zcpg", "Danny Summer 夏韶聲")</f>
        <v>Danny Summer 夏韶聲</v>
      </c>
      <c r="C3562" s="80" t="s">
        <v>3966</v>
      </c>
      <c r="D3562" s="81" t="str">
        <f>HYPERLINK("https://youtube.com/watch?v=3YODm1tDTGs", "Danny Summer 夏韶聲 -我係細路 KOL ... 姻緣石")</f>
        <v>Danny Summer 夏韶聲 -我係細路 KOL ... 姻緣石</v>
      </c>
      <c r="E3562" s="82">
        <v>44358.0</v>
      </c>
      <c r="F3562" s="80">
        <v>513.0</v>
      </c>
      <c r="G3562" s="80" t="s">
        <v>63</v>
      </c>
      <c r="I3562" s="80" t="s">
        <v>63</v>
      </c>
      <c r="J3562" s="80">
        <v>922.0</v>
      </c>
      <c r="K3562" s="80">
        <v>0.952479338842975</v>
      </c>
      <c r="L3562" s="80" t="s">
        <v>64</v>
      </c>
    </row>
    <row r="3563">
      <c r="A3563" s="80" t="s">
        <v>291</v>
      </c>
      <c r="B3563" s="81" t="str">
        <f>HYPERLINK("https://www.youtube.com/channel/UClSNJbCUCp_W4yrS3DlCmjw", "飛馬 PEGASUS")</f>
        <v>飛馬 PEGASUS</v>
      </c>
      <c r="C3563" s="80" t="s">
        <v>3967</v>
      </c>
      <c r="D3563" s="81" t="str">
        <f>HYPERLINK("https://youtube.com/watch?v=3YRAkWDNFlk", "[砌機新手 EP6] 水冷風冷有咩分別? 別再傻傻分不清 - 各種 CPU 散熱器入門介紹 (CC中文字幕)")</f>
        <v>[砌機新手 EP6] 水冷風冷有咩分別? 別再傻傻分不清 - 各種 CPU 散熱器入門介紹 (CC中文字幕)</v>
      </c>
      <c r="E3563" s="82">
        <v>43289.0</v>
      </c>
      <c r="F3563" s="80">
        <v>234.0</v>
      </c>
      <c r="G3563" s="80" t="s">
        <v>63</v>
      </c>
      <c r="I3563" s="80" t="s">
        <v>63</v>
      </c>
      <c r="J3563" s="80">
        <v>891.0</v>
      </c>
      <c r="K3563" s="80">
        <v>0.929092805005213</v>
      </c>
      <c r="L3563" s="80" t="s">
        <v>64</v>
      </c>
    </row>
    <row r="3564">
      <c r="A3564" s="80" t="s">
        <v>1987</v>
      </c>
      <c r="B3564" s="81" t="str">
        <f>HYPERLINK("https://www.youtube.com/channel/UCgGUmm04nVyj-ftaCxVcyBg", "MangoHK大馬獅家")</f>
        <v>MangoHK大馬獅家</v>
      </c>
      <c r="C3564" s="80" t="s">
        <v>3968</v>
      </c>
      <c r="D3564" s="81" t="str">
        <f>HYPERLINK("https://youtube.com/watch?v=3ZD36CsJ9dE", "【26】🚗如何揀車好🦾支持大馬本地車？{中英字幕}  Subtitled | Malaysia Proton Car | Malaysia Vlog | mm2h")</f>
        <v>【26】🚗如何揀車好🦾支持大馬本地車？{中英字幕}  Subtitled | Malaysia Proton Car | Malaysia Vlog | mm2h</v>
      </c>
      <c r="E3564" s="82">
        <v>44458.0</v>
      </c>
      <c r="F3564" s="80">
        <v>568.0</v>
      </c>
      <c r="G3564" s="80" t="s">
        <v>63</v>
      </c>
      <c r="I3564" s="80" t="s">
        <v>63</v>
      </c>
      <c r="J3564" s="80">
        <v>1172.0</v>
      </c>
      <c r="K3564" s="80">
        <v>0.93015873015873</v>
      </c>
      <c r="L3564" s="80" t="s">
        <v>896</v>
      </c>
    </row>
    <row r="3565">
      <c r="A3565" s="80" t="s">
        <v>1260</v>
      </c>
      <c r="B3565" s="81" t="str">
        <f>HYPERLINK("https://www.youtube.com/channel/UCh1k4i86BpiXEO3nzJIYynw", "The Wave")</f>
        <v>The Wave</v>
      </c>
      <c r="C3565" s="80" t="s">
        <v>3969</v>
      </c>
      <c r="D3565" s="81" t="str">
        <f>HYPERLINK("https://youtube.com/watch?v=3fHTzeyRWKM", "TheWave | Sony 12-24mm G lens 超廣角鏡頭 開箱")</f>
        <v>TheWave | Sony 12-24mm G lens 超廣角鏡頭 開箱</v>
      </c>
      <c r="E3565" s="82">
        <v>43606.0</v>
      </c>
      <c r="F3565" s="80">
        <v>147.0</v>
      </c>
      <c r="G3565" s="80" t="s">
        <v>63</v>
      </c>
      <c r="H3565" s="80" t="s">
        <v>63</v>
      </c>
      <c r="I3565" s="80" t="s">
        <v>63</v>
      </c>
      <c r="J3565" s="80">
        <v>361.0</v>
      </c>
      <c r="K3565" s="80">
        <v>0.831797235023041</v>
      </c>
      <c r="L3565" s="80" t="s">
        <v>1132</v>
      </c>
    </row>
    <row r="3566">
      <c r="A3566" s="80" t="s">
        <v>2753</v>
      </c>
      <c r="B3566" s="81" t="str">
        <f>HYPERLINK("https://www.youtube.com/channel/UCxRXNy5P6fLtHYpawxoiqJQ", "焦點視頻")</f>
        <v>焦點視頻</v>
      </c>
      <c r="C3566" s="80" t="s">
        <v>3970</v>
      </c>
      <c r="D3566" s="81" t="str">
        <f>HYPERLINK("https://youtube.com/watch?v=3goxgaZEJJc", "CC中字︱2022特首選戰仲未齊人？ 鄧炳強暫時牌面機會最高？ 《王法鎧實戰玄機》 EP55 20211210")</f>
        <v>CC中字︱2022特首選戰仲未齊人？ 鄧炳強暫時牌面機會最高？ 《王法鎧實戰玄機》 EP55 20211210</v>
      </c>
      <c r="E3566" s="82">
        <v>44539.0</v>
      </c>
      <c r="F3566" s="80">
        <v>527.0</v>
      </c>
      <c r="G3566" s="80" t="s">
        <v>63</v>
      </c>
      <c r="I3566" s="80" t="s">
        <v>63</v>
      </c>
      <c r="J3566" s="80">
        <v>1978.0</v>
      </c>
      <c r="K3566" s="80">
        <v>0.989494747373686</v>
      </c>
      <c r="L3566" s="80" t="s">
        <v>3012</v>
      </c>
    </row>
    <row r="3567">
      <c r="A3567" s="80" t="s">
        <v>124</v>
      </c>
      <c r="B3567" s="81" t="str">
        <f>HYPERLINK("https://www.youtube.com/channel/UCg0vuSE0fBF_NvodyYhMcWg", "Wallace Studio HK")</f>
        <v>Wallace Studio HK</v>
      </c>
      <c r="C3567" s="80" t="s">
        <v>3971</v>
      </c>
      <c r="D3567" s="81" t="str">
        <f>HYPERLINK("https://youtube.com/watch?v=3h9BeS1zJDQ", "[NAS] NAS選購指南 Part 1 你不可不知的基本概念1(備份方案, RAID 磁碟陣列, NAS CPU/RAM)")</f>
        <v>[NAS] NAS選購指南 Part 1 你不可不知的基本概念1(備份方案, RAID 磁碟陣列, NAS CPU/RAM)</v>
      </c>
      <c r="E3567" s="82">
        <v>44376.0</v>
      </c>
      <c r="F3567" s="80">
        <v>651.0</v>
      </c>
      <c r="G3567" s="80" t="s">
        <v>63</v>
      </c>
      <c r="H3567" s="80" t="s">
        <v>63</v>
      </c>
      <c r="I3567" s="80" t="s">
        <v>63</v>
      </c>
      <c r="J3567" s="80">
        <v>2411.0</v>
      </c>
      <c r="K3567" s="80">
        <v>0.77774193548387</v>
      </c>
      <c r="L3567" s="80" t="s">
        <v>86</v>
      </c>
    </row>
    <row r="3568">
      <c r="A3568" s="80" t="s">
        <v>288</v>
      </c>
      <c r="B3568" s="81" t="str">
        <f>HYPERLINK("https://www.youtube.com/channel/UCDWOYEhVnyD4IHZGVAMLc0g", "Brendan 毛爸")</f>
        <v>Brendan 毛爸</v>
      </c>
      <c r="C3568" s="80" t="s">
        <v>3972</v>
      </c>
      <c r="D3568" s="81" t="str">
        <f>HYPERLINK("https://youtube.com/watch?v=3ivmPODrRgU", "[電飯煲系列 - 懶人終極篇] 簡單易煮🦐🦀🍅🍚！海鮮蕃茄飯【毛飯家庭EP14】")</f>
        <v>[電飯煲系列 - 懶人終極篇] 簡單易煮🦐🦀🍅🍚！海鮮蕃茄飯【毛飯家庭EP14】</v>
      </c>
      <c r="E3568" s="82">
        <v>43991.0</v>
      </c>
      <c r="F3568" s="80">
        <v>217.0</v>
      </c>
      <c r="G3568" s="80" t="s">
        <v>63</v>
      </c>
      <c r="I3568" s="80" t="s">
        <v>63</v>
      </c>
      <c r="J3568" s="80">
        <v>723.0</v>
      </c>
      <c r="K3568" s="80">
        <v>0.973082099596231</v>
      </c>
      <c r="L3568" s="80" t="s">
        <v>64</v>
      </c>
    </row>
    <row r="3569">
      <c r="A3569" s="80" t="s">
        <v>3008</v>
      </c>
      <c r="B3569" s="81" t="str">
        <f>HYPERLINK("https://www.youtube.com/channel/UC_kQIuKI5cZjV3OZsSuaj_Q", "Kofgym")</f>
        <v>Kofgym</v>
      </c>
      <c r="C3569" s="80" t="s">
        <v>3973</v>
      </c>
      <c r="D3569" s="81" t="str">
        <f>HYPERLINK("https://youtube.com/watch?v=3kFUk-FiR2I", "[CC字幕] 健身劇場｜槓鈴與啞鈴茶水間的故事｜魔幻")</f>
        <v>[CC字幕] 健身劇場｜槓鈴與啞鈴茶水間的故事｜魔幻</v>
      </c>
      <c r="E3569" s="82">
        <v>44464.0</v>
      </c>
      <c r="F3569" s="80">
        <v>437.0</v>
      </c>
      <c r="G3569" s="80" t="s">
        <v>63</v>
      </c>
      <c r="I3569" s="80" t="s">
        <v>63</v>
      </c>
      <c r="J3569" s="80">
        <v>1115.0</v>
      </c>
      <c r="K3569" s="80">
        <v>0.945716709075487</v>
      </c>
      <c r="L3569" s="80" t="s">
        <v>64</v>
      </c>
    </row>
    <row r="3570">
      <c r="A3570" s="80" t="s">
        <v>293</v>
      </c>
      <c r="B3570" s="81" t="str">
        <f>HYPERLINK("https://www.youtube.com/channel/UCXRcbXqjORdIvl63I7MtOLQ", "趁熱 Kerry 's kitchen")</f>
        <v>趁熱 Kerry 's kitchen</v>
      </c>
      <c r="C3570" s="80" t="s">
        <v>3974</v>
      </c>
      <c r="D3570" s="81" t="str">
        <f>HYPERLINK("https://youtube.com/watch?v=3kk5PscS8Hs", "蘿蔔炆臘鴨/蘿蔔加臘鴨肶/簡簡單單又一餐/超惹味/下飯菜/低 成本/簡單 家做/新手 入門/廣東話/中字")</f>
        <v>蘿蔔炆臘鴨/蘿蔔加臘鴨肶/簡簡單單又一餐/超惹味/下飯菜/低 成本/簡單 家做/新手 入門/廣東話/中字</v>
      </c>
      <c r="E3570" s="82">
        <v>44533.0</v>
      </c>
      <c r="F3570" s="80">
        <v>538.0</v>
      </c>
      <c r="G3570" s="80" t="s">
        <v>63</v>
      </c>
      <c r="I3570" s="80" t="s">
        <v>63</v>
      </c>
      <c r="J3570" s="80">
        <v>737.0</v>
      </c>
      <c r="K3570" s="80">
        <v>0.972295514511873</v>
      </c>
      <c r="L3570" s="80" t="s">
        <v>64</v>
      </c>
    </row>
    <row r="3571">
      <c r="A3571" s="80" t="s">
        <v>295</v>
      </c>
      <c r="B3571" s="81" t="str">
        <f>HYPERLINK("https://www.youtube.com/channel/UCIotQRUz6c4H-BRsouLt4YQ", "Captain and his squad")</f>
        <v>Captain and his squad</v>
      </c>
      <c r="C3571" s="80" t="s">
        <v>3975</v>
      </c>
      <c r="D3571" s="81" t="str">
        <f>HYPERLINK("https://youtube.com/watch?v=3ndiJO9Bkkg", "【 教學 ep.01 : 狗狗百分百召回訓練 🐕💨 】bb 狗點叫都唔返來? ｜無視主人嘅呼喊?｜無辦法喚回?｜養狗技能解鎖秘訣《Captain 狗隻訓練》(cc中英字幕)")</f>
        <v>【 教學 ep.01 : 狗狗百分百召回訓練 🐕💨 】bb 狗點叫都唔返來? ｜無視主人嘅呼喊?｜無辦法喚回?｜養狗技能解鎖秘訣《Captain 狗隻訓練》(cc中英字幕)</v>
      </c>
      <c r="E3571" s="82">
        <v>44020.0</v>
      </c>
      <c r="F3571" s="80">
        <v>619.0</v>
      </c>
      <c r="G3571" s="80" t="s">
        <v>63</v>
      </c>
      <c r="H3571" s="80" t="s">
        <v>63</v>
      </c>
      <c r="I3571" s="80" t="s">
        <v>63</v>
      </c>
      <c r="J3571" s="80">
        <v>2473.0</v>
      </c>
      <c r="K3571" s="80">
        <v>0.978630787495053</v>
      </c>
      <c r="L3571" s="80" t="s">
        <v>3350</v>
      </c>
    </row>
    <row r="3572">
      <c r="A3572" s="80" t="s">
        <v>98</v>
      </c>
      <c r="B3572" s="81" t="str">
        <f>HYPERLINK("https://www.youtube.com/channel/UCrquuQB6v1Ued2xyRKZreGQ", "Stephen Leung ")</f>
        <v>Stephen Leung </v>
      </c>
      <c r="C3572" s="80" t="s">
        <v>3976</v>
      </c>
      <c r="D3572" s="81" t="str">
        <f>HYPERLINK("https://youtube.com/watch?v=3pyW8OQoiuY", "【吃喝玩樂】 香港 YouTuber 收入， 十萬訂閱收入公開， 廣告？賺錢？業配標準！香港飲食頻道，我的第一條Q&amp;A 100,000訂閱  Part 1")</f>
        <v>【吃喝玩樂】 香港 YouTuber 收入， 十萬訂閱收入公開， 廣告？賺錢？業配標準！香港飲食頻道，我的第一條Q&amp;A 100,000訂閱  Part 1</v>
      </c>
      <c r="E3572" s="82">
        <v>44209.0</v>
      </c>
      <c r="F3572" s="80">
        <v>1049.0</v>
      </c>
      <c r="G3572" s="80" t="s">
        <v>63</v>
      </c>
      <c r="I3572" s="80" t="s">
        <v>63</v>
      </c>
      <c r="J3572" s="80">
        <v>2832.0</v>
      </c>
      <c r="K3572" s="80">
        <v>0.909149277688603</v>
      </c>
      <c r="L3572" s="80" t="s">
        <v>64</v>
      </c>
    </row>
    <row r="3573">
      <c r="A3573" s="80" t="s">
        <v>2800</v>
      </c>
      <c r="B3573" s="81" t="str">
        <f>HYPERLINK("https://www.youtube.com/channel/UCMqrlsr-AECPc6_3oDr8m9w", "Unicorn 獸哥")</f>
        <v>Unicorn 獸哥</v>
      </c>
      <c r="C3573" s="80" t="s">
        <v>3977</v>
      </c>
      <c r="D3573" s="81" t="str">
        <f>HYPERLINK("https://youtube.com/watch?v=3rXP2SYbiIk", "8分鐘解說matrix三部曲 matrix的前世今生")</f>
        <v>8分鐘解說matrix三部曲 matrix的前世今生</v>
      </c>
      <c r="E3573" s="82">
        <v>44555.0</v>
      </c>
      <c r="F3573" s="80">
        <v>493.0</v>
      </c>
      <c r="G3573" s="80" t="s">
        <v>63</v>
      </c>
      <c r="I3573" s="80" t="s">
        <v>63</v>
      </c>
      <c r="J3573" s="80">
        <v>2300.0</v>
      </c>
      <c r="K3573" s="80">
        <v>0.773109243697479</v>
      </c>
      <c r="L3573" s="80" t="s">
        <v>64</v>
      </c>
    </row>
    <row r="3574">
      <c r="A3574" s="80" t="s">
        <v>127</v>
      </c>
      <c r="B3574" s="81" t="str">
        <f>HYPERLINK("https://www.youtube.com/channel/UC97oYK3XMf9RLtkc0lO8C-Q", "健康旦 HiEggo")</f>
        <v>健康旦 HiEggo</v>
      </c>
      <c r="C3574" s="80" t="s">
        <v>3978</v>
      </c>
      <c r="D3574" s="81" t="str">
        <f>HYPERLINK("https://youtube.com/watch?v=3vHR2Dtgc80", "胡志遠醫生重提上世紀西班牙流感 疫情只會更凶險 建議吸煙人士趁機戒煙 - 鄭丹瑞《健康旦》胡志遠 Part 2 (CC中文字幕)")</f>
        <v>胡志遠醫生重提上世紀西班牙流感 疫情只會更凶險 建議吸煙人士趁機戒煙 - 鄭丹瑞《健康旦》胡志遠 Part 2 (CC中文字幕)</v>
      </c>
      <c r="E3574" s="82">
        <v>43916.0</v>
      </c>
      <c r="F3574" s="80">
        <v>866.0</v>
      </c>
      <c r="G3574" s="80" t="s">
        <v>63</v>
      </c>
      <c r="I3574" s="80" t="s">
        <v>63</v>
      </c>
      <c r="J3574" s="80">
        <v>3404.0</v>
      </c>
      <c r="K3574" s="80">
        <v>0.996487119437939</v>
      </c>
      <c r="L3574" s="80" t="s">
        <v>102</v>
      </c>
    </row>
    <row r="3575">
      <c r="A3575" s="80" t="s">
        <v>238</v>
      </c>
      <c r="B3575" s="81" t="str">
        <f>HYPERLINK("https://www.youtube.com/channel/UCSBkm4LwpgBmcA3MCtO8vqg", "Post76影音玩樂")</f>
        <v>Post76影音玩樂</v>
      </c>
      <c r="C3575" s="80" t="s">
        <v>3979</v>
      </c>
      <c r="D3575" s="81" t="str">
        <f>HYPERLINK("https://youtube.com/watch?v=3z1FQ-nVg5k", "Denon AVC-A110 自私試......本來有的活動都沒有了😭十三聲道推爆 Studio十七隻喇叭😊（附設中文字幕）【擴音機評測】")</f>
        <v>Denon AVC-A110 自私試......本來有的活動都沒有了😭十三聲道推爆 Studio十七隻喇叭😊（附設中文字幕）【擴音機評測】</v>
      </c>
      <c r="E3575" s="82">
        <v>44235.0</v>
      </c>
      <c r="F3575" s="80">
        <v>1048.0</v>
      </c>
      <c r="G3575" s="80" t="s">
        <v>63</v>
      </c>
      <c r="H3575" s="80" t="s">
        <v>63</v>
      </c>
      <c r="I3575" s="80" t="s">
        <v>63</v>
      </c>
      <c r="J3575" s="80">
        <v>3713.0</v>
      </c>
      <c r="K3575" s="80">
        <v>0.934323100150981</v>
      </c>
      <c r="L3575" s="80" t="s">
        <v>236</v>
      </c>
    </row>
    <row r="3576">
      <c r="A3576" s="80" t="s">
        <v>127</v>
      </c>
      <c r="B3576" s="81" t="str">
        <f>HYPERLINK("https://www.youtube.com/channel/UC97oYK3XMf9RLtkc0lO8C-Q", "健康旦 HiEggo")</f>
        <v>健康旦 HiEggo</v>
      </c>
      <c r="C3576" s="80" t="s">
        <v>3980</v>
      </c>
      <c r="D3576" s="81" t="str">
        <f>HYPERLINK("https://youtube.com/watch?v=4-oeS7QtpHo", "喬寶寶心神寄託疫苗 蘇格蘭排華印度餐廳大賣 - 鄭丹瑞《健康旦》喬寶寶 Part 4")</f>
        <v>喬寶寶心神寄託疫苗 蘇格蘭排華印度餐廳大賣 - 鄭丹瑞《健康旦》喬寶寶 Part 4</v>
      </c>
      <c r="E3576" s="82">
        <v>43934.0</v>
      </c>
      <c r="F3576" s="80">
        <v>764.0</v>
      </c>
      <c r="G3576" s="80" t="s">
        <v>63</v>
      </c>
      <c r="I3576" s="80" t="s">
        <v>63</v>
      </c>
      <c r="J3576" s="80">
        <v>2133.0</v>
      </c>
      <c r="K3576" s="80">
        <v>0.9875</v>
      </c>
      <c r="L3576" s="80" t="s">
        <v>64</v>
      </c>
    </row>
    <row r="3577">
      <c r="A3577" s="80" t="s">
        <v>1260</v>
      </c>
      <c r="B3577" s="81" t="str">
        <f>HYPERLINK("https://www.youtube.com/channel/UCh1k4i86BpiXEO3nzJIYynw", "The Wave")</f>
        <v>The Wave</v>
      </c>
      <c r="C3577" s="80" t="s">
        <v>3981</v>
      </c>
      <c r="D3577" s="81" t="str">
        <f>HYPERLINK("https://youtube.com/watch?v=448dby-gzMs", "TheWave | 多鏡頭 = 好？|  #地圖炮系列 😂")</f>
        <v>TheWave | 多鏡頭 = 好？|  #地圖炮系列 😂</v>
      </c>
      <c r="E3577" s="82">
        <v>43348.0</v>
      </c>
      <c r="F3577" s="80">
        <v>175.0</v>
      </c>
      <c r="G3577" s="80" t="s">
        <v>63</v>
      </c>
      <c r="H3577" s="80" t="s">
        <v>63</v>
      </c>
      <c r="I3577" s="80" t="s">
        <v>63</v>
      </c>
      <c r="J3577" s="80">
        <v>575.0</v>
      </c>
      <c r="K3577" s="80">
        <v>0.834890965732087</v>
      </c>
      <c r="L3577" s="80" t="s">
        <v>120</v>
      </c>
    </row>
    <row r="3578">
      <c r="A3578" s="80" t="s">
        <v>124</v>
      </c>
      <c r="B3578" s="81" t="str">
        <f>HYPERLINK("https://www.youtube.com/channel/UCg0vuSE0fBF_NvodyYhMcWg", "Wallace Studio HK")</f>
        <v>Wallace Studio HK</v>
      </c>
      <c r="C3578" s="80" t="s">
        <v>3982</v>
      </c>
      <c r="D3578" s="81" t="str">
        <f>HYPERLINK("https://youtube.com/watch?v=45Ul8yI6bvE", "[效能測試] ASUS ROG Zephyrus G14 遊戲效能測試! (R95900HS, RTX3060)")</f>
        <v>[效能測試] ASUS ROG Zephyrus G14 遊戲效能測試! (R95900HS, RTX3060)</v>
      </c>
      <c r="E3578" s="82">
        <v>44427.0</v>
      </c>
      <c r="F3578" s="80">
        <v>184.0</v>
      </c>
      <c r="G3578" s="80" t="s">
        <v>63</v>
      </c>
      <c r="H3578" s="80" t="s">
        <v>63</v>
      </c>
      <c r="I3578" s="80" t="s">
        <v>63</v>
      </c>
      <c r="J3578" s="80">
        <v>596.0</v>
      </c>
      <c r="K3578" s="80">
        <v>0.639784946236559</v>
      </c>
      <c r="L3578" s="80" t="s">
        <v>86</v>
      </c>
    </row>
    <row r="3579">
      <c r="A3579" s="80" t="s">
        <v>108</v>
      </c>
      <c r="B3579" s="81" t="str">
        <f>HYPERLINK("https://www.youtube.com/channel/UCZL6QN6Xs-ZrKY3y6Pv6Emg", "廢青 - 日賺3000")</f>
        <v>廢青 - 日賺3000</v>
      </c>
      <c r="C3579" s="80" t="s">
        <v>3983</v>
      </c>
      <c r="D3579" s="81" t="str">
        <f>HYPERLINK("https://youtube.com/watch?v=4AybklO_hTQ", "如何時薪$15蚊飆升到時薪$1,000蚊 🧐🧐  廢青就係靠呢招 ! 🔥🔥  2020 財務自由教學EP27【廢青 日賺3000】（New 新增中文字幕！)")</f>
        <v>如何時薪$15蚊飆升到時薪$1,000蚊 🧐🧐  廢青就係靠呢招 ! 🔥🔥  2020 財務自由教學EP27【廢青 日賺3000】（New 新增中文字幕！)</v>
      </c>
      <c r="E3579" s="82">
        <v>44155.0</v>
      </c>
      <c r="F3579" s="80">
        <v>834.0</v>
      </c>
      <c r="G3579" s="80" t="s">
        <v>63</v>
      </c>
      <c r="I3579" s="80" t="s">
        <v>63</v>
      </c>
      <c r="J3579" s="80">
        <v>3754.0</v>
      </c>
      <c r="K3579" s="80">
        <v>0.873023255813953</v>
      </c>
      <c r="L3579" s="80" t="s">
        <v>64</v>
      </c>
    </row>
    <row r="3580">
      <c r="A3580" s="80" t="s">
        <v>238</v>
      </c>
      <c r="B3580" s="81" t="str">
        <f>HYPERLINK("https://www.youtube.com/channel/UCSBkm4LwpgBmcA3MCtO8vqg", "Post76影音玩樂")</f>
        <v>Post76影音玩樂</v>
      </c>
      <c r="C3580" s="80" t="s">
        <v>3984</v>
      </c>
      <c r="D3580" s="81" t="str">
        <f>HYPERLINK("https://youtube.com/watch?v=4Bax9wAbb1k", "真日本工藝旗艦作 : Acoustune HS2000MX 「笙」可換腔體模組入耳式耳機（附設cc字幕）【耳機評測】")</f>
        <v>真日本工藝旗艦作 : Acoustune HS2000MX 「笙」可換腔體模組入耳式耳機（附設cc字幕）【耳機評測】</v>
      </c>
      <c r="E3580" s="82">
        <v>44507.0</v>
      </c>
      <c r="F3580" s="80">
        <v>1196.0</v>
      </c>
      <c r="G3580" s="80" t="s">
        <v>63</v>
      </c>
      <c r="I3580" s="80" t="s">
        <v>63</v>
      </c>
      <c r="J3580" s="80">
        <v>4560.0</v>
      </c>
      <c r="K3580" s="80">
        <v>0.871726247371439</v>
      </c>
      <c r="L3580" s="80" t="s">
        <v>102</v>
      </c>
    </row>
    <row r="3581">
      <c r="A3581" s="80" t="s">
        <v>293</v>
      </c>
      <c r="B3581" s="81" t="str">
        <f>HYPERLINK("https://www.youtube.com/channel/UCXRcbXqjORdIvl63I7MtOLQ", "趁熱 Kerry 's kitchen")</f>
        <v>趁熱 Kerry 's kitchen</v>
      </c>
      <c r="C3581" s="80" t="s">
        <v>3985</v>
      </c>
      <c r="D3581" s="81" t="str">
        <f>HYPERLINK("https://youtube.com/watch?v=4HiRSrWPZbg", "粉絲 蝦/粵語旁述 /泰式香辣粉絲蝦煲/thai prawn vermiclli/中文字幕")</f>
        <v>粉絲 蝦/粵語旁述 /泰式香辣粉絲蝦煲/thai prawn vermiclli/中文字幕</v>
      </c>
      <c r="E3581" s="82">
        <v>44092.0</v>
      </c>
      <c r="F3581" s="80">
        <v>557.0</v>
      </c>
      <c r="G3581" s="80" t="s">
        <v>63</v>
      </c>
      <c r="I3581" s="80" t="s">
        <v>63</v>
      </c>
      <c r="J3581" s="80">
        <v>1296.0</v>
      </c>
      <c r="K3581" s="80">
        <v>0.984054669703872</v>
      </c>
      <c r="L3581" s="80" t="s">
        <v>91</v>
      </c>
    </row>
    <row r="3582">
      <c r="A3582" s="80" t="s">
        <v>245</v>
      </c>
      <c r="B3582" s="81" t="str">
        <f>HYPERLINK("https://www.youtube.com/channel/UCkZ3cOWgnhJheCK7Ywpiezw", "Eagen Kao")</f>
        <v>Eagen Kao</v>
      </c>
      <c r="C3582" s="80" t="s">
        <v>3986</v>
      </c>
      <c r="D3582" s="81" t="str">
        <f>HYPERLINK("https://youtube.com/watch?v=4JDKuhRhAgM", "[講TECH] PHROZEN SONIC MINI 超適合初學者 性價比超高嘅 3D打印機 | Gadget評測")</f>
        <v>[講TECH] PHROZEN SONIC MINI 超適合初學者 性價比超高嘅 3D打印機 | Gadget評測</v>
      </c>
      <c r="E3582" s="82">
        <v>44123.0</v>
      </c>
      <c r="F3582" s="80">
        <v>338.0</v>
      </c>
      <c r="G3582" s="80" t="s">
        <v>63</v>
      </c>
      <c r="I3582" s="80" t="s">
        <v>63</v>
      </c>
      <c r="J3582" s="80">
        <v>851.0</v>
      </c>
      <c r="K3582" s="80">
        <v>0.81047619047619</v>
      </c>
      <c r="L3582" s="80" t="s">
        <v>521</v>
      </c>
    </row>
    <row r="3583">
      <c r="A3583" s="80" t="s">
        <v>248</v>
      </c>
      <c r="B3583" s="81" t="str">
        <f>HYPERLINK("https://www.youtube.com/channel/UCUEJok-GiWaGlv5nIPwk-GQ", "Price.com.hk 香港格價網")</f>
        <v>Price.com.hk 香港格價網</v>
      </c>
      <c r="C3583" s="80" t="s">
        <v>3987</v>
      </c>
      <c r="D3583" s="81" t="str">
        <f>HYPERLINK("https://youtube.com/watch?v=4LGxycWFfbw", "直正3.1.2音效+支援Dolby Atmos  評測Samsung中價Soundbar HW-Q800A｜特約專題｜廣東話【Price.com.hk產品評測】")</f>
        <v>直正3.1.2音效+支援Dolby Atmos  評測Samsung中價Soundbar HW-Q800A｜特約專題｜廣東話【Price.com.hk產品評測】</v>
      </c>
      <c r="E3583" s="82">
        <v>44468.0</v>
      </c>
      <c r="F3583" s="80">
        <v>479.0</v>
      </c>
      <c r="G3583" s="80" t="s">
        <v>63</v>
      </c>
      <c r="I3583" s="80" t="s">
        <v>63</v>
      </c>
      <c r="J3583" s="80">
        <v>1445.0</v>
      </c>
      <c r="K3583" s="80">
        <v>0.690066857688634</v>
      </c>
      <c r="L3583" s="80" t="s">
        <v>64</v>
      </c>
    </row>
    <row r="3584">
      <c r="A3584" s="80" t="s">
        <v>127</v>
      </c>
      <c r="B3584" s="81" t="str">
        <f>HYPERLINK("https://www.youtube.com/channel/UC97oYK3XMf9RLtkc0lO8C-Q", "健康旦 HiEggo")</f>
        <v>健康旦 HiEggo</v>
      </c>
      <c r="C3584" s="80" t="s">
        <v>3988</v>
      </c>
      <c r="D3584" s="81" t="str">
        <f>HYPERLINK("https://youtube.com/watch?v=4OpHy5av96A", "最怕傳染小鳳姐同黃淑儀gigi姐 醫院仲舒服過火炭駿洋邨 鄧達智治療期間發冷凍到震  - 鄭丹瑞《健康旦》 #鄧達智 Part 1 (CC中文字幕)")</f>
        <v>最怕傳染小鳳姐同黃淑儀gigi姐 醫院仲舒服過火炭駿洋邨 鄧達智治療期間發冷凍到震  - 鄭丹瑞《健康旦》 #鄧達智 Part 1 (CC中文字幕)</v>
      </c>
      <c r="E3584" s="82">
        <v>44079.0</v>
      </c>
      <c r="F3584" s="80">
        <v>574.0</v>
      </c>
      <c r="G3584" s="80" t="s">
        <v>63</v>
      </c>
      <c r="I3584" s="80" t="s">
        <v>63</v>
      </c>
      <c r="J3584" s="80">
        <v>2065.0</v>
      </c>
      <c r="K3584" s="80">
        <v>0.994701348747591</v>
      </c>
      <c r="L3584" s="80" t="s">
        <v>3067</v>
      </c>
    </row>
    <row r="3585">
      <c r="A3585" s="80" t="s">
        <v>1260</v>
      </c>
      <c r="B3585" s="81" t="str">
        <f>HYPERLINK("https://www.youtube.com/channel/UCh1k4i86BpiXEO3nzJIYynw", "The Wave")</f>
        <v>The Wave</v>
      </c>
      <c r="C3585" s="80" t="s">
        <v>3989</v>
      </c>
      <c r="D3585" s="81" t="str">
        <f>HYPERLINK("https://youtube.com/watch?v=4QRAKGYSxuQ", "TheWave | Sony Xperia XZ2開箱")</f>
        <v>TheWave | Sony Xperia XZ2開箱</v>
      </c>
      <c r="E3585" s="82">
        <v>43182.0</v>
      </c>
      <c r="F3585" s="80">
        <v>174.0</v>
      </c>
      <c r="G3585" s="80" t="s">
        <v>63</v>
      </c>
      <c r="H3585" s="80" t="s">
        <v>63</v>
      </c>
      <c r="I3585" s="80" t="s">
        <v>63</v>
      </c>
      <c r="J3585" s="80">
        <v>334.0</v>
      </c>
      <c r="K3585" s="80">
        <v>0.757377049180327</v>
      </c>
      <c r="L3585" s="80" t="s">
        <v>120</v>
      </c>
    </row>
    <row r="3586">
      <c r="A3586" s="80" t="s">
        <v>127</v>
      </c>
      <c r="B3586" s="81" t="str">
        <f>HYPERLINK("https://www.youtube.com/channel/UC97oYK3XMf9RLtkc0lO8C-Q", "健康旦 HiEggo")</f>
        <v>健康旦 HiEggo</v>
      </c>
      <c r="C3586" s="80" t="s">
        <v>3990</v>
      </c>
      <c r="D3586" s="81" t="str">
        <f>HYPERLINK("https://youtube.com/watch?v=4WQzRBO7lI4", "喬寶寶蘇格蘭一手見聞 只有極少數人戴口罩 - 鄭丹瑞《健康旦》喬寶寶 Part 3")</f>
        <v>喬寶寶蘇格蘭一手見聞 只有極少數人戴口罩 - 鄭丹瑞《健康旦》喬寶寶 Part 3</v>
      </c>
      <c r="E3586" s="82">
        <v>43933.0</v>
      </c>
      <c r="F3586" s="80">
        <v>646.0</v>
      </c>
      <c r="G3586" s="80" t="s">
        <v>63</v>
      </c>
      <c r="I3586" s="80" t="s">
        <v>63</v>
      </c>
      <c r="J3586" s="80">
        <v>1968.0</v>
      </c>
      <c r="K3586" s="80">
        <v>0.995951417004048</v>
      </c>
      <c r="L3586" s="80" t="s">
        <v>64</v>
      </c>
    </row>
    <row r="3587">
      <c r="A3587" s="80" t="s">
        <v>293</v>
      </c>
      <c r="B3587" s="81" t="str">
        <f>HYPERLINK("https://www.youtube.com/channel/UCXRcbXqjORdIvl63I7MtOLQ", "趁熱 Kerry 's kitchen")</f>
        <v>趁熱 Kerry 's kitchen</v>
      </c>
      <c r="C3587" s="80" t="s">
        <v>3991</v>
      </c>
      <c r="D3587" s="81" t="str">
        <f>HYPERLINK("https://youtube.com/watch?v=4WjLaelEu5o", "煎 豬扒/話梅豬扒/原創/簡單 家做/超入味/醃軟豬扒方法/廣東話/中字幕/請打開cc字幕,提供多國語言翻譯")</f>
        <v>煎 豬扒/話梅豬扒/原創/簡單 家做/超入味/醃軟豬扒方法/廣東話/中字幕/請打開cc字幕,提供多國語言翻譯</v>
      </c>
      <c r="E3587" s="82">
        <v>44407.0</v>
      </c>
      <c r="F3587" s="80">
        <v>547.0</v>
      </c>
      <c r="G3587" s="80" t="s">
        <v>63</v>
      </c>
      <c r="I3587" s="80" t="s">
        <v>63</v>
      </c>
      <c r="J3587" s="80">
        <v>1274.0</v>
      </c>
      <c r="K3587" s="80">
        <v>0.957894736842105</v>
      </c>
      <c r="L3587" s="80" t="s">
        <v>64</v>
      </c>
    </row>
    <row r="3588">
      <c r="A3588" s="80" t="s">
        <v>238</v>
      </c>
      <c r="B3588" s="81" t="str">
        <f>HYPERLINK("https://www.youtube.com/channel/UCSBkm4LwpgBmcA3MCtO8vqg", "Post76影音玩樂")</f>
        <v>Post76影音玩樂</v>
      </c>
      <c r="C3588" s="80" t="s">
        <v>3992</v>
      </c>
      <c r="D3588" s="81" t="str">
        <f>HYPERLINK("https://youtube.com/watch?v=4XGojhWpjdk", "英京進駐銅鑼灣 : 新店特設＂Sonos Beam (Gen 2)  Soundbar ＆ 耳機專區＂反轉傳統音響店框框！（附設cc字幕）【新店推介】")</f>
        <v>英京進駐銅鑼灣 : 新店特設＂Sonos Beam (Gen 2)  Soundbar ＆ 耳機專區＂反轉傳統音響店框框！（附設cc字幕）【新店推介】</v>
      </c>
      <c r="E3588" s="82">
        <v>44519.0</v>
      </c>
      <c r="F3588" s="80">
        <v>648.0</v>
      </c>
      <c r="G3588" s="80" t="s">
        <v>63</v>
      </c>
      <c r="H3588" s="80" t="s">
        <v>63</v>
      </c>
      <c r="I3588" s="80" t="s">
        <v>63</v>
      </c>
      <c r="J3588" s="80">
        <v>2406.0</v>
      </c>
      <c r="K3588" s="80">
        <v>0.815195071868583</v>
      </c>
      <c r="L3588" s="80" t="s">
        <v>240</v>
      </c>
    </row>
    <row r="3589">
      <c r="A3589" s="80" t="s">
        <v>248</v>
      </c>
      <c r="B3589" s="81" t="str">
        <f>HYPERLINK("https://www.youtube.com/channel/UCUEJok-GiWaGlv5nIPwk-GQ", "Price.com.hk 香港格價網")</f>
        <v>Price.com.hk 香港格價網</v>
      </c>
      <c r="C3589" s="80" t="s">
        <v>3993</v>
      </c>
      <c r="D3589" s="81" t="str">
        <f>HYPERLINK("https://youtube.com/watch?v=4YrKATPfXis", "Disney+ 11月登陸香港．POPCAT大賽 台灣添一金．WhatsApp 幫用戶 iOS 轉會Android｜廣東話【Price Weekly #75 2021年8月 】")</f>
        <v>Disney+ 11月登陸香港．POPCAT大賽 台灣添一金．WhatsApp 幫用戶 iOS 轉會Android｜廣東話【Price Weekly #75 2021年8月 】</v>
      </c>
      <c r="E3589" s="82">
        <v>44422.0</v>
      </c>
      <c r="F3589" s="80">
        <v>609.0</v>
      </c>
      <c r="G3589" s="80" t="s">
        <v>63</v>
      </c>
      <c r="I3589" s="80" t="s">
        <v>63</v>
      </c>
      <c r="J3589" s="80">
        <v>2201.0</v>
      </c>
      <c r="K3589" s="80">
        <v>0.665356711003627</v>
      </c>
      <c r="L3589" s="80" t="s">
        <v>64</v>
      </c>
    </row>
    <row r="3590">
      <c r="A3590" s="80" t="s">
        <v>127</v>
      </c>
      <c r="B3590" s="81" t="str">
        <f>HYPERLINK("https://www.youtube.com/channel/UC97oYK3XMf9RLtkc0lO8C-Q", "健康旦 HiEggo")</f>
        <v>健康旦 HiEggo</v>
      </c>
      <c r="C3590" s="80" t="s">
        <v>3994</v>
      </c>
      <c r="D3590" s="81" t="str">
        <f>HYPERLINK("https://youtube.com/watch?v=4_21Jb3OpyI", "穴位按摩舒緩頭暈肩頸痛 在家工作易患冷氣病  生薑辛夷茶驅寒舒緩鼻敏感 - 鄭丹瑞《健康旦》註冊中醫師 #徐澤昌 博士 (CC中文字幕)")</f>
        <v>穴位按摩舒緩頭暈肩頸痛 在家工作易患冷氣病  生薑辛夷茶驅寒舒緩鼻敏感 - 鄭丹瑞《健康旦》註冊中醫師 #徐澤昌 博士 (CC中文字幕)</v>
      </c>
      <c r="E3590" s="82">
        <v>44077.0</v>
      </c>
      <c r="F3590" s="80">
        <v>739.0</v>
      </c>
      <c r="G3590" s="80" t="s">
        <v>63</v>
      </c>
      <c r="I3590" s="80" t="s">
        <v>63</v>
      </c>
      <c r="J3590" s="80">
        <v>3333.0</v>
      </c>
      <c r="K3590" s="80">
        <v>0.99850209706411</v>
      </c>
      <c r="L3590" s="80" t="s">
        <v>2771</v>
      </c>
    </row>
    <row r="3591">
      <c r="A3591" s="80" t="s">
        <v>3021</v>
      </c>
      <c r="B3591" s="81" t="str">
        <f>HYPERLINK("https://www.youtube.com/channel/UCEZ8fnigqno2a1z2_JSYjxQ", "9up Youtuber")</f>
        <v>9up Youtuber</v>
      </c>
      <c r="C3591" s="80" t="s">
        <v>3995</v>
      </c>
      <c r="D3591" s="81" t="str">
        <f>HYPERLINK("https://youtube.com/watch?v=4a3_1CiYTZU", "#ARCORE 影相加動物,免費!!唔洗下載軟件!!開google就得|9up教學")</f>
        <v>#ARCORE 影相加動物,免費!!唔洗下載軟件!!開google就得|9up教學</v>
      </c>
      <c r="E3591" s="82">
        <v>43921.0</v>
      </c>
      <c r="F3591" s="80">
        <v>223.0</v>
      </c>
      <c r="G3591" s="80" t="s">
        <v>63</v>
      </c>
      <c r="I3591" s="80" t="s">
        <v>63</v>
      </c>
      <c r="J3591" s="80">
        <v>125.0</v>
      </c>
      <c r="K3591" s="80">
        <v>0.822368421052631</v>
      </c>
      <c r="L3591" s="80" t="s">
        <v>64</v>
      </c>
    </row>
    <row r="3592">
      <c r="A3592" s="80" t="s">
        <v>127</v>
      </c>
      <c r="B3592" s="81" t="str">
        <f>HYPERLINK("https://www.youtube.com/channel/UC97oYK3XMf9RLtkc0lO8C-Q", "健康旦 HiEggo")</f>
        <v>健康旦 HiEggo</v>
      </c>
      <c r="C3592" s="80" t="s">
        <v>3996</v>
      </c>
      <c r="D3592" s="81" t="str">
        <f>HYPERLINK("https://youtube.com/watch?v=4hl38Pv11aU", "天氣反常及早處理身體各毛病, 楊明霞中醫師講你知壓力影響情緒學懂放鬆心情! - 鄭丹瑞《健康旦》楊明霞中醫師 PART 2 (CC中文字幕)")</f>
        <v>天氣反常及早處理身體各毛病, 楊明霞中醫師講你知壓力影響情緒學懂放鬆心情! - 鄭丹瑞《健康旦》楊明霞中醫師 PART 2 (CC中文字幕)</v>
      </c>
      <c r="E3592" s="82">
        <v>43876.0</v>
      </c>
      <c r="F3592" s="80">
        <v>623.0</v>
      </c>
      <c r="G3592" s="80" t="s">
        <v>63</v>
      </c>
      <c r="I3592" s="80" t="s">
        <v>63</v>
      </c>
      <c r="J3592" s="80">
        <v>2112.0</v>
      </c>
      <c r="K3592" s="80">
        <v>0.992481203007518</v>
      </c>
      <c r="L3592" s="80" t="s">
        <v>102</v>
      </c>
    </row>
    <row r="3593">
      <c r="A3593" s="80" t="s">
        <v>288</v>
      </c>
      <c r="B3593" s="81" t="str">
        <f>HYPERLINK("https://www.youtube.com/channel/UCDWOYEhVnyD4IHZGVAMLc0g", "Brendan 毛爸")</f>
        <v>Brendan 毛爸</v>
      </c>
      <c r="C3593" s="80" t="s">
        <v>3997</v>
      </c>
      <c r="D3593" s="81" t="str">
        <f>HYPERLINK("https://youtube.com/watch?v=4hv26lJfngA", "平民Vip3！66級主公！15-18關解說！強力單日挑戰17,18關！Part2 【新三國志手機版 EP40】")</f>
        <v>平民Vip3！66級主公！15-18關解說！強力單日挑戰17,18關！Part2 【新三國志手機版 EP40】</v>
      </c>
      <c r="E3593" s="82">
        <v>44030.0</v>
      </c>
      <c r="F3593" s="80">
        <v>279.0</v>
      </c>
      <c r="G3593" s="80" t="s">
        <v>63</v>
      </c>
      <c r="I3593" s="80" t="s">
        <v>63</v>
      </c>
      <c r="J3593" s="80">
        <v>766.0</v>
      </c>
      <c r="K3593" s="80">
        <v>0.974554707379134</v>
      </c>
      <c r="L3593" s="80" t="s">
        <v>64</v>
      </c>
    </row>
    <row r="3594">
      <c r="A3594" s="80" t="s">
        <v>1260</v>
      </c>
      <c r="B3594" s="81" t="str">
        <f>HYPERLINK("https://www.youtube.com/channel/UCh1k4i86BpiXEO3nzJIYynw", "The Wave")</f>
        <v>The Wave</v>
      </c>
      <c r="C3594" s="80" t="s">
        <v>3998</v>
      </c>
      <c r="D3594" s="81" t="str">
        <f>HYPERLINK("https://youtube.com/watch?v=4jLznEK5Guc", "TheWave | 真廢片 | NF-A12x25 5V版本開箱 | USB供電嘅風扇")</f>
        <v>TheWave | 真廢片 | NF-A12x25 5V版本開箱 | USB供電嘅風扇</v>
      </c>
      <c r="E3594" s="82">
        <v>44324.0</v>
      </c>
      <c r="F3594" s="80">
        <v>177.0</v>
      </c>
      <c r="G3594" s="80" t="s">
        <v>63</v>
      </c>
      <c r="H3594" s="80" t="s">
        <v>63</v>
      </c>
      <c r="I3594" s="80" t="s">
        <v>63</v>
      </c>
      <c r="J3594" s="80">
        <v>370.0</v>
      </c>
      <c r="K3594" s="80">
        <v>0.835990888382688</v>
      </c>
      <c r="L3594" s="80" t="s">
        <v>1634</v>
      </c>
    </row>
    <row r="3595">
      <c r="A3595" s="80" t="s">
        <v>98</v>
      </c>
      <c r="B3595" s="81" t="str">
        <f>HYPERLINK("https://www.youtube.com/channel/UCrquuQB6v1Ued2xyRKZreGQ", "Stephen Leung ")</f>
        <v>Stephen Leung </v>
      </c>
      <c r="C3595" s="80" t="s">
        <v>3999</v>
      </c>
      <c r="D3595" s="81" t="str">
        <f>HYPERLINK("https://youtube.com/watch?v=4ll9SPKpoAU", "【早午自助餐 Sunday brunch】豪華 自助餐 食足3.5小時 任食 即開法國生蠔 香檳紅白酒任飲 Chin Chin Bar 請請吧 尖沙咀凱悅酒店 | 吃喝玩樂  香港好去處 電子消費券")</f>
        <v>【早午自助餐 Sunday brunch】豪華 自助餐 食足3.5小時 任食 即開法國生蠔 香檳紅白酒任飲 Chin Chin Bar 請請吧 尖沙咀凱悅酒店 | 吃喝玩樂  香港好去處 電子消費券</v>
      </c>
      <c r="E3595" s="82">
        <v>44401.0</v>
      </c>
      <c r="F3595" s="80">
        <v>817.0</v>
      </c>
      <c r="G3595" s="80" t="s">
        <v>63</v>
      </c>
      <c r="I3595" s="80" t="s">
        <v>63</v>
      </c>
      <c r="J3595" s="80">
        <v>1722.0</v>
      </c>
      <c r="K3595" s="80">
        <v>0.954016620498614</v>
      </c>
      <c r="L3595" s="80" t="s">
        <v>64</v>
      </c>
    </row>
    <row r="3596">
      <c r="A3596" s="80" t="s">
        <v>2898</v>
      </c>
      <c r="B3596" s="81" t="str">
        <f>HYPERLINK("https://www.youtube.com/channel/UCy5bjMXbFPglSBNDXfivtOA", "消費者委員會")</f>
        <v>消費者委員會</v>
      </c>
      <c r="C3596" s="80" t="s">
        <v>4000</v>
      </c>
      <c r="D3596" s="81" t="str">
        <f>HYPERLINK("https://youtube.com/watch?v=4mRuPqPVBPQ", "方健儀 x 單人床褥大比拼")</f>
        <v>方健儀 x 單人床褥大比拼</v>
      </c>
      <c r="E3596" s="82">
        <v>43205.0</v>
      </c>
      <c r="F3596" s="80">
        <v>205.0</v>
      </c>
      <c r="G3596" s="80" t="s">
        <v>63</v>
      </c>
      <c r="I3596" s="80" t="s">
        <v>63</v>
      </c>
      <c r="J3596" s="80">
        <v>714.0</v>
      </c>
      <c r="K3596" s="80">
        <v>0.998601398601398</v>
      </c>
      <c r="L3596" s="80" t="s">
        <v>86</v>
      </c>
    </row>
    <row r="3597">
      <c r="A3597" s="80" t="s">
        <v>127</v>
      </c>
      <c r="B3597" s="81" t="str">
        <f>HYPERLINK("https://www.youtube.com/channel/UC97oYK3XMf9RLtkc0lO8C-Q", "健康旦 HiEggo")</f>
        <v>健康旦 HiEggo</v>
      </c>
      <c r="C3597" s="80" t="s">
        <v>4001</v>
      </c>
      <c r="D3597" s="81" t="str">
        <f>HYPERLINK("https://youtube.com/watch?v=4n2Rz7wXHK0", "仁愛堂疫情下支援弱勢社群 流動中醫醫療車繼續服務 - 鄭丹瑞《健康旦》仁愛堂 區偉祥（CC中文字幕）")</f>
        <v>仁愛堂疫情下支援弱勢社群 流動中醫醫療車繼續服務 - 鄭丹瑞《健康旦》仁愛堂 區偉祥（CC中文字幕）</v>
      </c>
      <c r="E3597" s="82">
        <v>43942.0</v>
      </c>
      <c r="F3597" s="80">
        <v>687.0</v>
      </c>
      <c r="G3597" s="80" t="s">
        <v>63</v>
      </c>
      <c r="I3597" s="80" t="s">
        <v>63</v>
      </c>
      <c r="J3597" s="80">
        <v>2438.0</v>
      </c>
      <c r="K3597" s="80">
        <v>0.973253493013972</v>
      </c>
      <c r="L3597" s="80" t="s">
        <v>64</v>
      </c>
    </row>
    <row r="3598">
      <c r="A3598" s="80" t="s">
        <v>1390</v>
      </c>
      <c r="B3598" s="81" t="str">
        <f>HYPERLINK("https://www.youtube.com/channel/UCgwEJflQi4WnZ8PU0xdibZQ", "Kinson Ho")</f>
        <v>Kinson Ho</v>
      </c>
      <c r="C3598" s="80" t="s">
        <v>4002</v>
      </c>
      <c r="D3598" s="81" t="str">
        <f>HYPERLINK("https://youtube.com/watch?v=4nwr9fWQ3nI", "K神任我行 -  [CC字幕4K] 茶果洲｜拳頭石｜大鴉洲｜ 越南船民羈留中心｜小鴉洲｜風雲海岸｜積雲岩｜塘福泳灘")</f>
        <v>K神任我行 -  [CC字幕4K] 茶果洲｜拳頭石｜大鴉洲｜ 越南船民羈留中心｜小鴉洲｜風雲海岸｜積雲岩｜塘福泳灘</v>
      </c>
      <c r="E3598" s="82">
        <v>44565.0</v>
      </c>
      <c r="F3598" s="80">
        <v>651.0</v>
      </c>
      <c r="G3598" s="80" t="s">
        <v>63</v>
      </c>
      <c r="I3598" s="80" t="s">
        <v>63</v>
      </c>
      <c r="J3598" s="80">
        <v>254.0</v>
      </c>
      <c r="K3598" s="80">
        <v>0.965779467680608</v>
      </c>
      <c r="L3598" s="80" t="s">
        <v>64</v>
      </c>
    </row>
    <row r="3599">
      <c r="A3599" s="80" t="s">
        <v>288</v>
      </c>
      <c r="B3599" s="81" t="str">
        <f t="shared" ref="B3599:B3600" si="186">HYPERLINK("https://www.youtube.com/channel/UCDWOYEhVnyD4IHZGVAMLc0g", "Brendan 毛爸")</f>
        <v>Brendan 毛爸</v>
      </c>
      <c r="C3599" s="80" t="s">
        <v>4003</v>
      </c>
      <c r="D3599" s="81" t="str">
        <f>HYPERLINK("https://youtube.com/watch?v=4od4obnSQ1Q", "神一樣的宮城良田全面分析！進攻，攔截，防守於一身！（請打開CC 中文字幕）【灌籃高手 Slam Dunk 】")</f>
        <v>神一樣的宮城良田全面分析！進攻，攔截，防守於一身！（請打開CC 中文字幕）【灌籃高手 Slam Dunk 】</v>
      </c>
      <c r="E3599" s="82">
        <v>43984.0</v>
      </c>
      <c r="F3599" s="80">
        <v>329.0</v>
      </c>
      <c r="G3599" s="80" t="s">
        <v>63</v>
      </c>
      <c r="I3599" s="80" t="s">
        <v>63</v>
      </c>
      <c r="J3599" s="80">
        <v>1204.0</v>
      </c>
      <c r="K3599" s="80">
        <v>0.973322554567502</v>
      </c>
      <c r="L3599" s="80" t="s">
        <v>64</v>
      </c>
    </row>
    <row r="3600">
      <c r="A3600" s="80" t="s">
        <v>288</v>
      </c>
      <c r="B3600" s="81" t="str">
        <f t="shared" si="186"/>
        <v>Brendan 毛爸</v>
      </c>
      <c r="C3600" s="80" t="s">
        <v>4004</v>
      </c>
      <c r="D3600" s="81" t="str">
        <f>HYPERLINK("https://youtube.com/watch?v=4su1vrSCFVs", "【全香港最大-無印良品 MUJI 】 如何打造獨一無二無印專屬？｜十六大區域重點介紹｜九龍灣分店（請打開CC 中文字幕）")</f>
        <v>【全香港最大-無印良品 MUJI 】 如何打造獨一無二無印專屬？｜十六大區域重點介紹｜九龍灣分店（請打開CC 中文字幕）</v>
      </c>
      <c r="E3600" s="82">
        <v>44005.0</v>
      </c>
      <c r="F3600" s="80">
        <v>614.0</v>
      </c>
      <c r="G3600" s="80" t="s">
        <v>63</v>
      </c>
      <c r="I3600" s="80" t="s">
        <v>63</v>
      </c>
      <c r="J3600" s="80">
        <v>2098.0</v>
      </c>
      <c r="K3600" s="80">
        <v>0.955373406193078</v>
      </c>
      <c r="L3600" s="80" t="s">
        <v>64</v>
      </c>
    </row>
    <row r="3601">
      <c r="A3601" s="80" t="s">
        <v>127</v>
      </c>
      <c r="B3601" s="81" t="str">
        <f>HYPERLINK("https://www.youtube.com/channel/UC97oYK3XMf9RLtkc0lO8C-Q", "健康旦 HiEggo")</f>
        <v>健康旦 HiEggo</v>
      </c>
      <c r="C3601" s="80" t="s">
        <v>4005</v>
      </c>
      <c r="D3601" s="81" t="str">
        <f>HYPERLINK("https://youtube.com/watch?v=4u-YJvKhdgo", "李維恩教授解答觀眾留言問題 詳解大便與益生菌關係、高血壓成因 細數各類食油健康營養 - 鄭丹瑞《健康旦》李維恩教授 Part 7 (CC中文字幕)")</f>
        <v>李維恩教授解答觀眾留言問題 詳解大便與益生菌關係、高血壓成因 細數各類食油健康營養 - 鄭丹瑞《健康旦》李維恩教授 Part 7 (CC中文字幕)</v>
      </c>
      <c r="E3601" s="82">
        <v>43909.0</v>
      </c>
      <c r="F3601" s="80">
        <v>789.0</v>
      </c>
      <c r="G3601" s="80" t="s">
        <v>63</v>
      </c>
      <c r="I3601" s="80" t="s">
        <v>63</v>
      </c>
      <c r="J3601" s="80">
        <v>2746.0</v>
      </c>
      <c r="K3601" s="80">
        <v>0.978617248752672</v>
      </c>
      <c r="L3601" s="80" t="s">
        <v>102</v>
      </c>
    </row>
    <row r="3602">
      <c r="A3602" s="80" t="s">
        <v>293</v>
      </c>
      <c r="B3602" s="81" t="str">
        <f>HYPERLINK("https://www.youtube.com/channel/UCXRcbXqjORdIvl63I7MtOLQ", "趁熱 Kerry 's kitchen")</f>
        <v>趁熱 Kerry 's kitchen</v>
      </c>
      <c r="C3602" s="80" t="s">
        <v>4006</v>
      </c>
      <c r="D3602" s="81" t="str">
        <f>HYPERLINK("https://youtube.com/watch?v=4v6gJDj3-7U", "粵語旁述/中字幕/電飯煲田雞飯/超鮮甜/創業開餐廳11[招聘]/外婆配方/一煲熟簡單易做")</f>
        <v>粵語旁述/中字幕/電飯煲田雞飯/超鮮甜/創業開餐廳11[招聘]/外婆配方/一煲熟簡單易做</v>
      </c>
      <c r="E3602" s="82">
        <v>44217.0</v>
      </c>
      <c r="F3602" s="80">
        <v>512.0</v>
      </c>
      <c r="G3602" s="80" t="s">
        <v>63</v>
      </c>
      <c r="I3602" s="80" t="s">
        <v>63</v>
      </c>
      <c r="J3602" s="80">
        <v>1638.0</v>
      </c>
      <c r="K3602" s="80">
        <v>0.982014388489208</v>
      </c>
      <c r="L3602" s="80" t="s">
        <v>64</v>
      </c>
    </row>
    <row r="3603">
      <c r="A3603" s="80" t="s">
        <v>127</v>
      </c>
      <c r="B3603" s="81" t="str">
        <f>HYPERLINK("https://www.youtube.com/channel/UC97oYK3XMf9RLtkc0lO8C-Q", "健康旦 HiEggo")</f>
        <v>健康旦 HiEggo</v>
      </c>
      <c r="C3603" s="80" t="s">
        <v>4007</v>
      </c>
      <c r="D3603" s="81" t="str">
        <f>HYPERLINK("https://youtube.com/watch?v=4y4PA3Uj0Wo", "夏天最緊要補肝 情緒最影響肝臟健康 放鬆心情減少消耗 - 鄭丹瑞《健康旦》趙汝威博士 Part 10")</f>
        <v>夏天最緊要補肝 情緒最影響肝臟健康 放鬆心情減少消耗 - 鄭丹瑞《健康旦》趙汝威博士 Part 10</v>
      </c>
      <c r="E3603" s="82">
        <v>43981.0</v>
      </c>
      <c r="F3603" s="80">
        <v>670.0</v>
      </c>
      <c r="G3603" s="80" t="s">
        <v>63</v>
      </c>
      <c r="I3603" s="80" t="s">
        <v>63</v>
      </c>
      <c r="J3603" s="80">
        <v>2793.0</v>
      </c>
      <c r="K3603" s="80">
        <v>0.954219337205329</v>
      </c>
      <c r="L3603" s="80" t="s">
        <v>64</v>
      </c>
    </row>
    <row r="3604">
      <c r="A3604" s="80" t="s">
        <v>1606</v>
      </c>
      <c r="B3604" s="81" t="str">
        <f>HYPERLINK("https://www.youtube.com/channel/UCk25FUc8pLiP3A6Zniknxbg", "希治閣【遊戲情報科】")</f>
        <v>希治閣【遊戲情報科】</v>
      </c>
      <c r="C3604" s="80" t="s">
        <v>4008</v>
      </c>
      <c r="D3604" s="81" t="str">
        <f>HYPERLINK("https://youtube.com/watch?v=4zFKUoctuok", "【特別推介】 貴得其所？Corsair K100 RGB 機械鍵盤 多媒體創作 / 遊戲體驗 介紹")</f>
        <v>【特別推介】 貴得其所？Corsair K100 RGB 機械鍵盤 多媒體創作 / 遊戲體驗 介紹</v>
      </c>
      <c r="E3604" s="82">
        <v>44140.0</v>
      </c>
      <c r="F3604" s="80">
        <v>375.0</v>
      </c>
      <c r="G3604" s="80" t="s">
        <v>63</v>
      </c>
      <c r="I3604" s="80" t="s">
        <v>63</v>
      </c>
      <c r="J3604" s="80">
        <v>1383.0</v>
      </c>
      <c r="K3604" s="80">
        <v>0.699898785425101</v>
      </c>
      <c r="L3604" s="80" t="s">
        <v>64</v>
      </c>
    </row>
    <row r="3605">
      <c r="A3605" s="80" t="s">
        <v>293</v>
      </c>
      <c r="B3605" s="81" t="str">
        <f>HYPERLINK("https://www.youtube.com/channel/UCXRcbXqjORdIvl63I7MtOLQ", "趁熱 Kerry 's kitchen")</f>
        <v>趁熱 Kerry 's kitchen</v>
      </c>
      <c r="C3605" s="80" t="s">
        <v>4009</v>
      </c>
      <c r="D3605" s="81" t="str">
        <f>HYPERLINK("https://youtube.com/watch?v=5-36hj2sQTc", "黑椒 豬手/不用鹹豬手/不鹹/黑椒汁做法/不肥膩/茶記味道/好送飯/簡單 家做/廣東話/中字/pork knockle with black pepper sauce")</f>
        <v>黑椒 豬手/不用鹹豬手/不鹹/黑椒汁做法/不肥膩/茶記味道/好送飯/簡單 家做/廣東話/中字/pork knockle with black pepper sauce</v>
      </c>
      <c r="E3605" s="82">
        <v>44414.0</v>
      </c>
      <c r="F3605" s="80">
        <v>523.0</v>
      </c>
      <c r="G3605" s="80" t="s">
        <v>63</v>
      </c>
      <c r="I3605" s="80" t="s">
        <v>63</v>
      </c>
      <c r="J3605" s="80">
        <v>1334.0</v>
      </c>
      <c r="K3605" s="80">
        <v>0.975859546452084</v>
      </c>
      <c r="L3605" s="80" t="s">
        <v>64</v>
      </c>
    </row>
    <row r="3606">
      <c r="A3606" s="80" t="s">
        <v>2041</v>
      </c>
      <c r="B3606" s="81" t="str">
        <f>HYPERLINK("https://www.youtube.com/channel/UCO6pB-ZN4XJ6MVkibvuEe0A", "SingSingTracker 星昇財經指標")</f>
        <v>SingSingTracker 星昇財經指標</v>
      </c>
      <c r="C3606" s="80" t="s">
        <v>4010</v>
      </c>
      <c r="D3606" s="81" t="str">
        <f>HYPERLINK("https://youtube.com/watch?v=51Fap-ghxzU", "【得EUV者得天下，ASML勢將翻倍？】晶片股爆升，NVDA突破新高｜晶片三大天王你睇好邊隻？｜什麼是光刻機？｜晶片次母  ASML前景分析  #TSMC #AMD #台積電")</f>
        <v>【得EUV者得天下，ASML勢將翻倍？】晶片股爆升，NVDA突破新高｜晶片三大天王你睇好邊隻？｜什麼是光刻機？｜晶片次母  ASML前景分析  #TSMC #AMD #台積電</v>
      </c>
      <c r="E3606" s="82">
        <v>44397.0</v>
      </c>
      <c r="F3606" s="80">
        <v>444.0</v>
      </c>
      <c r="G3606" s="80" t="s">
        <v>63</v>
      </c>
      <c r="I3606" s="80" t="s">
        <v>63</v>
      </c>
      <c r="J3606" s="80">
        <v>1608.0</v>
      </c>
      <c r="K3606" s="80">
        <v>0.860813704496788</v>
      </c>
      <c r="L3606" s="80" t="s">
        <v>64</v>
      </c>
    </row>
    <row r="3607">
      <c r="A3607" s="80" t="s">
        <v>1260</v>
      </c>
      <c r="B3607" s="81" t="str">
        <f>HYPERLINK("https://www.youtube.com/channel/UCh1k4i86BpiXEO3nzJIYynw", "The Wave")</f>
        <v>The Wave</v>
      </c>
      <c r="C3607" s="80" t="s">
        <v>4011</v>
      </c>
      <c r="D3607" s="81" t="str">
        <f>HYPERLINK("https://youtube.com/watch?v=52WO6aAWc6k", "TheWave | Noctua 貓頭鷹 NF-A12x25 PWM 開箱 | 神級全方位電腦風扇(?)")</f>
        <v>TheWave | Noctua 貓頭鷹 NF-A12x25 PWM 開箱 | 神級全方位電腦風扇(?)</v>
      </c>
      <c r="E3607" s="82">
        <v>43926.0</v>
      </c>
      <c r="F3607" s="80">
        <v>171.0</v>
      </c>
      <c r="G3607" s="80" t="s">
        <v>63</v>
      </c>
      <c r="H3607" s="80" t="s">
        <v>63</v>
      </c>
      <c r="I3607" s="80" t="s">
        <v>63</v>
      </c>
      <c r="J3607" s="80">
        <v>505.0</v>
      </c>
      <c r="K3607" s="80">
        <v>0.890652557319224</v>
      </c>
      <c r="L3607" s="80" t="s">
        <v>1634</v>
      </c>
    </row>
    <row r="3608">
      <c r="A3608" s="80" t="s">
        <v>248</v>
      </c>
      <c r="B3608" s="81" t="str">
        <f>HYPERLINK("https://www.youtube.com/channel/UCUEJok-GiWaGlv5nIPwk-GQ", "Price.com.hk 香港格價網")</f>
        <v>Price.com.hk 香港格價網</v>
      </c>
      <c r="C3608" s="80" t="s">
        <v>4012</v>
      </c>
      <c r="D3608" s="81" t="str">
        <f>HYPERLINK("https://youtube.com/watch?v=53fsvCVtb80", "iPhone 12 Mini即將停產！？巴士都有得用Apple Pay．《FF XIV》PS5 Beta 4月有得玩！ | 廣東話【Price Weekly #49 2021年2月】")</f>
        <v>iPhone 12 Mini即將停產！？巴士都有得用Apple Pay．《FF XIV》PS5 Beta 4月有得玩！ | 廣東話【Price Weekly #49 2021年2月】</v>
      </c>
      <c r="E3608" s="82">
        <v>44238.0</v>
      </c>
      <c r="F3608" s="80">
        <v>546.0</v>
      </c>
      <c r="G3608" s="80" t="s">
        <v>63</v>
      </c>
      <c r="I3608" s="80" t="s">
        <v>63</v>
      </c>
      <c r="J3608" s="80">
        <v>1835.0</v>
      </c>
      <c r="K3608" s="80">
        <v>0.721872541306058</v>
      </c>
      <c r="L3608" s="80" t="s">
        <v>64</v>
      </c>
    </row>
    <row r="3609">
      <c r="A3609" s="80" t="s">
        <v>127</v>
      </c>
      <c r="B3609" s="81" t="str">
        <f t="shared" ref="B3609:B3611" si="187">HYPERLINK("https://www.youtube.com/channel/UC97oYK3XMf9RLtkc0lO8C-Q", "健康旦 HiEggo")</f>
        <v>健康旦 HiEggo</v>
      </c>
      <c r="C3609" s="80" t="s">
        <v>4013</v>
      </c>
      <c r="D3609" s="81" t="str">
        <f>HYPERLINK("https://youtube.com/watch?v=58wJQeg4bOE", "長者做運動時切忌閉氣 臨瞓前做帶氧運動影響睡眠質素 手腳隨拍子推前能加強心肺功能 - 鄭丹瑞《健康旦》坐式徒手運動導師 #PaulLau Part 2 (CC中文字幕)")</f>
        <v>長者做運動時切忌閉氣 臨瞓前做帶氧運動影響睡眠質素 手腳隨拍子推前能加強心肺功能 - 鄭丹瑞《健康旦》坐式徒手運動導師 #PaulLau Part 2 (CC中文字幕)</v>
      </c>
      <c r="E3609" s="82">
        <v>44036.0</v>
      </c>
      <c r="F3609" s="80">
        <v>597.0</v>
      </c>
      <c r="G3609" s="80" t="s">
        <v>63</v>
      </c>
      <c r="I3609" s="80" t="s">
        <v>63</v>
      </c>
      <c r="J3609" s="80">
        <v>2269.0</v>
      </c>
      <c r="K3609" s="80">
        <v>0.97801724137931</v>
      </c>
      <c r="L3609" s="80" t="s">
        <v>2771</v>
      </c>
    </row>
    <row r="3610">
      <c r="A3610" s="80" t="s">
        <v>127</v>
      </c>
      <c r="B3610" s="81" t="str">
        <f t="shared" si="187"/>
        <v>健康旦 HiEggo</v>
      </c>
      <c r="C3610" s="80" t="s">
        <v>4014</v>
      </c>
      <c r="D3610" s="81" t="str">
        <f>HYPERLINK("https://youtube.com/watch?v=5ALfQalWzp8", "埃塞俄比亞多靚女關苔麩事 趙汝威博士：減褪疤痕靠賴胺酸 超級食物健康係數學題 - 鄭丹瑞《健康旦》 #趙汝威 博士 Part 12 (CC中文字幕)")</f>
        <v>埃塞俄比亞多靚女關苔麩事 趙汝威博士：減褪疤痕靠賴胺酸 超級食物健康係數學題 - 鄭丹瑞《健康旦》 #趙汝威 博士 Part 12 (CC中文字幕)</v>
      </c>
      <c r="E3610" s="82">
        <v>44039.0</v>
      </c>
      <c r="F3610" s="80">
        <v>649.0</v>
      </c>
      <c r="G3610" s="80" t="s">
        <v>63</v>
      </c>
      <c r="I3610" s="80" t="s">
        <v>63</v>
      </c>
      <c r="J3610" s="80">
        <v>2363.0</v>
      </c>
      <c r="K3610" s="80">
        <v>0.943690095846645</v>
      </c>
      <c r="L3610" s="80" t="s">
        <v>2771</v>
      </c>
    </row>
    <row r="3611">
      <c r="A3611" s="80" t="s">
        <v>127</v>
      </c>
      <c r="B3611" s="81" t="str">
        <f t="shared" si="187"/>
        <v>健康旦 HiEggo</v>
      </c>
      <c r="C3611" s="80" t="s">
        <v>4015</v>
      </c>
      <c r="D3611" s="81" t="str">
        <f>HYPERLINK("https://youtube.com/watch?v=5CVgn2xbbIk", "《麥路人》張達明另類療法醫癌症 針灸火療氣功咩都試 囝囝：唔記得影相可唔可以做多次- 鄭丹瑞《健康旦》#張達明 Part 2 (CC中文字幕)")</f>
        <v>《麥路人》張達明另類療法醫癌症 針灸火療氣功咩都試 囝囝：唔記得影相可唔可以做多次- 鄭丹瑞《健康旦》#張達明 Part 2 (CC中文字幕)</v>
      </c>
      <c r="E3611" s="82">
        <v>44009.0</v>
      </c>
      <c r="F3611" s="80">
        <v>770.0</v>
      </c>
      <c r="G3611" s="80" t="s">
        <v>63</v>
      </c>
      <c r="I3611" s="80" t="s">
        <v>63</v>
      </c>
      <c r="J3611" s="80">
        <v>3228.0</v>
      </c>
      <c r="K3611" s="80">
        <v>0.988062442607897</v>
      </c>
      <c r="L3611" s="80" t="s">
        <v>2771</v>
      </c>
    </row>
    <row r="3612">
      <c r="A3612" s="80" t="s">
        <v>1606</v>
      </c>
      <c r="B3612" s="81" t="str">
        <f>HYPERLINK("https://www.youtube.com/channel/UCk25FUc8pLiP3A6Zniknxbg", "希治閣【遊戲情報科】")</f>
        <v>希治閣【遊戲情報科】</v>
      </c>
      <c r="C3612" s="80" t="s">
        <v>4016</v>
      </c>
      <c r="D3612" s="81" t="str">
        <f>HYPERLINK("https://youtube.com/watch?v=5Gn4QOt6Baw", "[暫停一週既因由] 希魔都刪唔到西瓜 (帶字幕)")</f>
        <v>[暫停一週既因由] 希魔都刪唔到西瓜 (帶字幕)</v>
      </c>
      <c r="E3612" s="82">
        <v>42034.0</v>
      </c>
      <c r="F3612" s="80">
        <v>240.0</v>
      </c>
      <c r="G3612" s="80" t="s">
        <v>63</v>
      </c>
      <c r="I3612" s="80" t="s">
        <v>63</v>
      </c>
      <c r="J3612" s="80">
        <v>620.0</v>
      </c>
      <c r="K3612" s="80">
        <v>0.797940797940798</v>
      </c>
      <c r="L3612" s="80" t="s">
        <v>64</v>
      </c>
    </row>
    <row r="3613">
      <c r="A3613" s="80" t="s">
        <v>1260</v>
      </c>
      <c r="B3613" s="81" t="str">
        <f>HYPERLINK("https://www.youtube.com/channel/UCh1k4i86BpiXEO3nzJIYynw", "The Wave")</f>
        <v>The Wave</v>
      </c>
      <c r="C3613" s="80" t="s">
        <v>4017</v>
      </c>
      <c r="D3613" s="81" t="str">
        <f>HYPERLINK("https://youtube.com/watch?v=5I8XguT9KAM", "TheWave | 真無線耳機技術 簡單拆解 + 2019 CES小消息")</f>
        <v>TheWave | 真無線耳機技術 簡單拆解 + 2019 CES小消息</v>
      </c>
      <c r="E3613" s="82">
        <v>43452.0</v>
      </c>
      <c r="F3613" s="80">
        <v>111.0</v>
      </c>
      <c r="G3613" s="80" t="s">
        <v>63</v>
      </c>
      <c r="H3613" s="80" t="s">
        <v>63</v>
      </c>
      <c r="I3613" s="80" t="s">
        <v>63</v>
      </c>
      <c r="J3613" s="80">
        <v>483.0</v>
      </c>
      <c r="K3613" s="80">
        <v>0.918250950570342</v>
      </c>
      <c r="L3613" s="80" t="s">
        <v>120</v>
      </c>
    </row>
    <row r="3614">
      <c r="A3614" s="80" t="s">
        <v>2825</v>
      </c>
      <c r="B3614" s="81" t="str">
        <f>HYPERLINK("https://www.youtube.com/channel/UCP7XhYDgUbvjvaHxIhjTd_g", "Maviskuku 雞蛋妹")</f>
        <v>Maviskuku 雞蛋妹</v>
      </c>
      <c r="C3614" s="80" t="s">
        <v>4018</v>
      </c>
      <c r="D3614" s="81" t="str">
        <f>HYPERLINK("https://youtube.com/watch?v=5NFEEyAxFLk", "復古外形超靚仔＋終於有反 mon 啦！Nikon Z fc 相機測試、用後感｜APS-C 機｜反轉螢幕｜Nikon")</f>
        <v>復古外形超靚仔＋終於有反 mon 啦！Nikon Z fc 相機測試、用後感｜APS-C 機｜反轉螢幕｜Nikon</v>
      </c>
      <c r="E3614" s="82">
        <v>44424.0</v>
      </c>
      <c r="F3614" s="80">
        <v>457.0</v>
      </c>
      <c r="G3614" s="80" t="s">
        <v>63</v>
      </c>
      <c r="H3614" s="80" t="s">
        <v>63</v>
      </c>
      <c r="I3614" s="80" t="s">
        <v>63</v>
      </c>
      <c r="J3614" s="80">
        <v>1438.0</v>
      </c>
      <c r="K3614" s="80">
        <v>0.894835096453018</v>
      </c>
      <c r="L3614" s="80" t="s">
        <v>66</v>
      </c>
    </row>
    <row r="3615">
      <c r="A3615" s="80" t="s">
        <v>248</v>
      </c>
      <c r="B3615" s="81" t="str">
        <f t="shared" ref="B3615:B3616" si="188">HYPERLINK("https://www.youtube.com/channel/UCUEJok-GiWaGlv5nIPwk-GQ", "Price.com.hk 香港格價網")</f>
        <v>Price.com.hk 香港格價網</v>
      </c>
      <c r="C3615" s="80" t="s">
        <v>4019</v>
      </c>
      <c r="D3615" s="81" t="str">
        <f>HYPERLINK("https://youtube.com/watch?v=TNsM4cYF9GY", "2020 Top 5 最受歡迎真無線耳機｜Price編輯部+網上用家評價【Price.com.hk產品比較】")</f>
        <v>2020 Top 5 最受歡迎真無線耳機｜Price編輯部+網上用家評價【Price.com.hk產品比較】</v>
      </c>
      <c r="E3615" s="82">
        <v>44194.0</v>
      </c>
      <c r="F3615" s="80">
        <v>322.0</v>
      </c>
      <c r="G3615" s="80" t="s">
        <v>63</v>
      </c>
      <c r="I3615" s="80" t="s">
        <v>63</v>
      </c>
      <c r="J3615" s="80">
        <v>1211.0</v>
      </c>
      <c r="K3615" s="80">
        <v>0.770846594525779</v>
      </c>
      <c r="L3615" s="80" t="s">
        <v>64</v>
      </c>
    </row>
    <row r="3616">
      <c r="A3616" s="80" t="s">
        <v>248</v>
      </c>
      <c r="B3616" s="81" t="str">
        <f t="shared" si="188"/>
        <v>Price.com.hk 香港格價網</v>
      </c>
      <c r="C3616" s="80" t="s">
        <v>4020</v>
      </c>
      <c r="D3616" s="81" t="str">
        <f>HYPERLINK("https://youtube.com/watch?v=TOgRPmF_8b0", "M1X MacBook Pro 10月中登場？PS5終支援M.2 SSD、GoPro Hero10 Black正式上市 | 廣東話【Price Weekly #80 2021年9月 】")</f>
        <v>M1X MacBook Pro 10月中登場？PS5終支援M.2 SSD、GoPro Hero10 Black正式上市 | 廣東話【Price Weekly #80 2021年9月 】</v>
      </c>
      <c r="E3616" s="82">
        <v>44456.0</v>
      </c>
      <c r="F3616" s="80">
        <v>405.0</v>
      </c>
      <c r="G3616" s="80" t="s">
        <v>63</v>
      </c>
      <c r="I3616" s="80" t="s">
        <v>63</v>
      </c>
      <c r="J3616" s="80">
        <v>1339.0</v>
      </c>
      <c r="K3616" s="80">
        <v>0.699582027168234</v>
      </c>
      <c r="L3616" s="80" t="s">
        <v>64</v>
      </c>
    </row>
    <row r="3617">
      <c r="A3617" s="80" t="s">
        <v>2764</v>
      </c>
      <c r="B3617" s="81" t="str">
        <f>HYPERLINK("https://www.youtube.com/channel/UCejZUW4khvxoA4uL2Afz20g", "Housik Laanfei 好食懶飛")</f>
        <v>Housik Laanfei 好食懶飛</v>
      </c>
      <c r="C3617" s="80" t="s">
        <v>4021</v>
      </c>
      <c r="D3617" s="81" t="str">
        <f>HYPERLINK("https://youtube.com/watch?v=TQiHNfWDU1o", "[暖笠笠] 日式茶碗蒸 | CC: 廣東話/繁中/ENG SUB | COOKING VLOG")</f>
        <v>[暖笠笠] 日式茶碗蒸 | CC: 廣東話/繁中/ENG SUB | COOKING VLOG</v>
      </c>
      <c r="E3617" s="82">
        <v>44210.0</v>
      </c>
      <c r="F3617" s="80">
        <v>207.0</v>
      </c>
      <c r="G3617" s="80" t="s">
        <v>63</v>
      </c>
      <c r="H3617" s="80" t="s">
        <v>63</v>
      </c>
      <c r="I3617" s="80" t="s">
        <v>63</v>
      </c>
      <c r="J3617" s="80">
        <v>234.0</v>
      </c>
      <c r="K3617" s="80">
        <v>0.979079497907949</v>
      </c>
      <c r="L3617" s="80" t="s">
        <v>80</v>
      </c>
    </row>
    <row r="3618">
      <c r="A3618" s="80" t="s">
        <v>98</v>
      </c>
      <c r="B3618" s="81" t="str">
        <f>HYPERLINK("https://www.youtube.com/channel/UCrquuQB6v1Ued2xyRKZreGQ", "Stephen Leung ")</f>
        <v>Stephen Leung </v>
      </c>
      <c r="C3618" s="80" t="s">
        <v>4022</v>
      </c>
      <c r="D3618" s="81" t="str">
        <f>HYPERLINK("https://youtube.com/watch?v=TVG4axqFc7Y", "【放題速報】最平$198 真正任食任加!!! 羊腩煲雞煲雙放題 再加香港最強啤酒放題 一次過飲8款入口生啤 男士最愛 元朗美食 鋒哥廚房 | 吃喝玩樂  香港好去處 美食 2021")</f>
        <v>【放題速報】最平$198 真正任食任加!!! 羊腩煲雞煲雙放題 再加香港最強啤酒放題 一次過飲8款入口生啤 男士最愛 元朗美食 鋒哥廚房 | 吃喝玩樂  香港好去處 美食 2021</v>
      </c>
      <c r="E3618" s="82">
        <v>44533.0</v>
      </c>
      <c r="F3618" s="80">
        <v>637.0</v>
      </c>
      <c r="G3618" s="80" t="s">
        <v>63</v>
      </c>
      <c r="I3618" s="80" t="s">
        <v>63</v>
      </c>
      <c r="J3618" s="80">
        <v>1476.0</v>
      </c>
      <c r="K3618" s="80">
        <v>0.965968586387434</v>
      </c>
      <c r="L3618" s="80" t="s">
        <v>64</v>
      </c>
    </row>
    <row r="3619">
      <c r="A3619" s="80" t="s">
        <v>248</v>
      </c>
      <c r="B3619" s="81" t="str">
        <f>HYPERLINK("https://www.youtube.com/channel/UCUEJok-GiWaGlv5nIPwk-GQ", "Price.com.hk 香港格價網")</f>
        <v>Price.com.hk 香港格價網</v>
      </c>
      <c r="C3619" s="80" t="s">
        <v>4023</v>
      </c>
      <c r="D3619" s="81" t="str">
        <f>HYPERLINK("https://youtube.com/watch?v=TVS4Ozx_n_E", "Samsung推SmartTag+與AirTag對撼！Apple M2 MacBook最快7月登場？《GT Sport》成奧運項目 | 廣東話【Price Weekly #60 2021年5月】")</f>
        <v>Samsung推SmartTag+與AirTag對撼！Apple M2 MacBook最快7月登場？《GT Sport》成奧運項目 | 廣東話【Price Weekly #60 2021年5月】</v>
      </c>
      <c r="E3619" s="82">
        <v>44317.0</v>
      </c>
      <c r="F3619" s="80">
        <v>571.0</v>
      </c>
      <c r="G3619" s="80" t="s">
        <v>63</v>
      </c>
      <c r="I3619" s="80" t="s">
        <v>63</v>
      </c>
      <c r="J3619" s="80">
        <v>1958.0</v>
      </c>
      <c r="K3619" s="80">
        <v>0.723042836041358</v>
      </c>
      <c r="L3619" s="80" t="s">
        <v>64</v>
      </c>
    </row>
    <row r="3620">
      <c r="A3620" s="80" t="s">
        <v>2753</v>
      </c>
      <c r="B3620" s="81" t="str">
        <f>HYPERLINK("https://www.youtube.com/channel/UCxRXNy5P6fLtHYpawxoiqJQ", "焦點視頻")</f>
        <v>焦點視頻</v>
      </c>
      <c r="C3620" s="80" t="s">
        <v>4024</v>
      </c>
      <c r="D3620" s="81" t="str">
        <f>HYPERLINK("https://youtube.com/watch?v=TWTSscHKL40", "CC中字︱犯太歲3大化解方法！ 2022開運攻略！《陳庚信玄途有理》EP79 20211219")</f>
        <v>CC中字︱犯太歲3大化解方法！ 2022開運攻略！《陳庚信玄途有理》EP79 20211219</v>
      </c>
      <c r="E3620" s="82">
        <v>44548.0</v>
      </c>
      <c r="F3620" s="80">
        <v>834.0</v>
      </c>
      <c r="G3620" s="80" t="s">
        <v>63</v>
      </c>
      <c r="I3620" s="80" t="s">
        <v>63</v>
      </c>
      <c r="J3620" s="80">
        <v>2628.0</v>
      </c>
      <c r="K3620" s="80">
        <v>0.994700984102952</v>
      </c>
      <c r="L3620" s="80" t="s">
        <v>3012</v>
      </c>
    </row>
    <row r="3621">
      <c r="A3621" s="80" t="s">
        <v>98</v>
      </c>
      <c r="B3621" s="81" t="str">
        <f>HYPERLINK("https://www.youtube.com/channel/UCrquuQB6v1Ued2xyRKZreGQ", "Stephen Leung ")</f>
        <v>Stephen Leung </v>
      </c>
      <c r="C3621" s="80" t="s">
        <v>4025</v>
      </c>
      <c r="D3621" s="81" t="str">
        <f>HYPERLINK("https://youtube.com/watch?v=TZJENuTAEDc", "【電子消費券 自助餐】早午自助餐 Sunday Brunch 全新海鮮清蒸 自助餐 海鮮任食 3小時 8大清蒸海鮮 自助餐 午餐 自助餐 生蠔 港島香格里拉大酒店 Cafe TOO 果籽")</f>
        <v>【電子消費券 自助餐】早午自助餐 Sunday Brunch 全新海鮮清蒸 自助餐 海鮮任食 3小時 8大清蒸海鮮 自助餐 午餐 自助餐 生蠔 港島香格里拉大酒店 Cafe TOO 果籽</v>
      </c>
      <c r="E3621" s="82">
        <v>44360.0</v>
      </c>
      <c r="F3621" s="80">
        <v>931.0</v>
      </c>
      <c r="G3621" s="80" t="s">
        <v>63</v>
      </c>
      <c r="I3621" s="80" t="s">
        <v>63</v>
      </c>
      <c r="J3621" s="80">
        <v>2504.0</v>
      </c>
      <c r="K3621" s="80">
        <v>0.939587242026266</v>
      </c>
      <c r="L3621" s="80" t="s">
        <v>521</v>
      </c>
    </row>
    <row r="3622">
      <c r="A3622" s="80" t="s">
        <v>248</v>
      </c>
      <c r="B3622" s="81" t="str">
        <f>HYPERLINK("https://www.youtube.com/channel/UCUEJok-GiWaGlv5nIPwk-GQ", "Price.com.hk 香港格價網")</f>
        <v>Price.com.hk 香港格價網</v>
      </c>
      <c r="C3622" s="80" t="s">
        <v>4026</v>
      </c>
      <c r="D3622" s="81" t="str">
        <f>HYPERLINK("https://youtube.com/watch?v=TZTJDbRYAS8", "Apple 入門 iPad 第7代 配件提升變筆電 重點速試用後感 對比 iPad Air iPad mini | 廣東話 | 平板評測 【Price.com.hk產品比較】")</f>
        <v>Apple 入門 iPad 第7代 配件提升變筆電 重點速試用後感 對比 iPad Air iPad mini | 廣東話 | 平板評測 【Price.com.hk產品比較】</v>
      </c>
      <c r="E3622" s="82">
        <v>43742.0</v>
      </c>
      <c r="F3622" s="80">
        <v>265.0</v>
      </c>
      <c r="G3622" s="80" t="s">
        <v>63</v>
      </c>
      <c r="I3622" s="80" t="s">
        <v>63</v>
      </c>
      <c r="J3622" s="80">
        <v>925.0</v>
      </c>
      <c r="K3622" s="80">
        <v>0.70556826849733</v>
      </c>
      <c r="L3622" s="80" t="s">
        <v>64</v>
      </c>
    </row>
    <row r="3623">
      <c r="A3623" s="80" t="s">
        <v>1987</v>
      </c>
      <c r="B3623" s="81" t="str">
        <f>HYPERLINK("https://www.youtube.com/channel/UCgGUmm04nVyj-ftaCxVcyBg", "MangoHK大馬獅家")</f>
        <v>MangoHK大馬獅家</v>
      </c>
      <c r="C3623" s="80" t="s">
        <v>4027</v>
      </c>
      <c r="D3623" s="81" t="str">
        <f>HYPERLINK("https://youtube.com/watch?v=T_tZhOcIORo", "【53】😷獅媽病倒了🫖邊度睇中醫？ {中英字幕}  Subtitled | Malaysia Chinese Medicine | Malaysia Vlog | mm2h")</f>
        <v>【53】😷獅媽病倒了🫖邊度睇中醫？ {中英字幕}  Subtitled | Malaysia Chinese Medicine | Malaysia Vlog | mm2h</v>
      </c>
      <c r="E3623" s="82">
        <v>44481.0</v>
      </c>
      <c r="F3623" s="80">
        <v>632.0</v>
      </c>
      <c r="G3623" s="80" t="s">
        <v>63</v>
      </c>
      <c r="I3623" s="80" t="s">
        <v>63</v>
      </c>
      <c r="J3623" s="80">
        <v>1087.0</v>
      </c>
      <c r="K3623" s="80">
        <v>0.984601449275362</v>
      </c>
      <c r="L3623" s="80" t="s">
        <v>896</v>
      </c>
    </row>
    <row r="3624">
      <c r="A3624" s="80" t="s">
        <v>3513</v>
      </c>
      <c r="B3624" s="81" t="str">
        <f>HYPERLINK("https://www.youtube.com/channel/UCEg3pOlQs_nMQ8ArSOacL4Q", "Army有嘢港 | HKArmySayWhat")</f>
        <v>Army有嘢港 | HKArmySayWhat</v>
      </c>
      <c r="C3624" s="80" t="s">
        <v>4028</v>
      </c>
      <c r="D3624" s="81" t="str">
        <f>HYPERLINK("https://youtube.com/watch?v=TbPOno01S1g", "【Q&amp;A回歸】10000 Subscribers 訂閱達成！問題收集+ 訂閱回饋  | Army有嘢港")</f>
        <v>【Q&amp;A回歸】10000 Subscribers 訂閱達成！問題收集+ 訂閱回饋  | Army有嘢港</v>
      </c>
      <c r="E3624" s="82">
        <v>43091.0</v>
      </c>
      <c r="F3624" s="80">
        <v>28.0</v>
      </c>
      <c r="G3624" s="80" t="s">
        <v>63</v>
      </c>
      <c r="I3624" s="80" t="s">
        <v>63</v>
      </c>
      <c r="J3624" s="80">
        <v>68.0</v>
      </c>
      <c r="K3624" s="80">
        <v>0.918918918918919</v>
      </c>
      <c r="L3624" s="80" t="s">
        <v>4029</v>
      </c>
    </row>
    <row r="3625">
      <c r="A3625" s="80" t="s">
        <v>127</v>
      </c>
      <c r="B3625" s="81" t="str">
        <f>HYPERLINK("https://www.youtube.com/channel/UC97oYK3XMf9RLtkc0lO8C-Q", "健康旦 HiEggo")</f>
        <v>健康旦 HiEggo</v>
      </c>
      <c r="C3625" s="80" t="s">
        <v>4030</v>
      </c>
      <c r="D3625" s="81" t="str">
        <f>HYPERLINK("https://youtube.com/watch?v=Tbapsd1_gOs", "素食技術未完善易引致多重器官衰竭 趙汝威博士： 素食者缺乏胺基酸有危險  - 鄭丹瑞《健康旦》 #趙汝威 博士 Part 13 (CC中文字幕)")</f>
        <v>素食技術未完善易引致多重器官衰竭 趙汝威博士： 素食者缺乏胺基酸有危險  - 鄭丹瑞《健康旦》 #趙汝威 博士 Part 13 (CC中文字幕)</v>
      </c>
      <c r="E3625" s="82">
        <v>44040.0</v>
      </c>
      <c r="F3625" s="80">
        <v>614.0</v>
      </c>
      <c r="G3625" s="80" t="s">
        <v>63</v>
      </c>
      <c r="I3625" s="80" t="s">
        <v>63</v>
      </c>
      <c r="J3625" s="80">
        <v>2317.0</v>
      </c>
      <c r="K3625" s="80">
        <v>0.922372611464968</v>
      </c>
      <c r="L3625" s="80" t="s">
        <v>2771</v>
      </c>
    </row>
    <row r="3626">
      <c r="A3626" s="80" t="s">
        <v>2041</v>
      </c>
      <c r="B3626" s="81" t="str">
        <f>HYPERLINK("https://www.youtube.com/channel/UCO6pB-ZN4XJ6MVkibvuEe0A", "SingSingTracker 星昇財經指標")</f>
        <v>SingSingTracker 星昇財經指標</v>
      </c>
      <c r="C3626" s="80" t="s">
        <v>4031</v>
      </c>
      <c r="D3626" s="81" t="str">
        <f>HYPERLINK("https://youtube.com/watch?v=TcXtROCcu68", "【虛擬銀行mox livi Welab ZA回贈懶人包】5分鐘睇晒｜網購實體消費回贈｜foodpanda Deliveroo yuu特別獎賞 ｜咖啡買一送一 #ZA #mox #livi #welab")</f>
        <v>【虛擬銀行mox livi Welab ZA回贈懶人包】5分鐘睇晒｜網購實體消費回贈｜foodpanda Deliveroo yuu特別獎賞 ｜咖啡買一送一 #ZA #mox #livi #welab</v>
      </c>
      <c r="E3626" s="82">
        <v>44440.0</v>
      </c>
      <c r="F3626" s="80">
        <v>396.0</v>
      </c>
      <c r="G3626" s="80" t="s">
        <v>63</v>
      </c>
      <c r="I3626" s="80" t="s">
        <v>63</v>
      </c>
      <c r="J3626" s="80">
        <v>1156.0</v>
      </c>
      <c r="K3626" s="80">
        <v>0.722048719550281</v>
      </c>
      <c r="L3626" s="80" t="s">
        <v>64</v>
      </c>
    </row>
    <row r="3627">
      <c r="A3627" s="80" t="s">
        <v>98</v>
      </c>
      <c r="B3627" s="81" t="str">
        <f>HYPERLINK("https://www.youtube.com/channel/UCrquuQB6v1Ued2xyRKZreGQ", "Stephen Leung ")</f>
        <v>Stephen Leung </v>
      </c>
      <c r="C3627" s="80" t="s">
        <v>4032</v>
      </c>
      <c r="D3627" s="81" t="str">
        <f>HYPERLINK("https://youtube.com/watch?v=Tes3SGTF5Kw", "【香港美食】花膠 鮑魚 傳統中菜 實而不華 套餐價錢食到連續九年米芝連2星 新同樂魚翅酒家 | 吃喝玩樂")</f>
        <v>【香港美食】花膠 鮑魚 傳統中菜 實而不華 套餐價錢食到連續九年米芝連2星 新同樂魚翅酒家 | 吃喝玩樂</v>
      </c>
      <c r="E3627" s="82">
        <v>44318.0</v>
      </c>
      <c r="F3627" s="80">
        <v>757.0</v>
      </c>
      <c r="G3627" s="80" t="s">
        <v>63</v>
      </c>
      <c r="I3627" s="80" t="s">
        <v>63</v>
      </c>
      <c r="J3627" s="80">
        <v>1738.0</v>
      </c>
      <c r="K3627" s="80">
        <v>0.978052898142937</v>
      </c>
      <c r="L3627" s="80" t="s">
        <v>64</v>
      </c>
    </row>
    <row r="3628">
      <c r="A3628" s="80" t="s">
        <v>245</v>
      </c>
      <c r="B3628" s="81" t="str">
        <f>HYPERLINK("https://www.youtube.com/channel/UCkZ3cOWgnhJheCK7Ywpiezw", "Eagen Kao")</f>
        <v>Eagen Kao</v>
      </c>
      <c r="C3628" s="80" t="s">
        <v>4033</v>
      </c>
      <c r="D3628" s="81" t="str">
        <f>HYPERLINK("https://youtube.com/watch?v=TfPRu4jQsOM", "[講TECH] Aqara Camera Hub 攝影機 配合 無第三方帳戶 Home App 設定！ | Gadget評測 SmartHome")</f>
        <v>[講TECH] Aqara Camera Hub 攝影機 配合 無第三方帳戶 Home App 設定！ | Gadget評測 SmartHome</v>
      </c>
      <c r="E3628" s="82">
        <v>44256.0</v>
      </c>
      <c r="F3628" s="80">
        <v>609.0</v>
      </c>
      <c r="G3628" s="80" t="s">
        <v>63</v>
      </c>
      <c r="I3628" s="80" t="s">
        <v>63</v>
      </c>
      <c r="J3628" s="80">
        <v>1596.0</v>
      </c>
      <c r="K3628" s="80">
        <v>0.610558530986993</v>
      </c>
      <c r="L3628" s="80" t="s">
        <v>102</v>
      </c>
    </row>
    <row r="3629">
      <c r="A3629" s="80" t="s">
        <v>2753</v>
      </c>
      <c r="B3629" s="81" t="str">
        <f>HYPERLINK("https://www.youtube.com/channel/UCxRXNy5P6fLtHYpawxoiqJQ", "焦點視頻")</f>
        <v>焦點視頻</v>
      </c>
      <c r="C3629" s="80" t="s">
        <v>4034</v>
      </c>
      <c r="D3629" s="81" t="str">
        <f>HYPERLINK("https://youtube.com/watch?v=TfZWhzFjiME", "(中字) 奇命！ 王力宏、徐志摩八字竟有相同之處？ 異性緣極旺的八字有何特點？ #八字 #王力宏 #女人緣旺 #徐志摩 《李應聰風水命理》 EP117 20220113")</f>
        <v>(中字) 奇命！ 王力宏、徐志摩八字竟有相同之處？ 異性緣極旺的八字有何特點？ #八字 #王力宏 #女人緣旺 #徐志摩 《李應聰風水命理》 EP117 20220113</v>
      </c>
      <c r="E3629" s="82">
        <v>44574.0</v>
      </c>
      <c r="F3629" s="80">
        <v>536.0</v>
      </c>
      <c r="G3629" s="80" t="s">
        <v>63</v>
      </c>
      <c r="I3629" s="80" t="s">
        <v>63</v>
      </c>
      <c r="J3629" s="80">
        <v>1996.0</v>
      </c>
      <c r="K3629" s="80">
        <v>0.991062562065541</v>
      </c>
      <c r="L3629" s="80" t="s">
        <v>2755</v>
      </c>
    </row>
    <row r="3630">
      <c r="A3630" s="80" t="s">
        <v>127</v>
      </c>
      <c r="B3630" s="81" t="str">
        <f>HYPERLINK("https://www.youtube.com/channel/UC97oYK3XMf9RLtkc0lO8C-Q", "健康旦 HiEggo")</f>
        <v>健康旦 HiEggo</v>
      </c>
      <c r="C3630" s="80" t="s">
        <v>4035</v>
      </c>
      <c r="D3630" s="81" t="str">
        <f>HYPERLINK("https://youtube.com/watch?v=TlLoKy1D0Vc", "流汗季節學問 李維恩教授分享治療盜汗秘方 陶傑中途斷線 - 鄭丹瑞《健康旦》Part 4   (優惠碼: 健康旦 Gaia Group) (CC中文字幕)")</f>
        <v>流汗季節學問 李維恩教授分享治療盜汗秘方 陶傑中途斷線 - 鄭丹瑞《健康旦》Part 4   (優惠碼: 健康旦 Gaia Group) (CC中文字幕)</v>
      </c>
      <c r="E3630" s="82">
        <v>43924.0</v>
      </c>
      <c r="F3630" s="80">
        <v>646.0</v>
      </c>
      <c r="G3630" s="80" t="s">
        <v>63</v>
      </c>
      <c r="I3630" s="80" t="s">
        <v>63</v>
      </c>
      <c r="J3630" s="80">
        <v>2027.0</v>
      </c>
      <c r="K3630" s="80">
        <v>0.966618979494516</v>
      </c>
      <c r="L3630" s="80" t="s">
        <v>64</v>
      </c>
    </row>
    <row r="3631">
      <c r="A3631" s="80" t="s">
        <v>288</v>
      </c>
      <c r="B3631" s="81" t="str">
        <f>HYPERLINK("https://www.youtube.com/channel/UCDWOYEhVnyD4IHZGVAMLc0g", "Brendan 毛爸")</f>
        <v>Brendan 毛爸</v>
      </c>
      <c r="C3631" s="80" t="s">
        <v>4036</v>
      </c>
      <c r="D3631" s="81" t="str">
        <f>HYPERLINK("https://youtube.com/watch?v=TlclTlaw9Ns", "【集合啦！動物森友會 】#5｜每日必做8件事！強烈推薦！傢俬、獎品、DIY 方程式都可以免費得到！賺錢方法！新手必看！")</f>
        <v>【集合啦！動物森友會 】#5｜每日必做8件事！強烈推薦！傢俬、獎品、DIY 方程式都可以免費得到！賺錢方法！新手必看！</v>
      </c>
      <c r="E3631" s="82">
        <v>43940.0</v>
      </c>
      <c r="F3631" s="80">
        <v>295.0</v>
      </c>
      <c r="G3631" s="80" t="s">
        <v>63</v>
      </c>
      <c r="I3631" s="80" t="s">
        <v>63</v>
      </c>
      <c r="J3631" s="80">
        <v>925.0</v>
      </c>
      <c r="K3631" s="80">
        <v>0.954592363261093</v>
      </c>
      <c r="L3631" s="80" t="s">
        <v>64</v>
      </c>
    </row>
    <row r="3632">
      <c r="A3632" s="80" t="s">
        <v>293</v>
      </c>
      <c r="B3632" s="81" t="str">
        <f>HYPERLINK("https://www.youtube.com/channel/UCXRcbXqjORdIvl63I7MtOLQ", "趁熱 Kerry 's kitchen")</f>
        <v>趁熱 Kerry 's kitchen</v>
      </c>
      <c r="C3632" s="80" t="s">
        <v>4037</v>
      </c>
      <c r="D3632" s="81" t="str">
        <f>HYPERLINK("https://youtube.com/watch?v=Tqe335LxvT4", "煎 牛扒/廣東話/中字/在家煎3cm厚牛扒竅/你極可能漏了一件事/簡單 家做/新手 入門/")</f>
        <v>煎 牛扒/廣東話/中字/在家煎3cm厚牛扒竅/你極可能漏了一件事/簡單 家做/新手 入門/</v>
      </c>
      <c r="E3632" s="82">
        <v>44554.0</v>
      </c>
      <c r="F3632" s="80">
        <v>483.0</v>
      </c>
      <c r="G3632" s="80" t="s">
        <v>63</v>
      </c>
      <c r="I3632" s="80" t="s">
        <v>63</v>
      </c>
      <c r="J3632" s="80">
        <v>826.0</v>
      </c>
      <c r="K3632" s="80">
        <v>0.926008968609865</v>
      </c>
      <c r="L3632" s="80" t="s">
        <v>64</v>
      </c>
    </row>
    <row r="3633">
      <c r="A3633" s="80" t="s">
        <v>84</v>
      </c>
      <c r="B3633" s="81" t="str">
        <f>HYPERLINK("https://www.youtube.com/channel/UCs6fW24aVjefTsognevmDnA", "PakTil 拍跳")</f>
        <v>PakTil 拍跳</v>
      </c>
      <c r="C3633" s="80" t="s">
        <v>4038</v>
      </c>
      <c r="D3633" s="81" t="str">
        <f>HYPERLINK("https://youtube.com/watch?v=TsIFqMqn8fk", "【拍跳短跑】 今日嚟試堂")</f>
        <v>【拍跳短跑】 今日嚟試堂</v>
      </c>
      <c r="E3633" s="82">
        <v>44025.0</v>
      </c>
      <c r="F3633" s="80">
        <v>35.0</v>
      </c>
      <c r="G3633" s="80" t="s">
        <v>63</v>
      </c>
      <c r="I3633" s="80" t="s">
        <v>63</v>
      </c>
      <c r="J3633" s="80">
        <v>44.0</v>
      </c>
      <c r="K3633" s="80">
        <v>0.44</v>
      </c>
      <c r="L3633" s="80" t="s">
        <v>86</v>
      </c>
    </row>
    <row r="3634">
      <c r="A3634" s="80" t="s">
        <v>98</v>
      </c>
      <c r="B3634" s="81" t="str">
        <f>HYPERLINK("https://www.youtube.com/channel/UCrquuQB6v1Ued2xyRKZreGQ", "Stephen Leung ")</f>
        <v>Stephen Leung </v>
      </c>
      <c r="C3634" s="80" t="s">
        <v>4039</v>
      </c>
      <c r="D3634" s="81" t="str">
        <f>HYPERLINK("https://youtube.com/watch?v=TvovqN6Pp3c", "【香港酒店】法國醉人晩宴 期間限定 香港君悅酒店 Grand Hyatt Hong Kong Staycation 香港  | 吃喝玩樂")</f>
        <v>【香港酒店】法國醉人晩宴 期間限定 香港君悅酒店 Grand Hyatt Hong Kong Staycation 香港  | 吃喝玩樂</v>
      </c>
      <c r="E3634" s="82">
        <v>44313.0</v>
      </c>
      <c r="F3634" s="80">
        <v>742.0</v>
      </c>
      <c r="G3634" s="80" t="s">
        <v>63</v>
      </c>
      <c r="I3634" s="80" t="s">
        <v>63</v>
      </c>
      <c r="J3634" s="80">
        <v>1931.0</v>
      </c>
      <c r="K3634" s="80">
        <v>0.913866540463795</v>
      </c>
      <c r="L3634" s="80" t="s">
        <v>64</v>
      </c>
    </row>
    <row r="3635">
      <c r="A3635" s="80" t="s">
        <v>293</v>
      </c>
      <c r="B3635" s="81" t="str">
        <f>HYPERLINK("https://www.youtube.com/channel/UCXRcbXqjORdIvl63I7MtOLQ", "趁熱 Kerry 's kitchen")</f>
        <v>趁熱 Kerry 's kitchen</v>
      </c>
      <c r="C3635" s="80" t="s">
        <v>4040</v>
      </c>
      <c r="D3635" s="81" t="str">
        <f>HYPERLINK("https://youtube.com/watch?v=TwWEH4mZBYU", "腸粉 /粵語旁述/中字幕/免蒸平底鑊港式混醬腸粉/一鑊攪掂/H.K pan-fried rice roll /不用蒸/cc")</f>
        <v>腸粉 /粵語旁述/中字幕/免蒸平底鑊港式混醬腸粉/一鑊攪掂/H.K pan-fried rice roll /不用蒸/cc</v>
      </c>
      <c r="E3635" s="82">
        <v>44217.0</v>
      </c>
      <c r="F3635" s="80">
        <v>577.0</v>
      </c>
      <c r="G3635" s="80" t="s">
        <v>63</v>
      </c>
      <c r="I3635" s="80" t="s">
        <v>63</v>
      </c>
      <c r="J3635" s="80">
        <v>1684.0</v>
      </c>
      <c r="K3635" s="80">
        <v>0.983644859813084</v>
      </c>
      <c r="L3635" s="80" t="s">
        <v>64</v>
      </c>
    </row>
    <row r="3636">
      <c r="A3636" s="80" t="s">
        <v>108</v>
      </c>
      <c r="B3636" s="81" t="str">
        <f>HYPERLINK("https://www.youtube.com/channel/UCZL6QN6Xs-ZrKY3y6Pv6Emg", "廢青 - 日賺3000")</f>
        <v>廢青 - 日賺3000</v>
      </c>
      <c r="C3636" s="80" t="s">
        <v>4041</v>
      </c>
      <c r="D3636" s="81" t="str">
        <f>HYPERLINK("https://youtube.com/watch?v=TzUDjNeCB4g", "5月股災 , 今年唯一入市機會 ? 😱😱 ㊙️ #美股 #港股 #A股 #機會 | EP63【廢青 日賺3000】【點CC看中文字幕】")</f>
        <v>5月股災 , 今年唯一入市機會 ? 😱😱 ㊙️ #美股 #港股 #A股 #機會 | EP63【廢青 日賺3000】【點CC看中文字幕】</v>
      </c>
      <c r="E3636" s="82">
        <v>44338.0</v>
      </c>
      <c r="F3636" s="80">
        <v>1204.0</v>
      </c>
      <c r="G3636" s="80" t="s">
        <v>63</v>
      </c>
      <c r="I3636" s="80" t="s">
        <v>63</v>
      </c>
      <c r="J3636" s="80">
        <v>5142.0</v>
      </c>
      <c r="K3636" s="80">
        <v>0.902105263157894</v>
      </c>
      <c r="L3636" s="80" t="s">
        <v>64</v>
      </c>
    </row>
    <row r="3637">
      <c r="A3637" s="80" t="s">
        <v>4042</v>
      </c>
      <c r="B3637" s="81" t="str">
        <f>HYPERLINK("https://www.youtube.com/channel/UC71ezGBToBHIpb0nOSwCJyg", "Bokkey")</f>
        <v>Bokkey</v>
      </c>
      <c r="C3637" s="80" t="s">
        <v>4043</v>
      </c>
      <c r="D3637" s="81" t="str">
        <f>HYPERLINK("https://youtube.com/watch?v=U-3BmtNHqrE", "[鍵盤開箱] 極星 SP-Star MK 101 鍵盤 | 千幾蚊有埋LED Mon仔？| CC廣東話字幕")</f>
        <v>[鍵盤開箱] 極星 SP-Star MK 101 鍵盤 | 千幾蚊有埋LED Mon仔？| CC廣東話字幕</v>
      </c>
      <c r="E3637" s="82">
        <v>44207.0</v>
      </c>
      <c r="F3637" s="80">
        <v>1013.0</v>
      </c>
      <c r="G3637" s="80" t="s">
        <v>63</v>
      </c>
      <c r="I3637" s="80" t="s">
        <v>63</v>
      </c>
      <c r="J3637" s="80">
        <v>1860.0</v>
      </c>
      <c r="K3637" s="80">
        <v>0.824102791315906</v>
      </c>
      <c r="L3637" s="80" t="s">
        <v>64</v>
      </c>
    </row>
    <row r="3638">
      <c r="A3638" s="80" t="s">
        <v>2898</v>
      </c>
      <c r="B3638" s="81" t="str">
        <f>HYPERLINK("https://www.youtube.com/channel/UCy5bjMXbFPglSBNDXfivtOA", "消費者委員會")</f>
        <v>消費者委員會</v>
      </c>
      <c r="C3638" s="80" t="s">
        <v>4044</v>
      </c>
      <c r="D3638" s="81" t="str">
        <f>HYPERLINK("https://youtube.com/watch?v=U2kCgr-SXjg", "《借錢來電 一招搞掂！》當方健儀遇上鍾界仁")</f>
        <v>《借錢來電 一招搞掂！》當方健儀遇上鍾界仁</v>
      </c>
      <c r="E3638" s="82">
        <v>43062.0</v>
      </c>
      <c r="F3638" s="80">
        <v>62.0</v>
      </c>
      <c r="G3638" s="80" t="s">
        <v>63</v>
      </c>
      <c r="I3638" s="80" t="s">
        <v>63</v>
      </c>
      <c r="J3638" s="80">
        <v>202.0</v>
      </c>
      <c r="K3638" s="80">
        <v>1.0</v>
      </c>
      <c r="L3638" s="80" t="s">
        <v>64</v>
      </c>
    </row>
    <row r="3639">
      <c r="A3639" s="80" t="s">
        <v>1260</v>
      </c>
      <c r="B3639" s="81" t="str">
        <f>HYPERLINK("https://www.youtube.com/channel/UCh1k4i86BpiXEO3nzJIYynw", "The Wave")</f>
        <v>The Wave</v>
      </c>
      <c r="C3639" s="80" t="s">
        <v>4045</v>
      </c>
      <c r="D3639" s="81" t="str">
        <f>HYPERLINK("https://youtube.com/watch?v=U4RUgAwbJKc", "TheWave | AirPods 2 真無線耳機 純 開箱")</f>
        <v>TheWave | AirPods 2 真無線耳機 純 開箱</v>
      </c>
      <c r="E3639" s="82">
        <v>43660.0</v>
      </c>
      <c r="F3639" s="80">
        <v>110.0</v>
      </c>
      <c r="G3639" s="80" t="s">
        <v>63</v>
      </c>
      <c r="H3639" s="80" t="s">
        <v>63</v>
      </c>
      <c r="I3639" s="80" t="s">
        <v>63</v>
      </c>
      <c r="J3639" s="80">
        <v>396.0</v>
      </c>
      <c r="K3639" s="80">
        <v>0.748549323017408</v>
      </c>
      <c r="L3639" s="80" t="s">
        <v>1634</v>
      </c>
    </row>
    <row r="3640">
      <c r="A3640" s="80" t="s">
        <v>2829</v>
      </c>
      <c r="B3640" s="81" t="str">
        <f>HYPERLINK("https://www.youtube.com/channel/UC7GnES6AEQlDzaP04UqtyjA", "SOLID IDEA")</f>
        <v>SOLID IDEA</v>
      </c>
      <c r="C3640" s="80" t="s">
        <v>4046</v>
      </c>
      <c r="D3640" s="81" t="str">
        <f>HYPERLINK("https://youtube.com/watch?v=U4T6C7AWPoQ", "[#設計概念] #天鑽 簡約中的歐洲風  | 室內設計 | 空間擺位 | SOLID IDEA |  (CC中文字幕)")</f>
        <v>[#設計概念] #天鑽 簡約中的歐洲風  | 室內設計 | 空間擺位 | SOLID IDEA |  (CC中文字幕)</v>
      </c>
      <c r="E3640" s="82">
        <v>44187.0</v>
      </c>
      <c r="F3640" s="80">
        <v>166.0</v>
      </c>
      <c r="G3640" s="80" t="s">
        <v>63</v>
      </c>
      <c r="I3640" s="80" t="s">
        <v>63</v>
      </c>
      <c r="J3640" s="80">
        <v>568.0</v>
      </c>
      <c r="K3640" s="80">
        <v>0.92962356792144</v>
      </c>
      <c r="L3640" s="80" t="s">
        <v>64</v>
      </c>
    </row>
    <row r="3641">
      <c r="A3641" s="80" t="s">
        <v>127</v>
      </c>
      <c r="B3641" s="81" t="str">
        <f>HYPERLINK("https://www.youtube.com/channel/UC97oYK3XMf9RLtkc0lO8C-Q", "健康旦 HiEggo")</f>
        <v>健康旦 HiEggo</v>
      </c>
      <c r="C3641" s="80" t="s">
        <v>4047</v>
      </c>
      <c r="D3641" s="81" t="str">
        <f>HYPERLINK("https://youtube.com/watch?v=U8k8N8P06uQ", "胡楓行路養生大法 88歲6孫4塞依然紅粉緋緋 父親節坐定定等人慶祝 - 鄭丹瑞《健康旦》#胡楓 訪問 PART 2 (CC中文字幕)")</f>
        <v>胡楓行路養生大法 88歲6孫4塞依然紅粉緋緋 父親節坐定定等人慶祝 - 鄭丹瑞《健康旦》#胡楓 訪問 PART 2 (CC中文字幕)</v>
      </c>
      <c r="E3641" s="82">
        <v>44001.0</v>
      </c>
      <c r="F3641" s="80">
        <v>630.0</v>
      </c>
      <c r="G3641" s="80" t="s">
        <v>63</v>
      </c>
      <c r="I3641" s="80" t="s">
        <v>63</v>
      </c>
      <c r="J3641" s="80">
        <v>1961.0</v>
      </c>
      <c r="K3641" s="80">
        <v>0.985922574157868</v>
      </c>
      <c r="L3641" s="80" t="s">
        <v>64</v>
      </c>
    </row>
    <row r="3642">
      <c r="A3642" s="80" t="s">
        <v>1670</v>
      </c>
      <c r="B3642" s="81" t="str">
        <f>HYPERLINK("https://www.youtube.com/channel/UC-PIt5m-WOg8UVBkt2RnN0g", "阿JACK睇樓團")</f>
        <v>阿JACK睇樓團</v>
      </c>
      <c r="C3642" s="80" t="s">
        <v>4048</v>
      </c>
      <c r="D3642" s="81" t="str">
        <f>HYPERLINK("https://youtube.com/watch?v=U9c7uCNRKws", "阿JACK睇樓團 👑痴👻線 呎價唔使1萬😨三房一套連車位 即刻帶你睇!")</f>
        <v>阿JACK睇樓團 👑痴👻線 呎價唔使1萬😨三房一套連車位 即刻帶你睇!</v>
      </c>
      <c r="E3642" s="82">
        <v>44088.0</v>
      </c>
      <c r="F3642" s="80">
        <v>198.0</v>
      </c>
      <c r="G3642" s="80" t="s">
        <v>63</v>
      </c>
      <c r="I3642" s="80" t="s">
        <v>63</v>
      </c>
      <c r="J3642" s="80">
        <v>250.0</v>
      </c>
      <c r="K3642" s="80">
        <v>0.9765625</v>
      </c>
      <c r="L3642" s="80" t="s">
        <v>64</v>
      </c>
    </row>
    <row r="3643">
      <c r="A3643" s="80" t="s">
        <v>127</v>
      </c>
      <c r="B3643" s="81" t="str">
        <f t="shared" ref="B3643:B3644" si="189">HYPERLINK("https://www.youtube.com/channel/UC97oYK3XMf9RLtkc0lO8C-Q", "健康旦 HiEggo")</f>
        <v>健康旦 HiEggo</v>
      </c>
      <c r="C3643" s="80" t="s">
        <v>4049</v>
      </c>
      <c r="D3643" s="81" t="str">
        <f>HYPERLINK("https://youtube.com/watch?v=UBsyNzJX50c", "陳美齡曾患乳癌 為見細仔成長決心抗癌 獲老公面對生死態度點醒 - 鄭丹瑞《健康旦》 #陳美齡 Part 1 (CC中文字幕)")</f>
        <v>陳美齡曾患乳癌 為見細仔成長決心抗癌 獲老公面對生死態度點醒 - 鄭丹瑞《健康旦》 #陳美齡 Part 1 (CC中文字幕)</v>
      </c>
      <c r="E3643" s="82">
        <v>44119.0</v>
      </c>
      <c r="F3643" s="80">
        <v>613.0</v>
      </c>
      <c r="G3643" s="80" t="s">
        <v>63</v>
      </c>
      <c r="I3643" s="80" t="s">
        <v>63</v>
      </c>
      <c r="J3643" s="80">
        <v>1896.0</v>
      </c>
      <c r="K3643" s="80">
        <v>0.967840735068912</v>
      </c>
      <c r="L3643" s="80" t="s">
        <v>64</v>
      </c>
    </row>
    <row r="3644">
      <c r="A3644" s="80" t="s">
        <v>127</v>
      </c>
      <c r="B3644" s="81" t="str">
        <f t="shared" si="189"/>
        <v>健康旦 HiEggo</v>
      </c>
      <c r="C3644" s="80" t="s">
        <v>4050</v>
      </c>
      <c r="D3644" s="81" t="str">
        <f>HYPERLINK("https://youtube.com/watch?v=UEzxTBqZ4Wc", "李嘉誠抗衰老藥「樂加欣」功效好唔好？張堅庭：「衰老是一種病！」蕭老闆亂入搭嘴：「你同一年前判若兩人！」 - 鄭丹瑞《健康旦》張堅庭  @Comma  PART 3")</f>
        <v>李嘉誠抗衰老藥「樂加欣」功效好唔好？張堅庭：「衰老是一種病！」蕭老闆亂入搭嘴：「你同一年前判若兩人！」 - 鄭丹瑞《健康旦》張堅庭  @Comma  PART 3</v>
      </c>
      <c r="E3644" s="82">
        <v>43918.0</v>
      </c>
      <c r="F3644" s="80">
        <v>689.0</v>
      </c>
      <c r="G3644" s="80" t="s">
        <v>63</v>
      </c>
      <c r="I3644" s="80" t="s">
        <v>63</v>
      </c>
      <c r="J3644" s="80">
        <v>2408.0</v>
      </c>
      <c r="K3644" s="80">
        <v>0.96127744510978</v>
      </c>
      <c r="L3644" s="80" t="s">
        <v>102</v>
      </c>
    </row>
    <row r="3645">
      <c r="A3645" s="80" t="s">
        <v>2750</v>
      </c>
      <c r="B3645" s="81" t="str">
        <f>HYPERLINK("https://www.youtube.com/channel/UCSuH-OhqmtA_2OladWB56Xw", "Knight Lai")</f>
        <v>Knight Lai</v>
      </c>
      <c r="C3645" s="80" t="s">
        <v>4051</v>
      </c>
      <c r="D3645" s="81" t="str">
        <f>HYPERLINK("https://youtube.com/watch?v=UGCexulpHvY", "[潮文連環圖] CUT唔到有線潮文")</f>
        <v>[潮文連環圖] CUT唔到有線潮文</v>
      </c>
      <c r="E3645" s="82">
        <v>41532.0</v>
      </c>
      <c r="F3645" s="80">
        <v>225.0</v>
      </c>
      <c r="G3645" s="80" t="s">
        <v>63</v>
      </c>
      <c r="I3645" s="80" t="s">
        <v>63</v>
      </c>
      <c r="J3645" s="80">
        <v>877.0</v>
      </c>
      <c r="K3645" s="80">
        <v>0.90880829015544</v>
      </c>
      <c r="L3645" s="80" t="s">
        <v>64</v>
      </c>
    </row>
    <row r="3646">
      <c r="A3646" s="80" t="s">
        <v>108</v>
      </c>
      <c r="B3646" s="81" t="str">
        <f>HYPERLINK("https://www.youtube.com/channel/UCZL6QN6Xs-ZrKY3y6Pv6Emg", "廢青 - 日賺3000")</f>
        <v>廢青 - 日賺3000</v>
      </c>
      <c r="C3646" s="80" t="s">
        <v>4052</v>
      </c>
      <c r="D3646" s="81" t="str">
        <f>HYPERLINK("https://youtube.com/watch?v=UH5V3cjQO1c", "收息思維 VS 打工思維‼️ EP01【廢青 日賺3000】【點CC看中文字幕】")</f>
        <v>收息思維 VS 打工思維‼️ EP01【廢青 日賺3000】【點CC看中文字幕】</v>
      </c>
      <c r="E3646" s="82">
        <v>44022.0</v>
      </c>
      <c r="F3646" s="80">
        <v>510.0</v>
      </c>
      <c r="G3646" s="80" t="s">
        <v>63</v>
      </c>
      <c r="I3646" s="80" t="s">
        <v>63</v>
      </c>
      <c r="J3646" s="80">
        <v>2055.0</v>
      </c>
      <c r="K3646" s="80">
        <v>0.908086610693769</v>
      </c>
      <c r="L3646" s="80" t="s">
        <v>64</v>
      </c>
    </row>
    <row r="3647">
      <c r="A3647" s="80" t="s">
        <v>1260</v>
      </c>
      <c r="B3647" s="81" t="str">
        <f t="shared" ref="B3647:B3648" si="190">HYPERLINK("https://www.youtube.com/channel/UCh1k4i86BpiXEO3nzJIYynw", "The Wave")</f>
        <v>The Wave</v>
      </c>
      <c r="C3647" s="80" t="s">
        <v>4053</v>
      </c>
      <c r="D3647" s="81" t="str">
        <f>HYPERLINK("https://youtube.com/watch?v=UILEqkyf0q0", "TheWave | Sony Xperia 5 簡單開箱")</f>
        <v>TheWave | Sony Xperia 5 簡單開箱</v>
      </c>
      <c r="E3647" s="82">
        <v>43745.0</v>
      </c>
      <c r="F3647" s="80">
        <v>134.0</v>
      </c>
      <c r="G3647" s="80" t="s">
        <v>63</v>
      </c>
      <c r="H3647" s="80" t="s">
        <v>63</v>
      </c>
      <c r="I3647" s="80" t="s">
        <v>63</v>
      </c>
      <c r="J3647" s="80">
        <v>384.0</v>
      </c>
      <c r="K3647" s="80">
        <v>0.708487084870848</v>
      </c>
      <c r="L3647" s="80" t="s">
        <v>1634</v>
      </c>
    </row>
    <row r="3648">
      <c r="A3648" s="80" t="s">
        <v>1260</v>
      </c>
      <c r="B3648" s="81" t="str">
        <f t="shared" si="190"/>
        <v>The Wave</v>
      </c>
      <c r="C3648" s="80" t="s">
        <v>4054</v>
      </c>
      <c r="D3648" s="81" t="str">
        <f>HYPERLINK("https://youtube.com/watch?v=UOqU5kJ9-ys", "TheWave | Sony Xperia 1 一個月後 用後感 討論")</f>
        <v>TheWave | Sony Xperia 1 一個月後 用後感 討論</v>
      </c>
      <c r="E3648" s="82">
        <v>43653.0</v>
      </c>
      <c r="F3648" s="80">
        <v>277.0</v>
      </c>
      <c r="G3648" s="80" t="s">
        <v>63</v>
      </c>
      <c r="H3648" s="80" t="s">
        <v>63</v>
      </c>
      <c r="I3648" s="80" t="s">
        <v>63</v>
      </c>
      <c r="J3648" s="80">
        <v>1099.0</v>
      </c>
      <c r="K3648" s="80">
        <v>0.857254290171606</v>
      </c>
      <c r="L3648" s="80" t="s">
        <v>1634</v>
      </c>
    </row>
    <row r="3649">
      <c r="A3649" s="80" t="s">
        <v>293</v>
      </c>
      <c r="B3649" s="81" t="str">
        <f>HYPERLINK("https://www.youtube.com/channel/UCXRcbXqjORdIvl63I7MtOLQ", "趁熱 Kerry 's kitchen")</f>
        <v>趁熱 Kerry 's kitchen</v>
      </c>
      <c r="C3649" s="80" t="s">
        <v>4055</v>
      </c>
      <c r="D3649" s="81" t="str">
        <f>HYPERLINK("https://youtube.com/watch?v=URR0GHTCKfs", "芋頭椰汁西米露/超簡單 零失敗/簡單 家做/新手 入門/廣東話/中文字幕")</f>
        <v>芋頭椰汁西米露/超簡單 零失敗/簡單 家做/新手 入門/廣東話/中文字幕</v>
      </c>
      <c r="E3649" s="82">
        <v>44389.0</v>
      </c>
      <c r="F3649" s="80">
        <v>257.0</v>
      </c>
      <c r="G3649" s="80" t="s">
        <v>63</v>
      </c>
      <c r="I3649" s="80" t="s">
        <v>63</v>
      </c>
      <c r="J3649" s="80">
        <v>682.0</v>
      </c>
      <c r="K3649" s="80">
        <v>0.970128022759601</v>
      </c>
      <c r="L3649" s="80" t="s">
        <v>64</v>
      </c>
    </row>
    <row r="3650">
      <c r="A3650" s="80" t="s">
        <v>1606</v>
      </c>
      <c r="B3650" s="81" t="str">
        <f>HYPERLINK("https://www.youtube.com/channel/UCk25FUc8pLiP3A6Zniknxbg", "希治閣【遊戲情報科】")</f>
        <v>希治閣【遊戲情報科】</v>
      </c>
      <c r="C3650" s="80" t="s">
        <v>4056</v>
      </c>
      <c r="D3650" s="81" t="str">
        <f>HYPERLINK("https://youtube.com/watch?v=URw38zP4v_E", "遊戲情報科 - EP11 - 2015/3/27 -《魔界戰記5》《軒轅劍 穹之扉》《Besiege》《Ori and the Blind Forest》")</f>
        <v>遊戲情報科 - EP11 - 2015/3/27 -《魔界戰記5》《軒轅劍 穹之扉》《Besiege》《Ori and the Blind Forest》</v>
      </c>
      <c r="E3650" s="82">
        <v>42090.0</v>
      </c>
      <c r="F3650" s="80">
        <v>486.0</v>
      </c>
      <c r="G3650" s="80" t="s">
        <v>63</v>
      </c>
      <c r="I3650" s="80" t="s">
        <v>63</v>
      </c>
      <c r="J3650" s="80">
        <v>2013.0</v>
      </c>
      <c r="K3650" s="80">
        <v>0.89031402034498</v>
      </c>
      <c r="L3650" s="80" t="s">
        <v>64</v>
      </c>
    </row>
    <row r="3651">
      <c r="A3651" s="80" t="s">
        <v>2942</v>
      </c>
      <c r="B3651" s="81" t="str">
        <f>HYPERLINK("https://www.youtube.com/channel/UCFOFvhsNWMPHwvbfHl7K6qw", "司徒文進 CROSSBONE")</f>
        <v>司徒文進 CROSSBONE</v>
      </c>
      <c r="C3651" s="80" t="s">
        <v>4057</v>
      </c>
      <c r="D3651" s="81" t="str">
        <f>HYPERLINK("https://youtube.com/watch?v=URwCNVxnlcE", "（中字）（特備節目）賭場MIB事件薄：台長梁錦祥、司徒文進")</f>
        <v>（中字）（特備節目）賭場MIB事件薄：台長梁錦祥、司徒文進</v>
      </c>
      <c r="E3651" s="82">
        <v>44557.0</v>
      </c>
      <c r="F3651" s="80">
        <v>2900.0</v>
      </c>
      <c r="G3651" s="80" t="s">
        <v>63</v>
      </c>
      <c r="I3651" s="80" t="s">
        <v>63</v>
      </c>
      <c r="J3651" s="80">
        <v>7174.0</v>
      </c>
      <c r="K3651" s="80">
        <v>0.966716076000539</v>
      </c>
      <c r="L3651" s="80" t="s">
        <v>64</v>
      </c>
    </row>
    <row r="3652">
      <c r="A3652" s="80" t="s">
        <v>98</v>
      </c>
      <c r="B3652" s="81" t="str">
        <f>HYPERLINK("https://www.youtube.com/channel/UCrquuQB6v1Ued2xyRKZreGQ", "Stephen Leung ")</f>
        <v>Stephen Leung </v>
      </c>
      <c r="C3652" s="80" t="s">
        <v>4058</v>
      </c>
      <c r="D3652" s="81" t="str">
        <f>HYPERLINK("https://youtube.com/watch?v=US1XpZAUQG4", "【香港美食】海鮮 和牛燒肉 居酒屋 🔥送原條日本象拔蚌刺身 清酒半價!!! 高質海鮮 鮮甜澳洲龍蝦刺身 多元化居酒屋 元朗美食 豐森水產 | 吃喝玩樂  2021 香港好去處 消費券")</f>
        <v>【香港美食】海鮮 和牛燒肉 居酒屋 🔥送原條日本象拔蚌刺身 清酒半價!!! 高質海鮮 鮮甜澳洲龍蝦刺身 多元化居酒屋 元朗美食 豐森水產 | 吃喝玩樂  2021 香港好去處 消費券</v>
      </c>
      <c r="E3652" s="82">
        <v>44441.0</v>
      </c>
      <c r="F3652" s="80">
        <v>628.0</v>
      </c>
      <c r="G3652" s="80" t="s">
        <v>63</v>
      </c>
      <c r="I3652" s="80" t="s">
        <v>63</v>
      </c>
      <c r="J3652" s="80">
        <v>1478.0</v>
      </c>
      <c r="K3652" s="80">
        <v>0.98140770252324</v>
      </c>
      <c r="L3652" s="80" t="s">
        <v>64</v>
      </c>
    </row>
    <row r="3653">
      <c r="A3653" s="80" t="s">
        <v>1987</v>
      </c>
      <c r="B3653" s="81" t="str">
        <f>HYPERLINK("https://www.youtube.com/channel/UCgGUmm04nVyj-ftaCxVcyBg", "MangoHK大馬獅家")</f>
        <v>MangoHK大馬獅家</v>
      </c>
      <c r="C3653" s="80" t="s">
        <v>4059</v>
      </c>
      <c r="D3653" s="81" t="str">
        <f>HYPERLINK("https://youtube.com/watch?v=UVB7xKVecgc", "【2】🍺酒吧味薯片, 🌮送啤酒! {字幕}  Subtitled | [DIY]Homemade Nachos Cheese Sauce Recipe | Malaysia Vlog | mm2h")</f>
        <v>【2】🍺酒吧味薯片, 🌮送啤酒! {字幕}  Subtitled | [DIY]Homemade Nachos Cheese Sauce Recipe | Malaysia Vlog | mm2h</v>
      </c>
      <c r="E3653" s="82">
        <v>44444.0</v>
      </c>
      <c r="F3653" s="80">
        <v>148.0</v>
      </c>
      <c r="G3653" s="80" t="s">
        <v>63</v>
      </c>
      <c r="I3653" s="80" t="s">
        <v>63</v>
      </c>
      <c r="J3653" s="80">
        <v>189.0</v>
      </c>
      <c r="K3653" s="80">
        <v>0.994736842105263</v>
      </c>
      <c r="L3653" s="80" t="s">
        <v>521</v>
      </c>
    </row>
    <row r="3654">
      <c r="A3654" s="80" t="s">
        <v>293</v>
      </c>
      <c r="B3654" s="81" t="str">
        <f>HYPERLINK("https://www.youtube.com/channel/UCXRcbXqjORdIvl63I7MtOLQ", "趁熱 Kerry 's kitchen")</f>
        <v>趁熱 Kerry 's kitchen</v>
      </c>
      <c r="C3654" s="80" t="s">
        <v>4060</v>
      </c>
      <c r="D3654" s="81" t="str">
        <f>HYPERLINK("https://youtube.com/watch?v=UaazYIu6iDk", "回 鍋肉/少油版/不會肥仔/少辣版/堅好餸飯/非五花肉做一樣得/低成本/廣東話/中字")</f>
        <v>回 鍋肉/少油版/不會肥仔/少辣版/堅好餸飯/非五花肉做一樣得/低成本/廣東話/中字</v>
      </c>
      <c r="E3654" s="82">
        <v>44473.0</v>
      </c>
      <c r="F3654" s="80">
        <v>483.0</v>
      </c>
      <c r="G3654" s="80" t="s">
        <v>63</v>
      </c>
      <c r="I3654" s="80" t="s">
        <v>63</v>
      </c>
      <c r="J3654" s="80">
        <v>690.0</v>
      </c>
      <c r="K3654" s="80">
        <v>0.978723404255319</v>
      </c>
      <c r="L3654" s="80" t="s">
        <v>64</v>
      </c>
    </row>
    <row r="3655">
      <c r="A3655" s="80" t="s">
        <v>2780</v>
      </c>
      <c r="B3655" s="81" t="str">
        <f>HYPERLINK("https://www.youtube.com/channel/UC0CojhLcc0VESgaG633m5kA", "RainErs")</f>
        <v>RainErs</v>
      </c>
      <c r="C3655" s="80" t="s">
        <v>4061</v>
      </c>
      <c r="D3655" s="81" t="str">
        <f>HYPERLINK("https://youtube.com/watch?v=UcW0mxsrBTc", "mini 2小配件[開箱]--開箱保護罩➕➕防光罩--航拍新手絕對有幫助❓❓//[有CC字幕]")</f>
        <v>mini 2小配件[開箱]--開箱保護罩➕➕防光罩--航拍新手絕對有幫助❓❓//[有CC字幕]</v>
      </c>
      <c r="E3655" s="82">
        <v>44299.0</v>
      </c>
      <c r="F3655" s="80">
        <v>273.0</v>
      </c>
      <c r="G3655" s="80" t="s">
        <v>63</v>
      </c>
      <c r="I3655" s="80" t="s">
        <v>63</v>
      </c>
      <c r="J3655" s="80">
        <v>1088.0</v>
      </c>
      <c r="K3655" s="80">
        <v>0.938740293356341</v>
      </c>
      <c r="L3655" s="80" t="s">
        <v>64</v>
      </c>
    </row>
    <row r="3656">
      <c r="A3656" s="80" t="s">
        <v>293</v>
      </c>
      <c r="B3656" s="81" t="str">
        <f>HYPERLINK("https://www.youtube.com/channel/UCXRcbXqjORdIvl63I7MtOLQ", "趁熱 Kerry 's kitchen")</f>
        <v>趁熱 Kerry 's kitchen</v>
      </c>
      <c r="C3656" s="80" t="s">
        <v>4062</v>
      </c>
      <c r="D3656" s="81" t="str">
        <f>HYPERLINK("https://youtube.com/watch?v=Ui-lZD_W2tU", "星洲炒米/炒米粉 香港/簡單 家做/茶記味道/有鑊氣/新手 入門/粵語/中字/請打開cc字幕提供英文及多國語言翻譯")</f>
        <v>星洲炒米/炒米粉 香港/簡單 家做/茶記味道/有鑊氣/新手 入門/粵語/中字/請打開cc字幕提供英文及多國語言翻譯</v>
      </c>
      <c r="E3656" s="82">
        <v>44342.0</v>
      </c>
      <c r="F3656" s="80">
        <v>539.0</v>
      </c>
      <c r="G3656" s="80" t="s">
        <v>63</v>
      </c>
      <c r="I3656" s="80" t="s">
        <v>63</v>
      </c>
      <c r="J3656" s="80">
        <v>1150.0</v>
      </c>
      <c r="K3656" s="80">
        <v>0.98458904109589</v>
      </c>
      <c r="L3656" s="80" t="s">
        <v>64</v>
      </c>
    </row>
    <row r="3657">
      <c r="A3657" s="80" t="s">
        <v>84</v>
      </c>
      <c r="B3657" s="81" t="str">
        <f>HYPERLINK("https://www.youtube.com/channel/UCs6fW24aVjefTsognevmDnA", "PakTil 拍跳")</f>
        <v>PakTil 拍跳</v>
      </c>
      <c r="C3657" s="80" t="s">
        <v>4063</v>
      </c>
      <c r="D3657" s="81" t="str">
        <f>HYPERLINK("https://youtube.com/watch?v=UkHyOEGIH1U", "【拍跳抽水站】勾手指尾 (#睇完仲L悶) 版｜金曲改編")</f>
        <v>【拍跳抽水站】勾手指尾 (#睇完仲L悶) 版｜金曲改編</v>
      </c>
      <c r="E3657" s="82">
        <v>44247.0</v>
      </c>
      <c r="F3657" s="80">
        <v>209.0</v>
      </c>
      <c r="G3657" s="80" t="s">
        <v>63</v>
      </c>
      <c r="I3657" s="80" t="s">
        <v>63</v>
      </c>
      <c r="J3657" s="80">
        <v>412.0</v>
      </c>
      <c r="K3657" s="80">
        <v>0.978622327790973</v>
      </c>
      <c r="L3657" s="80" t="s">
        <v>745</v>
      </c>
    </row>
    <row r="3658">
      <c r="A3658" s="80" t="s">
        <v>1260</v>
      </c>
      <c r="B3658" s="81" t="str">
        <f>HYPERLINK("https://www.youtube.com/channel/UCh1k4i86BpiXEO3nzJIYynw", "The Wave")</f>
        <v>The Wave</v>
      </c>
      <c r="C3658" s="80" t="s">
        <v>4064</v>
      </c>
      <c r="D3658" s="81" t="str">
        <f>HYPERLINK("https://youtube.com/watch?v=UkQqf3Ls9_0", "TheWave | Xperia XZ3 觸控手機套 SCTH70 開箱")</f>
        <v>TheWave | Xperia XZ3 觸控手機套 SCTH70 開箱</v>
      </c>
      <c r="E3658" s="82">
        <v>43392.0</v>
      </c>
      <c r="F3658" s="80">
        <v>108.0</v>
      </c>
      <c r="G3658" s="80" t="s">
        <v>63</v>
      </c>
      <c r="H3658" s="80" t="s">
        <v>63</v>
      </c>
      <c r="I3658" s="80" t="s">
        <v>63</v>
      </c>
      <c r="J3658" s="80">
        <v>434.0</v>
      </c>
      <c r="K3658" s="80">
        <v>0.850980392156862</v>
      </c>
      <c r="L3658" s="80" t="s">
        <v>120</v>
      </c>
    </row>
    <row r="3659">
      <c r="A3659" s="80" t="s">
        <v>127</v>
      </c>
      <c r="B3659" s="81" t="str">
        <f>HYPERLINK("https://www.youtube.com/channel/UC97oYK3XMf9RLtkc0lO8C-Q", "健康旦 HiEggo")</f>
        <v>健康旦 HiEggo</v>
      </c>
      <c r="C3659" s="80" t="s">
        <v>4065</v>
      </c>
      <c r="D3659" s="81" t="str">
        <f>HYPERLINK("https://youtube.com/watch?v=UlehcqRY_cw", "梁卓偉專訪（中）香港本地防疫較新加坡理想 若醫療系統崩潰 死亡率將直線上升  - 鄭丹瑞《健康旦》港大梁卓偉教授 - Part 2 (CC中文字幕)")</f>
        <v>梁卓偉專訪（中）香港本地防疫較新加坡理想 若醫療系統崩潰 死亡率將直線上升  - 鄭丹瑞《健康旦》港大梁卓偉教授 - Part 2 (CC中文字幕)</v>
      </c>
      <c r="E3659" s="82">
        <v>43926.0</v>
      </c>
      <c r="F3659" s="80">
        <v>715.0</v>
      </c>
      <c r="G3659" s="80" t="s">
        <v>63</v>
      </c>
      <c r="I3659" s="80" t="s">
        <v>63</v>
      </c>
      <c r="J3659" s="80">
        <v>2545.0</v>
      </c>
      <c r="K3659" s="80">
        <v>0.998822605965463</v>
      </c>
      <c r="L3659" s="80" t="s">
        <v>102</v>
      </c>
    </row>
    <row r="3660">
      <c r="A3660" s="80" t="s">
        <v>1553</v>
      </c>
      <c r="B3660" s="81" t="str">
        <f>HYPERLINK("https://www.youtube.com/channel/UC5gQ01ai9nF2x43fYmO1vow", "Ck釣魚冒險")</f>
        <v>Ck釣魚冒險</v>
      </c>
      <c r="C3660" s="80" t="s">
        <v>4066</v>
      </c>
      <c r="D3660" s="81" t="str">
        <f>HYPERLINK("https://youtube.com/watch?v=Uq5ambTagkw", "【JIG】 西水獨木舟釣行 SLJ鐵板 JIGGING 係可以中烏頭的/ Kayak fishing/ 香港釣魚/ 香港のカヤック ジギング 📣CC字幕")</f>
        <v>【JIG】 西水獨木舟釣行 SLJ鐵板 JIGGING 係可以中烏頭的/ Kayak fishing/ 香港釣魚/ 香港のカヤック ジギング 📣CC字幕</v>
      </c>
      <c r="E3660" s="82">
        <v>44270.0</v>
      </c>
      <c r="F3660" s="80">
        <v>649.0</v>
      </c>
      <c r="G3660" s="80" t="s">
        <v>63</v>
      </c>
      <c r="I3660" s="80" t="s">
        <v>63</v>
      </c>
      <c r="J3660" s="80">
        <v>71.0</v>
      </c>
      <c r="K3660" s="80">
        <v>0.934210526315789</v>
      </c>
      <c r="L3660" s="80" t="s">
        <v>64</v>
      </c>
    </row>
    <row r="3661">
      <c r="A3661" s="80" t="s">
        <v>127</v>
      </c>
      <c r="B3661" s="81" t="str">
        <f t="shared" ref="B3661:B3664" si="191">HYPERLINK("https://www.youtube.com/channel/UC97oYK3XMf9RLtkc0lO8C-Q", "健康旦 HiEggo")</f>
        <v>健康旦 HiEggo</v>
      </c>
      <c r="C3661" s="80" t="s">
        <v>4067</v>
      </c>
      <c r="D3661" s="81" t="str">
        <f>HYPERLINK("https://youtube.com/watch?v=UqMf0sv-Ll4", "打邊爐、食魚生易傳染肝炎等細菌 服用止痛藥傷肝臟 花生油毛霉菌可致脂肪肝 - 鄭丹瑞《健康旦》#趙汝威 Part 17 (CC中文字幕)")</f>
        <v>打邊爐、食魚生易傳染肝炎等細菌 服用止痛藥傷肝臟 花生油毛霉菌可致脂肪肝 - 鄭丹瑞《健康旦》#趙汝威 Part 17 (CC中文字幕)</v>
      </c>
      <c r="E3661" s="82">
        <v>44105.0</v>
      </c>
      <c r="F3661" s="80">
        <v>590.0</v>
      </c>
      <c r="G3661" s="80" t="s">
        <v>63</v>
      </c>
      <c r="I3661" s="80" t="s">
        <v>63</v>
      </c>
      <c r="J3661" s="80">
        <v>2095.0</v>
      </c>
      <c r="K3661" s="80">
        <v>0.951407811080835</v>
      </c>
      <c r="L3661" s="80" t="s">
        <v>2771</v>
      </c>
    </row>
    <row r="3662">
      <c r="A3662" s="80" t="s">
        <v>127</v>
      </c>
      <c r="B3662" s="81" t="str">
        <f t="shared" si="191"/>
        <v>健康旦 HiEggo</v>
      </c>
      <c r="C3662" s="80" t="s">
        <v>4068</v>
      </c>
      <c r="D3662" s="81" t="str">
        <f>HYPERLINK("https://youtube.com/watch?v=UqZUG0116WQ", "糖尿病或近視長者易患白內障 眼科專科醫生：白內障手術應及早做 人工晶體技術解決近視及老花 - 鄭丹瑞《健康旦》眼科專科醫生 #林順潮 Part 1 (CC中文字幕)")</f>
        <v>糖尿病或近視長者易患白內障 眼科專科醫生：白內障手術應及早做 人工晶體技術解決近視及老花 - 鄭丹瑞《健康旦》眼科專科醫生 #林順潮 Part 1 (CC中文字幕)</v>
      </c>
      <c r="E3662" s="82">
        <v>44041.0</v>
      </c>
      <c r="F3662" s="80">
        <v>729.0</v>
      </c>
      <c r="G3662" s="80" t="s">
        <v>63</v>
      </c>
      <c r="I3662" s="80" t="s">
        <v>63</v>
      </c>
      <c r="J3662" s="80">
        <v>3326.0</v>
      </c>
      <c r="K3662" s="80">
        <v>0.987529691211401</v>
      </c>
      <c r="L3662" s="80" t="s">
        <v>2771</v>
      </c>
    </row>
    <row r="3663">
      <c r="A3663" s="80" t="s">
        <v>127</v>
      </c>
      <c r="B3663" s="81" t="str">
        <f t="shared" si="191"/>
        <v>健康旦 HiEggo</v>
      </c>
      <c r="C3663" s="80" t="s">
        <v>4069</v>
      </c>
      <c r="D3663" s="81" t="str">
        <f>HYPERLINK("https://youtube.com/watch?v=UrT-WkDTXrs", "太極拳6派各有特色 傳統陳式太極快慢皆可 倪秉郎授徒200人一招一式慢慢教 - 鄭丹瑞《健康旦》倪秉郎 # Part 3 (CC中文字幕)")</f>
        <v>太極拳6派各有特色 傳統陳式太極快慢皆可 倪秉郎授徒200人一招一式慢慢教 - 鄭丹瑞《健康旦》倪秉郎 # Part 3 (CC中文字幕)</v>
      </c>
      <c r="E3663" s="82">
        <v>44126.0</v>
      </c>
      <c r="F3663" s="80">
        <v>482.0</v>
      </c>
      <c r="G3663" s="80" t="s">
        <v>63</v>
      </c>
      <c r="I3663" s="80" t="s">
        <v>63</v>
      </c>
      <c r="J3663" s="80">
        <v>1931.0</v>
      </c>
      <c r="K3663" s="80">
        <v>0.993312757201646</v>
      </c>
      <c r="L3663" s="80" t="s">
        <v>2771</v>
      </c>
    </row>
    <row r="3664">
      <c r="A3664" s="80" t="s">
        <v>127</v>
      </c>
      <c r="B3664" s="81" t="str">
        <f t="shared" si="191"/>
        <v>健康旦 HiEggo</v>
      </c>
      <c r="C3664" s="80" t="s">
        <v>4070</v>
      </c>
      <c r="D3664" s="81" t="str">
        <f>HYPERLINK("https://youtube.com/watch?v=UsJLiIN1_o4", "黑妹李麗霞驗中風卻意外發現患肺癌 年半兩次手術認定孫仔為生存目標 - 鄭丹瑞《健康旦》黑妹李麗霞 Part 2（CC中文字幕）")</f>
        <v>黑妹李麗霞驗中風卻意外發現患肺癌 年半兩次手術認定孫仔為生存目標 - 鄭丹瑞《健康旦》黑妹李麗霞 Part 2（CC中文字幕）</v>
      </c>
      <c r="E3664" s="82">
        <v>43968.0</v>
      </c>
      <c r="F3664" s="80">
        <v>614.0</v>
      </c>
      <c r="G3664" s="80" t="s">
        <v>63</v>
      </c>
      <c r="I3664" s="80" t="s">
        <v>63</v>
      </c>
      <c r="J3664" s="80">
        <v>1631.0</v>
      </c>
      <c r="K3664" s="80">
        <v>0.992696287279367</v>
      </c>
      <c r="L3664" s="80" t="s">
        <v>64</v>
      </c>
    </row>
    <row r="3665">
      <c r="A3665" s="80" t="s">
        <v>755</v>
      </c>
      <c r="B3665" s="81" t="str">
        <f>HYPERLINK("https://www.youtube.com/channel/UCBiJDTc82IM68KVH873VeAw", "Live in Kwangsi廣西人·情·味")</f>
        <v>Live in Kwangsi廣西人·情·味</v>
      </c>
      <c r="C3665" s="80" t="s">
        <v>4071</v>
      </c>
      <c r="D3665" s="81" t="str">
        <f>HYPERLINK("https://youtube.com/watch?v=UsT46IsaPR8", "澳門掠影｜澳門簡介｜日常實拍")</f>
        <v>澳門掠影｜澳門簡介｜日常實拍</v>
      </c>
      <c r="E3665" s="82">
        <v>44459.0</v>
      </c>
      <c r="F3665" s="80">
        <v>326.0</v>
      </c>
      <c r="G3665" s="80" t="s">
        <v>63</v>
      </c>
      <c r="H3665" s="80" t="s">
        <v>63</v>
      </c>
      <c r="I3665" s="80" t="s">
        <v>63</v>
      </c>
      <c r="J3665" s="80">
        <v>891.0</v>
      </c>
      <c r="K3665" s="80">
        <v>0.940865892291446</v>
      </c>
      <c r="L3665" s="80" t="s">
        <v>776</v>
      </c>
    </row>
    <row r="3666">
      <c r="A3666" s="80" t="s">
        <v>238</v>
      </c>
      <c r="B3666" s="81" t="str">
        <f>HYPERLINK("https://www.youtube.com/channel/UCSBkm4LwpgBmcA3MCtO8vqg", "Post76影音玩樂")</f>
        <v>Post76影音玩樂</v>
      </c>
      <c r="C3666" s="80" t="s">
        <v>4072</v>
      </c>
      <c r="D3666" s="81" t="str">
        <f>HYPERLINK("https://youtube.com/watch?v=UwIXJTp4HNA", "丹麥音響代表 Jacob Jensen S7 Soundbar : 打造品味與音質享受的 Dolby Atmos 7.1.4 影院級音效（附設cc字幕）【 Soundbar 評測 】")</f>
        <v>丹麥音響代表 Jacob Jensen S7 Soundbar : 打造品味與音質享受的 Dolby Atmos 7.1.4 影院級音效（附設cc字幕）【 Soundbar 評測 】</v>
      </c>
      <c r="E3666" s="82">
        <v>44539.0</v>
      </c>
      <c r="F3666" s="80">
        <v>1168.0</v>
      </c>
      <c r="G3666" s="80" t="s">
        <v>63</v>
      </c>
      <c r="H3666" s="80" t="s">
        <v>63</v>
      </c>
      <c r="I3666" s="80" t="s">
        <v>63</v>
      </c>
      <c r="J3666" s="80">
        <v>4142.0</v>
      </c>
      <c r="K3666" s="80">
        <v>0.843285190773873</v>
      </c>
      <c r="L3666" s="80" t="s">
        <v>240</v>
      </c>
    </row>
    <row r="3667">
      <c r="A3667" s="80" t="s">
        <v>1260</v>
      </c>
      <c r="B3667" s="81" t="str">
        <f>HYPERLINK("https://www.youtube.com/channel/UCh1k4i86BpiXEO3nzJIYynw", "The Wave")</f>
        <v>The Wave</v>
      </c>
      <c r="C3667" s="80" t="s">
        <v>4073</v>
      </c>
      <c r="D3667" s="81" t="str">
        <f>HYPERLINK("https://youtube.com/watch?v=V-zIF3_Hoos", "TheWave | Sony WI-1000XM2 簡單開箱")</f>
        <v>TheWave | Sony WI-1000XM2 簡單開箱</v>
      </c>
      <c r="E3667" s="82">
        <v>43814.0</v>
      </c>
      <c r="F3667" s="80">
        <v>117.0</v>
      </c>
      <c r="G3667" s="80" t="s">
        <v>63</v>
      </c>
      <c r="H3667" s="80" t="s">
        <v>63</v>
      </c>
      <c r="I3667" s="80" t="s">
        <v>63</v>
      </c>
      <c r="J3667" s="80">
        <v>341.0</v>
      </c>
      <c r="K3667" s="80">
        <v>0.757777777777777</v>
      </c>
      <c r="L3667" s="80" t="s">
        <v>1634</v>
      </c>
    </row>
    <row r="3668">
      <c r="A3668" s="80" t="s">
        <v>127</v>
      </c>
      <c r="B3668" s="81" t="str">
        <f t="shared" ref="B3668:B3669" si="192">HYPERLINK("https://www.youtube.com/channel/UC97oYK3XMf9RLtkc0lO8C-Q", "健康旦 HiEggo")</f>
        <v>健康旦 HiEggo</v>
      </c>
      <c r="C3668" s="80" t="s">
        <v>4074</v>
      </c>
      <c r="D3668" s="81" t="str">
        <f>HYPERLINK("https://youtube.com/watch?v=V0H1_HNfN10", "方曉嵐教你分煲湯豬肉 教煲霸王花南北杏豬腱湯（附食譜） - 鄭丹瑞《健康旦》方曉嵐 Part 3 (CC中文字幕)")</f>
        <v>方曉嵐教你分煲湯豬肉 教煲霸王花南北杏豬腱湯（附食譜） - 鄭丹瑞《健康旦》方曉嵐 Part 3 (CC中文字幕)</v>
      </c>
      <c r="E3668" s="82">
        <v>43932.0</v>
      </c>
      <c r="F3668" s="80">
        <v>790.0</v>
      </c>
      <c r="G3668" s="80" t="s">
        <v>63</v>
      </c>
      <c r="I3668" s="80" t="s">
        <v>63</v>
      </c>
      <c r="J3668" s="80">
        <v>2671.0</v>
      </c>
      <c r="K3668" s="80">
        <v>0.981263776634827</v>
      </c>
      <c r="L3668" s="80" t="s">
        <v>64</v>
      </c>
    </row>
    <row r="3669">
      <c r="A3669" s="80" t="s">
        <v>127</v>
      </c>
      <c r="B3669" s="81" t="str">
        <f t="shared" si="192"/>
        <v>健康旦 HiEggo</v>
      </c>
      <c r="C3669" s="80" t="s">
        <v>4075</v>
      </c>
      <c r="D3669" s="81" t="str">
        <f>HYPERLINK("https://youtube.com/watch?v=V8tdR-s60gE", "口臭多數因為條脷 糖尿病口臭會有爛蘋果味 預防口臭靠多飲水 - 鄭丹瑞《健康旦》#李維恩 教授 Part 14  (CC中文字幕)")</f>
        <v>口臭多數因為條脷 糖尿病口臭會有爛蘋果味 預防口臭靠多飲水 - 鄭丹瑞《健康旦》#李維恩 教授 Part 14  (CC中文字幕)</v>
      </c>
      <c r="E3669" s="82">
        <v>43991.0</v>
      </c>
      <c r="F3669" s="80">
        <v>795.0</v>
      </c>
      <c r="G3669" s="80" t="s">
        <v>63</v>
      </c>
      <c r="I3669" s="80" t="s">
        <v>63</v>
      </c>
      <c r="J3669" s="80">
        <v>3197.0</v>
      </c>
      <c r="K3669" s="80">
        <v>0.968494395637685</v>
      </c>
      <c r="L3669" s="80" t="s">
        <v>64</v>
      </c>
    </row>
    <row r="3670">
      <c r="A3670" s="80" t="s">
        <v>84</v>
      </c>
      <c r="B3670" s="81" t="str">
        <f>HYPERLINK("https://www.youtube.com/channel/UCs6fW24aVjefTsognevmDnA", "PakTil 拍跳")</f>
        <v>PakTil 拍跳</v>
      </c>
      <c r="C3670" s="80" t="s">
        <v>4076</v>
      </c>
      <c r="D3670" s="81" t="str">
        <f>HYPERLINK("https://youtube.com/watch?v=V93Cq7_Wm9Q", "【拍跳短跑】媽呀，今次真係蝕底哂啦")</f>
        <v>【拍跳短跑】媽呀，今次真係蝕底哂啦</v>
      </c>
      <c r="E3670" s="82">
        <v>44021.0</v>
      </c>
      <c r="F3670" s="80">
        <v>84.0</v>
      </c>
      <c r="G3670" s="80" t="s">
        <v>63</v>
      </c>
      <c r="I3670" s="80" t="s">
        <v>63</v>
      </c>
      <c r="J3670" s="80">
        <v>124.0</v>
      </c>
      <c r="K3670" s="80">
        <v>1.0</v>
      </c>
      <c r="L3670" s="80" t="s">
        <v>86</v>
      </c>
    </row>
    <row r="3671">
      <c r="A3671" s="80" t="s">
        <v>3238</v>
      </c>
      <c r="B3671" s="81" t="str">
        <f>HYPERLINK("https://www.youtube.com/channel/UCZ_hzCBwc6ATeXfyQYUk5WQ", "CHINCHIN C")</f>
        <v>CHINCHIN C</v>
      </c>
      <c r="C3671" s="80" t="s">
        <v>4077</v>
      </c>
      <c r="D3671" s="81" t="str">
        <f>HYPERLINK("https://youtube.com/watch?v=V9TUn_dTi0I", "美翻了！NARS 2018 新推出的胭脂盤試色分享！｜ChinchinC")</f>
        <v>美翻了！NARS 2018 新推出的胭脂盤試色分享！｜ChinchinC</v>
      </c>
      <c r="E3671" s="82">
        <v>43187.0</v>
      </c>
      <c r="F3671" s="80">
        <v>417.0</v>
      </c>
      <c r="G3671" s="80" t="s">
        <v>63</v>
      </c>
      <c r="I3671" s="80" t="s">
        <v>63</v>
      </c>
      <c r="J3671" s="80">
        <v>1879.0</v>
      </c>
      <c r="K3671" s="80">
        <v>0.943273092369477</v>
      </c>
      <c r="L3671" s="80" t="s">
        <v>64</v>
      </c>
    </row>
    <row r="3672">
      <c r="A3672" s="80" t="s">
        <v>238</v>
      </c>
      <c r="B3672" s="81" t="str">
        <f>HYPERLINK("https://www.youtube.com/channel/UCSBkm4LwpgBmcA3MCtO8vqg", "Post76影音玩樂")</f>
        <v>Post76影音玩樂</v>
      </c>
      <c r="C3672" s="80" t="s">
        <v>4078</v>
      </c>
      <c r="D3672" s="81" t="str">
        <f>HYPERLINK("https://youtube.com/watch?v=VADtf-CZL_E", "山靈 Shanling M30 挑戰索六萬之作？！高密度 Hi-End 音色｜模塊化設計｜鋰電池供電 ｜Android系統（附設中文字幕）粵語 【串流播放器評測 | Post76.hk】")</f>
        <v>山靈 Shanling M30 挑戰索六萬之作？！高密度 Hi-End 音色｜模塊化設計｜鋰電池供電 ｜Android系統（附設中文字幕）粵語 【串流播放器評測 | Post76.hk】</v>
      </c>
      <c r="E3672" s="82">
        <v>44330.0</v>
      </c>
      <c r="F3672" s="80">
        <v>881.0</v>
      </c>
      <c r="G3672" s="80" t="s">
        <v>63</v>
      </c>
      <c r="H3672" s="80" t="s">
        <v>63</v>
      </c>
      <c r="I3672" s="80" t="s">
        <v>63</v>
      </c>
      <c r="J3672" s="80">
        <v>3272.0</v>
      </c>
      <c r="K3672" s="80">
        <v>0.888888888888888</v>
      </c>
      <c r="L3672" s="80" t="s">
        <v>66</v>
      </c>
    </row>
    <row r="3673">
      <c r="A3673" s="80" t="s">
        <v>291</v>
      </c>
      <c r="B3673" s="81" t="str">
        <f>HYPERLINK("https://www.youtube.com/channel/UClSNJbCUCp_W4yrS3DlCmjw", "飛馬 PEGASUS")</f>
        <v>飛馬 PEGASUS</v>
      </c>
      <c r="C3673" s="80" t="s">
        <v>4079</v>
      </c>
      <c r="D3673" s="81" t="str">
        <f>HYPERLINK("https://youtube.com/watch?v=VCYrIc1VHqo", "[淘寶開箱] 我淘左二十隻鍵盤滑鼠試玩 (Part 3) (CC 雙語字幕)")</f>
        <v>[淘寶開箱] 我淘左二十隻鍵盤滑鼠試玩 (Part 3) (CC 雙語字幕)</v>
      </c>
      <c r="E3673" s="82">
        <v>43248.0</v>
      </c>
      <c r="F3673" s="80">
        <v>476.0</v>
      </c>
      <c r="G3673" s="80" t="s">
        <v>63</v>
      </c>
      <c r="I3673" s="80" t="s">
        <v>63</v>
      </c>
      <c r="J3673" s="80">
        <v>1711.0</v>
      </c>
      <c r="K3673" s="80">
        <v>0.786305147058823</v>
      </c>
      <c r="L3673" s="80" t="s">
        <v>64</v>
      </c>
    </row>
    <row r="3674">
      <c r="A3674" s="80" t="s">
        <v>127</v>
      </c>
      <c r="B3674" s="81" t="str">
        <f t="shared" ref="B3674:B3675" si="193">HYPERLINK("https://www.youtube.com/channel/UC97oYK3XMf9RLtkc0lO8C-Q", "健康旦 HiEggo")</f>
        <v>健康旦 HiEggo</v>
      </c>
      <c r="C3674" s="80" t="s">
        <v>4080</v>
      </c>
      <c r="D3674" s="81" t="str">
        <f>HYPERLINK("https://youtube.com/watch?v=VEU_ZeyBHgM", "陶傑、李純恩、李維恩、阿旦家居防疫齊吹水 陶傑笑談遊埠避疫失敗經歷 - 鄭丹瑞《健康旦》 Vlog (優惠碼: 健康旦 Gaia Group) (CC中文字幕)")</f>
        <v>陶傑、李純恩、李維恩、阿旦家居防疫齊吹水 陶傑笑談遊埠避疫失敗經歷 - 鄭丹瑞《健康旦》 Vlog (優惠碼: 健康旦 Gaia Group) (CC中文字幕)</v>
      </c>
      <c r="E3674" s="82">
        <v>43922.0</v>
      </c>
      <c r="F3674" s="80">
        <v>653.0</v>
      </c>
      <c r="G3674" s="80" t="s">
        <v>63</v>
      </c>
      <c r="I3674" s="80" t="s">
        <v>63</v>
      </c>
      <c r="J3674" s="80">
        <v>2501.0</v>
      </c>
      <c r="K3674" s="80">
        <v>0.98078431372549</v>
      </c>
      <c r="L3674" s="80" t="s">
        <v>102</v>
      </c>
    </row>
    <row r="3675">
      <c r="A3675" s="80" t="s">
        <v>127</v>
      </c>
      <c r="B3675" s="81" t="str">
        <f t="shared" si="193"/>
        <v>健康旦 HiEggo</v>
      </c>
      <c r="C3675" s="80" t="s">
        <v>4081</v>
      </c>
      <c r="D3675" s="81" t="str">
        <f>HYPERLINK("https://youtube.com/watch?v=VEacqZQCc78", "壓力影響免疫力 李維恩教授話你知 唔同血型要食唔同食物 - 鄭丹瑞《健康旦》李維恩教授 Part3 (CC中文字幕)")</f>
        <v>壓力影響免疫力 李維恩教授話你知 唔同血型要食唔同食物 - 鄭丹瑞《健康旦》李維恩教授 Part3 (CC中文字幕)</v>
      </c>
      <c r="E3675" s="82">
        <v>43892.0</v>
      </c>
      <c r="F3675" s="80">
        <v>646.0</v>
      </c>
      <c r="G3675" s="80" t="s">
        <v>63</v>
      </c>
      <c r="I3675" s="80" t="s">
        <v>63</v>
      </c>
      <c r="J3675" s="80">
        <v>2107.0</v>
      </c>
      <c r="K3675" s="80">
        <v>0.984579439252336</v>
      </c>
      <c r="L3675" s="80" t="s">
        <v>102</v>
      </c>
    </row>
    <row r="3676">
      <c r="A3676" s="80" t="s">
        <v>2041</v>
      </c>
      <c r="B3676" s="81" t="str">
        <f>HYPERLINK("https://www.youtube.com/channel/UCO6pB-ZN4XJ6MVkibvuEe0A", "SingSingTracker 星昇財經指標")</f>
        <v>SingSingTracker 星昇財經指標</v>
      </c>
      <c r="C3676" s="80" t="s">
        <v>4082</v>
      </c>
      <c r="D3676" s="81" t="str">
        <f>HYPERLINK("https://youtube.com/watch?v=VFcMUAULn0c", "【史上最貴IPO-時代天使登場】時代天使成為新股王｜行業龍頭吸金力強 #ipo新股 #時代天使 #新股認購")</f>
        <v>【史上最貴IPO-時代天使登場】時代天使成為新股王｜行業龍頭吸金力強 #ipo新股 #時代天使 #新股認購</v>
      </c>
      <c r="E3676" s="82">
        <v>44357.0</v>
      </c>
      <c r="F3676" s="80">
        <v>297.0</v>
      </c>
      <c r="G3676" s="80" t="s">
        <v>63</v>
      </c>
      <c r="I3676" s="80" t="s">
        <v>63</v>
      </c>
      <c r="J3676" s="80">
        <v>1201.0</v>
      </c>
      <c r="K3676" s="80">
        <v>0.92101226993865</v>
      </c>
      <c r="L3676" s="80" t="s">
        <v>64</v>
      </c>
    </row>
    <row r="3677">
      <c r="A3677" s="80" t="s">
        <v>2793</v>
      </c>
      <c r="B3677" s="81" t="str">
        <f>HYPERLINK("https://www.youtube.com/channel/UC03mRlT2h1B4LohYaIj9lHg", "Messiah2048")</f>
        <v>Messiah2048</v>
      </c>
      <c r="C3677" s="80" t="s">
        <v>4083</v>
      </c>
      <c r="D3677" s="81" t="str">
        <f>HYPERLINK("https://youtube.com/watch?v=VGWoy8T5zQU", "婆婆爆粗勁插自由黨，大快人心，向余婆婆致敬！")</f>
        <v>婆婆爆粗勁插自由黨，大快人心，向余婆婆致敬！</v>
      </c>
      <c r="E3677" s="82">
        <v>41758.0</v>
      </c>
      <c r="F3677" s="80">
        <v>93.0</v>
      </c>
      <c r="G3677" s="80" t="s">
        <v>63</v>
      </c>
      <c r="I3677" s="80" t="s">
        <v>63</v>
      </c>
      <c r="J3677" s="80">
        <v>582.0</v>
      </c>
      <c r="K3677" s="80">
        <v>0.979797979797979</v>
      </c>
      <c r="L3677" s="80" t="s">
        <v>521</v>
      </c>
    </row>
    <row r="3678">
      <c r="A3678" s="80" t="s">
        <v>238</v>
      </c>
      <c r="B3678" s="81" t="str">
        <f t="shared" ref="B3678:B3679" si="194">HYPERLINK("https://www.youtube.com/channel/UCSBkm4LwpgBmcA3MCtO8vqg", "Post76影音玩樂")</f>
        <v>Post76影音玩樂</v>
      </c>
      <c r="C3678" s="80" t="s">
        <v>4084</v>
      </c>
      <c r="D3678" s="81" t="str">
        <f>HYPERLINK("https://youtube.com/watch?v=VHP22y1QViU", "Sony Xperia PRO-I VLOG：陪我走左一日亞博睇Car Show!!!（附設cc字幕）【手機評測】")</f>
        <v>Sony Xperia PRO-I VLOG：陪我走左一日亞博睇Car Show!!!（附設cc字幕）【手機評測】</v>
      </c>
      <c r="E3678" s="82">
        <v>44565.0</v>
      </c>
      <c r="F3678" s="80">
        <v>523.0</v>
      </c>
      <c r="G3678" s="80" t="s">
        <v>63</v>
      </c>
      <c r="H3678" s="80" t="s">
        <v>63</v>
      </c>
      <c r="I3678" s="80" t="s">
        <v>63</v>
      </c>
      <c r="J3678" s="80">
        <v>1644.0</v>
      </c>
      <c r="K3678" s="80">
        <v>0.855356171832517</v>
      </c>
      <c r="L3678" s="80" t="s">
        <v>240</v>
      </c>
    </row>
    <row r="3679">
      <c r="A3679" s="80" t="s">
        <v>238</v>
      </c>
      <c r="B3679" s="81" t="str">
        <f t="shared" si="194"/>
        <v>Post76影音玩樂</v>
      </c>
      <c r="C3679" s="80" t="s">
        <v>4085</v>
      </c>
      <c r="D3679" s="81" t="str">
        <f>HYPERLINK("https://youtube.com/watch?v=VIaWGSOnhiM", "KEF Mu3 : 純音色就可打動人的真無線藍芽耳機！（附設中文字幕）粵語 【耳機短評 | Post76.hk】")</f>
        <v>KEF Mu3 : 純音色就可打動人的真無線藍芽耳機！（附設中文字幕）粵語 【耳機短評 | Post76.hk】</v>
      </c>
      <c r="E3679" s="82">
        <v>44328.0</v>
      </c>
      <c r="F3679" s="80">
        <v>335.0</v>
      </c>
      <c r="G3679" s="80" t="s">
        <v>63</v>
      </c>
      <c r="H3679" s="80" t="s">
        <v>63</v>
      </c>
      <c r="I3679" s="80" t="s">
        <v>63</v>
      </c>
      <c r="J3679" s="80">
        <v>1338.0</v>
      </c>
      <c r="K3679" s="80">
        <v>0.911444141689373</v>
      </c>
      <c r="L3679" s="80" t="s">
        <v>66</v>
      </c>
    </row>
    <row r="3680">
      <c r="A3680" s="80" t="s">
        <v>3170</v>
      </c>
      <c r="B3680" s="81" t="str">
        <f>HYPERLINK("https://www.youtube.com/channel/UC4sYIzNtzgaJudHQcDGtuJA", "CC漫遊")</f>
        <v>CC漫遊</v>
      </c>
      <c r="C3680" s="80" t="s">
        <v>4086</v>
      </c>
      <c r="D3680" s="81" t="str">
        <f>HYPERLINK("https://youtube.com/watch?v=VIjJgozV93E", "【香港美食】尖沙咀韓國餐廳推介｜請嚟韓國人尋找家鄉嘅味道🏘｜香港邊度有好食嘅韓國菜🍽")</f>
        <v>【香港美食】尖沙咀韓國餐廳推介｜請嚟韓國人尋找家鄉嘅味道🏘｜香港邊度有好食嘅韓國菜🍽</v>
      </c>
      <c r="E3680" s="82">
        <v>44481.0</v>
      </c>
      <c r="F3680" s="80">
        <v>583.0</v>
      </c>
      <c r="G3680" s="80" t="s">
        <v>63</v>
      </c>
      <c r="I3680" s="80" t="s">
        <v>63</v>
      </c>
      <c r="J3680" s="80">
        <v>1202.0</v>
      </c>
      <c r="K3680" s="80">
        <v>0.871014492753623</v>
      </c>
      <c r="L3680" s="80" t="s">
        <v>287</v>
      </c>
    </row>
    <row r="3681">
      <c r="A3681" s="80" t="s">
        <v>98</v>
      </c>
      <c r="B3681" s="81" t="str">
        <f>HYPERLINK("https://www.youtube.com/channel/UCrquuQB6v1Ued2xyRKZreGQ", "Stephen Leung ")</f>
        <v>Stephen Leung </v>
      </c>
      <c r="C3681" s="80" t="s">
        <v>4087</v>
      </c>
      <c r="D3681" s="81" t="str">
        <f>HYPERLINK("https://youtube.com/watch?v=VKV_IiM3-vw", "【香港美食】 全新海鮮燒烤放題 2.5小時 成個海鮮檔任你燒 泰式 流水蝦 生蠔 鮑魚  帶子 扇貝 羊架 串燒 室內燒烤場 燒肉任食 Cooking Haha 蝦蝦燒 放題推介 | 吃喝玩樂")</f>
        <v>【香港美食】 全新海鮮燒烤放題 2.5小時 成個海鮮檔任你燒 泰式 流水蝦 生蠔 鮑魚  帶子 扇貝 羊架 串燒 室內燒烤場 燒肉任食 Cooking Haha 蝦蝦燒 放題推介 | 吃喝玩樂</v>
      </c>
      <c r="E3681" s="82">
        <v>44268.0</v>
      </c>
      <c r="F3681" s="80">
        <v>610.0</v>
      </c>
      <c r="G3681" s="80" t="s">
        <v>63</v>
      </c>
      <c r="I3681" s="80" t="s">
        <v>63</v>
      </c>
      <c r="J3681" s="80">
        <v>1874.0</v>
      </c>
      <c r="K3681" s="80">
        <v>0.950786402841197</v>
      </c>
      <c r="L3681" s="80" t="s">
        <v>64</v>
      </c>
    </row>
    <row r="3682">
      <c r="A3682" s="80" t="s">
        <v>248</v>
      </c>
      <c r="B3682" s="81" t="str">
        <f>HYPERLINK("https://www.youtube.com/channel/UCUEJok-GiWaGlv5nIPwk-GQ", "Price.com.hk 香港格價網")</f>
        <v>Price.com.hk 香港格價網</v>
      </c>
      <c r="C3682" s="80" t="s">
        <v>4088</v>
      </c>
      <c r="D3682" s="81" t="str">
        <f>HYPERLINK("https://youtube.com/watch?v=VVrB4pivYJg", "$800有找 獲獎真無線降噪耳機﹗1MORE Comfobuds Pro | 入耳式設計、5.2g輕巧機身、13.4mm 動圈單元、藍牙5.0、IPX5|特約專題【Price.com.hk產品開箱】")</f>
        <v>$800有找 獲獎真無線降噪耳機﹗1MORE Comfobuds Pro | 入耳式設計、5.2g輕巧機身、13.4mm 動圈單元、藍牙5.0、IPX5|特約專題【Price.com.hk產品開箱】</v>
      </c>
      <c r="E3682" s="82">
        <v>44243.0</v>
      </c>
      <c r="F3682" s="80">
        <v>501.0</v>
      </c>
      <c r="G3682" s="80" t="s">
        <v>63</v>
      </c>
      <c r="I3682" s="80" t="s">
        <v>63</v>
      </c>
      <c r="J3682" s="80">
        <v>1751.0</v>
      </c>
      <c r="K3682" s="80">
        <v>0.82516493873704</v>
      </c>
      <c r="L3682" s="80" t="s">
        <v>64</v>
      </c>
    </row>
    <row r="3683">
      <c r="A3683" s="80" t="s">
        <v>98</v>
      </c>
      <c r="B3683" s="81" t="str">
        <f t="shared" ref="B3683:B3684" si="195">HYPERLINK("https://www.youtube.com/channel/UCrquuQB6v1Ued2xyRKZreGQ", "Stephen Leung ")</f>
        <v>Stephen Leung </v>
      </c>
      <c r="C3683" s="80" t="s">
        <v>4089</v>
      </c>
      <c r="D3683" s="81" t="str">
        <f>HYPERLINK("https://youtube.com/watch?v=VWoTGUwumz0", "【香港美食】🤮日式放題挑戰 中環名將 😂 接近$1000落樓 究竟食咗啲乜嘢？ 壽司任食 天婦羅 串燒 刺身 2小時任食 中環日式放題 Amazake | 吃喝玩樂")</f>
        <v>【香港美食】🤮日式放題挑戰 中環名將 😂 接近$1000落樓 究竟食咗啲乜嘢？ 壽司任食 天婦羅 串燒 刺身 2小時任食 中環日式放題 Amazake | 吃喝玩樂</v>
      </c>
      <c r="E3683" s="82">
        <v>44363.0</v>
      </c>
      <c r="F3683" s="80">
        <v>644.0</v>
      </c>
      <c r="G3683" s="80" t="s">
        <v>63</v>
      </c>
      <c r="I3683" s="80" t="s">
        <v>63</v>
      </c>
      <c r="J3683" s="80">
        <v>2004.0</v>
      </c>
      <c r="K3683" s="80">
        <v>0.975182481751824</v>
      </c>
      <c r="L3683" s="80" t="s">
        <v>64</v>
      </c>
    </row>
    <row r="3684">
      <c r="A3684" s="80" t="s">
        <v>98</v>
      </c>
      <c r="B3684" s="81" t="str">
        <f t="shared" si="195"/>
        <v>Stephen Leung </v>
      </c>
      <c r="C3684" s="80" t="s">
        <v>4090</v>
      </c>
      <c r="D3684" s="81" t="str">
        <f>HYPERLINK("https://youtube.com/watch?v=VXXb0ToP6eU", "【民生關注組】米線關注組熱捧 長期人龍店 荃灣美食 雲家小鍋米線 係咪咁好食？| 吃喝玩樂")</f>
        <v>【民生關注組】米線關注組熱捧 長期人龍店 荃灣美食 雲家小鍋米線 係咪咁好食？| 吃喝玩樂</v>
      </c>
      <c r="E3684" s="82">
        <v>44290.0</v>
      </c>
      <c r="F3684" s="80">
        <v>390.0</v>
      </c>
      <c r="G3684" s="80" t="s">
        <v>63</v>
      </c>
      <c r="I3684" s="80" t="s">
        <v>63</v>
      </c>
      <c r="J3684" s="80">
        <v>1183.0</v>
      </c>
      <c r="K3684" s="80">
        <v>0.979304635761589</v>
      </c>
      <c r="L3684" s="80" t="s">
        <v>64</v>
      </c>
    </row>
    <row r="3685">
      <c r="A3685" s="80" t="s">
        <v>2841</v>
      </c>
      <c r="B3685" s="81" t="str">
        <f>HYPERLINK("https://www.youtube.com/channel/UCBYGm7Iz6ck8jeno5AFiriw", "Seafront TV")</f>
        <v>Seafront TV</v>
      </c>
      <c r="C3685" s="80" t="s">
        <v>4091</v>
      </c>
      <c r="D3685" s="81" t="str">
        <f>HYPERLINK("https://youtube.com/watch?v=VZmnCXL62aw", "吓?邊爐集團?! 消失的精彩畫面😭(EP2) |海嫂TV🌊")</f>
        <v>吓?邊爐集團?! 消失的精彩畫面😭(EP2) |海嫂TV🌊</v>
      </c>
      <c r="E3685" s="82">
        <v>43897.0</v>
      </c>
      <c r="F3685" s="80">
        <v>245.0</v>
      </c>
      <c r="G3685" s="80" t="s">
        <v>63</v>
      </c>
      <c r="I3685" s="80" t="s">
        <v>63</v>
      </c>
      <c r="J3685" s="80">
        <v>577.0</v>
      </c>
      <c r="K3685" s="80">
        <v>0.486919831223628</v>
      </c>
      <c r="L3685" s="80" t="s">
        <v>64</v>
      </c>
    </row>
    <row r="3686">
      <c r="A3686" s="80" t="s">
        <v>127</v>
      </c>
      <c r="B3686" s="81" t="str">
        <f t="shared" ref="B3686:B3688" si="196">HYPERLINK("https://www.youtube.com/channel/UC97oYK3XMf9RLtkc0lO8C-Q", "健康旦 HiEggo")</f>
        <v>健康旦 HiEggo</v>
      </c>
      <c r="C3686" s="80" t="s">
        <v>4092</v>
      </c>
      <c r="D3686" s="81" t="str">
        <f>HYPERLINK("https://youtube.com/watch?v=VaTgrE4OG_0", "降膽固醇減低中風機會 莧菜籽發芽後營養倍增 鷹嘴豆蛋黃月餅限時優惠  - 鄭丹瑞《健康旦》 #陳慧儀 Part 7 (CC中文字幕)")</f>
        <v>降膽固醇減低中風機會 莧菜籽發芽後營養倍增 鷹嘴豆蛋黃月餅限時優惠  - 鄭丹瑞《健康旦》 #陳慧儀 Part 7 (CC中文字幕)</v>
      </c>
      <c r="E3686" s="82">
        <v>44071.0</v>
      </c>
      <c r="F3686" s="80">
        <v>633.0</v>
      </c>
      <c r="G3686" s="80" t="s">
        <v>63</v>
      </c>
      <c r="I3686" s="80" t="s">
        <v>63</v>
      </c>
      <c r="J3686" s="80">
        <v>2521.0</v>
      </c>
      <c r="K3686" s="80">
        <v>0.972983404091084</v>
      </c>
      <c r="L3686" s="80" t="s">
        <v>64</v>
      </c>
    </row>
    <row r="3687">
      <c r="A3687" s="80" t="s">
        <v>127</v>
      </c>
      <c r="B3687" s="81" t="str">
        <f t="shared" si="196"/>
        <v>健康旦 HiEggo</v>
      </c>
      <c r="C3687" s="80" t="s">
        <v>4093</v>
      </c>
      <c r="D3687" s="81" t="str">
        <f>HYPERLINK("https://youtube.com/watch?v=VeM8KPYan2E", "張國榮前經理人陳淑芬、郭富城御用排舞師 Sunny Wong 憂同行難敵疫情寒冬轉行 - 鄭丹瑞《健康旦》陳淑芬、Sunny Wong  Part 1 (CC中文字幕)")</f>
        <v>張國榮前經理人陳淑芬、郭富城御用排舞師 Sunny Wong 憂同行難敵疫情寒冬轉行 - 鄭丹瑞《健康旦》陳淑芬、Sunny Wong  Part 1 (CC中文字幕)</v>
      </c>
      <c r="E3687" s="82">
        <v>43935.0</v>
      </c>
      <c r="F3687" s="80">
        <v>703.0</v>
      </c>
      <c r="G3687" s="80" t="s">
        <v>63</v>
      </c>
      <c r="I3687" s="80" t="s">
        <v>63</v>
      </c>
      <c r="J3687" s="80">
        <v>2403.0</v>
      </c>
      <c r="K3687" s="80">
        <v>0.907134767836919</v>
      </c>
      <c r="L3687" s="80" t="s">
        <v>64</v>
      </c>
    </row>
    <row r="3688">
      <c r="A3688" s="80" t="s">
        <v>127</v>
      </c>
      <c r="B3688" s="81" t="str">
        <f t="shared" si="196"/>
        <v>健康旦 HiEggo</v>
      </c>
      <c r="C3688" s="80" t="s">
        <v>4094</v>
      </c>
      <c r="D3688" s="81" t="str">
        <f>HYPERLINK("https://youtube.com/watch?v=Vhx33Pp1-4Y", "新世代病菌有前輩教路 美國高人趙汝威博士淺談比新冠肺炎仲惡嘅病毒 - 鄭丹瑞《健康旦》趙汝威博士 PART 2")</f>
        <v>新世代病菌有前輩教路 美國高人趙汝威博士淺談比新冠肺炎仲惡嘅病毒 - 鄭丹瑞《健康旦》趙汝威博士 PART 2</v>
      </c>
      <c r="E3688" s="82">
        <v>43918.0</v>
      </c>
      <c r="F3688" s="80">
        <v>760.0</v>
      </c>
      <c r="G3688" s="80" t="s">
        <v>63</v>
      </c>
      <c r="I3688" s="80" t="s">
        <v>63</v>
      </c>
      <c r="J3688" s="80">
        <v>3019.0</v>
      </c>
      <c r="K3688" s="80">
        <v>0.935833849969001</v>
      </c>
      <c r="L3688" s="80" t="s">
        <v>102</v>
      </c>
    </row>
    <row r="3689">
      <c r="A3689" s="80" t="s">
        <v>2764</v>
      </c>
      <c r="B3689" s="81" t="str">
        <f>HYPERLINK("https://www.youtube.com/channel/UCejZUW4khvxoA4uL2Afz20g", "Housik Laanfei 好食懶飛")</f>
        <v>Housik Laanfei 好食懶飛</v>
      </c>
      <c r="C3689" s="80" t="s">
        <v>4095</v>
      </c>
      <c r="D3689" s="81" t="str">
        <f>HYPERLINK("https://youtube.com/watch?v=VilpZfW5Jbg", "[觀眾柯打] 韓式什錦粉絲 | CC: 廣東話/繁中/ENG SUB | COOKING VLOG")</f>
        <v>[觀眾柯打] 韓式什錦粉絲 | CC: 廣東話/繁中/ENG SUB | COOKING VLOG</v>
      </c>
      <c r="E3689" s="82">
        <v>44133.0</v>
      </c>
      <c r="F3689" s="80">
        <v>358.0</v>
      </c>
      <c r="G3689" s="80" t="s">
        <v>63</v>
      </c>
      <c r="H3689" s="80" t="s">
        <v>63</v>
      </c>
      <c r="I3689" s="80" t="s">
        <v>63</v>
      </c>
      <c r="J3689" s="80">
        <v>336.0</v>
      </c>
      <c r="K3689" s="80">
        <v>0.985337243401759</v>
      </c>
      <c r="L3689" s="80" t="s">
        <v>120</v>
      </c>
    </row>
    <row r="3690">
      <c r="A3690" s="80" t="s">
        <v>1987</v>
      </c>
      <c r="B3690" s="81" t="str">
        <f>HYPERLINK("https://www.youtube.com/channel/UCgGUmm04nVyj-ftaCxVcyBg", "MangoHK大馬獅家")</f>
        <v>MangoHK大馬獅家</v>
      </c>
      <c r="C3690" s="80" t="s">
        <v>4096</v>
      </c>
      <c r="D3690" s="81" t="str">
        <f>HYPERLINK("https://youtube.com/watch?v=Vo3NbPE7TbU", "【58】🍜半年無堂食🤑點食最治癒 {中英字幕}  Subtitled | Malaysia Paradise Dynasty | Malaysia Vlog | mm2h")</f>
        <v>【58】🍜半年無堂食🤑點食最治癒 {中英字幕}  Subtitled | Malaysia Paradise Dynasty | Malaysia Vlog | mm2h</v>
      </c>
      <c r="E3690" s="82">
        <v>44485.0</v>
      </c>
      <c r="F3690" s="80">
        <v>818.0</v>
      </c>
      <c r="G3690" s="80" t="s">
        <v>63</v>
      </c>
      <c r="I3690" s="80" t="s">
        <v>63</v>
      </c>
      <c r="J3690" s="80">
        <v>1153.0</v>
      </c>
      <c r="K3690" s="80">
        <v>0.893106119287374</v>
      </c>
      <c r="L3690" s="80" t="s">
        <v>896</v>
      </c>
    </row>
    <row r="3691">
      <c r="A3691" s="80" t="s">
        <v>1553</v>
      </c>
      <c r="B3691" s="81" t="str">
        <f>HYPERLINK("https://www.youtube.com/channel/UC5gQ01ai9nF2x43fYmO1vow", "Ck釣魚冒險")</f>
        <v>Ck釣魚冒險</v>
      </c>
      <c r="C3691" s="80" t="s">
        <v>4097</v>
      </c>
      <c r="D3691" s="81" t="str">
        <f>HYPERLINK("https://youtube.com/watch?v=Vrv201N_1M0", "【JIG】東水鐵板釣行 SLJ惑魚記錄 全船270條個人記錄88條 JIGGING 係可以釣贏生餌的/#スーパーライトジギング/ #香港釣魚/ #ジギング/#JIGGING/ #SLJ 📣CC字幕")</f>
        <v>【JIG】東水鐵板釣行 SLJ惑魚記錄 全船270條個人記錄88條 JIGGING 係可以釣贏生餌的/#スーパーライトジギング/ #香港釣魚/ #ジギング/#JIGGING/ #SLJ 📣CC字幕</v>
      </c>
      <c r="E3691" s="82">
        <v>44297.0</v>
      </c>
      <c r="F3691" s="80">
        <v>729.0</v>
      </c>
      <c r="G3691" s="80" t="s">
        <v>63</v>
      </c>
      <c r="I3691" s="80" t="s">
        <v>63</v>
      </c>
      <c r="J3691" s="80">
        <v>1119.0</v>
      </c>
      <c r="K3691" s="80">
        <v>0.894484412470024</v>
      </c>
      <c r="L3691" s="80" t="s">
        <v>64</v>
      </c>
    </row>
    <row r="3692">
      <c r="A3692" s="80" t="s">
        <v>98</v>
      </c>
      <c r="B3692" s="81" t="str">
        <f>HYPERLINK("https://www.youtube.com/channel/UCrquuQB6v1Ued2xyRKZreGQ", "Stephen Leung ")</f>
        <v>Stephen Leung </v>
      </c>
      <c r="C3692" s="80" t="s">
        <v>4098</v>
      </c>
      <c r="D3692" s="81" t="str">
        <f>HYPERLINK("https://youtube.com/watch?v=Vt-iodoOCKU", "【放題速報】 抵食平玩 最平$188 將軍澳 韓式燒肉放題 海鮮任食 110分鐘 十級辣噴火 炸雞大挑戰 Running燒 | 吃喝玩樂  2021 香港好去處")</f>
        <v>【放題速報】 抵食平玩 最平$188 將軍澳 韓式燒肉放題 海鮮任食 110分鐘 十級辣噴火 炸雞大挑戰 Running燒 | 吃喝玩樂  2021 香港好去處</v>
      </c>
      <c r="E3692" s="82">
        <v>44540.0</v>
      </c>
      <c r="F3692" s="80">
        <v>707.0</v>
      </c>
      <c r="G3692" s="80" t="s">
        <v>63</v>
      </c>
      <c r="I3692" s="80" t="s">
        <v>63</v>
      </c>
      <c r="J3692" s="80">
        <v>1735.0</v>
      </c>
      <c r="K3692" s="80">
        <v>0.974719101123595</v>
      </c>
      <c r="L3692" s="80" t="s">
        <v>64</v>
      </c>
    </row>
    <row r="3693">
      <c r="A3693" s="80" t="s">
        <v>293</v>
      </c>
      <c r="B3693" s="81" t="str">
        <f>HYPERLINK("https://www.youtube.com/channel/UCXRcbXqjORdIvl63I7MtOLQ", "趁熱 Kerry 's kitchen")</f>
        <v>趁熱 Kerry 's kitchen</v>
      </c>
      <c r="C3693" s="80" t="s">
        <v>4099</v>
      </c>
      <c r="D3693" s="81" t="str">
        <f>HYPERLINK("https://youtube.com/watch?v=VwWu3CQcTp8", "排骨 炒麵/茶記豉椒排骨炒麵/不用炸/卜卜脆/兩面黃/簡單/粵語/中字/cc subtitle")</f>
        <v>排骨 炒麵/茶記豉椒排骨炒麵/不用炸/卜卜脆/兩面黃/簡單/粵語/中字/cc subtitle</v>
      </c>
      <c r="E3693" s="82">
        <v>44300.0</v>
      </c>
      <c r="F3693" s="80">
        <v>727.0</v>
      </c>
      <c r="G3693" s="80" t="s">
        <v>63</v>
      </c>
      <c r="I3693" s="80" t="s">
        <v>63</v>
      </c>
      <c r="J3693" s="80">
        <v>1785.0</v>
      </c>
      <c r="K3693" s="80">
        <v>0.976477024070021</v>
      </c>
      <c r="L3693" s="80" t="s">
        <v>64</v>
      </c>
    </row>
    <row r="3694">
      <c r="A3694" s="80" t="s">
        <v>238</v>
      </c>
      <c r="B3694" s="81" t="str">
        <f>HYPERLINK("https://www.youtube.com/channel/UCSBkm4LwpgBmcA3MCtO8vqg", "Post76影音玩樂")</f>
        <v>Post76影音玩樂</v>
      </c>
      <c r="C3694" s="80" t="s">
        <v>4100</v>
      </c>
      <c r="D3694" s="81" t="str">
        <f>HYPERLINK("https://youtube.com/watch?v=W0K5XVWu2bM", "Yamaha TW-E7A 首隻真無線耳機實試 : 只有佢先出到獨一無二的鋼琴聲...!? | 粵語 | 自選雙中文字幕【真無線耳機評測 | Post76.hk】")</f>
        <v>Yamaha TW-E7A 首隻真無線耳機實試 : 只有佢先出到獨一無二的鋼琴聲...!? | 粵語 | 自選雙中文字幕【真無線耳機評測 | Post76.hk】</v>
      </c>
      <c r="E3694" s="82">
        <v>44164.0</v>
      </c>
      <c r="F3694" s="80">
        <v>500.0</v>
      </c>
      <c r="G3694" s="80" t="s">
        <v>63</v>
      </c>
      <c r="H3694" s="80" t="s">
        <v>63</v>
      </c>
      <c r="I3694" s="80" t="s">
        <v>63</v>
      </c>
      <c r="J3694" s="80">
        <v>2032.0</v>
      </c>
      <c r="K3694" s="80">
        <v>0.854854368932038</v>
      </c>
      <c r="L3694" s="80" t="s">
        <v>66</v>
      </c>
    </row>
    <row r="3695">
      <c r="A3695" s="80" t="s">
        <v>127</v>
      </c>
      <c r="B3695" s="81" t="str">
        <f t="shared" ref="B3695:B3696" si="197">HYPERLINK("https://www.youtube.com/channel/UC97oYK3XMf9RLtkc0lO8C-Q", "健康旦 HiEggo")</f>
        <v>健康旦 HiEggo</v>
      </c>
      <c r="C3695" s="80" t="s">
        <v>4101</v>
      </c>
      <c r="D3695" s="81" t="str">
        <f>HYPERLINK("https://youtube.com/watch?v=W2bcV3GxWEU", "檸檬乾及薰衣草對付麻煩床蝨  滅蟲專家分享旅行防蝨小貼士 傳統甲胺磷驅蟲對人體有害 - 鄭丹瑞《健康旦》眼科專科醫生 滅蟲專家 #任永強 Part 3 (CC中文字幕)")</f>
        <v>檸檬乾及薰衣草對付麻煩床蝨  滅蟲專家分享旅行防蝨小貼士 傳統甲胺磷驅蟲對人體有害 - 鄭丹瑞《健康旦》眼科專科醫生 滅蟲專家 #任永強 Part 3 (CC中文字幕)</v>
      </c>
      <c r="E3695" s="82">
        <v>44049.0</v>
      </c>
      <c r="F3695" s="80">
        <v>664.0</v>
      </c>
      <c r="G3695" s="80" t="s">
        <v>63</v>
      </c>
      <c r="I3695" s="80" t="s">
        <v>63</v>
      </c>
      <c r="J3695" s="80">
        <v>2529.0</v>
      </c>
      <c r="K3695" s="80">
        <v>0.981373690337601</v>
      </c>
      <c r="L3695" s="80" t="s">
        <v>2771</v>
      </c>
    </row>
    <row r="3696">
      <c r="A3696" s="80" t="s">
        <v>127</v>
      </c>
      <c r="B3696" s="81" t="str">
        <f t="shared" si="197"/>
        <v>健康旦 HiEggo</v>
      </c>
      <c r="C3696" s="80" t="s">
        <v>4102</v>
      </c>
      <c r="D3696" s="81" t="str">
        <f>HYPERLINK("https://youtube.com/watch?v=W3mIYqEgWhU", "鼻敏感哮喘患者易患濕疹 二手煙、廢氣成致敏源 類固醇藥物無法避免 - 鄭丹瑞《健康旦》皮膚科專科醫生 #胡惠福 Part 3 (CC中文字幕)")</f>
        <v>鼻敏感哮喘患者易患濕疹 二手煙、廢氣成致敏源 類固醇藥物無法避免 - 鄭丹瑞《健康旦》皮膚科專科醫生 #胡惠福 Part 3 (CC中文字幕)</v>
      </c>
      <c r="E3696" s="82">
        <v>44075.0</v>
      </c>
      <c r="F3696" s="80">
        <v>639.0</v>
      </c>
      <c r="G3696" s="80" t="s">
        <v>63</v>
      </c>
      <c r="I3696" s="80" t="s">
        <v>63</v>
      </c>
      <c r="J3696" s="80">
        <v>2682.0</v>
      </c>
      <c r="K3696" s="80">
        <v>0.993333333333333</v>
      </c>
      <c r="L3696" s="80" t="s">
        <v>2771</v>
      </c>
    </row>
    <row r="3697">
      <c r="A3697" s="80" t="s">
        <v>1139</v>
      </c>
      <c r="B3697" s="81" t="str">
        <f>HYPERLINK("https://www.youtube.com/channel/UCw51gVFijIewmXH4tIR0ufw", "Crystal Zen")</f>
        <v>Crystal Zen</v>
      </c>
      <c r="C3697" s="80" t="s">
        <v>4103</v>
      </c>
      <c r="D3697" s="81" t="str">
        <f>HYPERLINK("https://youtube.com/watch?v=W6i7EWrDToE", "[水晶知多D 第十九集] 天鐵！！係最強嘅水晶之一 你無可能唔識啦掛？！")</f>
        <v>[水晶知多D 第十九集] 天鐵！！係最強嘅水晶之一 你無可能唔識啦掛？！</v>
      </c>
      <c r="E3697" s="82">
        <v>44149.0</v>
      </c>
      <c r="F3697" s="80">
        <v>583.0</v>
      </c>
      <c r="G3697" s="80" t="s">
        <v>63</v>
      </c>
      <c r="I3697" s="80" t="s">
        <v>63</v>
      </c>
      <c r="J3697" s="80">
        <v>2586.0</v>
      </c>
      <c r="K3697" s="80">
        <v>0.949687844289386</v>
      </c>
      <c r="L3697" s="80" t="s">
        <v>64</v>
      </c>
    </row>
    <row r="3698">
      <c r="A3698" s="80" t="s">
        <v>2825</v>
      </c>
      <c r="B3698" s="81" t="str">
        <f>HYPERLINK("https://www.youtube.com/channel/UCP7XhYDgUbvjvaHxIhjTd_g", "Maviskuku 雞蛋妹")</f>
        <v>Maviskuku 雞蛋妹</v>
      </c>
      <c r="C3698" s="80" t="s">
        <v>4104</v>
      </c>
      <c r="D3698" s="81" t="str">
        <f>HYPERLINK("https://youtube.com/watch?v=W9ocYGuxU3w", "iPhone 13、iPhone 13 Pro 完整評測｜對比、如何選擇？Apple 消費券補充")</f>
        <v>iPhone 13、iPhone 13 Pro 完整評測｜對比、如何選擇？Apple 消費券補充</v>
      </c>
      <c r="E3698" s="82">
        <v>44473.0</v>
      </c>
      <c r="F3698" s="80">
        <v>995.0</v>
      </c>
      <c r="G3698" s="80" t="s">
        <v>63</v>
      </c>
      <c r="H3698" s="80" t="s">
        <v>63</v>
      </c>
      <c r="I3698" s="80" t="s">
        <v>63</v>
      </c>
      <c r="J3698" s="80">
        <v>3220.0</v>
      </c>
      <c r="K3698" s="80">
        <v>0.825006405329234</v>
      </c>
      <c r="L3698" s="80" t="s">
        <v>66</v>
      </c>
    </row>
    <row r="3699">
      <c r="A3699" s="80" t="s">
        <v>293</v>
      </c>
      <c r="B3699" s="81" t="str">
        <f>HYPERLINK("https://www.youtube.com/channel/UCXRcbXqjORdIvl63I7MtOLQ", "趁熱 Kerry 's kitchen")</f>
        <v>趁熱 Kerry 's kitchen</v>
      </c>
      <c r="C3699" s="80" t="s">
        <v>4105</v>
      </c>
      <c r="D3699" s="81" t="str">
        <f>HYPERLINK("https://youtube.com/watch?v=WCGa_lgvr_E", "可樂 雞翼/薑可樂 雞翼/堅簡單/低 成本/新手 入門/簡單 家做/廣東話/中字 cola chicken wings")</f>
        <v>可樂 雞翼/薑可樂 雞翼/堅簡單/低 成本/新手 入門/簡單 家做/廣東話/中字 cola chicken wings</v>
      </c>
      <c r="E3699" s="82">
        <v>44540.0</v>
      </c>
      <c r="F3699" s="80">
        <v>382.0</v>
      </c>
      <c r="G3699" s="80" t="s">
        <v>63</v>
      </c>
      <c r="I3699" s="80" t="s">
        <v>63</v>
      </c>
      <c r="J3699" s="80">
        <v>604.0</v>
      </c>
      <c r="K3699" s="80">
        <v>0.982113821138211</v>
      </c>
      <c r="L3699" s="80" t="s">
        <v>64</v>
      </c>
    </row>
    <row r="3700">
      <c r="A3700" s="80" t="s">
        <v>98</v>
      </c>
      <c r="B3700" s="81" t="str">
        <f t="shared" ref="B3700:B3702" si="198">HYPERLINK("https://www.youtube.com/channel/UCrquuQB6v1Ued2xyRKZreGQ", "Stephen Leung ")</f>
        <v>Stephen Leung </v>
      </c>
      <c r="C3700" s="80" t="s">
        <v>4106</v>
      </c>
      <c r="D3700" s="81" t="str">
        <f>HYPERLINK("https://youtube.com/watch?v=WGJJ5o7pOfc", "【香港美食】$200全包 7款海鮮 粥底火鍋 食本地龍蝦 肉蟹 鮑魚 鍋心粥底火鍋 | 吃喝玩樂")</f>
        <v>【香港美食】$200全包 7款海鮮 粥底火鍋 食本地龍蝦 肉蟹 鮑魚 鍋心粥底火鍋 | 吃喝玩樂</v>
      </c>
      <c r="E3700" s="82">
        <v>44344.0</v>
      </c>
      <c r="F3700" s="80">
        <v>602.0</v>
      </c>
      <c r="G3700" s="80" t="s">
        <v>63</v>
      </c>
      <c r="I3700" s="80" t="s">
        <v>63</v>
      </c>
      <c r="J3700" s="80">
        <v>1603.0</v>
      </c>
      <c r="K3700" s="80">
        <v>0.975060827250608</v>
      </c>
      <c r="L3700" s="80" t="s">
        <v>64</v>
      </c>
    </row>
    <row r="3701">
      <c r="A3701" s="80" t="s">
        <v>98</v>
      </c>
      <c r="B3701" s="81" t="str">
        <f t="shared" si="198"/>
        <v>Stephen Leung </v>
      </c>
      <c r="C3701" s="80" t="s">
        <v>4107</v>
      </c>
      <c r="D3701" s="81" t="str">
        <f>HYPERLINK("https://youtube.com/watch?v=WGU-rbgZC60", "【吃喝玩樂】搶先看!!! 中環街市 一日遊 最強本土美食 雞蛋仔 蛋撻 叉燒飯 Hong Kong Central Market | 香港 拍拖 打卡 好去處  2021 香港好去處")</f>
        <v>【吃喝玩樂】搶先看!!! 中環街市 一日遊 最強本土美食 雞蛋仔 蛋撻 叉燒飯 Hong Kong Central Market | 香港 拍拖 打卡 好去處  2021 香港好去處</v>
      </c>
      <c r="E3701" s="82">
        <v>44431.0</v>
      </c>
      <c r="F3701" s="80">
        <v>696.0</v>
      </c>
      <c r="G3701" s="80" t="s">
        <v>63</v>
      </c>
      <c r="I3701" s="80" t="s">
        <v>63</v>
      </c>
      <c r="J3701" s="80">
        <v>2224.0</v>
      </c>
      <c r="K3701" s="80">
        <v>0.978442586889573</v>
      </c>
      <c r="L3701" s="80" t="s">
        <v>64</v>
      </c>
    </row>
    <row r="3702">
      <c r="A3702" s="80" t="s">
        <v>98</v>
      </c>
      <c r="B3702" s="81" t="str">
        <f t="shared" si="198"/>
        <v>Stephen Leung </v>
      </c>
      <c r="C3702" s="80" t="s">
        <v>4108</v>
      </c>
      <c r="D3702" s="81" t="str">
        <f>HYPERLINK("https://youtube.com/watch?v=WHlsGTAmRN0", "【香港美食】任食! 最新鹿兒島和牛 燒肉放題 最貴$1000/人 食小田和牛 和牛燒肉一郎 | 吃喝玩樂")</f>
        <v>【香港美食】任食! 最新鹿兒島和牛 燒肉放題 最貴$1000/人 食小田和牛 和牛燒肉一郎 | 吃喝玩樂</v>
      </c>
      <c r="E3702" s="82">
        <v>44299.0</v>
      </c>
      <c r="F3702" s="80">
        <v>838.0</v>
      </c>
      <c r="G3702" s="80" t="s">
        <v>63</v>
      </c>
      <c r="I3702" s="80" t="s">
        <v>63</v>
      </c>
      <c r="J3702" s="80">
        <v>2706.0</v>
      </c>
      <c r="K3702" s="80">
        <v>0.961278863232682</v>
      </c>
      <c r="L3702" s="80" t="s">
        <v>64</v>
      </c>
    </row>
    <row r="3703">
      <c r="A3703" s="80" t="s">
        <v>127</v>
      </c>
      <c r="B3703" s="81" t="str">
        <f>HYPERLINK("https://www.youtube.com/channel/UC97oYK3XMf9RLtkc0lO8C-Q", "健康旦 HiEggo")</f>
        <v>健康旦 HiEggo</v>
      </c>
      <c r="C3703" s="80" t="s">
        <v>4109</v>
      </c>
      <c r="D3703" s="81" t="str">
        <f>HYPERLINK("https://youtube.com/watch?v=WKU0YNxYiN0", "香港電台《三個小神仙》傳奇組合 1.5 米下聚舊 林珊珊、何嘉麗唔怕阿旦老婆 - 鄭丹瑞《健康旦》 @RTHK 香港電台 《三個小神仙》 林珊珊、何嘉麗 Part 1 （CC中文字幕）")</f>
        <v>香港電台《三個小神仙》傳奇組合 1.5 米下聚舊 林珊珊、何嘉麗唔怕阿旦老婆 - 鄭丹瑞《健康旦》 @RTHK 香港電台 《三個小神仙》 林珊珊、何嘉麗 Part 1 （CC中文字幕）</v>
      </c>
      <c r="E3703" s="82">
        <v>43945.0</v>
      </c>
      <c r="F3703" s="80">
        <v>795.0</v>
      </c>
      <c r="G3703" s="80" t="s">
        <v>63</v>
      </c>
      <c r="I3703" s="80" t="s">
        <v>63</v>
      </c>
      <c r="J3703" s="80">
        <v>3187.0</v>
      </c>
      <c r="K3703" s="80">
        <v>0.982429099876695</v>
      </c>
      <c r="L3703" s="80" t="s">
        <v>64</v>
      </c>
    </row>
    <row r="3704">
      <c r="A3704" s="80" t="s">
        <v>248</v>
      </c>
      <c r="B3704" s="81" t="str">
        <f>HYPERLINK("https://www.youtube.com/channel/UCUEJok-GiWaGlv5nIPwk-GQ", "Price.com.hk 香港格價網")</f>
        <v>Price.com.hk 香港格價網</v>
      </c>
      <c r="C3704" s="80" t="s">
        <v>4110</v>
      </c>
      <c r="D3704" s="81" t="str">
        <f>HYPERLINK("https://youtube.com/watch?v=WKlGK0uKfEc", "2021年度耳機之選！十款旗艦真無線耳機深度評測 | 音質、通話、降噪、連接 | Price編輯部推薦 | 廣東話【Price.com.hk產品評測】")</f>
        <v>2021年度耳機之選！十款旗艦真無線耳機深度評測 | 音質、通話、降噪、連接 | Price編輯部推薦 | 廣東話【Price.com.hk產品評測】</v>
      </c>
      <c r="E3704" s="82">
        <v>44538.0</v>
      </c>
      <c r="F3704" s="80">
        <v>1530.0</v>
      </c>
      <c r="G3704" s="80" t="s">
        <v>63</v>
      </c>
      <c r="I3704" s="80" t="s">
        <v>63</v>
      </c>
      <c r="J3704" s="80">
        <v>3218.0</v>
      </c>
      <c r="K3704" s="80">
        <v>0.761656804733727</v>
      </c>
      <c r="L3704" s="80" t="s">
        <v>64</v>
      </c>
    </row>
    <row r="3705">
      <c r="A3705" s="80" t="s">
        <v>127</v>
      </c>
      <c r="B3705" s="81" t="str">
        <f>HYPERLINK("https://www.youtube.com/channel/UC97oYK3XMf9RLtkc0lO8C-Q", "健康旦 HiEggo")</f>
        <v>健康旦 HiEggo</v>
      </c>
      <c r="C3705" s="80" t="s">
        <v>4111</v>
      </c>
      <c r="D3705" s="81" t="str">
        <f>HYPERLINK("https://youtube.com/watch?v=WN7cmSzUZhA", "四人聚餐！陶傑、李純恩、李維恩、阿旦線上圍爐 李維恩教授即場分析食材  - 鄭丹瑞《健康旦》 Vlog - Part 2 (優惠碼: 健康旦 Gaia Group) (CC中文字幕)")</f>
        <v>四人聚餐！陶傑、李純恩、李維恩、阿旦線上圍爐 李維恩教授即場分析食材  - 鄭丹瑞《健康旦》 Vlog - Part 2 (優惠碼: 健康旦 Gaia Group) (CC中文字幕)</v>
      </c>
      <c r="E3705" s="82">
        <v>43923.0</v>
      </c>
      <c r="F3705" s="80">
        <v>621.0</v>
      </c>
      <c r="G3705" s="80" t="s">
        <v>63</v>
      </c>
      <c r="I3705" s="80" t="s">
        <v>63</v>
      </c>
      <c r="J3705" s="80">
        <v>1868.0</v>
      </c>
      <c r="K3705" s="80">
        <v>0.978010471204188</v>
      </c>
      <c r="L3705" s="80" t="s">
        <v>102</v>
      </c>
    </row>
    <row r="3706">
      <c r="A3706" s="80" t="s">
        <v>291</v>
      </c>
      <c r="B3706" s="81" t="str">
        <f>HYPERLINK("https://www.youtube.com/channel/UClSNJbCUCp_W4yrS3DlCmjw", "飛馬 PEGASUS")</f>
        <v>飛馬 PEGASUS</v>
      </c>
      <c r="C3706" s="80" t="s">
        <v>4112</v>
      </c>
      <c r="D3706" s="81" t="str">
        <f>HYPERLINK("https://youtube.com/watch?v=WQSY5qWxe70", "用 $500 就可以令舊 Notebook 起死回生? (CC中文字幕)")</f>
        <v>用 $500 就可以令舊 Notebook 起死回生? (CC中文字幕)</v>
      </c>
      <c r="E3706" s="82">
        <v>43774.0</v>
      </c>
      <c r="F3706" s="80">
        <v>838.0</v>
      </c>
      <c r="G3706" s="80" t="s">
        <v>63</v>
      </c>
      <c r="I3706" s="80" t="s">
        <v>63</v>
      </c>
      <c r="J3706" s="80">
        <v>3458.0</v>
      </c>
      <c r="K3706" s="80">
        <v>0.810405437075228</v>
      </c>
      <c r="L3706" s="80" t="s">
        <v>64</v>
      </c>
    </row>
    <row r="3707">
      <c r="A3707" s="80" t="s">
        <v>1260</v>
      </c>
      <c r="B3707" s="81" t="str">
        <f>HYPERLINK("https://www.youtube.com/channel/UCh1k4i86BpiXEO3nzJIYynw", "The Wave")</f>
        <v>The Wave</v>
      </c>
      <c r="C3707" s="80" t="s">
        <v>4113</v>
      </c>
      <c r="D3707" s="81" t="str">
        <f>HYPERLINK("https://youtube.com/watch?v=WTTtspGYeQE", "TheWave | 你隻尿袋容量『實際』有幾多？")</f>
        <v>TheWave | 你隻尿袋容量『實際』有幾多？</v>
      </c>
      <c r="E3707" s="82">
        <v>43494.0</v>
      </c>
      <c r="F3707" s="80">
        <v>175.0</v>
      </c>
      <c r="G3707" s="80" t="s">
        <v>63</v>
      </c>
      <c r="H3707" s="80" t="s">
        <v>63</v>
      </c>
      <c r="I3707" s="80" t="s">
        <v>63</v>
      </c>
      <c r="J3707" s="80">
        <v>621.0</v>
      </c>
      <c r="K3707" s="80">
        <v>0.926865671641791</v>
      </c>
      <c r="L3707" s="80" t="s">
        <v>120</v>
      </c>
    </row>
    <row r="3708">
      <c r="A3708" s="80" t="s">
        <v>2841</v>
      </c>
      <c r="B3708" s="81" t="str">
        <f>HYPERLINK("https://www.youtube.com/channel/UCBYGm7Iz6ck8jeno5AFiriw", "Seafront TV")</f>
        <v>Seafront TV</v>
      </c>
      <c r="C3708" s="80" t="s">
        <v>4114</v>
      </c>
      <c r="D3708" s="81" t="str">
        <f>HYPERLINK("https://youtube.com/watch?v=WTUoSip_s7M", "碌🎳!現實生活重現WiiSports畫面？！(EP1) |海嫂TV🌊")</f>
        <v>碌🎳!現實生活重現WiiSports畫面？！(EP1) |海嫂TV🌊</v>
      </c>
      <c r="E3708" s="82">
        <v>43890.0</v>
      </c>
      <c r="F3708" s="80">
        <v>249.0</v>
      </c>
      <c r="G3708" s="80" t="s">
        <v>63</v>
      </c>
      <c r="I3708" s="80" t="s">
        <v>63</v>
      </c>
      <c r="J3708" s="80">
        <v>481.0</v>
      </c>
      <c r="K3708" s="80">
        <v>0.47482724580454</v>
      </c>
      <c r="L3708" s="80" t="s">
        <v>521</v>
      </c>
    </row>
    <row r="3709">
      <c r="A3709" s="80" t="s">
        <v>108</v>
      </c>
      <c r="B3709" s="81" t="str">
        <f>HYPERLINK("https://www.youtube.com/channel/UCZL6QN6Xs-ZrKY3y6Pv6Emg", "廢青 - 日賺3000")</f>
        <v>廢青 - 日賺3000</v>
      </c>
      <c r="C3709" s="80" t="s">
        <v>4115</v>
      </c>
      <c r="D3709" s="81" t="str">
        <f>HYPERLINK("https://youtube.com/watch?v=WTXE2o5lY_w", "新手本金少 , 如何$600買股皇騰訊 🤔 3個方法 ㊙️㊙️㊙️ | EP14【廢青 日賺3000】【點CC看中文字幕】")</f>
        <v>新手本金少 , 如何$600買股皇騰訊 🤔 3個方法 ㊙️㊙️㊙️ | EP14【廢青 日賺3000】【點CC看中文字幕】</v>
      </c>
      <c r="E3709" s="82">
        <v>44400.0</v>
      </c>
      <c r="F3709" s="80">
        <v>858.0</v>
      </c>
      <c r="G3709" s="80" t="s">
        <v>63</v>
      </c>
      <c r="I3709" s="80" t="s">
        <v>63</v>
      </c>
      <c r="J3709" s="80">
        <v>3585.0</v>
      </c>
      <c r="K3709" s="80">
        <v>0.906218402426693</v>
      </c>
      <c r="L3709" s="80" t="s">
        <v>64</v>
      </c>
    </row>
    <row r="3710">
      <c r="A3710" s="80" t="s">
        <v>2753</v>
      </c>
      <c r="B3710" s="81" t="str">
        <f>HYPERLINK("https://www.youtube.com/channel/UCxRXNy5P6fLtHYpawxoiqJQ", "焦點視頻")</f>
        <v>焦點視頻</v>
      </c>
      <c r="C3710" s="80" t="s">
        <v>4116</v>
      </c>
      <c r="D3710" s="81" t="str">
        <f>HYPERLINK("https://youtube.com/watch?v=WUd0sJTh-0w", "【中文字幕】單眼皮、雙眼皮可知人生際遇？ 姻緣其實從面相早注定？ #面相教學 《易龍知玄機》 EP156 20211125")</f>
        <v>【中文字幕】單眼皮、雙眼皮可知人生際遇？ 姻緣其實從面相早注定？ #面相教學 《易龍知玄機》 EP156 20211125</v>
      </c>
      <c r="E3710" s="82">
        <v>44524.0</v>
      </c>
      <c r="F3710" s="80">
        <v>573.0</v>
      </c>
      <c r="G3710" s="80" t="s">
        <v>63</v>
      </c>
      <c r="I3710" s="80" t="s">
        <v>63</v>
      </c>
      <c r="J3710" s="80">
        <v>2022.0</v>
      </c>
      <c r="K3710" s="80">
        <v>0.99410029498525</v>
      </c>
      <c r="L3710" s="80" t="s">
        <v>3012</v>
      </c>
    </row>
    <row r="3711">
      <c r="A3711" s="80" t="s">
        <v>2764</v>
      </c>
      <c r="B3711" s="81" t="str">
        <f>HYPERLINK("https://www.youtube.com/channel/UCejZUW4khvxoA4uL2Afz20g", "Housik Laanfei 好食懶飛")</f>
        <v>Housik Laanfei 好食懶飛</v>
      </c>
      <c r="C3711" s="80" t="s">
        <v>4117</v>
      </c>
      <c r="D3711" s="81" t="str">
        <f>HYPERLINK("https://youtube.com/watch?v=WVNd8qtKZRU", "[想返鄉下] 韓式糖醋肉 | CC: 廣東話/繁中/ENG SUB | COOKING VLOG")</f>
        <v>[想返鄉下] 韓式糖醋肉 | CC: 廣東話/繁中/ENG SUB | COOKING VLOG</v>
      </c>
      <c r="E3711" s="82">
        <v>44252.0</v>
      </c>
      <c r="F3711" s="80">
        <v>392.0</v>
      </c>
      <c r="G3711" s="80" t="s">
        <v>63</v>
      </c>
      <c r="H3711" s="80" t="s">
        <v>63</v>
      </c>
      <c r="I3711" s="80" t="s">
        <v>63</v>
      </c>
      <c r="J3711" s="80">
        <v>423.0</v>
      </c>
      <c r="K3711" s="80">
        <v>0.992443324937027</v>
      </c>
      <c r="L3711" s="80" t="s">
        <v>80</v>
      </c>
    </row>
    <row r="3712">
      <c r="A3712" s="80" t="s">
        <v>293</v>
      </c>
      <c r="B3712" s="81" t="str">
        <f>HYPERLINK("https://www.youtube.com/channel/UCXRcbXqjORdIvl63I7MtOLQ", "趁熱 Kerry 's kitchen")</f>
        <v>趁熱 Kerry 's kitchen</v>
      </c>
      <c r="C3712" s="80" t="s">
        <v>4118</v>
      </c>
      <c r="D3712" s="81" t="str">
        <f>HYPERLINK("https://youtube.com/watch?v=WWMYWtW1TYI", "炒 粉絲/蝦米肉絲炒粉絲/簡單 家做/不黏秘技/新手不會輸/廣東話/中字")</f>
        <v>炒 粉絲/蝦米肉絲炒粉絲/簡單 家做/不黏秘技/新手不會輸/廣東話/中字</v>
      </c>
      <c r="E3712" s="82">
        <v>44398.0</v>
      </c>
      <c r="F3712" s="80">
        <v>598.0</v>
      </c>
      <c r="G3712" s="80" t="s">
        <v>63</v>
      </c>
      <c r="I3712" s="80" t="s">
        <v>63</v>
      </c>
      <c r="J3712" s="80">
        <v>1525.0</v>
      </c>
      <c r="K3712" s="80">
        <v>0.992192582953806</v>
      </c>
      <c r="L3712" s="80" t="s">
        <v>64</v>
      </c>
    </row>
    <row r="3713">
      <c r="A3713" s="80" t="s">
        <v>3568</v>
      </c>
      <c r="B3713" s="81" t="str">
        <f>HYPERLINK("https://www.youtube.com/channel/UCjn1kWmv_eC0Fzkx5gmjnVA", "Snow E")</f>
        <v>Snow E</v>
      </c>
      <c r="C3713" s="80" t="s">
        <v>4119</v>
      </c>
      <c r="D3713" s="81" t="str">
        <f>HYPERLINK("https://youtube.com/watch?v=WXBFo7p7zA8", "雪姨演技大挑戰🔥猛烈還原5條喺YouTube入面最煩膠最Annoying嘅廣告🤦🏻‍♀️🤣🤣 (ft. Inner Beaute)")</f>
        <v>雪姨演技大挑戰🔥猛烈還原5條喺YouTube入面最煩膠最Annoying嘅廣告🤦🏻‍♀️🤣🤣 (ft. Inner Beaute)</v>
      </c>
      <c r="E3713" s="82">
        <v>44133.0</v>
      </c>
      <c r="F3713" s="80">
        <v>408.0</v>
      </c>
      <c r="G3713" s="80" t="s">
        <v>63</v>
      </c>
      <c r="I3713" s="80" t="s">
        <v>63</v>
      </c>
      <c r="J3713" s="80">
        <v>855.0</v>
      </c>
      <c r="K3713" s="80">
        <v>0.876923076923076</v>
      </c>
      <c r="L3713" s="80" t="s">
        <v>820</v>
      </c>
    </row>
    <row r="3714">
      <c r="A3714" s="80" t="s">
        <v>3930</v>
      </c>
      <c r="B3714" s="81" t="str">
        <f>HYPERLINK("https://www.youtube.com/channel/UCGO_BBmwEXblglcSmr5Zcpg", "Danny Summer 夏韶聲")</f>
        <v>Danny Summer 夏韶聲</v>
      </c>
      <c r="C3714" s="80" t="s">
        <v>4120</v>
      </c>
      <c r="D3714" s="81" t="str">
        <f>HYPERLINK("https://youtube.com/watch?v=WYLFRp7WKOg", "Danny Summer 夏韶聲 - 我係細路...KOL: 天水圍屏山文物徑")</f>
        <v>Danny Summer 夏韶聲 - 我係細路...KOL: 天水圍屏山文物徑</v>
      </c>
      <c r="E3714" s="82">
        <v>44415.0</v>
      </c>
      <c r="F3714" s="80">
        <v>1139.0</v>
      </c>
      <c r="G3714" s="80" t="s">
        <v>63</v>
      </c>
      <c r="I3714" s="80" t="s">
        <v>63</v>
      </c>
      <c r="J3714" s="80">
        <v>1206.0</v>
      </c>
      <c r="K3714" s="80">
        <v>0.995871180842279</v>
      </c>
      <c r="L3714" s="80" t="s">
        <v>64</v>
      </c>
    </row>
    <row r="3715">
      <c r="A3715" s="80" t="s">
        <v>2972</v>
      </c>
      <c r="B3715" s="81" t="str">
        <f>HYPERLINK("https://www.youtube.com/channel/UCVMEQdIDLjHcKAsEwhVXEoQ", "Danny W.")</f>
        <v>Danny W.</v>
      </c>
      <c r="C3715" s="80" t="s">
        <v>4121</v>
      </c>
      <c r="D3715" s="81" t="str">
        <f>HYPERLINK("https://youtube.com/watch?v=WcQF2TqrQwk", "Yes No Question Est-ce que 基本問句 港法文 EP 7")</f>
        <v>Yes No Question Est-ce que 基本問句 港法文 EP 7</v>
      </c>
      <c r="E3715" s="82">
        <v>44362.0</v>
      </c>
      <c r="F3715" s="80">
        <v>102.0</v>
      </c>
      <c r="G3715" s="80" t="s">
        <v>63</v>
      </c>
      <c r="I3715" s="80" t="s">
        <v>63</v>
      </c>
      <c r="J3715" s="80">
        <v>205.0</v>
      </c>
      <c r="K3715" s="80">
        <v>0.590778097982709</v>
      </c>
      <c r="L3715" s="80" t="s">
        <v>102</v>
      </c>
    </row>
    <row r="3716">
      <c r="A3716" s="80" t="s">
        <v>2041</v>
      </c>
      <c r="B3716" s="81" t="str">
        <f t="shared" ref="B3716:B3717" si="199">HYPERLINK("https://www.youtube.com/channel/UCO6pB-ZN4XJ6MVkibvuEe0A", "SingSingTracker 星昇財經指標")</f>
        <v>SingSingTracker 星昇財經指標</v>
      </c>
      <c r="C3716" s="80" t="s">
        <v>4122</v>
      </c>
      <c r="D3716" s="81" t="str">
        <f>HYPERLINK("https://youtube.com/watch?v=WcjJ5f9ES7s", "【港股入門BB班】股票術語的第一步｜投資新手齊上課【點CC中文字幕】#股票投資 #多頭 #空頭")</f>
        <v>【港股入門BB班】股票術語的第一步｜投資新手齊上課【點CC中文字幕】#股票投資 #多頭 #空頭</v>
      </c>
      <c r="E3716" s="82">
        <v>44336.0</v>
      </c>
      <c r="F3716" s="80">
        <v>208.0</v>
      </c>
      <c r="G3716" s="80" t="s">
        <v>63</v>
      </c>
      <c r="I3716" s="80" t="s">
        <v>63</v>
      </c>
      <c r="J3716" s="80">
        <v>844.0</v>
      </c>
      <c r="K3716" s="80">
        <v>0.884696016771488</v>
      </c>
      <c r="L3716" s="80" t="s">
        <v>64</v>
      </c>
    </row>
    <row r="3717">
      <c r="A3717" s="80" t="s">
        <v>2041</v>
      </c>
      <c r="B3717" s="81" t="str">
        <f t="shared" si="199"/>
        <v>SingSingTracker 星昇財經指標</v>
      </c>
      <c r="C3717" s="80" t="s">
        <v>4123</v>
      </c>
      <c r="D3717" s="81" t="str">
        <f>HYPERLINK("https://youtube.com/watch?v=Wd62XE74PHE", "【消費券優惠】$5000電子消費券登記｜3分鐘速成班｜賺盡一倍獎賞｜$5000 Double Up 懶人包｜電子消費券計劃｜八達通 消費券｜Alipay 支付寶 WeChat #優惠比較 #自肥大法")</f>
        <v>【消費券優惠】$5000電子消費券登記｜3分鐘速成班｜賺盡一倍獎賞｜$5000 Double Up 懶人包｜電子消費券計劃｜八達通 消費券｜Alipay 支付寶 WeChat #優惠比較 #自肥大法</v>
      </c>
      <c r="E3717" s="82">
        <v>44379.0</v>
      </c>
      <c r="F3717" s="80">
        <v>523.0</v>
      </c>
      <c r="G3717" s="80" t="s">
        <v>63</v>
      </c>
      <c r="I3717" s="80" t="s">
        <v>63</v>
      </c>
      <c r="J3717" s="80">
        <v>2041.0</v>
      </c>
      <c r="K3717" s="80">
        <v>0.81056393963463</v>
      </c>
      <c r="L3717" s="80" t="s">
        <v>64</v>
      </c>
    </row>
    <row r="3718">
      <c r="A3718" s="80" t="s">
        <v>1260</v>
      </c>
      <c r="B3718" s="81" t="str">
        <f>HYPERLINK("https://www.youtube.com/channel/UCh1k4i86BpiXEO3nzJIYynw", "The Wave")</f>
        <v>The Wave</v>
      </c>
      <c r="C3718" s="80" t="s">
        <v>4124</v>
      </c>
      <c r="D3718" s="81" t="str">
        <f>HYPERLINK("https://youtube.com/watch?v=WdD30FPx-1Y", "TheWave | XZ2 Premium  觀看藍光電影電量測試 | 直接結果@50秒")</f>
        <v>TheWave | XZ2 Premium  觀看藍光電影電量測試 | 直接結果@50秒</v>
      </c>
      <c r="E3718" s="82">
        <v>43312.0</v>
      </c>
      <c r="F3718" s="80">
        <v>60.0</v>
      </c>
      <c r="G3718" s="80" t="s">
        <v>63</v>
      </c>
      <c r="H3718" s="80" t="s">
        <v>63</v>
      </c>
      <c r="I3718" s="80" t="s">
        <v>63</v>
      </c>
      <c r="J3718" s="80">
        <v>92.0</v>
      </c>
      <c r="K3718" s="80">
        <v>0.720338983050847</v>
      </c>
      <c r="L3718" s="80" t="s">
        <v>120</v>
      </c>
    </row>
    <row r="3719">
      <c r="A3719" s="80" t="s">
        <v>2942</v>
      </c>
      <c r="B3719" s="81" t="str">
        <f>HYPERLINK("https://www.youtube.com/channel/UCFOFvhsNWMPHwvbfHl7K6qw", "司徒文進 CROSSBONE")</f>
        <v>司徒文進 CROSSBONE</v>
      </c>
      <c r="C3719" s="80" t="s">
        <v>4125</v>
      </c>
      <c r="D3719" s="81" t="str">
        <f>HYPERLINK("https://youtube.com/watch?v=WerzoP3quJI", "( 中文字幕)未來博企管控和營運模式：司徒文進談2021澳門博彩公眾咨詢報告（中）")</f>
        <v>( 中文字幕)未來博企管控和營運模式：司徒文進談2021澳門博彩公眾咨詢報告（中）</v>
      </c>
      <c r="E3719" s="82">
        <v>44554.0</v>
      </c>
      <c r="F3719" s="80">
        <v>1379.0</v>
      </c>
      <c r="G3719" s="80" t="s">
        <v>63</v>
      </c>
      <c r="I3719" s="80" t="s">
        <v>63</v>
      </c>
      <c r="J3719" s="80">
        <v>5622.0</v>
      </c>
      <c r="K3719" s="80">
        <v>0.986661986661986</v>
      </c>
      <c r="L3719" s="80" t="s">
        <v>820</v>
      </c>
    </row>
    <row r="3720">
      <c r="A3720" s="80" t="s">
        <v>84</v>
      </c>
      <c r="B3720" s="81" t="str">
        <f>HYPERLINK("https://www.youtube.com/channel/UCs6fW24aVjefTsognevmDnA", "PakTil 拍跳")</f>
        <v>PakTil 拍跳</v>
      </c>
      <c r="C3720" s="80" t="s">
        <v>4126</v>
      </c>
      <c r="D3720" s="81" t="str">
        <f>HYPERLINK("https://youtube.com/watch?v=WjHt8LBoI-4", "【拍跳短跑】兼職男友PTBF悲歌  為生活呢D都要做")</f>
        <v>【拍跳短跑】兼職男友PTBF悲歌  為生活呢D都要做</v>
      </c>
      <c r="E3720" s="82">
        <v>44018.0</v>
      </c>
      <c r="F3720" s="80">
        <v>106.0</v>
      </c>
      <c r="G3720" s="80" t="s">
        <v>63</v>
      </c>
      <c r="I3720" s="80" t="s">
        <v>63</v>
      </c>
      <c r="J3720" s="80">
        <v>85.0</v>
      </c>
      <c r="K3720" s="80">
        <v>0.674603174603174</v>
      </c>
      <c r="L3720" s="80" t="s">
        <v>64</v>
      </c>
    </row>
    <row r="3721">
      <c r="A3721" s="80" t="s">
        <v>1594</v>
      </c>
      <c r="B3721" s="81" t="str">
        <f>HYPERLINK("https://www.youtube.com/channel/UCUtm1awT2EO9D7uJ2OlMcTQ", "黐住這一家 Sticky Love Family")</f>
        <v>黐住這一家 Sticky Love Family</v>
      </c>
      <c r="C3721" s="80" t="s">
        <v>4127</v>
      </c>
      <c r="D3721" s="81" t="str">
        <f>HYPERLINK("https://youtube.com/watch?v=Wlk-1GoyUkE", "【原創 廣東話歌】 ❝ BaBaBa爸爸 🦸🏻‍♂️❞  🎵用音樂學習如何稱呼長輩❤️👴🏻5歲小朋友和爸媽合唱👦🏻🎧   ENG SUB CC")</f>
        <v>【原創 廣東話歌】 ❝ BaBaBa爸爸 🦸🏻‍♂️❞  🎵用音樂學習如何稱呼長輩❤️👴🏻5歲小朋友和爸媽合唱👦🏻🎧   ENG SUB CC</v>
      </c>
      <c r="E3721" s="82">
        <v>44354.0</v>
      </c>
      <c r="F3721" s="80">
        <v>126.0</v>
      </c>
      <c r="G3721" s="80" t="s">
        <v>63</v>
      </c>
      <c r="H3721" s="80" t="s">
        <v>63</v>
      </c>
      <c r="I3721" s="80" t="s">
        <v>63</v>
      </c>
      <c r="J3721" s="80">
        <v>119.0</v>
      </c>
      <c r="K3721" s="80">
        <v>0.952</v>
      </c>
      <c r="L3721" s="80" t="s">
        <v>1596</v>
      </c>
    </row>
    <row r="3722">
      <c r="A3722" s="80" t="s">
        <v>2780</v>
      </c>
      <c r="B3722" s="81" t="str">
        <f>HYPERLINK("https://www.youtube.com/channel/UC0CojhLcc0VESgaG633m5kA", "RainErs")</f>
        <v>RainErs</v>
      </c>
      <c r="C3722" s="80" t="s">
        <v>4128</v>
      </c>
      <c r="D3722" s="81" t="str">
        <f>HYPERLINK("https://youtube.com/watch?v=WoKvVA8P2lE", "HyperX Solocast[開箱]--平價cp霸王麥克風?? //新手實況主必備!! [有CC字幕]")</f>
        <v>HyperX Solocast[開箱]--平價cp霸王麥克風?? //新手實況主必備!! [有CC字幕]</v>
      </c>
      <c r="E3722" s="82">
        <v>44558.0</v>
      </c>
      <c r="F3722" s="80">
        <v>291.0</v>
      </c>
      <c r="G3722" s="80" t="s">
        <v>63</v>
      </c>
      <c r="I3722" s="80" t="s">
        <v>63</v>
      </c>
      <c r="J3722" s="80">
        <v>1378.0</v>
      </c>
      <c r="K3722" s="80">
        <v>0.87049905243209</v>
      </c>
      <c r="L3722" s="80" t="s">
        <v>64</v>
      </c>
    </row>
    <row r="3723">
      <c r="A3723" s="80" t="s">
        <v>127</v>
      </c>
      <c r="B3723" s="81" t="str">
        <f>HYPERLINK("https://www.youtube.com/channel/UC97oYK3XMf9RLtkc0lO8C-Q", "健康旦 HiEggo")</f>
        <v>健康旦 HiEggo</v>
      </c>
      <c r="C3723" s="80" t="s">
        <v>4129</v>
      </c>
      <c r="D3723" s="81" t="str">
        <f>HYPERLINK("https://youtube.com/watch?v=Wu6IcvuG1j4", "「AO黎明」楊立門談疫情對香港嘅經濟影響 打擊國與國之間嘅貿易 - 鄭丹瑞《健康旦》楊立門 (CC中文字幕)")</f>
        <v>「AO黎明」楊立門談疫情對香港嘅經濟影響 打擊國與國之間嘅貿易 - 鄭丹瑞《健康旦》楊立門 (CC中文字幕)</v>
      </c>
      <c r="E3723" s="82">
        <v>43990.0</v>
      </c>
      <c r="F3723" s="80">
        <v>580.0</v>
      </c>
      <c r="G3723" s="80" t="s">
        <v>63</v>
      </c>
      <c r="I3723" s="80" t="s">
        <v>63</v>
      </c>
      <c r="J3723" s="80">
        <v>1944.0</v>
      </c>
      <c r="K3723" s="80">
        <v>0.982810920121334</v>
      </c>
      <c r="L3723" s="80" t="s">
        <v>64</v>
      </c>
    </row>
    <row r="3724">
      <c r="A3724" s="80" t="s">
        <v>293</v>
      </c>
      <c r="B3724" s="81" t="str">
        <f>HYPERLINK("https://www.youtube.com/channel/UCXRcbXqjORdIvl63I7MtOLQ", "趁熱 Kerry 's kitchen")</f>
        <v>趁熱 Kerry 's kitchen</v>
      </c>
      <c r="C3724" s="80" t="s">
        <v>4130</v>
      </c>
      <c r="D3724" s="81" t="str">
        <f>HYPERLINK("https://youtube.com/watch?v=WyJTNRv4ePs", "南乳 豬扒/外脆 內軟/免 炸/低 成本/好 下飯/簡單 家做/重點 講解/好 juice/廣東話/中字/新手 入門")</f>
        <v>南乳 豬扒/外脆 內軟/免 炸/低 成本/好 下飯/簡單 家做/重點 講解/好 juice/廣東話/中字/新手 入門</v>
      </c>
      <c r="E3724" s="82">
        <v>44480.0</v>
      </c>
      <c r="F3724" s="80">
        <v>522.0</v>
      </c>
      <c r="G3724" s="80" t="s">
        <v>63</v>
      </c>
      <c r="I3724" s="80" t="s">
        <v>63</v>
      </c>
      <c r="J3724" s="80">
        <v>717.0</v>
      </c>
      <c r="K3724" s="80">
        <v>0.982191780821917</v>
      </c>
      <c r="L3724" s="80" t="s">
        <v>64</v>
      </c>
    </row>
    <row r="3725">
      <c r="A3725" s="80" t="s">
        <v>4131</v>
      </c>
      <c r="B3725" s="81" t="str">
        <f>HYPERLINK("https://www.youtube.com/channel/UCEf8tnbLkl2bLZwxGigSvSw", "癲嗱 DINNER")</f>
        <v>癲嗱 DINNER</v>
      </c>
      <c r="C3725" s="80" t="s">
        <v>4132</v>
      </c>
      <c r="D3725" s="81" t="str">
        <f>HYPERLINK("https://youtube.com/watch?v=WzdESOoLzbI", "慘叫廚房EP2｜街頭經典｜唔食魚翅食碗仔翅｜簡單食材｜簡單煮法｜人人都係廚神")</f>
        <v>慘叫廚房EP2｜街頭經典｜唔食魚翅食碗仔翅｜簡單食材｜簡單煮法｜人人都係廚神</v>
      </c>
      <c r="E3725" s="82">
        <v>44252.0</v>
      </c>
      <c r="F3725" s="80">
        <v>389.0</v>
      </c>
      <c r="G3725" s="80" t="s">
        <v>63</v>
      </c>
      <c r="I3725" s="80" t="s">
        <v>63</v>
      </c>
      <c r="J3725" s="80">
        <v>968.0</v>
      </c>
      <c r="K3725" s="80">
        <v>0.958415841584158</v>
      </c>
      <c r="L3725" s="80" t="s">
        <v>64</v>
      </c>
    </row>
    <row r="3726">
      <c r="A3726" s="80" t="s">
        <v>2764</v>
      </c>
      <c r="B3726" s="81" t="str">
        <f>HYPERLINK("https://www.youtube.com/channel/UCejZUW4khvxoA4uL2Afz20g", "Housik Laanfei 好食懶飛")</f>
        <v>Housik Laanfei 好食懶飛</v>
      </c>
      <c r="C3726" s="80" t="s">
        <v>4133</v>
      </c>
      <c r="D3726" s="81" t="str">
        <f>HYPERLINK("https://youtube.com/watch?v=X1oCUYxsvAY", "[輕鬆易整] 麻醬雞絲粉皮 | CC: 廣東話/繁中/ENG SUB | COOKING VLOG")</f>
        <v>[輕鬆易整] 麻醬雞絲粉皮 | CC: 廣東話/繁中/ENG SUB | COOKING VLOG</v>
      </c>
      <c r="E3726" s="82">
        <v>44343.0</v>
      </c>
      <c r="F3726" s="80">
        <v>346.0</v>
      </c>
      <c r="G3726" s="80" t="s">
        <v>63</v>
      </c>
      <c r="H3726" s="80" t="s">
        <v>63</v>
      </c>
      <c r="I3726" s="80" t="s">
        <v>63</v>
      </c>
      <c r="J3726" s="80">
        <v>272.0</v>
      </c>
      <c r="K3726" s="80">
        <v>0.964539007092198</v>
      </c>
      <c r="L3726" s="80" t="s">
        <v>80</v>
      </c>
    </row>
    <row r="3727">
      <c r="A3727" s="80" t="s">
        <v>124</v>
      </c>
      <c r="B3727" s="81" t="str">
        <f>HYPERLINK("https://www.youtube.com/channel/UCg0vuSE0fBF_NvodyYhMcWg", "Wallace Studio HK")</f>
        <v>Wallace Studio HK</v>
      </c>
      <c r="C3727" s="80" t="s">
        <v>4134</v>
      </c>
      <c r="D3727" s="81" t="str">
        <f>HYPERLINK("https://youtube.com/watch?v=X2101OjFUh4", "[發佈會整理］Microsoft Surface 2021 產品整理 Surface Pro 8 | Go 3 | Laptop Studio | Duo | 香港人冇份🤣")</f>
        <v>[發佈會整理］Microsoft Surface 2021 產品整理 Surface Pro 8 | Go 3 | Laptop Studio | Duo | 香港人冇份🤣</v>
      </c>
      <c r="E3727" s="82">
        <v>44486.0</v>
      </c>
      <c r="F3727" s="80">
        <v>535.0</v>
      </c>
      <c r="G3727" s="80" t="s">
        <v>63</v>
      </c>
      <c r="H3727" s="80" t="s">
        <v>63</v>
      </c>
      <c r="I3727" s="80" t="s">
        <v>63</v>
      </c>
      <c r="J3727" s="80">
        <v>1789.0</v>
      </c>
      <c r="K3727" s="80">
        <v>0.658204562178072</v>
      </c>
      <c r="L3727" s="80" t="s">
        <v>86</v>
      </c>
    </row>
    <row r="3728">
      <c r="A3728" s="80" t="s">
        <v>1987</v>
      </c>
      <c r="B3728" s="81" t="str">
        <f>HYPERLINK("https://www.youtube.com/channel/UCgGUmm04nVyj-ftaCxVcyBg", "MangoHK大馬獅家")</f>
        <v>MangoHK大馬獅家</v>
      </c>
      <c r="C3728" s="80" t="s">
        <v>4135</v>
      </c>
      <c r="D3728" s="81" t="str">
        <f>HYPERLINK("https://youtube.com/watch?v=X64rFfNjp7U", "【21】🇩🇪德國脆豬手🍺怎樣皮更脆？{中英字幕}  Subtitled | [DIY]Crispy Pork knuckle | Malaysia Vlog | mm2h")</f>
        <v>【21】🇩🇪德國脆豬手🍺怎樣皮更脆？{中英字幕}  Subtitled | [DIY]Crispy Pork knuckle | Malaysia Vlog | mm2h</v>
      </c>
      <c r="E3728" s="82">
        <v>44455.0</v>
      </c>
      <c r="F3728" s="80">
        <v>991.0</v>
      </c>
      <c r="G3728" s="80" t="s">
        <v>63</v>
      </c>
      <c r="I3728" s="80" t="s">
        <v>63</v>
      </c>
      <c r="J3728" s="80">
        <v>765.0</v>
      </c>
      <c r="K3728" s="80">
        <v>0.964691046658259</v>
      </c>
      <c r="L3728" s="80" t="s">
        <v>896</v>
      </c>
    </row>
    <row r="3729">
      <c r="A3729" s="80" t="s">
        <v>108</v>
      </c>
      <c r="B3729" s="81" t="str">
        <f>HYPERLINK("https://www.youtube.com/channel/UCZL6QN6Xs-ZrKY3y6Pv6Emg", "廢青 - 日賺3000")</f>
        <v>廢青 - 日賺3000</v>
      </c>
      <c r="C3729" s="80" t="s">
        <v>4136</v>
      </c>
      <c r="D3729" s="81" t="str">
        <f>HYPERLINK("https://youtube.com/watch?v=X6Pu7Q03bdQ", "1月股市部署 廢青暴富機會已消失 ? | 12月1只美股即買即賺 ? 😍💰 1月還有機會嗎 ? | EP57【廢青 日賺3000】【點CC看中文字幕】")</f>
        <v>1月股市部署 廢青暴富機會已消失 ? | 12月1只美股即買即賺 ? 😍💰 1月還有機會嗎 ? | EP57【廢青 日賺3000】【點CC看中文字幕】</v>
      </c>
      <c r="E3729" s="82">
        <v>44196.0</v>
      </c>
      <c r="F3729" s="80">
        <v>256.0</v>
      </c>
      <c r="G3729" s="80" t="s">
        <v>63</v>
      </c>
      <c r="I3729" s="80" t="s">
        <v>63</v>
      </c>
      <c r="J3729" s="80">
        <v>1069.0</v>
      </c>
      <c r="K3729" s="80">
        <v>0.759772565742715</v>
      </c>
      <c r="L3729" s="80" t="s">
        <v>64</v>
      </c>
    </row>
    <row r="3730">
      <c r="A3730" s="80" t="s">
        <v>2972</v>
      </c>
      <c r="B3730" s="81" t="str">
        <f>HYPERLINK("https://www.youtube.com/channel/UCVMEQdIDLjHcKAsEwhVXEoQ", "Danny W.")</f>
        <v>Danny W.</v>
      </c>
      <c r="C3730" s="80" t="s">
        <v>4137</v>
      </c>
      <c r="D3730" s="81" t="str">
        <f>HYPERLINK("https://youtube.com/watch?v=X9NfEhGWfw4", "DSE Math 學過嘅Reasons 第二集")</f>
        <v>DSE Math 學過嘅Reasons 第二集</v>
      </c>
      <c r="E3730" s="82">
        <v>44327.0</v>
      </c>
      <c r="F3730" s="80">
        <v>276.0</v>
      </c>
      <c r="G3730" s="80" t="s">
        <v>63</v>
      </c>
      <c r="I3730" s="80" t="s">
        <v>63</v>
      </c>
      <c r="J3730" s="80">
        <v>417.0</v>
      </c>
      <c r="K3730" s="80">
        <v>0.404461687681862</v>
      </c>
      <c r="L3730" s="80" t="s">
        <v>102</v>
      </c>
    </row>
    <row r="3731">
      <c r="A3731" s="80" t="s">
        <v>127</v>
      </c>
      <c r="B3731" s="81" t="str">
        <f>HYPERLINK("https://www.youtube.com/channel/UC97oYK3XMf9RLtkc0lO8C-Q", "健康旦 HiEggo")</f>
        <v>健康旦 HiEggo</v>
      </c>
      <c r="C3731" s="80" t="s">
        <v>4138</v>
      </c>
      <c r="D3731" s="81" t="str">
        <f>HYPERLINK("https://youtube.com/watch?v=XAXTHTp5wGk", "許樹昌專訪（中）講解水樽當頭罩風險、戴口罩除口罩正確方法、紙巾包口罩重用是否可行 - 《健康旦》鄭丹瑞《健康旦》許樹昌教授 PART 2 (CC中文字幕)")</f>
        <v>許樹昌專訪（中）講解水樽當頭罩風險、戴口罩除口罩正確方法、紙巾包口罩重用是否可行 - 《健康旦》鄭丹瑞《健康旦》許樹昌教授 PART 2 (CC中文字幕)</v>
      </c>
      <c r="E3731" s="82">
        <v>43871.0</v>
      </c>
      <c r="F3731" s="80">
        <v>682.0</v>
      </c>
      <c r="G3731" s="80" t="s">
        <v>63</v>
      </c>
      <c r="I3731" s="80" t="s">
        <v>63</v>
      </c>
      <c r="J3731" s="80">
        <v>2736.0</v>
      </c>
      <c r="K3731" s="80">
        <v>0.979241231209735</v>
      </c>
      <c r="L3731" s="80" t="s">
        <v>64</v>
      </c>
    </row>
    <row r="3732">
      <c r="A3732" s="80" t="s">
        <v>124</v>
      </c>
      <c r="B3732" s="81" t="str">
        <f>HYPERLINK("https://www.youtube.com/channel/UCg0vuSE0fBF_NvodyYhMcWg", "Wallace Studio HK")</f>
        <v>Wallace Studio HK</v>
      </c>
      <c r="C3732" s="80" t="s">
        <v>4139</v>
      </c>
      <c r="D3732" s="81" t="str">
        <f>HYPERLINK("https://youtube.com/watch?v=XDNzxf9z06w", "[效能實測] RTX2060 MAX-Q VS RTX 3060 Part 2 創作者軟件及 3D 繪圖比較！！｜ GIGABYTE AORUS 15G VS AERO 15 OLED")</f>
        <v>[效能實測] RTX2060 MAX-Q VS RTX 3060 Part 2 創作者軟件及 3D 繪圖比較！！｜ GIGABYTE AORUS 15G VS AERO 15 OLED</v>
      </c>
      <c r="E3732" s="82">
        <v>44322.0</v>
      </c>
      <c r="F3732" s="80">
        <v>448.0</v>
      </c>
      <c r="G3732" s="80" t="s">
        <v>63</v>
      </c>
      <c r="H3732" s="80" t="s">
        <v>63</v>
      </c>
      <c r="I3732" s="80" t="s">
        <v>63</v>
      </c>
      <c r="J3732" s="80">
        <v>1213.0</v>
      </c>
      <c r="K3732" s="80">
        <v>0.591130604288499</v>
      </c>
      <c r="L3732" s="80" t="s">
        <v>86</v>
      </c>
    </row>
    <row r="3733">
      <c r="A3733" s="80" t="s">
        <v>1139</v>
      </c>
      <c r="B3733" s="81" t="str">
        <f>HYPERLINK("https://www.youtube.com/channel/UCw51gVFijIewmXH4tIR0ufw", "Crystal Zen")</f>
        <v>Crystal Zen</v>
      </c>
      <c r="C3733" s="80" t="s">
        <v>4140</v>
      </c>
      <c r="D3733" s="81" t="str">
        <f>HYPERLINK("https://youtube.com/watch?v=XDcOExh2M9s", "[水晶知多啲第六集] 失眠神器！訓唔到覺戴茶晶！")</f>
        <v>[水晶知多啲第六集] 失眠神器！訓唔到覺戴茶晶！</v>
      </c>
      <c r="E3733" s="82">
        <v>44029.0</v>
      </c>
      <c r="F3733" s="80">
        <v>340.0</v>
      </c>
      <c r="G3733" s="80" t="s">
        <v>63</v>
      </c>
      <c r="I3733" s="80" t="s">
        <v>63</v>
      </c>
      <c r="J3733" s="80">
        <v>1408.0</v>
      </c>
      <c r="K3733" s="80">
        <v>0.95457627118644</v>
      </c>
      <c r="L3733" s="80" t="s">
        <v>64</v>
      </c>
    </row>
    <row r="3734">
      <c r="A3734" s="80" t="s">
        <v>2041</v>
      </c>
      <c r="B3734" s="81" t="str">
        <f>HYPERLINK("https://www.youtube.com/channel/UCO6pB-ZN4XJ6MVkibvuEe0A", "SingSingTracker 星昇財經指標")</f>
        <v>SingSingTracker 星昇財經指標</v>
      </c>
      <c r="C3734" s="80" t="s">
        <v>4141</v>
      </c>
      <c r="D3734" s="81" t="str">
        <f>HYPERLINK("https://youtube.com/watch?v=XDuZ0sTCdo8", "【盲測可樂】百事vs可口可樂｜同事們真係飲得出？｜飲就揀可口可樂 反而投資揀百事？｜百事收益比可樂高一倍｜KO股價 價值投資｜2022長線投資組合｜Pepsi vs Cocacola #KO #PEP")</f>
        <v>【盲測可樂】百事vs可口可樂｜同事們真係飲得出？｜飲就揀可口可樂 反而投資揀百事？｜百事收益比可樂高一倍｜KO股價 價值投資｜2022長線投資組合｜Pepsi vs Cocacola #KO #PEP</v>
      </c>
      <c r="E3734" s="82">
        <v>44561.0</v>
      </c>
      <c r="F3734" s="80">
        <v>661.0</v>
      </c>
      <c r="G3734" s="80" t="s">
        <v>63</v>
      </c>
      <c r="I3734" s="80" t="s">
        <v>63</v>
      </c>
      <c r="J3734" s="80">
        <v>2277.0</v>
      </c>
      <c r="K3734" s="80">
        <v>0.938195302843016</v>
      </c>
      <c r="L3734" s="80" t="s">
        <v>64</v>
      </c>
    </row>
    <row r="3735">
      <c r="A3735" s="80" t="s">
        <v>127</v>
      </c>
      <c r="B3735" s="81" t="str">
        <f>HYPERLINK("https://www.youtube.com/channel/UC97oYK3XMf9RLtkc0lO8C-Q", "健康旦 HiEggo")</f>
        <v>健康旦 HiEggo</v>
      </c>
      <c r="C3735" s="80" t="s">
        <v>4142</v>
      </c>
      <c r="D3735" s="81" t="str">
        <f>HYPERLINK("https://youtube.com/watch?v=XEQoM22DgfQ", "突然失神發呆屬癲癇症狀 小兒抽筋急救勿塞毛巾落口 按壓額頭、耳背、心口幫大腦「開機」 - 鄭丹瑞《健康旦》香港中文大學醫學院兒科學系榮譽臨床副教授 #洪之韻 Part 2 (CC中文字幕)")</f>
        <v>突然失神發呆屬癲癇症狀 小兒抽筋急救勿塞毛巾落口 按壓額頭、耳背、心口幫大腦「開機」 - 鄭丹瑞《健康旦》香港中文大學醫學院兒科學系榮譽臨床副教授 #洪之韻 Part 2 (CC中文字幕)</v>
      </c>
      <c r="E3735" s="82">
        <v>44105.0</v>
      </c>
      <c r="F3735" s="80">
        <v>529.0</v>
      </c>
      <c r="G3735" s="80" t="s">
        <v>63</v>
      </c>
      <c r="I3735" s="80" t="s">
        <v>63</v>
      </c>
      <c r="J3735" s="80">
        <v>2211.0</v>
      </c>
      <c r="K3735" s="80">
        <v>0.983103601600711</v>
      </c>
      <c r="L3735" s="80" t="s">
        <v>2771</v>
      </c>
    </row>
    <row r="3736">
      <c r="A3736" s="80" t="s">
        <v>98</v>
      </c>
      <c r="B3736" s="81" t="str">
        <f t="shared" ref="B3736:B3737" si="200">HYPERLINK("https://www.youtube.com/channel/UCrquuQB6v1Ued2xyRKZreGQ", "Stephen Leung ")</f>
        <v>Stephen Leung </v>
      </c>
      <c r="C3736" s="80" t="s">
        <v>4143</v>
      </c>
      <c r="D3736" s="81" t="str">
        <f>HYPERLINK("https://youtube.com/watch?v=XGYUseWuvfs", "【香港美食】西貢 $2XX/位全包 平價海鮮套餐 食四款海鮮，點解做咁平? 食唔食得過? 西貢海鮮餐實測! 香港好去處 | 吃喝玩樂 電子消費券 新聞  信用卡 都可以用")</f>
        <v>【香港美食】西貢 $2XX/位全包 平價海鮮套餐 食四款海鮮，點解做咁平? 食唔食得過? 西貢海鮮餐實測! 香港好去處 | 吃喝玩樂 電子消費券 新聞  信用卡 都可以用</v>
      </c>
      <c r="E3736" s="82">
        <v>44397.0</v>
      </c>
      <c r="F3736" s="80">
        <v>833.0</v>
      </c>
      <c r="G3736" s="80" t="s">
        <v>63</v>
      </c>
      <c r="I3736" s="80" t="s">
        <v>63</v>
      </c>
      <c r="J3736" s="80">
        <v>2445.0</v>
      </c>
      <c r="K3736" s="80">
        <v>0.989477944152165</v>
      </c>
      <c r="L3736" s="80" t="s">
        <v>64</v>
      </c>
    </row>
    <row r="3737">
      <c r="A3737" s="80" t="s">
        <v>98</v>
      </c>
      <c r="B3737" s="81" t="str">
        <f t="shared" si="200"/>
        <v>Stephen Leung </v>
      </c>
      <c r="C3737" s="80" t="s">
        <v>4144</v>
      </c>
      <c r="D3737" s="81" t="str">
        <f>HYPERLINK("https://youtube.com/watch?v=XGpmWHHGZd0", "【民生關注組】香港最好食兩餸飯！omicron 第五波 疫情 禁堂食14天 唯有平靚正外賣選擇 平民美食 幾十款美味小菜 實測兩間人氣店 喜洋洋美食 VS 廣潤美食  | 吃喝玩樂")</f>
        <v>【民生關注組】香港最好食兩餸飯！omicron 第五波 疫情 禁堂食14天 唯有平靚正外賣選擇 平民美食 幾十款美味小菜 實測兩間人氣店 喜洋洋美食 VS 廣潤美食  | 吃喝玩樂</v>
      </c>
      <c r="E3737" s="82">
        <v>44568.0</v>
      </c>
      <c r="F3737" s="80">
        <v>493.0</v>
      </c>
      <c r="G3737" s="80" t="s">
        <v>63</v>
      </c>
      <c r="I3737" s="80" t="s">
        <v>63</v>
      </c>
      <c r="J3737" s="80">
        <v>1565.0</v>
      </c>
      <c r="K3737" s="80">
        <v>0.983658076681332</v>
      </c>
      <c r="L3737" s="80" t="s">
        <v>64</v>
      </c>
    </row>
    <row r="3738">
      <c r="A3738" s="80" t="s">
        <v>248</v>
      </c>
      <c r="B3738" s="81" t="str">
        <f>HYPERLINK("https://www.youtube.com/channel/UCUEJok-GiWaGlv5nIPwk-GQ", "Price.com.hk 香港格價網")</f>
        <v>Price.com.hk 香港格價網</v>
      </c>
      <c r="C3738" s="80" t="s">
        <v>4145</v>
      </c>
      <c r="D3738" s="81" t="str">
        <f>HYPERLINK("https://youtube.com/watch?v=XKyT_Y4Kq9I", "四大旗艦手機攝力測試Pixel 6 Pro跑出？Galaxy S21 Ultra．iPhone 13 ProMax．Xperia Pro-I｜效能跑分｜熒幕｜續航力【Price.com.hk產品評測】")</f>
        <v>四大旗艦手機攝力測試Pixel 6 Pro跑出？Galaxy S21 Ultra．iPhone 13 ProMax．Xperia Pro-I｜效能跑分｜熒幕｜續航力【Price.com.hk產品評測】</v>
      </c>
      <c r="E3738" s="82">
        <v>44547.0</v>
      </c>
      <c r="F3738" s="80">
        <v>763.0</v>
      </c>
      <c r="G3738" s="80" t="s">
        <v>63</v>
      </c>
      <c r="I3738" s="80" t="s">
        <v>63</v>
      </c>
      <c r="J3738" s="80">
        <v>2323.0</v>
      </c>
      <c r="K3738" s="80">
        <v>0.700120554550934</v>
      </c>
      <c r="L3738" s="80" t="s">
        <v>64</v>
      </c>
    </row>
    <row r="3739">
      <c r="A3739" s="80" t="s">
        <v>98</v>
      </c>
      <c r="B3739" s="81" t="str">
        <f>HYPERLINK("https://www.youtube.com/channel/UCrquuQB6v1Ued2xyRKZreGQ", "Stephen Leung ")</f>
        <v>Stephen Leung </v>
      </c>
      <c r="C3739" s="80" t="s">
        <v>4146</v>
      </c>
      <c r="D3739" s="81" t="str">
        <f>HYPERLINK("https://youtube.com/watch?v=XNWQzN9ryN4", "【海鮮自助餐】生猛龍蝦即煮任食 五星酒店海鮮自助晚餐 即燒乳豬 烤牛肉 紅酒任飲 尖沙咀凱悅酒店 | 吃喝玩樂")</f>
        <v>【海鮮自助餐】生猛龍蝦即煮任食 五星酒店海鮮自助晚餐 即燒乳豬 烤牛肉 紅酒任飲 尖沙咀凱悅酒店 | 吃喝玩樂</v>
      </c>
      <c r="E3739" s="82">
        <v>44336.0</v>
      </c>
      <c r="F3739" s="80">
        <v>771.0</v>
      </c>
      <c r="G3739" s="80" t="s">
        <v>63</v>
      </c>
      <c r="I3739" s="80" t="s">
        <v>63</v>
      </c>
      <c r="J3739" s="80">
        <v>1486.0</v>
      </c>
      <c r="K3739" s="80">
        <v>0.969341161121983</v>
      </c>
      <c r="L3739" s="80" t="s">
        <v>64</v>
      </c>
    </row>
    <row r="3740">
      <c r="A3740" s="80" t="s">
        <v>3757</v>
      </c>
      <c r="B3740" s="81" t="str">
        <f>HYPERLINK("https://www.youtube.com/channel/UCjJcc0em0PqOtUUQr9KxBuQ", "Fat’n’Skinny一肥一瘦")</f>
        <v>Fat’n’Skinny一肥一瘦</v>
      </c>
      <c r="C3740" s="80" t="s">
        <v>4147</v>
      </c>
      <c r="D3740" s="81" t="str">
        <f>HYPERLINK("https://youtube.com/watch?v=XNqWsegOoGg", "[食好荽] 召喚芫荽黨員!! 荃灣爆荽點心 | 愛荽者天堂 厭荽者地獄 | CC字幕")</f>
        <v>[食好荽] 召喚芫荽黨員!! 荃灣爆荽點心 | 愛荽者天堂 厭荽者地獄 | CC字幕</v>
      </c>
      <c r="E3740" s="82">
        <v>44286.0</v>
      </c>
      <c r="F3740" s="80">
        <v>340.0</v>
      </c>
      <c r="G3740" s="80" t="s">
        <v>63</v>
      </c>
      <c r="I3740" s="80" t="s">
        <v>63</v>
      </c>
      <c r="J3740" s="80">
        <v>1153.0</v>
      </c>
      <c r="K3740" s="80">
        <v>0.951320132013201</v>
      </c>
      <c r="L3740" s="80" t="s">
        <v>64</v>
      </c>
    </row>
    <row r="3741">
      <c r="A3741" s="80" t="s">
        <v>3170</v>
      </c>
      <c r="B3741" s="81" t="str">
        <f>HYPERLINK("https://www.youtube.com/channel/UC4sYIzNtzgaJudHQcDGtuJA", "CC漫遊")</f>
        <v>CC漫遊</v>
      </c>
      <c r="C3741" s="80" t="s">
        <v>4148</v>
      </c>
      <c r="D3741" s="81" t="str">
        <f>HYPERLINK("https://youtube.com/watch?v=XTjJTlb0otY", "【香港行山好去處】薄刀屻波浪山脊｜隱世深山入面嘅天書壁📖｜大東山芒草失敗？🌾｜東涌行山記 Ep.1")</f>
        <v>【香港行山好去處】薄刀屻波浪山脊｜隱世深山入面嘅天書壁📖｜大東山芒草失敗？🌾｜東涌行山記 Ep.1</v>
      </c>
      <c r="E3741" s="82">
        <v>44501.0</v>
      </c>
      <c r="F3741" s="80">
        <v>648.0</v>
      </c>
      <c r="G3741" s="80" t="s">
        <v>63</v>
      </c>
      <c r="I3741" s="80" t="s">
        <v>63</v>
      </c>
      <c r="J3741" s="80">
        <v>1891.0</v>
      </c>
      <c r="K3741" s="80">
        <v>0.984895833333333</v>
      </c>
      <c r="L3741" s="80" t="s">
        <v>102</v>
      </c>
    </row>
    <row r="3742">
      <c r="A3742" s="80" t="s">
        <v>245</v>
      </c>
      <c r="B3742" s="81" t="str">
        <f>HYPERLINK("https://www.youtube.com/channel/UCkZ3cOWgnhJheCK7Ywpiezw", "Eagen Kao")</f>
        <v>Eagen Kao</v>
      </c>
      <c r="C3742" s="80" t="s">
        <v>4149</v>
      </c>
      <c r="D3742" s="81" t="str">
        <f>HYPERLINK("https://youtube.com/watch?v=X_rtZGee7oI", "[講TECH] iPhone 12 Pro Max V.S. OnePlus Nord 邊個影相勁啲？ | 手機評測")</f>
        <v>[講TECH] iPhone 12 Pro Max V.S. OnePlus Nord 邊個影相勁啲？ | 手機評測</v>
      </c>
      <c r="E3742" s="82">
        <v>44168.0</v>
      </c>
      <c r="F3742" s="80">
        <v>650.0</v>
      </c>
      <c r="G3742" s="80" t="s">
        <v>63</v>
      </c>
      <c r="I3742" s="80" t="s">
        <v>63</v>
      </c>
      <c r="J3742" s="80">
        <v>2179.0</v>
      </c>
      <c r="K3742" s="80">
        <v>0.709540866167372</v>
      </c>
      <c r="L3742" s="80" t="s">
        <v>521</v>
      </c>
    </row>
    <row r="3743">
      <c r="A3743" s="80" t="s">
        <v>4150</v>
      </c>
      <c r="B3743" s="81" t="str">
        <f>HYPERLINK("https://www.youtube.com/channel/UCRWbxsxc-oDcMKNNPTxM9Bw", "Fred哥～")</f>
        <v>Fred哥～</v>
      </c>
      <c r="C3743" s="80" t="s">
        <v>4151</v>
      </c>
      <c r="D3743" s="81" t="str">
        <f>HYPERLINK("https://youtube.com/watch?v=XaQkVYkfDoU", "【Vlog you #6】 九月一號全港學生惡夢，放學去深水埗食嘢巧見阿儀？！（記得開CC字幕😊）")</f>
        <v>【Vlog you #6】 九月一號全港學生惡夢，放學去深水埗食嘢巧見阿儀？！（記得開CC字幕😊）</v>
      </c>
      <c r="E3743" s="82">
        <v>44444.0</v>
      </c>
      <c r="F3743" s="80">
        <v>1049.0</v>
      </c>
      <c r="G3743" s="80" t="s">
        <v>63</v>
      </c>
      <c r="I3743" s="80" t="s">
        <v>63</v>
      </c>
      <c r="J3743" s="80">
        <v>1333.0</v>
      </c>
      <c r="K3743" s="80">
        <v>0.863901490602721</v>
      </c>
      <c r="L3743" s="80" t="s">
        <v>64</v>
      </c>
    </row>
    <row r="3744">
      <c r="A3744" s="80" t="s">
        <v>1390</v>
      </c>
      <c r="B3744" s="81" t="str">
        <f>HYPERLINK("https://www.youtube.com/channel/UCgwEJflQi4WnZ8PU0xdibZQ", "Kinson Ho")</f>
        <v>Kinson Ho</v>
      </c>
      <c r="C3744" s="80" t="s">
        <v>4152</v>
      </c>
      <c r="D3744" s="81" t="str">
        <f>HYPERLINK("https://youtube.com/watch?v=XarcXC4XMPI", "K神任我行 - [CC字幕4K] 馬大石澗｜英雄瀑｜大水坑｜點解不准游泳｜行澗等如犯法？｜集水區內不可游泳｜自己垃圾自己帶走｜航拍")</f>
        <v>K神任我行 - [CC字幕4K] 馬大石澗｜英雄瀑｜大水坑｜點解不准游泳｜行澗等如犯法？｜集水區內不可游泳｜自己垃圾自己帶走｜航拍</v>
      </c>
      <c r="E3744" s="82">
        <v>44384.0</v>
      </c>
      <c r="F3744" s="80">
        <v>916.0</v>
      </c>
      <c r="G3744" s="80" t="s">
        <v>63</v>
      </c>
      <c r="I3744" s="80" t="s">
        <v>63</v>
      </c>
      <c r="J3744" s="80">
        <v>1201.0</v>
      </c>
      <c r="K3744" s="80">
        <v>0.982011447260834</v>
      </c>
      <c r="L3744" s="80" t="s">
        <v>64</v>
      </c>
    </row>
    <row r="3745">
      <c r="A3745" s="80" t="s">
        <v>238</v>
      </c>
      <c r="B3745" s="81" t="str">
        <f>HYPERLINK("https://www.youtube.com/channel/UCSBkm4LwpgBmcA3MCtO8vqg", "Post76影音玩樂")</f>
        <v>Post76影音玩樂</v>
      </c>
      <c r="C3745" s="80" t="s">
        <v>4153</v>
      </c>
      <c r="D3745" s="81" t="str">
        <f>HYPERLINK("https://youtube.com/watch?v=Xb3Ip1bKWI4", "Samsung QN900A Neo QLED 8K 智能電視 : 量子 Mini LED ＋ 8K人工智能16神經網絡做到野！（附設中文字幕）粵語 【電視評測 | Post76.hk】")</f>
        <v>Samsung QN900A Neo QLED 8K 智能電視 : 量子 Mini LED ＋ 8K人工智能16神經網絡做到野！（附設中文字幕）粵語 【電視評測 | Post76.hk】</v>
      </c>
      <c r="E3745" s="82">
        <v>44354.0</v>
      </c>
      <c r="F3745" s="80">
        <v>1140.0</v>
      </c>
      <c r="G3745" s="80" t="s">
        <v>63</v>
      </c>
      <c r="H3745" s="80" t="s">
        <v>63</v>
      </c>
      <c r="I3745" s="80" t="s">
        <v>63</v>
      </c>
      <c r="J3745" s="80">
        <v>4024.0</v>
      </c>
      <c r="K3745" s="80">
        <v>0.838675664276676</v>
      </c>
      <c r="L3745" s="80" t="s">
        <v>66</v>
      </c>
    </row>
    <row r="3746">
      <c r="A3746" s="80" t="s">
        <v>1987</v>
      </c>
      <c r="B3746" s="81" t="str">
        <f>HYPERLINK("https://www.youtube.com/channel/UCgGUmm04nVyj-ftaCxVcyBg", "MangoHK大馬獅家")</f>
        <v>MangoHK大馬獅家</v>
      </c>
      <c r="C3746" s="80" t="s">
        <v>4154</v>
      </c>
      <c r="D3746" s="81" t="str">
        <f>HYPERLINK("https://youtube.com/watch?v=XdVWRoV_r3w", "【15】🤪大食後遣症, 📸靚相全公開! {中英字幕}  Subtitled | Malaysia Delicious Food | Malaysia Vlog | mm2h")</f>
        <v>【15】🤪大食後遣症, 📸靚相全公開! {中英字幕}  Subtitled | Malaysia Delicious Food | Malaysia Vlog | mm2h</v>
      </c>
      <c r="E3746" s="82">
        <v>44451.0</v>
      </c>
      <c r="F3746" s="80">
        <v>1217.0</v>
      </c>
      <c r="G3746" s="80" t="s">
        <v>63</v>
      </c>
      <c r="I3746" s="80" t="s">
        <v>63</v>
      </c>
      <c r="J3746" s="80">
        <v>1541.0</v>
      </c>
      <c r="K3746" s="80">
        <v>0.927196149217809</v>
      </c>
      <c r="L3746" s="80" t="s">
        <v>896</v>
      </c>
    </row>
    <row r="3747">
      <c r="A3747" s="80" t="s">
        <v>291</v>
      </c>
      <c r="B3747" s="81" t="str">
        <f>HYPERLINK("https://www.youtube.com/channel/UClSNJbCUCp_W4yrS3DlCmjw", "飛馬 PEGASUS")</f>
        <v>飛馬 PEGASUS</v>
      </c>
      <c r="C3747" s="80" t="s">
        <v>4155</v>
      </c>
      <c r="D3747" s="81" t="str">
        <f>HYPERLINK("https://youtube.com/watch?v=XfY4nZGk6Tg", "Google 會唱歌嗎? - Google Home vs Amazon Echo Dot 開箱測試 (CC中文字幕)")</f>
        <v>Google 會唱歌嗎? - Google Home vs Amazon Echo Dot 開箱測試 (CC中文字幕)</v>
      </c>
      <c r="E3747" s="82">
        <v>43279.0</v>
      </c>
      <c r="F3747" s="80">
        <v>520.0</v>
      </c>
      <c r="G3747" s="80" t="s">
        <v>63</v>
      </c>
      <c r="I3747" s="80" t="s">
        <v>63</v>
      </c>
      <c r="J3747" s="80">
        <v>713.0</v>
      </c>
      <c r="K3747" s="80">
        <v>0.24560799173269</v>
      </c>
      <c r="L3747" s="80" t="s">
        <v>64</v>
      </c>
    </row>
    <row r="3748">
      <c r="A3748" s="80" t="s">
        <v>238</v>
      </c>
      <c r="B3748" s="81" t="str">
        <f>HYPERLINK("https://www.youtube.com/channel/UCSBkm4LwpgBmcA3MCtO8vqg", "Post76影音玩樂")</f>
        <v>Post76影音玩樂</v>
      </c>
      <c r="C3748" s="80" t="s">
        <v>4156</v>
      </c>
      <c r="D3748" s="81" t="str">
        <f>HYPERLINK("https://youtube.com/watch?v=XgFKsC1IC4s", "iPhone 12 Pro 拍攝 Dolby Vision 拍，剪，播原汁原味簡單方法話你知！（附設中文字幕）粵語 【手機評測 | Post76.hk】")</f>
        <v>iPhone 12 Pro 拍攝 Dolby Vision 拍，剪，播原汁原味簡單方法話你知！（附設中文字幕）粵語 【手機評測 | Post76.hk】</v>
      </c>
      <c r="E3748" s="82">
        <v>44279.0</v>
      </c>
      <c r="F3748" s="80">
        <v>564.0</v>
      </c>
      <c r="G3748" s="80" t="s">
        <v>63</v>
      </c>
      <c r="H3748" s="80" t="s">
        <v>63</v>
      </c>
      <c r="I3748" s="80" t="s">
        <v>63</v>
      </c>
      <c r="J3748" s="80">
        <v>2128.0</v>
      </c>
      <c r="K3748" s="80">
        <v>0.826086956521739</v>
      </c>
      <c r="L3748" s="80" t="s">
        <v>66</v>
      </c>
    </row>
    <row r="3749">
      <c r="A3749" s="80" t="s">
        <v>2972</v>
      </c>
      <c r="B3749" s="81" t="str">
        <f>HYPERLINK("https://www.youtube.com/channel/UCVMEQdIDLjHcKAsEwhVXEoQ", "Danny W.")</f>
        <v>Danny W.</v>
      </c>
      <c r="C3749" s="80" t="s">
        <v>4157</v>
      </c>
      <c r="D3749" s="81" t="str">
        <f>HYPERLINK("https://youtube.com/watch?v=XgbfGKJxrNk", "LAST DSE 2023 通識 Concept通 | 迪士尼化 LS Concept Disneyization EP01")</f>
        <v>LAST DSE 2023 通識 Concept通 | 迪士尼化 LS Concept Disneyization EP01</v>
      </c>
      <c r="E3749" s="82">
        <v>43141.0</v>
      </c>
      <c r="F3749" s="80">
        <v>147.0</v>
      </c>
      <c r="G3749" s="80" t="s">
        <v>63</v>
      </c>
      <c r="I3749" s="80" t="s">
        <v>63</v>
      </c>
      <c r="J3749" s="80">
        <v>377.0</v>
      </c>
      <c r="K3749" s="80">
        <v>0.734892787524366</v>
      </c>
      <c r="L3749" s="80" t="s">
        <v>102</v>
      </c>
    </row>
    <row r="3750">
      <c r="A3750" s="80" t="s">
        <v>1139</v>
      </c>
      <c r="B3750" s="81" t="str">
        <f>HYPERLINK("https://www.youtube.com/channel/UCw51gVFijIewmXH4tIR0ufw", "Crystal Zen")</f>
        <v>Crystal Zen</v>
      </c>
      <c r="C3750" s="80" t="s">
        <v>4158</v>
      </c>
      <c r="D3750" s="81" t="str">
        <f>HYPERLINK("https://youtube.com/watch?v=XiCeM-3pSKA", "[陪我做野系列] 功效大細 到底應該係戴手串，吊墜？大家都好困惑 !")</f>
        <v>[陪我做野系列] 功效大細 到底應該係戴手串，吊墜？大家都好困惑 !</v>
      </c>
      <c r="E3750" s="82">
        <v>44071.0</v>
      </c>
      <c r="F3750" s="80">
        <v>333.0</v>
      </c>
      <c r="G3750" s="80" t="s">
        <v>63</v>
      </c>
      <c r="I3750" s="80" t="s">
        <v>63</v>
      </c>
      <c r="J3750" s="80">
        <v>1474.0</v>
      </c>
      <c r="K3750" s="80">
        <v>0.891712038717483</v>
      </c>
      <c r="L3750" s="80" t="s">
        <v>64</v>
      </c>
    </row>
    <row r="3751">
      <c r="A3751" s="80" t="s">
        <v>248</v>
      </c>
      <c r="B3751" s="81" t="str">
        <f>HYPERLINK("https://www.youtube.com/channel/UCUEJok-GiWaGlv5nIPwk-GQ", "Price.com.hk 香港格價網")</f>
        <v>Price.com.hk 香港格價網</v>
      </c>
      <c r="C3751" s="80" t="s">
        <v>4159</v>
      </c>
      <c r="D3751" s="81" t="str">
        <f>HYPERLINK("https://youtube.com/watch?v=XiWmoIHE2yA", "如何挑選合適Mesh WiFI ? NETGEAR RBK852, RBK752, RBK352 Router｜特約專題【Pice.com.hk產品評測】")</f>
        <v>如何挑選合適Mesh WiFI ? NETGEAR RBK852, RBK752, RBK352 Router｜特約專題【Pice.com.hk產品評測】</v>
      </c>
      <c r="E3751" s="82">
        <v>44427.0</v>
      </c>
      <c r="F3751" s="80">
        <v>527.0</v>
      </c>
      <c r="G3751" s="80" t="s">
        <v>63</v>
      </c>
      <c r="I3751" s="80" t="s">
        <v>63</v>
      </c>
      <c r="J3751" s="80">
        <v>1727.0</v>
      </c>
      <c r="K3751" s="80">
        <v>0.659411989308896</v>
      </c>
      <c r="L3751" s="80" t="s">
        <v>64</v>
      </c>
    </row>
    <row r="3752">
      <c r="A3752" s="80" t="s">
        <v>3021</v>
      </c>
      <c r="B3752" s="81" t="str">
        <f>HYPERLINK("https://www.youtube.com/channel/UCEZ8fnigqno2a1z2_JSYjxQ", "9up Youtuber")</f>
        <v>9up Youtuber</v>
      </c>
      <c r="C3752" s="80" t="s">
        <v>4160</v>
      </c>
      <c r="D3752" s="81" t="str">
        <f>HYPERLINK("https://youtube.com/watch?v=XjDNZKSjVjI", "屎萊姆 vs 大J|夾公仔機層壓式推銷|YOUTUBER格鬥大戰|9up分享")</f>
        <v>屎萊姆 vs 大J|夾公仔機層壓式推銷|YOUTUBER格鬥大戰|9up分享</v>
      </c>
      <c r="E3752" s="82">
        <v>43935.0</v>
      </c>
      <c r="F3752" s="80">
        <v>421.0</v>
      </c>
      <c r="G3752" s="80" t="s">
        <v>63</v>
      </c>
      <c r="I3752" s="80" t="s">
        <v>63</v>
      </c>
      <c r="J3752" s="80">
        <v>198.0</v>
      </c>
      <c r="K3752" s="80">
        <v>0.808163265306122</v>
      </c>
      <c r="L3752" s="80" t="s">
        <v>64</v>
      </c>
    </row>
    <row r="3753">
      <c r="A3753" s="80" t="s">
        <v>2898</v>
      </c>
      <c r="B3753" s="81" t="str">
        <f>HYPERLINK("https://www.youtube.com/channel/UCy5bjMXbFPglSBNDXfivtOA", "消費者委員會")</f>
        <v>消費者委員會</v>
      </c>
      <c r="C3753" s="80" t="s">
        <v>4161</v>
      </c>
      <c r="D3753" s="81" t="str">
        <f>HYPERLINK("https://youtube.com/watch?v=XmJXM30hRrY", "網上維修咪大意")</f>
        <v>網上維修咪大意</v>
      </c>
      <c r="E3753" s="82">
        <v>42780.0</v>
      </c>
      <c r="F3753" s="80">
        <v>420.0</v>
      </c>
      <c r="G3753" s="80" t="s">
        <v>63</v>
      </c>
      <c r="I3753" s="80" t="s">
        <v>63</v>
      </c>
      <c r="J3753" s="80">
        <v>1046.0</v>
      </c>
      <c r="K3753" s="80">
        <v>0.999044890162368</v>
      </c>
      <c r="L3753" s="80" t="s">
        <v>64</v>
      </c>
    </row>
    <row r="3754">
      <c r="A3754" s="80" t="s">
        <v>2479</v>
      </c>
      <c r="B3754" s="81" t="str">
        <f>HYPERLINK("https://www.youtube.com/channel/UC0Da4Jp5vYSPa6hCI6MOrCQ", "Cussion Reve")</f>
        <v>Cussion Reve</v>
      </c>
      <c r="C3754" s="80" t="s">
        <v>4162</v>
      </c>
      <c r="D3754" s="81" t="str">
        <f>HYPERLINK("https://youtube.com/watch?v=XmTSDynUKbs", "[慳錢大作戰] 吉列豬扒都可以點吉士醬？")</f>
        <v>[慳錢大作戰] 吉列豬扒都可以點吉士醬？</v>
      </c>
      <c r="E3754" s="82">
        <v>44150.0</v>
      </c>
      <c r="F3754" s="80">
        <v>578.0</v>
      </c>
      <c r="G3754" s="80" t="s">
        <v>63</v>
      </c>
      <c r="I3754" s="80" t="s">
        <v>63</v>
      </c>
      <c r="J3754" s="80">
        <v>886.0</v>
      </c>
      <c r="K3754" s="80">
        <v>0.943556975505857</v>
      </c>
      <c r="L3754" s="80" t="s">
        <v>64</v>
      </c>
    </row>
    <row r="3755">
      <c r="A3755" s="80" t="s">
        <v>127</v>
      </c>
      <c r="B3755" s="81" t="str">
        <f>HYPERLINK("https://www.youtube.com/channel/UC97oYK3XMf9RLtkc0lO8C-Q", "健康旦 HiEggo")</f>
        <v>健康旦 HiEggo</v>
      </c>
      <c r="C3755" s="80" t="s">
        <v>4163</v>
      </c>
      <c r="D3755" s="81" t="str">
        <f>HYPERLINK("https://youtube.com/watch?v=Xp7U9Kffoec", "麥玲玲衣櫃似老夫子 全櫃紅色衫 為塑造「紅色衫玄學家」品牌形象 - 鄭丹瑞《健康旦》麥玲玲 2020 Part 1 (CC中文字幕)")</f>
        <v>麥玲玲衣櫃似老夫子 全櫃紅色衫 為塑造「紅色衫玄學家」品牌形象 - 鄭丹瑞《健康旦》麥玲玲 2020 Part 1 (CC中文字幕)</v>
      </c>
      <c r="E3755" s="82">
        <v>43903.0</v>
      </c>
      <c r="F3755" s="80">
        <v>743.0</v>
      </c>
      <c r="G3755" s="80" t="s">
        <v>63</v>
      </c>
      <c r="I3755" s="80" t="s">
        <v>63</v>
      </c>
      <c r="J3755" s="80">
        <v>3667.0</v>
      </c>
      <c r="K3755" s="80">
        <v>0.995926127104834</v>
      </c>
      <c r="L3755" s="80" t="s">
        <v>102</v>
      </c>
    </row>
    <row r="3756">
      <c r="A3756" s="80" t="s">
        <v>2972</v>
      </c>
      <c r="B3756" s="81" t="str">
        <f>HYPERLINK("https://www.youtube.com/channel/UCVMEQdIDLjHcKAsEwhVXEoQ", "Danny W.")</f>
        <v>Danny W.</v>
      </c>
      <c r="C3756" s="80" t="s">
        <v>4164</v>
      </c>
      <c r="D3756" s="81" t="str">
        <f>HYPERLINK("https://youtube.com/watch?v=XpV9bF3pm2o", "Verb: Be 不規則動詞 港法文 EP 5")</f>
        <v>Verb: Be 不規則動詞 港法文 EP 5</v>
      </c>
      <c r="E3756" s="82">
        <v>44360.0</v>
      </c>
      <c r="F3756" s="80">
        <v>94.0</v>
      </c>
      <c r="G3756" s="80" t="s">
        <v>63</v>
      </c>
      <c r="I3756" s="80" t="s">
        <v>63</v>
      </c>
      <c r="J3756" s="80">
        <v>195.0</v>
      </c>
      <c r="K3756" s="80">
        <v>0.633116883116883</v>
      </c>
      <c r="L3756" s="80" t="s">
        <v>102</v>
      </c>
    </row>
    <row r="3757">
      <c r="A3757" s="80" t="s">
        <v>1606</v>
      </c>
      <c r="B3757" s="81" t="str">
        <f>HYPERLINK("https://www.youtube.com/channel/UCk25FUc8pLiP3A6Zniknxbg", "希治閣【遊戲情報科】")</f>
        <v>希治閣【遊戲情報科】</v>
      </c>
      <c r="C3757" s="80" t="s">
        <v>4165</v>
      </c>
      <c r="D3757" s="81" t="str">
        <f>HYPERLINK("https://youtube.com/watch?v=XqCQfzC6O50", "【特別推介】RTX 2070 Super 玩家角度向開箱！")</f>
        <v>【特別推介】RTX 2070 Super 玩家角度向開箱！</v>
      </c>
      <c r="E3757" s="82">
        <v>43760.0</v>
      </c>
      <c r="F3757" s="80">
        <v>360.0</v>
      </c>
      <c r="G3757" s="80" t="s">
        <v>63</v>
      </c>
      <c r="I3757" s="80" t="s">
        <v>63</v>
      </c>
      <c r="J3757" s="80">
        <v>1503.0</v>
      </c>
      <c r="K3757" s="80">
        <v>0.698420074349442</v>
      </c>
      <c r="L3757" s="80" t="s">
        <v>64</v>
      </c>
    </row>
    <row r="3758">
      <c r="A3758" s="80" t="s">
        <v>1987</v>
      </c>
      <c r="B3758" s="81" t="str">
        <f>HYPERLINK("https://www.youtube.com/channel/UCgGUmm04nVyj-ftaCxVcyBg", "MangoHK大馬獅家")</f>
        <v>MangoHK大馬獅家</v>
      </c>
      <c r="C3758" s="80" t="s">
        <v>4166</v>
      </c>
      <c r="D3758" s="81" t="str">
        <f>HYPERLINK("https://youtube.com/watch?v=XrbdndU1S2w", "【30】📚大馬國際書館🤓如何叫做最好？{中英字幕}  Subtitled | Malaysia International schools | Malaysia Vlog | mm2h")</f>
        <v>【30】📚大馬國際書館🤓如何叫做最好？{中英字幕}  Subtitled | Malaysia International schools | Malaysia Vlog | mm2h</v>
      </c>
      <c r="E3758" s="82">
        <v>44461.0</v>
      </c>
      <c r="F3758" s="80">
        <v>504.0</v>
      </c>
      <c r="G3758" s="80" t="s">
        <v>63</v>
      </c>
      <c r="I3758" s="80" t="s">
        <v>63</v>
      </c>
      <c r="J3758" s="80">
        <v>1153.0</v>
      </c>
      <c r="K3758" s="80">
        <v>0.880825057295645</v>
      </c>
      <c r="L3758" s="80" t="s">
        <v>896</v>
      </c>
    </row>
    <row r="3759">
      <c r="A3759" s="80" t="s">
        <v>293</v>
      </c>
      <c r="B3759" s="81" t="str">
        <f>HYPERLINK("https://www.youtube.com/channel/UCXRcbXqjORdIvl63I7MtOLQ", "趁熱 Kerry 's kitchen")</f>
        <v>趁熱 Kerry 's kitchen</v>
      </c>
      <c r="C3759" s="80" t="s">
        <v>4167</v>
      </c>
      <c r="D3759" s="81" t="str">
        <f>HYPERLINK("https://youtube.com/watch?v=Xu4j0Jix1hc", "橄欖 菜/蝦仁 炒飯/超惹味/超 簡單/低 成本/簡單 家做/新手 入門/廣東話/中字")</f>
        <v>橄欖 菜/蝦仁 炒飯/超惹味/超 簡單/低 成本/簡單 家做/新手 入門/廣東話/中字</v>
      </c>
      <c r="E3759" s="82">
        <v>44466.0</v>
      </c>
      <c r="F3759" s="80">
        <v>559.0</v>
      </c>
      <c r="G3759" s="80" t="s">
        <v>63</v>
      </c>
      <c r="I3759" s="80" t="s">
        <v>63</v>
      </c>
      <c r="J3759" s="80">
        <v>478.0</v>
      </c>
      <c r="K3759" s="80">
        <v>0.977505112474437</v>
      </c>
      <c r="L3759" s="80" t="s">
        <v>64</v>
      </c>
    </row>
    <row r="3760">
      <c r="A3760" s="80" t="s">
        <v>2800</v>
      </c>
      <c r="B3760" s="81" t="str">
        <f>HYPERLINK("https://www.youtube.com/channel/UCMqrlsr-AECPc6_3oDr8m9w", "Unicorn 獸哥")</f>
        <v>Unicorn 獸哥</v>
      </c>
      <c r="C3760" s="80" t="s">
        <v>4168</v>
      </c>
      <c r="D3760" s="81" t="str">
        <f>HYPERLINK("https://youtube.com/watch?v=XvTNNi8rKFU", "認識 Marvel宇宙起源 永恆族角色介紹")</f>
        <v>認識 Marvel宇宙起源 永恆族角色介紹</v>
      </c>
      <c r="E3760" s="82">
        <v>44499.0</v>
      </c>
      <c r="F3760" s="80">
        <v>658.0</v>
      </c>
      <c r="G3760" s="80" t="s">
        <v>63</v>
      </c>
      <c r="I3760" s="80" t="s">
        <v>63</v>
      </c>
      <c r="J3760" s="80">
        <v>3055.0</v>
      </c>
      <c r="K3760" s="80">
        <v>0.842293906810035</v>
      </c>
      <c r="L3760" s="80" t="s">
        <v>64</v>
      </c>
    </row>
    <row r="3761">
      <c r="A3761" s="80" t="s">
        <v>1260</v>
      </c>
      <c r="B3761" s="81" t="str">
        <f>HYPERLINK("https://www.youtube.com/channel/UCh1k4i86BpiXEO3nzJIYynw", "The Wave")</f>
        <v>The Wave</v>
      </c>
      <c r="C3761" s="80" t="s">
        <v>4169</v>
      </c>
      <c r="D3761" s="81" t="str">
        <f>HYPERLINK("https://youtube.com/watch?v=XwaB1mhTTvA", "TheWave | Xperia 10 Plus 藍光電影 電力測試")</f>
        <v>TheWave | Xperia 10 Plus 藍光電影 電力測試</v>
      </c>
      <c r="E3761" s="82">
        <v>43536.0</v>
      </c>
      <c r="F3761" s="80">
        <v>91.0</v>
      </c>
      <c r="G3761" s="80" t="s">
        <v>63</v>
      </c>
      <c r="H3761" s="80" t="s">
        <v>63</v>
      </c>
      <c r="I3761" s="80" t="s">
        <v>63</v>
      </c>
      <c r="J3761" s="80">
        <v>154.0</v>
      </c>
      <c r="K3761" s="80">
        <v>0.785714285714285</v>
      </c>
      <c r="L3761" s="80" t="s">
        <v>120</v>
      </c>
    </row>
    <row r="3762">
      <c r="A3762" s="80" t="s">
        <v>2041</v>
      </c>
      <c r="B3762" s="81" t="str">
        <f>HYPERLINK("https://www.youtube.com/channel/UCO6pB-ZN4XJ6MVkibvuEe0A", "SingSingTracker 星昇財經指標")</f>
        <v>SingSingTracker 星昇財經指標</v>
      </c>
      <c r="C3762" s="80" t="s">
        <v>4170</v>
      </c>
      <c r="D3762" s="81" t="str">
        <f>HYPERLINK("https://youtube.com/watch?v=Xz09qliAkbM", "【Elon musk 暗示12月9號 Tesla 拆股？】Tesla股票又準備起飛？｜129Tesla 分拆之謎｜股票分拆的好處｜Elon Musk Twitter #TSLA #股票分拆")</f>
        <v>【Elon musk 暗示12月9號 Tesla 拆股？】Tesla股票又準備起飛？｜129Tesla 分拆之謎｜股票分拆的好處｜Elon Musk Twitter #TSLA #股票分拆</v>
      </c>
      <c r="E3762" s="82">
        <v>44533.0</v>
      </c>
      <c r="F3762" s="80">
        <v>480.0</v>
      </c>
      <c r="G3762" s="80" t="s">
        <v>63</v>
      </c>
      <c r="I3762" s="80" t="s">
        <v>63</v>
      </c>
      <c r="J3762" s="80">
        <v>1504.0</v>
      </c>
      <c r="K3762" s="80">
        <v>0.767738642164369</v>
      </c>
      <c r="L3762" s="80" t="s">
        <v>64</v>
      </c>
    </row>
    <row r="3763">
      <c r="A3763" s="80" t="s">
        <v>4150</v>
      </c>
      <c r="B3763" s="81" t="str">
        <f>HYPERLINK("https://www.youtube.com/channel/UCRWbxsxc-oDcMKNNPTxM9Bw", "Fred哥～")</f>
        <v>Fred哥～</v>
      </c>
      <c r="C3763" s="80" t="s">
        <v>4171</v>
      </c>
      <c r="D3763" s="81" t="str">
        <f>HYPERLINK("https://youtube.com/watch?v=Y51ToANjvoM", "【Vlog you #5】 喺疫情下慶祝生日，但竟然有人喺我生日切蛋？！（記得開CC字幕😊）")</f>
        <v>【Vlog you #5】 喺疫情下慶祝生日，但竟然有人喺我生日切蛋？！（記得開CC字幕😊）</v>
      </c>
      <c r="E3763" s="82">
        <v>44436.0</v>
      </c>
      <c r="F3763" s="80">
        <v>1239.0</v>
      </c>
      <c r="G3763" s="80" t="s">
        <v>63</v>
      </c>
      <c r="I3763" s="80" t="s">
        <v>63</v>
      </c>
      <c r="J3763" s="80">
        <v>2014.0</v>
      </c>
      <c r="K3763" s="80">
        <v>0.864006864006864</v>
      </c>
      <c r="L3763" s="80" t="s">
        <v>64</v>
      </c>
    </row>
    <row r="3764">
      <c r="A3764" s="80" t="s">
        <v>127</v>
      </c>
      <c r="B3764" s="81" t="str">
        <f t="shared" ref="B3764:B3766" si="201">HYPERLINK("https://www.youtube.com/channel/UC97oYK3XMf9RLtkc0lO8C-Q", "健康旦 HiEggo")</f>
        <v>健康旦 HiEggo</v>
      </c>
      <c r="C3764" s="80" t="s">
        <v>4172</v>
      </c>
      <c r="D3764" s="81" t="str">
        <f>HYPERLINK("https://youtube.com/watch?v=Y5Ox6I1umPI", "張堅庭阿旦老友對談 阿庭女兒嚴格遵守自我家居隔離令做好榜樣 - 鄭丹瑞《健康旦》 張堅庭@Comma PART1")</f>
        <v>張堅庭阿旦老友對談 阿庭女兒嚴格遵守自我家居隔離令做好榜樣 - 鄭丹瑞《健康旦》 張堅庭@Comma PART1</v>
      </c>
      <c r="E3764" s="82">
        <v>43916.0</v>
      </c>
      <c r="F3764" s="80">
        <v>881.0</v>
      </c>
      <c r="G3764" s="80" t="s">
        <v>63</v>
      </c>
      <c r="I3764" s="80" t="s">
        <v>63</v>
      </c>
      <c r="J3764" s="80">
        <v>4032.0</v>
      </c>
      <c r="K3764" s="80">
        <v>0.992370169825252</v>
      </c>
      <c r="L3764" s="80" t="s">
        <v>102</v>
      </c>
    </row>
    <row r="3765">
      <c r="A3765" s="80" t="s">
        <v>127</v>
      </c>
      <c r="B3765" s="81" t="str">
        <f t="shared" si="201"/>
        <v>健康旦 HiEggo</v>
      </c>
      <c r="C3765" s="80" t="s">
        <v>4173</v>
      </c>
      <c r="D3765" s="81" t="str">
        <f>HYPERLINK("https://youtube.com/watch?v=Y5cqNEAfK2k", "哮喘病易於潮濕天氣發作 旦嫂偶像方曉嵐講護理喉嚨氣管妙計 - 鄭丹瑞《健康旦》方曉嵐 Part 1 (CC中文字幕)")</f>
        <v>哮喘病易於潮濕天氣發作 旦嫂偶像方曉嵐講護理喉嚨氣管妙計 - 鄭丹瑞《健康旦》方曉嵐 Part 1 (CC中文字幕)</v>
      </c>
      <c r="E3765" s="82">
        <v>43921.0</v>
      </c>
      <c r="F3765" s="80">
        <v>637.0</v>
      </c>
      <c r="G3765" s="80" t="s">
        <v>63</v>
      </c>
      <c r="I3765" s="80" t="s">
        <v>63</v>
      </c>
      <c r="J3765" s="80">
        <v>2432.0</v>
      </c>
      <c r="K3765" s="80">
        <v>0.984216916228247</v>
      </c>
      <c r="L3765" s="80" t="s">
        <v>102</v>
      </c>
    </row>
    <row r="3766">
      <c r="A3766" s="80" t="s">
        <v>127</v>
      </c>
      <c r="B3766" s="81" t="str">
        <f t="shared" si="201"/>
        <v>健康旦 HiEggo</v>
      </c>
      <c r="C3766" s="80" t="s">
        <v>4174</v>
      </c>
      <c r="D3766" s="81" t="str">
        <f>HYPERLINK("https://youtube.com/watch?v=Y8Si0QaoIys", "做到大女鄭瑤嗌媽咪 浸大體育系鍾伯光教授 親身示範家居鍛鍊運動 - 鄭丹瑞《健康旦》鍾伯光 Part 2 (CC中文字幕)")</f>
        <v>做到大女鄭瑤嗌媽咪 浸大體育系鍾伯光教授 親身示範家居鍛鍊運動 - 鄭丹瑞《健康旦》鍾伯光 Part 2 (CC中文字幕)</v>
      </c>
      <c r="E3766" s="82">
        <v>43914.0</v>
      </c>
      <c r="F3766" s="80">
        <v>751.0</v>
      </c>
      <c r="G3766" s="80" t="s">
        <v>63</v>
      </c>
      <c r="I3766" s="80" t="s">
        <v>63</v>
      </c>
      <c r="J3766" s="80">
        <v>3275.0</v>
      </c>
      <c r="K3766" s="80">
        <v>0.976154992548435</v>
      </c>
      <c r="L3766" s="80" t="s">
        <v>102</v>
      </c>
    </row>
    <row r="3767">
      <c r="A3767" s="80" t="s">
        <v>2800</v>
      </c>
      <c r="B3767" s="81" t="str">
        <f>HYPERLINK("https://www.youtube.com/channel/UCMqrlsr-AECPc6_3oDr8m9w", "Unicorn 獸哥")</f>
        <v>Unicorn 獸哥</v>
      </c>
      <c r="C3767" s="80" t="s">
        <v>4175</v>
      </c>
      <c r="D3767" s="81" t="str">
        <f>HYPERLINK("https://youtube.com/watch?v=Y92BlfUvzLE", "神作定𠝹凳？沙丘瀚戰劇透影評")</f>
        <v>神作定𠝹凳？沙丘瀚戰劇透影評</v>
      </c>
      <c r="E3767" s="82">
        <v>44463.0</v>
      </c>
      <c r="F3767" s="80">
        <v>547.0</v>
      </c>
      <c r="G3767" s="80" t="s">
        <v>63</v>
      </c>
      <c r="I3767" s="80" t="s">
        <v>63</v>
      </c>
      <c r="J3767" s="80">
        <v>2720.0</v>
      </c>
      <c r="K3767" s="80">
        <v>0.933745279780295</v>
      </c>
      <c r="L3767" s="80" t="s">
        <v>64</v>
      </c>
    </row>
    <row r="3768">
      <c r="A3768" s="80" t="s">
        <v>108</v>
      </c>
      <c r="B3768" s="81" t="str">
        <f>HYPERLINK("https://www.youtube.com/channel/UCZL6QN6Xs-ZrKY3y6Pv6Emg", "廢青 - 日賺3000")</f>
        <v>廢青 - 日賺3000</v>
      </c>
      <c r="C3768" s="80" t="s">
        <v>4176</v>
      </c>
      <c r="D3768" s="81" t="str">
        <f>HYPERLINK("https://youtube.com/watch?v=Y9L-C5UJ1Us", "⚠️6月股災⚠️瘋狂入市時機‼️😍😍 |  廢青暴富機會2021 !!【廢青 日賺3000】【點CC看中文字幕】")</f>
        <v>⚠️6月股災⚠️瘋狂入市時機‼️😍😍 |  廢青暴富機會2021 !!【廢青 日賺3000】【點CC看中文字幕】</v>
      </c>
      <c r="E3768" s="82">
        <v>44359.0</v>
      </c>
      <c r="F3768" s="80">
        <v>459.0</v>
      </c>
      <c r="G3768" s="80" t="s">
        <v>63</v>
      </c>
      <c r="I3768" s="80" t="s">
        <v>63</v>
      </c>
      <c r="J3768" s="80">
        <v>2043.0</v>
      </c>
      <c r="K3768" s="80">
        <v>0.864578925095217</v>
      </c>
      <c r="L3768" s="80" t="s">
        <v>64</v>
      </c>
    </row>
    <row r="3769">
      <c r="A3769" s="80" t="s">
        <v>127</v>
      </c>
      <c r="B3769" s="81" t="str">
        <f>HYPERLINK("https://www.youtube.com/channel/UC97oYK3XMf9RLtkc0lO8C-Q", "健康旦 HiEggo")</f>
        <v>健康旦 HiEggo</v>
      </c>
      <c r="C3769" s="80" t="s">
        <v>4177</v>
      </c>
      <c r="D3769" s="81" t="str">
        <f>HYPERLINK("https://youtube.com/watch?v=YA1Vmv6Qv00", "中國禪修結合科研成果 中西合壁幫助自閉症兒童自控發揮才能   - 鄭丹瑞《健康旦》陳瑞燕教授（CC中文字幕）")</f>
        <v>中國禪修結合科研成果 中西合壁幫助自閉症兒童自控發揮才能   - 鄭丹瑞《健康旦》陳瑞燕教授（CC中文字幕）</v>
      </c>
      <c r="E3769" s="82">
        <v>43957.0</v>
      </c>
      <c r="F3769" s="80">
        <v>779.0</v>
      </c>
      <c r="G3769" s="80" t="s">
        <v>63</v>
      </c>
      <c r="I3769" s="80" t="s">
        <v>63</v>
      </c>
      <c r="J3769" s="80">
        <v>2130.0</v>
      </c>
      <c r="K3769" s="80">
        <v>0.987025023169601</v>
      </c>
      <c r="L3769" s="80" t="s">
        <v>64</v>
      </c>
    </row>
    <row r="3770">
      <c r="A3770" s="80" t="s">
        <v>295</v>
      </c>
      <c r="B3770" s="81" t="str">
        <f>HYPERLINK("https://www.youtube.com/channel/UCIotQRUz6c4H-BRsouLt4YQ", "Captain and his squad")</f>
        <v>Captain and his squad</v>
      </c>
      <c r="C3770" s="80" t="s">
        <v>4178</v>
      </c>
      <c r="D3770" s="81" t="str">
        <f>HYPERLINK("https://youtube.com/watch?v=YBMWVs-bnKY", "【 教學 】牽繩大解析 PART 2｜究竟仲有乜嘢需要考慮？")</f>
        <v>【 教學 】牽繩大解析 PART 2｜究竟仲有乜嘢需要考慮？</v>
      </c>
      <c r="E3770" s="82">
        <v>44364.0</v>
      </c>
      <c r="F3770" s="80">
        <v>557.0</v>
      </c>
      <c r="G3770" s="80" t="s">
        <v>63</v>
      </c>
      <c r="I3770" s="80" t="s">
        <v>63</v>
      </c>
      <c r="J3770" s="80">
        <v>2710.0</v>
      </c>
      <c r="K3770" s="80">
        <v>0.745939994494907</v>
      </c>
      <c r="L3770" s="80" t="s">
        <v>102</v>
      </c>
    </row>
    <row r="3771">
      <c r="A3771" s="80" t="s">
        <v>127</v>
      </c>
      <c r="B3771" s="81" t="str">
        <f>HYPERLINK("https://www.youtube.com/channel/UC97oYK3XMf9RLtkc0lO8C-Q", "健康旦 HiEggo")</f>
        <v>健康旦 HiEggo</v>
      </c>
      <c r="C3771" s="80" t="s">
        <v>4179</v>
      </c>
      <c r="D3771" s="81" t="str">
        <f>HYPERLINK("https://youtube.com/watch?v=YK2ThdVQxwk", "薛家燕憶述過往合作趣事 寵物衛生都要搞清楚 薛家燕跳十字步鍛鍊身體 - 鄭丹瑞《健康旦》薜家燕 Part2 (CC中文字幕)")</f>
        <v>薛家燕憶述過往合作趣事 寵物衛生都要搞清楚 薛家燕跳十字步鍛鍊身體 - 鄭丹瑞《健康旦》薜家燕 Part2 (CC中文字幕)</v>
      </c>
      <c r="E3771" s="82">
        <v>43890.0</v>
      </c>
      <c r="F3771" s="80">
        <v>629.0</v>
      </c>
      <c r="G3771" s="80" t="s">
        <v>63</v>
      </c>
      <c r="I3771" s="80" t="s">
        <v>63</v>
      </c>
      <c r="J3771" s="80">
        <v>1976.0</v>
      </c>
      <c r="K3771" s="80">
        <v>0.991967871485943</v>
      </c>
      <c r="L3771" s="80" t="s">
        <v>64</v>
      </c>
    </row>
    <row r="3772">
      <c r="A3772" s="80" t="s">
        <v>1260</v>
      </c>
      <c r="B3772" s="81" t="str">
        <f>HYPERLINK("https://www.youtube.com/channel/UCh1k4i86BpiXEO3nzJIYynw", "The Wave")</f>
        <v>The Wave</v>
      </c>
      <c r="C3772" s="80" t="s">
        <v>4180</v>
      </c>
      <c r="D3772" s="81" t="str">
        <f>HYPERLINK("https://youtube.com/watch?v=YQrQyBcM394", "TheWave | Xperia XZ3 充電測試 Part 1 | WCH20 無線充電")</f>
        <v>TheWave | Xperia XZ3 充電測試 Part 1 | WCH20 無線充電</v>
      </c>
      <c r="E3772" s="82">
        <v>43398.0</v>
      </c>
      <c r="F3772" s="80">
        <v>192.0</v>
      </c>
      <c r="G3772" s="80" t="s">
        <v>63</v>
      </c>
      <c r="H3772" s="80" t="s">
        <v>63</v>
      </c>
      <c r="I3772" s="80" t="s">
        <v>63</v>
      </c>
      <c r="J3772" s="80">
        <v>646.0</v>
      </c>
      <c r="K3772" s="80">
        <v>0.892265193370165</v>
      </c>
      <c r="L3772" s="80" t="s">
        <v>120</v>
      </c>
    </row>
    <row r="3773">
      <c r="A3773" s="80" t="s">
        <v>127</v>
      </c>
      <c r="B3773" s="81" t="str">
        <f>HYPERLINK("https://www.youtube.com/channel/UC97oYK3XMf9RLtkc0lO8C-Q", "健康旦 HiEggo")</f>
        <v>健康旦 HiEggo</v>
      </c>
      <c r="C3773" s="80" t="s">
        <v>4181</v>
      </c>
      <c r="D3773" s="81" t="str">
        <f>HYPERLINK("https://youtube.com/watch?v=YRNs0kwkjRo", "陶傑開腔分析各國文化觀念造就「病毒樂園」 陶傑：「呢隻野專治招積人」 - 鄭丹瑞《健康旦》陶傑 Part 2 (CC中文字幕)")</f>
        <v>陶傑開腔分析各國文化觀念造就「病毒樂園」 陶傑：「呢隻野專治招積人」 - 鄭丹瑞《健康旦》陶傑 Part 2 (CC中文字幕)</v>
      </c>
      <c r="E3773" s="82">
        <v>43898.0</v>
      </c>
      <c r="F3773" s="80">
        <v>675.0</v>
      </c>
      <c r="G3773" s="80" t="s">
        <v>63</v>
      </c>
      <c r="I3773" s="80" t="s">
        <v>63</v>
      </c>
      <c r="J3773" s="80">
        <v>2225.0</v>
      </c>
      <c r="K3773" s="80">
        <v>0.995525727069351</v>
      </c>
      <c r="L3773" s="80" t="s">
        <v>102</v>
      </c>
    </row>
    <row r="3774">
      <c r="A3774" s="80" t="s">
        <v>124</v>
      </c>
      <c r="B3774" s="81" t="str">
        <f>HYPERLINK("https://www.youtube.com/channel/UCg0vuSE0fBF_NvodyYhMcWg", "Wallace Studio HK")</f>
        <v>Wallace Studio HK</v>
      </c>
      <c r="C3774" s="80" t="s">
        <v>4182</v>
      </c>
      <c r="D3774" s="81" t="str">
        <f>HYPERLINK("https://youtube.com/watch?v=YcuRWt7fzDI", "[詳細比較] Galaxy Note 20 Ultra VS iPhone 12 Pro Max 終極比較")</f>
        <v>[詳細比較] Galaxy Note 20 Ultra VS iPhone 12 Pro Max 終極比較</v>
      </c>
      <c r="E3774" s="82">
        <v>44207.0</v>
      </c>
      <c r="F3774" s="80">
        <v>738.0</v>
      </c>
      <c r="G3774" s="80" t="s">
        <v>63</v>
      </c>
      <c r="I3774" s="80" t="s">
        <v>63</v>
      </c>
      <c r="J3774" s="80">
        <v>2191.0</v>
      </c>
      <c r="K3774" s="80">
        <v>0.593123984840281</v>
      </c>
      <c r="L3774" s="80" t="s">
        <v>64</v>
      </c>
    </row>
    <row r="3775">
      <c r="A3775" s="80" t="s">
        <v>127</v>
      </c>
      <c r="B3775" s="81" t="str">
        <f>HYPERLINK("https://www.youtube.com/channel/UC97oYK3XMf9RLtkc0lO8C-Q", "健康旦 HiEggo")</f>
        <v>健康旦 HiEggo</v>
      </c>
      <c r="C3775" s="80" t="s">
        <v>4183</v>
      </c>
      <c r="D3775" s="81" t="str">
        <f>HYPERLINK("https://youtube.com/watch?v=Ye5owvzU7Ro", "面對疫情倍感焦慮恐懼如何解決？阿旦訪問臨床心理學家蕭思衡尋求答案 - 鄭丹瑞《健康旦》臨床心理學家蕭思衡 PART 1 (CC中文字幕)")</f>
        <v>面對疫情倍感焦慮恐懼如何解決？阿旦訪問臨床心理學家蕭思衡尋求答案 - 鄭丹瑞《健康旦》臨床心理學家蕭思衡 PART 1 (CC中文字幕)</v>
      </c>
      <c r="E3775" s="82">
        <v>43880.0</v>
      </c>
      <c r="F3775" s="80">
        <v>606.0</v>
      </c>
      <c r="G3775" s="80" t="s">
        <v>63</v>
      </c>
      <c r="I3775" s="80" t="s">
        <v>63</v>
      </c>
      <c r="J3775" s="80">
        <v>2328.0</v>
      </c>
      <c r="K3775" s="80">
        <v>0.993174061433447</v>
      </c>
      <c r="L3775" s="80" t="s">
        <v>102</v>
      </c>
    </row>
    <row r="3776">
      <c r="A3776" s="80" t="s">
        <v>248</v>
      </c>
      <c r="B3776" s="81" t="str">
        <f>HYPERLINK("https://www.youtube.com/channel/UCUEJok-GiWaGlv5nIPwk-GQ", "Price.com.hk 香港格價網")</f>
        <v>Price.com.hk 香港格價網</v>
      </c>
      <c r="C3776" s="80" t="s">
        <v>4184</v>
      </c>
      <c r="D3776" s="81" t="str">
        <f>HYPERLINK("https://youtube.com/watch?v=YfDtLhLuGkI", "Google Pixel 6、6 Pro 自家處理器登場｜Apple「信仰」擦拭布全線賣斷！｜網傳Facebook即將改名 | 廣東話【Price Weekly #85 2021年10月 】")</f>
        <v>Google Pixel 6、6 Pro 自家處理器登場｜Apple「信仰」擦拭布全線賣斷！｜網傳Facebook即將改名 | 廣東話【Price Weekly #85 2021年10月 】</v>
      </c>
      <c r="E3776" s="82">
        <v>44492.0</v>
      </c>
      <c r="F3776" s="80">
        <v>602.0</v>
      </c>
      <c r="G3776" s="80" t="s">
        <v>63</v>
      </c>
      <c r="I3776" s="80" t="s">
        <v>63</v>
      </c>
      <c r="J3776" s="80">
        <v>2058.0</v>
      </c>
      <c r="K3776" s="80">
        <v>0.731603270529683</v>
      </c>
      <c r="L3776" s="80" t="s">
        <v>64</v>
      </c>
    </row>
    <row r="3777">
      <c r="A3777" s="80" t="s">
        <v>127</v>
      </c>
      <c r="B3777" s="81" t="str">
        <f>HYPERLINK("https://www.youtube.com/channel/UC97oYK3XMf9RLtkc0lO8C-Q", "健康旦 HiEggo")</f>
        <v>健康旦 HiEggo</v>
      </c>
      <c r="C3777" s="80" t="s">
        <v>4185</v>
      </c>
      <c r="D3777" s="81" t="str">
        <f>HYPERLINK("https://youtube.com/watch?v=YgFSrKVjY28", "長者眼球收縮易患飛蚊症及閃光 深近視可變視網膜脫落 眼科醫生：老花近視可共存 - 鄭丹瑞《健康旦》眼科專科醫生  #林順潮 Part 3 (CC中文字幕)")</f>
        <v>長者眼球收縮易患飛蚊症及閃光 深近視可變視網膜脫落 眼科醫生：老花近視可共存 - 鄭丹瑞《健康旦》眼科專科醫生  #林順潮 Part 3 (CC中文字幕)</v>
      </c>
      <c r="E3777" s="82">
        <v>44046.0</v>
      </c>
      <c r="F3777" s="80">
        <v>727.0</v>
      </c>
      <c r="G3777" s="80" t="s">
        <v>63</v>
      </c>
      <c r="I3777" s="80" t="s">
        <v>63</v>
      </c>
      <c r="J3777" s="80">
        <v>3356.0</v>
      </c>
      <c r="K3777" s="80">
        <v>0.991432791728212</v>
      </c>
      <c r="L3777" s="80" t="s">
        <v>2771</v>
      </c>
    </row>
    <row r="3778">
      <c r="A3778" s="80" t="s">
        <v>248</v>
      </c>
      <c r="B3778" s="81" t="str">
        <f>HYPERLINK("https://www.youtube.com/channel/UCUEJok-GiWaGlv5nIPwk-GQ", "Price.com.hk 香港格價網")</f>
        <v>Price.com.hk 香港格價網</v>
      </c>
      <c r="C3778" s="80" t="s">
        <v>4186</v>
      </c>
      <c r="D3778" s="81" t="str">
        <f>HYPERLINK("https://youtube.com/watch?v=Yi-BdX4TB48", "Microsoft Surface三機齊發、解答疑難iPhone 13/iPad mini、發燒級數碼聲學Klipsch T5 II ANC TWS【Price Weekly #81 2021年9月】")</f>
        <v>Microsoft Surface三機齊發、解答疑難iPhone 13/iPad mini、發燒級數碼聲學Klipsch T5 II ANC TWS【Price Weekly #81 2021年9月】</v>
      </c>
      <c r="E3778" s="82">
        <v>44464.0</v>
      </c>
      <c r="F3778" s="80">
        <v>673.0</v>
      </c>
      <c r="G3778" s="80" t="s">
        <v>63</v>
      </c>
      <c r="I3778" s="80" t="s">
        <v>63</v>
      </c>
      <c r="J3778" s="80">
        <v>2255.0</v>
      </c>
      <c r="K3778" s="80">
        <v>0.718610579987253</v>
      </c>
      <c r="L3778" s="80" t="s">
        <v>64</v>
      </c>
    </row>
    <row r="3779">
      <c r="A3779" s="80" t="s">
        <v>238</v>
      </c>
      <c r="B3779" s="81" t="str">
        <f>HYPERLINK("https://www.youtube.com/channel/UCSBkm4LwpgBmcA3MCtO8vqg", "Post76影音玩樂")</f>
        <v>Post76影音玩樂</v>
      </c>
      <c r="C3779" s="80" t="s">
        <v>4187</v>
      </c>
      <c r="D3779" s="81" t="str">
        <f>HYPERLINK("https://youtube.com/watch?v=YjgfOMYUYE0", "觀塘區音響店好去處 : GIG Audio 家居式體驗 : 性價比純 A 類擴音機『 聲雅 + ATC 』兩聲道 Showroom介紹（附設cc字幕）【影音店推介】")</f>
        <v>觀塘區音響店好去處 : GIG Audio 家居式體驗 : 性價比純 A 類擴音機『 聲雅 + ATC 』兩聲道 Showroom介紹（附設cc字幕）【影音店推介】</v>
      </c>
      <c r="E3779" s="82">
        <v>44540.0</v>
      </c>
      <c r="F3779" s="80">
        <v>752.0</v>
      </c>
      <c r="G3779" s="80" t="s">
        <v>63</v>
      </c>
      <c r="H3779" s="80" t="s">
        <v>63</v>
      </c>
      <c r="I3779" s="80" t="s">
        <v>63</v>
      </c>
      <c r="J3779" s="80">
        <v>2988.0</v>
      </c>
      <c r="K3779" s="80">
        <v>0.906003638568829</v>
      </c>
      <c r="L3779" s="80" t="s">
        <v>240</v>
      </c>
    </row>
    <row r="3780">
      <c r="A3780" s="80" t="s">
        <v>4131</v>
      </c>
      <c r="B3780" s="81" t="str">
        <f>HYPERLINK("https://www.youtube.com/channel/UCEf8tnbLkl2bLZwxGigSvSw", "癲嗱 DINNER")</f>
        <v>癲嗱 DINNER</v>
      </c>
      <c r="C3780" s="80" t="s">
        <v>4188</v>
      </c>
      <c r="D3780" s="81" t="str">
        <f>HYPERLINK("https://youtube.com/watch?v=YkZdq9KcCbY", "香港異國風 大埔湖景餐廳 (小白鷺餐廳) 【味·Ready EP2】")</f>
        <v>香港異國風 大埔湖景餐廳 (小白鷺餐廳) 【味·Ready EP2】</v>
      </c>
      <c r="E3780" s="82">
        <v>44312.0</v>
      </c>
      <c r="F3780" s="80">
        <v>679.0</v>
      </c>
      <c r="G3780" s="80" t="s">
        <v>63</v>
      </c>
      <c r="I3780" s="80" t="s">
        <v>63</v>
      </c>
      <c r="J3780" s="80">
        <v>2174.0</v>
      </c>
      <c r="K3780" s="80">
        <v>0.892813141683778</v>
      </c>
      <c r="L3780" s="80" t="s">
        <v>64</v>
      </c>
    </row>
    <row r="3781">
      <c r="A3781" s="80" t="s">
        <v>2800</v>
      </c>
      <c r="B3781" s="81" t="str">
        <f>HYPERLINK("https://www.youtube.com/channel/UCMqrlsr-AECPc6_3oDr8m9w", "Unicorn 獸哥")</f>
        <v>Unicorn 獸哥</v>
      </c>
      <c r="C3781" s="80" t="s">
        <v>4189</v>
      </c>
      <c r="D3781" s="81" t="str">
        <f>HYPERLINK("https://youtube.com/watch?v=YlOm3G8j2Hw", "Disney+每日只需要用六毫子？Disney+簡介＋課金攻略")</f>
        <v>Disney+每日只需要用六毫子？Disney+簡介＋課金攻略</v>
      </c>
      <c r="E3781" s="82">
        <v>44513.0</v>
      </c>
      <c r="F3781" s="80">
        <v>407.0</v>
      </c>
      <c r="G3781" s="80" t="s">
        <v>63</v>
      </c>
      <c r="I3781" s="80" t="s">
        <v>63</v>
      </c>
      <c r="J3781" s="80">
        <v>1729.0</v>
      </c>
      <c r="K3781" s="80">
        <v>0.799352750809061</v>
      </c>
      <c r="L3781" s="80" t="s">
        <v>64</v>
      </c>
    </row>
    <row r="3782">
      <c r="A3782" s="80" t="s">
        <v>1260</v>
      </c>
      <c r="B3782" s="81" t="str">
        <f>HYPERLINK("https://www.youtube.com/channel/UCh1k4i86BpiXEO3nzJIYynw", "The Wave")</f>
        <v>The Wave</v>
      </c>
      <c r="C3782" s="80" t="s">
        <v>4190</v>
      </c>
      <c r="D3782" s="81" t="str">
        <f>HYPERLINK("https://youtube.com/watch?v=YmGa-4nBJv8", "TheWave | Xperia 1 開箱 測試 | Game Enhancer 對跑分有冇影響？")</f>
        <v>TheWave | Xperia 1 開箱 測試 | Game Enhancer 對跑分有冇影響？</v>
      </c>
      <c r="E3782" s="82">
        <v>43622.0</v>
      </c>
      <c r="F3782" s="80">
        <v>221.0</v>
      </c>
      <c r="G3782" s="80" t="s">
        <v>63</v>
      </c>
      <c r="H3782" s="80" t="s">
        <v>63</v>
      </c>
      <c r="I3782" s="80" t="s">
        <v>63</v>
      </c>
      <c r="J3782" s="80">
        <v>598.0</v>
      </c>
      <c r="K3782" s="80">
        <v>0.716167664670658</v>
      </c>
      <c r="L3782" s="80" t="s">
        <v>1132</v>
      </c>
    </row>
    <row r="3783">
      <c r="A3783" s="80" t="s">
        <v>127</v>
      </c>
      <c r="B3783" s="81" t="str">
        <f>HYPERLINK("https://www.youtube.com/channel/UC97oYK3XMf9RLtkc0lO8C-Q", "健康旦 HiEggo")</f>
        <v>健康旦 HiEggo</v>
      </c>
      <c r="C3783" s="80" t="s">
        <v>4191</v>
      </c>
      <c r="D3783" s="81" t="str">
        <f>HYPERLINK("https://youtube.com/watch?v=Ymh-74Y00R4", "元朗楊式太極拳最難係放鬆 台灣平甩功改善五十肩 按摩腹部內臟 - 鄭丹瑞《健康旦》#倪秉郎 Part 4 (CC中文字幕)")</f>
        <v>元朗楊式太極拳最難係放鬆 台灣平甩功改善五十肩 按摩腹部內臟 - 鄭丹瑞《健康旦》#倪秉郎 Part 4 (CC中文字幕)</v>
      </c>
      <c r="E3783" s="82">
        <v>44127.0</v>
      </c>
      <c r="F3783" s="80">
        <v>728.0</v>
      </c>
      <c r="G3783" s="80" t="s">
        <v>63</v>
      </c>
      <c r="I3783" s="80" t="s">
        <v>63</v>
      </c>
      <c r="J3783" s="80">
        <v>2656.0</v>
      </c>
      <c r="K3783" s="80">
        <v>0.972537532039546</v>
      </c>
      <c r="L3783" s="80" t="s">
        <v>2771</v>
      </c>
    </row>
    <row r="3784">
      <c r="A3784" s="80" t="s">
        <v>1987</v>
      </c>
      <c r="B3784" s="81" t="str">
        <f>HYPERLINK("https://www.youtube.com/channel/UCgGUmm04nVyj-ftaCxVcyBg", "MangoHK大馬獅家")</f>
        <v>MangoHK大馬獅家</v>
      </c>
      <c r="C3784" s="80" t="s">
        <v>4192</v>
      </c>
      <c r="D3784" s="81" t="str">
        <f>HYPERLINK("https://youtube.com/watch?v=YqRTemYVK2U", "【29】🕌特色清真寺🦷大馬睇牙確係好！{中英字幕}  Subtitled | Malaysia Masjid Putra | Malaysia Vlog | mm2h")</f>
        <v>【29】🕌特色清真寺🦷大馬睇牙確係好！{中英字幕}  Subtitled | Malaysia Masjid Putra | Malaysia Vlog | mm2h</v>
      </c>
      <c r="E3784" s="82">
        <v>44460.0</v>
      </c>
      <c r="F3784" s="80">
        <v>463.0</v>
      </c>
      <c r="G3784" s="80" t="s">
        <v>63</v>
      </c>
      <c r="I3784" s="80" t="s">
        <v>63</v>
      </c>
      <c r="J3784" s="80">
        <v>1012.0</v>
      </c>
      <c r="K3784" s="80">
        <v>0.932718894009216</v>
      </c>
      <c r="L3784" s="80" t="s">
        <v>896</v>
      </c>
    </row>
    <row r="3785">
      <c r="A3785" s="80" t="s">
        <v>127</v>
      </c>
      <c r="B3785" s="81" t="str">
        <f>HYPERLINK("https://www.youtube.com/channel/UC97oYK3XMf9RLtkc0lO8C-Q", "健康旦 HiEggo")</f>
        <v>健康旦 HiEggo</v>
      </c>
      <c r="C3785" s="80" t="s">
        <v>4193</v>
      </c>
      <c r="D3785" s="81" t="str">
        <f>HYPERLINK("https://youtube.com/watch?v=Ys66vdfQC-s", "阿旦訪問契女靚媽陳華鑫 疫情肆虐日日喺屋企分享湊仔心得 - 鄭丹瑞《健康旦》 (CC中文字幕)")</f>
        <v>阿旦訪問契女靚媽陳華鑫 疫情肆虐日日喺屋企分享湊仔心得 - 鄭丹瑞《健康旦》 (CC中文字幕)</v>
      </c>
      <c r="E3785" s="82">
        <v>43886.0</v>
      </c>
      <c r="F3785" s="80">
        <v>605.0</v>
      </c>
      <c r="G3785" s="80" t="s">
        <v>63</v>
      </c>
      <c r="I3785" s="80" t="s">
        <v>63</v>
      </c>
      <c r="J3785" s="80">
        <v>2541.0</v>
      </c>
      <c r="K3785" s="80">
        <v>0.991416309012875</v>
      </c>
      <c r="L3785" s="80" t="s">
        <v>102</v>
      </c>
    </row>
    <row r="3786">
      <c r="A3786" s="80" t="s">
        <v>1987</v>
      </c>
      <c r="B3786" s="81" t="str">
        <f>HYPERLINK("https://www.youtube.com/channel/UCgGUmm04nVyj-ftaCxVcyBg", "MangoHK大馬獅家")</f>
        <v>MangoHK大馬獅家</v>
      </c>
      <c r="C3786" s="80" t="s">
        <v>4194</v>
      </c>
      <c r="D3786" s="81" t="str">
        <f>HYPERLINK("https://youtube.com/watch?v=YsKKwZTQd6c", "【31】🔥蜜汁叉燒自己燒🥩何以做到香港味？{中英字幕}  Subtitled | [DIY]BBQ Pork | Malaysia Vlog | mm2h")</f>
        <v>【31】🔥蜜汁叉燒自己燒🥩何以做到香港味？{中英字幕}  Subtitled | [DIY]BBQ Pork | Malaysia Vlog | mm2h</v>
      </c>
      <c r="E3786" s="82">
        <v>44462.0</v>
      </c>
      <c r="F3786" s="80">
        <v>721.0</v>
      </c>
      <c r="G3786" s="80" t="s">
        <v>63</v>
      </c>
      <c r="I3786" s="80" t="s">
        <v>63</v>
      </c>
      <c r="J3786" s="80">
        <v>1262.0</v>
      </c>
      <c r="K3786" s="80">
        <v>0.993700787401574</v>
      </c>
      <c r="L3786" s="80" t="s">
        <v>896</v>
      </c>
    </row>
    <row r="3787">
      <c r="A3787" s="80" t="s">
        <v>293</v>
      </c>
      <c r="B3787" s="81" t="str">
        <f>HYPERLINK("https://www.youtube.com/channel/UCXRcbXqjORdIvl63I7MtOLQ", "趁熱 Kerry 's kitchen")</f>
        <v>趁熱 Kerry 's kitchen</v>
      </c>
      <c r="C3787" s="80" t="s">
        <v>4195</v>
      </c>
      <c r="D3787" s="81" t="str">
        <f>HYPERLINK("https://youtube.com/watch?v=Yvcqxv0Crjk", "臘味 蘿蔔/臘味蘿蔔絲煎餅/香脆 竅門/省時間/不用蒸/新手 入門/簡單 家做/重點 講解/廣東話/中字")</f>
        <v>臘味 蘿蔔/臘味蘿蔔絲煎餅/香脆 竅門/省時間/不用蒸/新手 入門/簡單 家做/重點 講解/廣東話/中字</v>
      </c>
      <c r="E3787" s="82">
        <v>44573.0</v>
      </c>
      <c r="F3787" s="80">
        <v>631.0</v>
      </c>
      <c r="G3787" s="80" t="s">
        <v>63</v>
      </c>
      <c r="I3787" s="80" t="s">
        <v>63</v>
      </c>
      <c r="J3787" s="80">
        <v>509.0</v>
      </c>
      <c r="K3787" s="80">
        <v>0.980732177263969</v>
      </c>
      <c r="L3787" s="80" t="s">
        <v>64</v>
      </c>
    </row>
    <row r="3788">
      <c r="A3788" s="80" t="s">
        <v>1139</v>
      </c>
      <c r="B3788" s="81" t="str">
        <f>HYPERLINK("https://www.youtube.com/channel/UCw51gVFijIewmXH4tIR0ufw", "Crystal Zen")</f>
        <v>Crystal Zen</v>
      </c>
      <c r="C3788" s="80" t="s">
        <v>4196</v>
      </c>
      <c r="D3788" s="81" t="str">
        <f>HYPERLINK("https://youtube.com/watch?v=YwpBtwUWQK8", "成日聽人講磁場 到底咩嚟㗎？")</f>
        <v>成日聽人講磁場 到底咩嚟㗎？</v>
      </c>
      <c r="E3788" s="82">
        <v>43921.0</v>
      </c>
      <c r="F3788" s="80">
        <v>259.0</v>
      </c>
      <c r="G3788" s="80" t="s">
        <v>63</v>
      </c>
      <c r="I3788" s="80" t="s">
        <v>63</v>
      </c>
      <c r="J3788" s="80">
        <v>1216.0</v>
      </c>
      <c r="K3788" s="80">
        <v>0.914285714285714</v>
      </c>
      <c r="L3788" s="80" t="s">
        <v>64</v>
      </c>
    </row>
    <row r="3789">
      <c r="A3789" s="80" t="s">
        <v>124</v>
      </c>
      <c r="B3789" s="81" t="str">
        <f>HYPERLINK("https://www.youtube.com/channel/UCg0vuSE0fBF_NvodyYhMcWg", "Wallace Studio HK")</f>
        <v>Wallace Studio HK</v>
      </c>
      <c r="C3789" s="80" t="s">
        <v>4197</v>
      </c>
      <c r="D3789" s="81" t="str">
        <f>HYPERLINK("https://youtube.com/watch?v=Yz5BapKFxr0", "[比較]Surface Go 2 4425Y VS iPad Air 3 VS Galaxy Tab S6 之終極比較 Part 1 (硬件及跑分）")</f>
        <v>[比較]Surface Go 2 4425Y VS iPad Air 3 VS Galaxy Tab S6 之終極比較 Part 1 (硬件及跑分）</v>
      </c>
      <c r="E3789" s="82">
        <v>44061.0</v>
      </c>
      <c r="F3789" s="80">
        <v>462.0</v>
      </c>
      <c r="G3789" s="80" t="s">
        <v>63</v>
      </c>
      <c r="I3789" s="80" t="s">
        <v>63</v>
      </c>
      <c r="J3789" s="80">
        <v>1029.0</v>
      </c>
      <c r="K3789" s="80">
        <v>0.5663181067694</v>
      </c>
      <c r="L3789" s="80" t="s">
        <v>64</v>
      </c>
    </row>
    <row r="3790">
      <c r="A3790" s="80" t="s">
        <v>288</v>
      </c>
      <c r="B3790" s="81" t="str">
        <f>HYPERLINK("https://www.youtube.com/channel/UCDWOYEhVnyD4IHZGVAMLc0g", "Brendan 毛爸")</f>
        <v>Brendan 毛爸</v>
      </c>
      <c r="C3790" s="80" t="s">
        <v>4198</v>
      </c>
      <c r="D3790" s="81" t="str">
        <f>HYPERLINK("https://youtube.com/watch?v=Z0QNT1By7fA", "一齊做獵人！全職獵人手遊｜新手必看、六大職業｜手機遊戲介紹｜新Game試玩【獵人Hunter x Hunter】廣東話（CC 中文字幕）")</f>
        <v>一齊做獵人！全職獵人手遊｜新手必看、六大職業｜手機遊戲介紹｜新Game試玩【獵人Hunter x Hunter】廣東話（CC 中文字幕）</v>
      </c>
      <c r="E3790" s="82">
        <v>44026.0</v>
      </c>
      <c r="F3790" s="80">
        <v>442.0</v>
      </c>
      <c r="G3790" s="80" t="s">
        <v>63</v>
      </c>
      <c r="I3790" s="80" t="s">
        <v>63</v>
      </c>
      <c r="J3790" s="80">
        <v>1678.0</v>
      </c>
      <c r="K3790" s="80">
        <v>0.969942196531791</v>
      </c>
      <c r="L3790" s="80" t="s">
        <v>64</v>
      </c>
    </row>
    <row r="3791">
      <c r="A3791" s="80" t="s">
        <v>1260</v>
      </c>
      <c r="B3791" s="81" t="str">
        <f>HYPERLINK("https://www.youtube.com/channel/UCh1k4i86BpiXEO3nzJIYynw", "The Wave")</f>
        <v>The Wave</v>
      </c>
      <c r="C3791" s="80" t="s">
        <v>4199</v>
      </c>
      <c r="D3791" s="81" t="str">
        <f>HYPERLINK("https://youtube.com/watch?v=Z0vs9bimDpE", "TheWave | Samsung Galaxy S20 ， S20+ ， S20 Ultra， Z Flip 買邊部好？！")</f>
        <v>TheWave | Samsung Galaxy S20 ， S20+ ， S20 Ultra， Z Flip 買邊部好？！</v>
      </c>
      <c r="E3791" s="82">
        <v>43894.0</v>
      </c>
      <c r="F3791" s="80">
        <v>234.0</v>
      </c>
      <c r="G3791" s="80" t="s">
        <v>63</v>
      </c>
      <c r="H3791" s="80" t="s">
        <v>63</v>
      </c>
      <c r="I3791" s="80" t="s">
        <v>63</v>
      </c>
      <c r="J3791" s="80">
        <v>741.0</v>
      </c>
      <c r="K3791" s="80">
        <v>0.735119047619047</v>
      </c>
      <c r="L3791" s="80" t="s">
        <v>1634</v>
      </c>
    </row>
    <row r="3792">
      <c r="A3792" s="80" t="s">
        <v>2829</v>
      </c>
      <c r="B3792" s="81" t="str">
        <f>HYPERLINK("https://www.youtube.com/channel/UC7GnES6AEQlDzaP04UqtyjA", "SOLID IDEA")</f>
        <v>SOLID IDEA</v>
      </c>
      <c r="C3792" s="80" t="s">
        <v>4200</v>
      </c>
      <c r="D3792" s="81" t="str">
        <f>HYPERLINK("https://youtube.com/watch?v=Z2dohO3uQ6E", "[#設計概念] #SeatoSky #莫蘭迪色 | 室內設計 | 空間擺位 | SOLID IDEA | (CC中文字幕)")</f>
        <v>[#設計概念] #SeatoSky #莫蘭迪色 | 室內設計 | 空間擺位 | SOLID IDEA | (CC中文字幕)</v>
      </c>
      <c r="E3792" s="82">
        <v>44540.0</v>
      </c>
      <c r="F3792" s="80">
        <v>163.0</v>
      </c>
      <c r="G3792" s="80" t="s">
        <v>63</v>
      </c>
      <c r="I3792" s="80" t="s">
        <v>63</v>
      </c>
      <c r="J3792" s="80">
        <v>546.0</v>
      </c>
      <c r="K3792" s="80">
        <v>0.895081967213114</v>
      </c>
      <c r="L3792" s="80" t="s">
        <v>64</v>
      </c>
    </row>
    <row r="3793">
      <c r="A3793" s="80" t="s">
        <v>1139</v>
      </c>
      <c r="B3793" s="81" t="str">
        <f>HYPERLINK("https://www.youtube.com/channel/UCw51gVFijIewmXH4tIR0ufw", "Crystal Zen")</f>
        <v>Crystal Zen</v>
      </c>
      <c r="C3793" s="80" t="s">
        <v>4201</v>
      </c>
      <c r="D3793" s="81" t="str">
        <f>HYPERLINK("https://youtube.com/watch?v=Z4JaOp1cWEM", "[水晶知多D 第二十二集] 捷克隕石 你又知幾多？個個都話好 係真唔係呀？一千幾百買罕有寶石 你又信唔信？")</f>
        <v>[水晶知多D 第二十二集] 捷克隕石 你又知幾多？個個都話好 係真唔係呀？一千幾百買罕有寶石 你又信唔信？</v>
      </c>
      <c r="E3793" s="82">
        <v>44225.0</v>
      </c>
      <c r="F3793" s="80">
        <v>504.0</v>
      </c>
      <c r="G3793" s="80" t="s">
        <v>63</v>
      </c>
      <c r="I3793" s="80" t="s">
        <v>63</v>
      </c>
      <c r="J3793" s="80">
        <v>1855.0</v>
      </c>
      <c r="K3793" s="80">
        <v>0.970188284518828</v>
      </c>
      <c r="L3793" s="80" t="s">
        <v>64</v>
      </c>
    </row>
    <row r="3794">
      <c r="A3794" s="80" t="s">
        <v>2041</v>
      </c>
      <c r="B3794" s="81" t="str">
        <f>HYPERLINK("https://www.youtube.com/channel/UCO6pB-ZN4XJ6MVkibvuEe0A", "SingSingTracker 星昇財經指標")</f>
        <v>SingSingTracker 星昇財經指標</v>
      </c>
      <c r="C3794" s="80" t="s">
        <v>4202</v>
      </c>
      <c r="D3794" s="81" t="str">
        <f>HYPERLINK("https://youtube.com/watch?v=Z6XD1VYnc8s", "Google Tesla AMD 第3季業績報告｜2021 Q3財報分析｜3間超預期公司 錢途無限｜Google 52週新高｜前景+估值｜值得買入? #GOOG #Alphabet #tsla")</f>
        <v>Google Tesla AMD 第3季業績報告｜2021 Q3財報分析｜3間超預期公司 錢途無限｜Google 52週新高｜前景+估值｜值得買入? #GOOG #Alphabet #tsla</v>
      </c>
      <c r="E3794" s="82">
        <v>44504.0</v>
      </c>
      <c r="F3794" s="80">
        <v>501.0</v>
      </c>
      <c r="G3794" s="80" t="s">
        <v>63</v>
      </c>
      <c r="I3794" s="80" t="s">
        <v>63</v>
      </c>
      <c r="J3794" s="80">
        <v>1556.0</v>
      </c>
      <c r="K3794" s="80">
        <v>0.753875968992248</v>
      </c>
      <c r="L3794" s="80" t="s">
        <v>64</v>
      </c>
    </row>
    <row r="3795">
      <c r="A3795" s="80" t="s">
        <v>1260</v>
      </c>
      <c r="B3795" s="81" t="str">
        <f>HYPERLINK("https://www.youtube.com/channel/UCh1k4i86BpiXEO3nzJIYynw", "The Wave")</f>
        <v>The Wave</v>
      </c>
      <c r="C3795" s="80" t="s">
        <v>4203</v>
      </c>
      <c r="D3795" s="81" t="str">
        <f>HYPERLINK("https://youtube.com/watch?v=Z9T1ZOcDB28", "TheWave | 95%人都有誤解!!!手機顯示屏呎吋流言終結 | 呎吋大 ≠ 大部 ！？")</f>
        <v>TheWave | 95%人都有誤解!!!手機顯示屏呎吋流言終結 | 呎吋大 ≠ 大部 ！？</v>
      </c>
      <c r="E3795" s="82">
        <v>43669.0</v>
      </c>
      <c r="F3795" s="80">
        <v>124.0</v>
      </c>
      <c r="G3795" s="80" t="s">
        <v>63</v>
      </c>
      <c r="H3795" s="80" t="s">
        <v>63</v>
      </c>
      <c r="I3795" s="80" t="s">
        <v>63</v>
      </c>
      <c r="J3795" s="80">
        <v>422.0</v>
      </c>
      <c r="K3795" s="80">
        <v>0.95045045045045</v>
      </c>
      <c r="L3795" s="80" t="s">
        <v>1634</v>
      </c>
    </row>
    <row r="3796">
      <c r="A3796" s="80" t="s">
        <v>2041</v>
      </c>
      <c r="B3796" s="81" t="str">
        <f>HYPERLINK("https://www.youtube.com/channel/UCO6pB-ZN4XJ6MVkibvuEe0A", "SingSingTracker 星昇財經指標")</f>
        <v>SingSingTracker 星昇財經指標</v>
      </c>
      <c r="C3796" s="80" t="s">
        <v>4204</v>
      </c>
      <c r="D3796" s="81" t="str">
        <f>HYPERLINK("https://youtube.com/watch?v=ZDsAguuf7qM", "【大麻股，你take 唔take 得起？】大麻合法化，Tilray撈底？｜CBD THC 的分別  ｜大麻素 aurora cannabis ｜醫療大麻 #tlry #大麻股分析 #aurora")</f>
        <v>【大麻股，你take 唔take 得起？】大麻合法化，Tilray撈底？｜CBD THC 的分別  ｜大麻素 aurora cannabis ｜醫療大麻 #tlry #大麻股分析 #aurora</v>
      </c>
      <c r="E3796" s="82">
        <v>44386.0</v>
      </c>
      <c r="F3796" s="80">
        <v>488.0</v>
      </c>
      <c r="G3796" s="80" t="s">
        <v>63</v>
      </c>
      <c r="I3796" s="80" t="s">
        <v>63</v>
      </c>
      <c r="J3796" s="80">
        <v>1708.0</v>
      </c>
      <c r="K3796" s="80">
        <v>0.893305439330544</v>
      </c>
      <c r="L3796" s="80" t="s">
        <v>64</v>
      </c>
    </row>
    <row r="3797">
      <c r="A3797" s="80" t="s">
        <v>1390</v>
      </c>
      <c r="B3797" s="81" t="str">
        <f>HYPERLINK("https://www.youtube.com/channel/UCgwEJflQi4WnZ8PU0xdibZQ", "Kinson Ho")</f>
        <v>Kinson Ho</v>
      </c>
      <c r="C3797" s="80" t="s">
        <v>4205</v>
      </c>
      <c r="D3797" s="81" t="str">
        <f>HYPERLINK("https://youtube.com/watch?v=ZH-oBRcGGtI", "K神任我行 - [CC字幕4K] 充氣艇跳島打哥斯拉｜港島南區扒艇好玩路線｜深水灣｜燙波洲｜銀洲｜86燈塔｜頭洲｜哥斯拉｜龍爪洞｜舂坎角｜航拍｜INTEX Explorer K2")</f>
        <v>K神任我行 - [CC字幕4K] 充氣艇跳島打哥斯拉｜港島南區扒艇好玩路線｜深水灣｜燙波洲｜銀洲｜86燈塔｜頭洲｜哥斯拉｜龍爪洞｜舂坎角｜航拍｜INTEX Explorer K2</v>
      </c>
      <c r="E3797" s="82">
        <v>44437.0</v>
      </c>
      <c r="F3797" s="80">
        <v>1455.0</v>
      </c>
      <c r="G3797" s="80" t="s">
        <v>63</v>
      </c>
      <c r="I3797" s="80" t="s">
        <v>63</v>
      </c>
      <c r="J3797" s="80">
        <v>1990.0</v>
      </c>
      <c r="K3797" s="80">
        <v>0.979330708661417</v>
      </c>
      <c r="L3797" s="80" t="s">
        <v>64</v>
      </c>
    </row>
    <row r="3798">
      <c r="A3798" s="80" t="s">
        <v>98</v>
      </c>
      <c r="B3798" s="81" t="str">
        <f>HYPERLINK("https://www.youtube.com/channel/UCrquuQB6v1Ued2xyRKZreGQ", "Stephen Leung ")</f>
        <v>Stephen Leung </v>
      </c>
      <c r="C3798" s="80" t="s">
        <v>4206</v>
      </c>
      <c r="D3798" s="81" t="str">
        <f>HYPERLINK("https://youtube.com/watch?v=ZJ54sd4fwWo", "【民生關注組】基層美食 兩餸飯 多款鑊氣小炒 $27 自由選擇 觀眾推介 土瓜灣兩餸飯戰區 三多美食兩餸飯店 VS 嘉餸 | 吃喝玩樂")</f>
        <v>【民生關注組】基層美食 兩餸飯 多款鑊氣小炒 $27 自由選擇 觀眾推介 土瓜灣兩餸飯戰區 三多美食兩餸飯店 VS 嘉餸 | 吃喝玩樂</v>
      </c>
      <c r="E3798" s="82">
        <v>44574.0</v>
      </c>
      <c r="F3798" s="80">
        <v>583.0</v>
      </c>
      <c r="G3798" s="80" t="s">
        <v>63</v>
      </c>
      <c r="I3798" s="80" t="s">
        <v>63</v>
      </c>
      <c r="J3798" s="80">
        <v>1769.0</v>
      </c>
      <c r="K3798" s="80">
        <v>0.988820570150922</v>
      </c>
      <c r="L3798" s="80" t="s">
        <v>64</v>
      </c>
    </row>
    <row r="3799">
      <c r="A3799" s="80" t="s">
        <v>2800</v>
      </c>
      <c r="B3799" s="81" t="str">
        <f>HYPERLINK("https://www.youtube.com/channel/UCMqrlsr-AECPc6_3oDr8m9w", "Unicorn 獸哥")</f>
        <v>Unicorn 獸哥</v>
      </c>
      <c r="C3799" s="80" t="s">
        <v>4207</v>
      </c>
      <c r="D3799" s="81" t="str">
        <f>HYPERLINK("https://youtube.com/watch?v=ZLRlufiucxU", "爛片定Clut片？《鬼同你住》劇透影評")</f>
        <v>爛片定Clut片？《鬼同你住》劇透影評</v>
      </c>
      <c r="E3799" s="82">
        <v>44425.0</v>
      </c>
      <c r="F3799" s="80">
        <v>445.0</v>
      </c>
      <c r="G3799" s="80" t="s">
        <v>63</v>
      </c>
      <c r="I3799" s="80" t="s">
        <v>63</v>
      </c>
      <c r="J3799" s="80">
        <v>1790.0</v>
      </c>
      <c r="K3799" s="80">
        <v>0.94062007356805</v>
      </c>
      <c r="L3799" s="80" t="s">
        <v>64</v>
      </c>
    </row>
    <row r="3800">
      <c r="A3800" s="80" t="s">
        <v>98</v>
      </c>
      <c r="B3800" s="81" t="str">
        <f>HYPERLINK("https://www.youtube.com/channel/UCrquuQB6v1Ued2xyRKZreGQ", "Stephen Leung ")</f>
        <v>Stephen Leung </v>
      </c>
      <c r="C3800" s="80" t="s">
        <v>4208</v>
      </c>
      <c r="D3800" s="81" t="str">
        <f>HYPERLINK("https://youtube.com/watch?v=ZLdhM3B4GC8", "【家居自製】$1500 薩摩牛 壽喜燒 SUKIYAKI 鹿兒島 黑毛和牛 4% 奇蹟之牛 A5+ A5 A4 一次過食晒 零失敗！肉屋 NIKUYA | 吃喝玩樂")</f>
        <v>【家居自製】$1500 薩摩牛 壽喜燒 SUKIYAKI 鹿兒島 黑毛和牛 4% 奇蹟之牛 A5+ A5 A4 一次過食晒 零失敗！肉屋 NIKUYA | 吃喝玩樂</v>
      </c>
      <c r="E3800" s="82">
        <v>44315.0</v>
      </c>
      <c r="F3800" s="80">
        <v>505.0</v>
      </c>
      <c r="G3800" s="80" t="s">
        <v>63</v>
      </c>
      <c r="I3800" s="80" t="s">
        <v>63</v>
      </c>
      <c r="J3800" s="80">
        <v>1411.0</v>
      </c>
      <c r="K3800" s="80">
        <v>0.963139931740614</v>
      </c>
      <c r="L3800" s="80" t="s">
        <v>64</v>
      </c>
    </row>
    <row r="3801">
      <c r="A3801" s="80" t="s">
        <v>2829</v>
      </c>
      <c r="B3801" s="81" t="str">
        <f>HYPERLINK("https://www.youtube.com/channel/UC7GnES6AEQlDzaP04UqtyjA", "SOLID IDEA")</f>
        <v>SOLID IDEA</v>
      </c>
      <c r="C3801" s="80" t="s">
        <v>4209</v>
      </c>
      <c r="D3801" s="81" t="str">
        <f>HYPERLINK("https://youtube.com/watch?v=ZQQSC3VI6Fw", "[#設計概念] #Wetland #眼鏡房 #深木色 | 室內設計 | 空間擺位 | SOLID IDEA | (CC中文字幕)")</f>
        <v>[#設計概念] #Wetland #眼鏡房 #深木色 | 室內設計 | 空間擺位 | SOLID IDEA | (CC中文字幕)</v>
      </c>
      <c r="E3801" s="82">
        <v>44337.0</v>
      </c>
      <c r="F3801" s="80">
        <v>222.0</v>
      </c>
      <c r="G3801" s="80" t="s">
        <v>63</v>
      </c>
      <c r="I3801" s="80" t="s">
        <v>63</v>
      </c>
      <c r="J3801" s="80">
        <v>675.0</v>
      </c>
      <c r="K3801" s="80">
        <v>0.923392612859097</v>
      </c>
      <c r="L3801" s="80" t="s">
        <v>64</v>
      </c>
    </row>
    <row r="3802">
      <c r="A3802" s="80" t="s">
        <v>2764</v>
      </c>
      <c r="B3802" s="81" t="str">
        <f>HYPERLINK("https://www.youtube.com/channel/UCejZUW4khvxoA4uL2Afz20g", "Housik Laanfei 好食懶飛")</f>
        <v>Housik Laanfei 好食懶飛</v>
      </c>
      <c r="C3802" s="80" t="s">
        <v>4210</v>
      </c>
      <c r="D3802" s="81" t="str">
        <f>HYPERLINK("https://youtube.com/watch?v=ZQoK2ZN-Oog", "[走韭慎入] 韓式韭菜煎餅 | CC: 廣東話/繁中/ENG SUB | COOKING VLOG")</f>
        <v>[走韭慎入] 韓式韭菜煎餅 | CC: 廣東話/繁中/ENG SUB | COOKING VLOG</v>
      </c>
      <c r="E3802" s="82">
        <v>44112.0</v>
      </c>
      <c r="F3802" s="80">
        <v>260.0</v>
      </c>
      <c r="G3802" s="80" t="s">
        <v>63</v>
      </c>
      <c r="H3802" s="80" t="s">
        <v>63</v>
      </c>
      <c r="I3802" s="80" t="s">
        <v>63</v>
      </c>
      <c r="J3802" s="80">
        <v>190.0</v>
      </c>
      <c r="K3802" s="80">
        <v>0.964467005076142</v>
      </c>
      <c r="L3802" s="80" t="s">
        <v>120</v>
      </c>
    </row>
    <row r="3803">
      <c r="A3803" s="80" t="s">
        <v>1260</v>
      </c>
      <c r="B3803" s="81" t="str">
        <f>HYPERLINK("https://www.youtube.com/channel/UCh1k4i86BpiXEO3nzJIYynw", "The Wave")</f>
        <v>The Wave</v>
      </c>
      <c r="C3803" s="80" t="s">
        <v>4211</v>
      </c>
      <c r="D3803" s="81" t="str">
        <f>HYPERLINK("https://youtube.com/watch?v=ZR6slqfd8oE", "TheWave | LCD? OLED? QLED? 咩嚟！？")</f>
        <v>TheWave | LCD? OLED? QLED? 咩嚟！？</v>
      </c>
      <c r="E3803" s="82">
        <v>43487.0</v>
      </c>
      <c r="F3803" s="80">
        <v>214.0</v>
      </c>
      <c r="G3803" s="80" t="s">
        <v>63</v>
      </c>
      <c r="H3803" s="80" t="s">
        <v>63</v>
      </c>
      <c r="I3803" s="80" t="s">
        <v>63</v>
      </c>
      <c r="J3803" s="80">
        <v>640.0</v>
      </c>
      <c r="K3803" s="80">
        <v>0.700218818380744</v>
      </c>
      <c r="L3803" s="80" t="s">
        <v>120</v>
      </c>
    </row>
    <row r="3804">
      <c r="A3804" s="80" t="s">
        <v>288</v>
      </c>
      <c r="B3804" s="81" t="str">
        <f>HYPERLINK("https://www.youtube.com/channel/UCDWOYEhVnyD4IHZGVAMLc0g", "Brendan 毛爸")</f>
        <v>Brendan 毛爸</v>
      </c>
      <c r="C3804" s="80" t="s">
        <v>4212</v>
      </c>
      <c r="D3804" s="81" t="str">
        <f>HYPERLINK("https://youtube.com/watch?v=ZSBYW8o84nw", "【苦瓜煎蛋餅 】 簡單家常小菜｜適合新手｜超簡易食譜【毛飯家庭EP18】(CC 中文字幕）")</f>
        <v>【苦瓜煎蛋餅 】 簡單家常小菜｜適合新手｜超簡易食譜【毛飯家庭EP18】(CC 中文字幕）</v>
      </c>
      <c r="E3804" s="82">
        <v>44047.0</v>
      </c>
      <c r="F3804" s="80">
        <v>220.0</v>
      </c>
      <c r="G3804" s="80" t="s">
        <v>63</v>
      </c>
      <c r="I3804" s="80" t="s">
        <v>63</v>
      </c>
      <c r="J3804" s="80">
        <v>711.0</v>
      </c>
      <c r="K3804" s="80">
        <v>0.972640218878248</v>
      </c>
      <c r="L3804" s="80" t="s">
        <v>64</v>
      </c>
    </row>
    <row r="3805">
      <c r="A3805" s="80" t="s">
        <v>1606</v>
      </c>
      <c r="B3805" s="81" t="str">
        <f>HYPERLINK("https://www.youtube.com/channel/UCk25FUc8pLiP3A6Zniknxbg", "希治閣【遊戲情報科】")</f>
        <v>希治閣【遊戲情報科】</v>
      </c>
      <c r="C3805" s="80" t="s">
        <v>4213</v>
      </c>
      <c r="D3805" s="81" t="str">
        <f>HYPERLINK("https://youtube.com/watch?v=ZWGWxm9xb8k", "遊戲情報科 - EP17 - 2015/5/9 -《德軍總部:The old blood》《人中之龍0》《JustCause3》")</f>
        <v>遊戲情報科 - EP17 - 2015/5/9 -《德軍總部:The old blood》《人中之龍0》《JustCause3》</v>
      </c>
      <c r="E3805" s="82">
        <v>42133.0</v>
      </c>
      <c r="F3805" s="80">
        <v>459.0</v>
      </c>
      <c r="G3805" s="80" t="s">
        <v>63</v>
      </c>
      <c r="I3805" s="80" t="s">
        <v>63</v>
      </c>
      <c r="J3805" s="80">
        <v>1843.0</v>
      </c>
      <c r="K3805" s="80">
        <v>0.876367094626723</v>
      </c>
      <c r="L3805" s="80" t="s">
        <v>64</v>
      </c>
    </row>
    <row r="3806">
      <c r="A3806" s="80" t="s">
        <v>1260</v>
      </c>
      <c r="B3806" s="81" t="str">
        <f>HYPERLINK("https://www.youtube.com/channel/UCh1k4i86BpiXEO3nzJIYynw", "The Wave")</f>
        <v>The Wave</v>
      </c>
      <c r="C3806" s="80" t="s">
        <v>4214</v>
      </c>
      <c r="D3806" s="81" t="str">
        <f>HYPERLINK("https://youtube.com/watch?v=ZXfnx7LpR1E", "TheWave | Sony Xperia 9月 發布會 | Xperia 5 II | CC字幕 廣東話")</f>
        <v>TheWave | Sony Xperia 9月 發布會 | Xperia 5 II | CC字幕 廣東話</v>
      </c>
      <c r="E3806" s="82">
        <v>44092.0</v>
      </c>
      <c r="F3806" s="80">
        <v>148.0</v>
      </c>
      <c r="G3806" s="80" t="s">
        <v>63</v>
      </c>
      <c r="H3806" s="80" t="s">
        <v>63</v>
      </c>
      <c r="I3806" s="80" t="s">
        <v>63</v>
      </c>
      <c r="J3806" s="80">
        <v>313.0</v>
      </c>
      <c r="K3806" s="80">
        <v>0.619718309859154</v>
      </c>
      <c r="L3806" s="80" t="s">
        <v>1634</v>
      </c>
    </row>
    <row r="3807">
      <c r="A3807" s="80" t="s">
        <v>293</v>
      </c>
      <c r="B3807" s="81" t="str">
        <f>HYPERLINK("https://www.youtube.com/channel/UCXRcbXqjORdIvl63I7MtOLQ", "趁熱 Kerry 's kitchen")</f>
        <v>趁熱 Kerry 's kitchen</v>
      </c>
      <c r="C3807" s="80" t="s">
        <v>4215</v>
      </c>
      <c r="D3807" s="81" t="str">
        <f>HYPERLINK("https://youtube.com/watch?v=ZYaNQH7JUoc", "兒童 餐/超濃茄汁豬扒/車厘茄豬扒/好餸 飯/低 成本/急凍梅肉扒一樣掂/簡單 家做/重點 講解/廣東話/中字")</f>
        <v>兒童 餐/超濃茄汁豬扒/車厘茄豬扒/好餸 飯/低 成本/急凍梅肉扒一樣掂/簡單 家做/重點 講解/廣東話/中字</v>
      </c>
      <c r="E3807" s="82">
        <v>44524.0</v>
      </c>
      <c r="F3807" s="80">
        <v>666.0</v>
      </c>
      <c r="G3807" s="80" t="s">
        <v>63</v>
      </c>
      <c r="I3807" s="80" t="s">
        <v>63</v>
      </c>
      <c r="J3807" s="80">
        <v>755.0</v>
      </c>
      <c r="K3807" s="80">
        <v>0.966709346991037</v>
      </c>
      <c r="L3807" s="80" t="s">
        <v>64</v>
      </c>
    </row>
    <row r="3808">
      <c r="A3808" s="80" t="s">
        <v>248</v>
      </c>
      <c r="B3808" s="81" t="str">
        <f>HYPERLINK("https://www.youtube.com/channel/UCUEJok-GiWaGlv5nIPwk-GQ", "Price.com.hk 香港格價網")</f>
        <v>Price.com.hk 香港格價網</v>
      </c>
      <c r="C3808" s="80" t="s">
        <v>4216</v>
      </c>
      <c r="D3808" s="81" t="str">
        <f>HYPERLINK("https://youtube.com/watch?v=ZbYj7VjjXiY", "唔驚冇光纖入屋! 全港首款兼具4G接收、Mesh Wi-Fi 6﹗實測TP-Link Deco X20-4G ｜片尾有GIVEAWAY｜特約專題【Price.com.hk產品測試】")</f>
        <v>唔驚冇光纖入屋! 全港首款兼具4G接收、Mesh Wi-Fi 6﹗實測TP-Link Deco X20-4G ｜片尾有GIVEAWAY｜特約專題【Price.com.hk產品測試】</v>
      </c>
      <c r="E3808" s="82">
        <v>44449.0</v>
      </c>
      <c r="F3808" s="80">
        <v>400.0</v>
      </c>
      <c r="G3808" s="80" t="s">
        <v>63</v>
      </c>
      <c r="I3808" s="80" t="s">
        <v>63</v>
      </c>
      <c r="J3808" s="80">
        <v>1134.0</v>
      </c>
      <c r="K3808" s="80">
        <v>0.630700778642936</v>
      </c>
      <c r="L3808" s="80" t="s">
        <v>64</v>
      </c>
    </row>
    <row r="3809">
      <c r="A3809" s="80" t="s">
        <v>127</v>
      </c>
      <c r="B3809" s="81" t="str">
        <f t="shared" ref="B3809:B3810" si="202">HYPERLINK("https://www.youtube.com/channel/UC97oYK3XMf9RLtkc0lO8C-Q", "健康旦 HiEggo")</f>
        <v>健康旦 HiEggo</v>
      </c>
      <c r="C3809" s="80" t="s">
        <v>4217</v>
      </c>
      <c r="D3809" s="81" t="str">
        <f>HYPERLINK("https://youtube.com/watch?v=ZcjzCLN7b9w", "香港製造健康彩旦口罩正式面世 細菌及微粒子過濾率達標 靜電過濾防潑水有效阻擋病菌 - 鄭丹瑞 旦Vlog 健康．彩旦口罩  (CC中文字幕)")</f>
        <v>香港製造健康彩旦口罩正式面世 細菌及微粒子過濾率達標 靜電過濾防潑水有效阻擋病菌 - 鄭丹瑞 旦Vlog 健康．彩旦口罩  (CC中文字幕)</v>
      </c>
      <c r="E3809" s="82">
        <v>44032.0</v>
      </c>
      <c r="F3809" s="80">
        <v>308.0</v>
      </c>
      <c r="G3809" s="80" t="s">
        <v>63</v>
      </c>
      <c r="I3809" s="80" t="s">
        <v>63</v>
      </c>
      <c r="J3809" s="80">
        <v>930.0</v>
      </c>
      <c r="K3809" s="80">
        <v>0.970772442588726</v>
      </c>
      <c r="L3809" s="80" t="s">
        <v>64</v>
      </c>
    </row>
    <row r="3810">
      <c r="A3810" s="80" t="s">
        <v>127</v>
      </c>
      <c r="B3810" s="81" t="str">
        <f t="shared" si="202"/>
        <v>健康旦 HiEggo</v>
      </c>
      <c r="C3810" s="80" t="s">
        <v>4218</v>
      </c>
      <c r="D3810" s="81" t="str">
        <f>HYPERLINK("https://youtube.com/watch?v=ZhK7iJ3D22Q", "預防認知阻礙及柏金遜 學簡易數字手指操 拉背運動改善寒背姿勢 - 鄭丹瑞《健康旦》#坐式徒手運動導師 #PaulLau Part 5 (CC中文字幕)")</f>
        <v>預防認知阻礙及柏金遜 學簡易數字手指操 拉背運動改善寒背姿勢 - 鄭丹瑞《健康旦》#坐式徒手運動導師 #PaulLau Part 5 (CC中文字幕)</v>
      </c>
      <c r="E3810" s="82">
        <v>44064.0</v>
      </c>
      <c r="F3810" s="80">
        <v>811.0</v>
      </c>
      <c r="G3810" s="80" t="s">
        <v>63</v>
      </c>
      <c r="I3810" s="80" t="s">
        <v>63</v>
      </c>
      <c r="J3810" s="80">
        <v>2903.0</v>
      </c>
      <c r="K3810" s="80">
        <v>0.988423561457269</v>
      </c>
      <c r="L3810" s="80" t="s">
        <v>2771</v>
      </c>
    </row>
    <row r="3811">
      <c r="A3811" s="80" t="s">
        <v>1390</v>
      </c>
      <c r="B3811" s="81" t="str">
        <f>HYPERLINK("https://www.youtube.com/channel/UCgwEJflQi4WnZ8PU0xdibZQ", "Kinson Ho")</f>
        <v>Kinson Ho</v>
      </c>
      <c r="C3811" s="80" t="s">
        <v>4219</v>
      </c>
      <c r="D3811" s="81" t="str">
        <f>HYPERLINK("https://youtube.com/watch?v=Zhvp1p7f9ww", "K神任我行 - [CC字幕4K] 白腊灣露營｜倒腕崖｜木棉洞｜小破邊｜日落日出之旅｜太陽能充電實測｜航拍")</f>
        <v>K神任我行 - [CC字幕4K] 白腊灣露營｜倒腕崖｜木棉洞｜小破邊｜日落日出之旅｜太陽能充電實測｜航拍</v>
      </c>
      <c r="E3811" s="82">
        <v>44474.0</v>
      </c>
      <c r="F3811" s="80">
        <v>1315.0</v>
      </c>
      <c r="G3811" s="80" t="s">
        <v>63</v>
      </c>
      <c r="I3811" s="80" t="s">
        <v>63</v>
      </c>
      <c r="J3811" s="80">
        <v>1376.0</v>
      </c>
      <c r="K3811" s="80">
        <v>0.986379928315412</v>
      </c>
      <c r="L3811" s="80" t="s">
        <v>64</v>
      </c>
    </row>
    <row r="3812">
      <c r="A3812" s="80" t="s">
        <v>293</v>
      </c>
      <c r="B3812" s="81" t="str">
        <f>HYPERLINK("https://www.youtube.com/channel/UCXRcbXqjORdIvl63I7MtOLQ", "趁熱 Kerry 's kitchen")</f>
        <v>趁熱 Kerry 's kitchen</v>
      </c>
      <c r="C3812" s="80" t="s">
        <v>4220</v>
      </c>
      <c r="D3812" s="81" t="str">
        <f>HYPERLINK("https://youtube.com/watch?v=Zl6CI2jcDAc", "炒飯/香蔥蝦醬肉粒炒飯/超惹味/沒得輸/簡單 家做/廣東話/中文字幕")</f>
        <v>炒飯/香蔥蝦醬肉粒炒飯/超惹味/沒得輸/簡單 家做/廣東話/中文字幕</v>
      </c>
      <c r="E3812" s="82">
        <v>44391.0</v>
      </c>
      <c r="F3812" s="80">
        <v>514.0</v>
      </c>
      <c r="G3812" s="80" t="s">
        <v>63</v>
      </c>
      <c r="I3812" s="80" t="s">
        <v>63</v>
      </c>
      <c r="J3812" s="80">
        <v>1258.0</v>
      </c>
      <c r="K3812" s="80">
        <v>0.988216810683424</v>
      </c>
      <c r="L3812" s="80" t="s">
        <v>64</v>
      </c>
    </row>
    <row r="3813">
      <c r="A3813" s="80" t="s">
        <v>238</v>
      </c>
      <c r="B3813" s="81" t="str">
        <f>HYPERLINK("https://www.youtube.com/channel/UCSBkm4LwpgBmcA3MCtO8vqg", "Post76影音玩樂")</f>
        <v>Post76影音玩樂</v>
      </c>
      <c r="C3813" s="80" t="s">
        <v>4221</v>
      </c>
      <c r="D3813" s="81" t="str">
        <f>HYPERLINK("https://youtube.com/watch?v=ZmWwp7YUopA", "😜葵廣重度測試 : JBL Live Pro+ TWS 真無線降噪耳機實測下有「音質之驚喜」！🤓（附設中文字幕）粵語 【耳機評測 | Post76.hk】")</f>
        <v>😜葵廣重度測試 : JBL Live Pro+ TWS 真無線降噪耳機實測下有「音質之驚喜」！🤓（附設中文字幕）粵語 【耳機評測 | Post76.hk】</v>
      </c>
      <c r="E3813" s="82">
        <v>44325.0</v>
      </c>
      <c r="F3813" s="80">
        <v>1035.0</v>
      </c>
      <c r="G3813" s="80" t="s">
        <v>63</v>
      </c>
      <c r="H3813" s="80" t="s">
        <v>63</v>
      </c>
      <c r="I3813" s="80" t="s">
        <v>63</v>
      </c>
      <c r="J3813" s="80">
        <v>3905.0</v>
      </c>
      <c r="K3813" s="80">
        <v>0.839063171465406</v>
      </c>
      <c r="L3813" s="80" t="s">
        <v>66</v>
      </c>
    </row>
    <row r="3814">
      <c r="A3814" s="80" t="s">
        <v>1260</v>
      </c>
      <c r="B3814" s="81" t="str">
        <f>HYPERLINK("https://www.youtube.com/channel/UCh1k4i86BpiXEO3nzJIYynw", "The Wave")</f>
        <v>The Wave</v>
      </c>
      <c r="C3814" s="80" t="s">
        <v>4222</v>
      </c>
      <c r="D3814" s="81" t="str">
        <f>HYPERLINK("https://youtube.com/watch?v=ZocBST2FBe8", "TheWave | Logitech G633S 7.1 LIGHTSYNC 遊戲耳機")</f>
        <v>TheWave | Logitech G633S 7.1 LIGHTSYNC 遊戲耳機</v>
      </c>
      <c r="E3814" s="82">
        <v>44079.0</v>
      </c>
      <c r="F3814" s="80">
        <v>72.0</v>
      </c>
      <c r="G3814" s="80" t="s">
        <v>63</v>
      </c>
      <c r="H3814" s="80" t="s">
        <v>63</v>
      </c>
      <c r="I3814" s="80" t="s">
        <v>63</v>
      </c>
      <c r="J3814" s="80">
        <v>199.0</v>
      </c>
      <c r="K3814" s="80">
        <v>0.731617647058823</v>
      </c>
      <c r="L3814" s="80" t="s">
        <v>1634</v>
      </c>
    </row>
    <row r="3815">
      <c r="A3815" s="80" t="s">
        <v>84</v>
      </c>
      <c r="B3815" s="81" t="str">
        <f>HYPERLINK("https://www.youtube.com/channel/UCs6fW24aVjefTsognevmDnA", "PakTil 拍跳")</f>
        <v>PakTil 拍跳</v>
      </c>
      <c r="C3815" s="80" t="s">
        <v>4223</v>
      </c>
      <c r="D3815" s="81" t="str">
        <f>HYPERLINK("https://youtube.com/watch?v=Zok8ClMHnD0", "【拍跳抽水站】勾手指尾 (#有幾耐無L飛過) 版｜金曲改編")</f>
        <v>【拍跳抽水站】勾手指尾 (#有幾耐無L飛過) 版｜金曲改編</v>
      </c>
      <c r="E3815" s="82">
        <v>44239.0</v>
      </c>
      <c r="F3815" s="80">
        <v>216.0</v>
      </c>
      <c r="G3815" s="80" t="s">
        <v>63</v>
      </c>
      <c r="I3815" s="80" t="s">
        <v>63</v>
      </c>
      <c r="J3815" s="80">
        <v>412.0</v>
      </c>
      <c r="K3815" s="80">
        <v>0.978622327790973</v>
      </c>
      <c r="L3815" s="80" t="s">
        <v>745</v>
      </c>
    </row>
    <row r="3816">
      <c r="A3816" s="80" t="s">
        <v>1260</v>
      </c>
      <c r="B3816" s="81" t="str">
        <f>HYPERLINK("https://www.youtube.com/channel/UCh1k4i86BpiXEO3nzJIYynw", "The Wave")</f>
        <v>The Wave</v>
      </c>
      <c r="C3816" s="80" t="s">
        <v>4224</v>
      </c>
      <c r="D3816" s="81" t="str">
        <f>HYPERLINK("https://youtube.com/watch?v=ZpY0lr9wIVQ", "TheWave | Sony Xperia XZs | Unboxing 開箱 | 廣東話 Eng Sub | 電話有960FPS")</f>
        <v>TheWave | Sony Xperia XZs | Unboxing 開箱 | 廣東話 Eng Sub | 電話有960FPS</v>
      </c>
      <c r="E3816" s="82">
        <v>42837.0</v>
      </c>
      <c r="F3816" s="80">
        <v>272.0</v>
      </c>
      <c r="G3816" s="80" t="s">
        <v>63</v>
      </c>
      <c r="H3816" s="80" t="s">
        <v>63</v>
      </c>
      <c r="I3816" s="80" t="s">
        <v>63</v>
      </c>
      <c r="J3816" s="80">
        <v>468.0</v>
      </c>
      <c r="K3816" s="80">
        <v>0.670568561872909</v>
      </c>
      <c r="L3816" s="80" t="s">
        <v>120</v>
      </c>
    </row>
    <row r="3817">
      <c r="A3817" s="80" t="s">
        <v>127</v>
      </c>
      <c r="B3817" s="81" t="str">
        <f>HYPERLINK("https://www.youtube.com/channel/UC97oYK3XMf9RLtkc0lO8C-Q", "健康旦 HiEggo")</f>
        <v>健康旦 HiEggo</v>
      </c>
      <c r="C3817" s="80" t="s">
        <v>4225</v>
      </c>
      <c r="D3817" s="81" t="str">
        <f>HYPERLINK("https://youtube.com/watch?v=ZtAWTRL9vjw", "外傭逢周日外出大型聚會 抗疫期僱主應如何面對？法例灰色地帶須留意 - 鄭丹瑞《健康旦》外傭公司負責人 Tony - PART 1")</f>
        <v>外傭逢周日外出大型聚會 抗疫期僱主應如何面對？法例灰色地帶須留意 - 鄭丹瑞《健康旦》外傭公司負責人 Tony - PART 1</v>
      </c>
      <c r="E3817" s="82">
        <v>43881.0</v>
      </c>
      <c r="F3817" s="80">
        <v>636.0</v>
      </c>
      <c r="G3817" s="80" t="s">
        <v>63</v>
      </c>
      <c r="I3817" s="80" t="s">
        <v>63</v>
      </c>
      <c r="J3817" s="80">
        <v>2544.0</v>
      </c>
      <c r="K3817" s="80">
        <v>0.984139264990328</v>
      </c>
      <c r="L3817" s="80" t="s">
        <v>102</v>
      </c>
    </row>
    <row r="3818">
      <c r="A3818" s="80" t="s">
        <v>2825</v>
      </c>
      <c r="B3818" s="81" t="str">
        <f>HYPERLINK("https://www.youtube.com/channel/UCP7XhYDgUbvjvaHxIhjTd_g", "Maviskuku 雞蛋妹")</f>
        <v>Maviskuku 雞蛋妹</v>
      </c>
      <c r="C3818" s="80" t="s">
        <v>4226</v>
      </c>
      <c r="D3818" s="81" t="str">
        <f>HYPERLINK("https://youtube.com/watch?v=ZwJZK9ykdB8", "MSI 第一支觸控筆！二合一 notebook MSI Summit E13 Flip EVO＋MSI Pen 開箱評測｜畫畫測試、效能、續航力｜")</f>
        <v>MSI 第一支觸控筆！二合一 notebook MSI Summit E13 Flip EVO＋MSI Pen 開箱評測｜畫畫測試、效能、續航力｜</v>
      </c>
      <c r="E3818" s="82">
        <v>44328.0</v>
      </c>
      <c r="F3818" s="80">
        <v>452.0</v>
      </c>
      <c r="G3818" s="80" t="s">
        <v>63</v>
      </c>
      <c r="H3818" s="80" t="s">
        <v>63</v>
      </c>
      <c r="I3818" s="80" t="s">
        <v>63</v>
      </c>
      <c r="J3818" s="80">
        <v>1172.0</v>
      </c>
      <c r="K3818" s="80">
        <v>0.841954022988505</v>
      </c>
      <c r="L3818" s="80" t="s">
        <v>66</v>
      </c>
    </row>
    <row r="3819">
      <c r="A3819" s="80" t="s">
        <v>248</v>
      </c>
      <c r="B3819" s="81" t="str">
        <f>HYPERLINK("https://www.youtube.com/channel/UCUEJok-GiWaGlv5nIPwk-GQ", "Price.com.hk 香港格價網")</f>
        <v>Price.com.hk 香港格價網</v>
      </c>
      <c r="C3819" s="80" t="s">
        <v>4227</v>
      </c>
      <c r="D3819" s="81" t="str">
        <f>HYPERLINK("https://youtube.com/watch?v=Zylbex867uE", "打機睇戲更有氣氛﹗Nanoleaf Lines智能RGB燈條｜簡易安裝、雙色顯示、一按轉換燈效、影畫同步｜特約專題｜廣東話【Price.com.hk產品開箱】")</f>
        <v>打機睇戲更有氣氛﹗Nanoleaf Lines智能RGB燈條｜簡易安裝、雙色顯示、一按轉換燈效、影畫同步｜特約專題｜廣東話【Price.com.hk產品開箱】</v>
      </c>
      <c r="E3819" s="82">
        <v>44491.0</v>
      </c>
      <c r="F3819" s="80">
        <v>375.0</v>
      </c>
      <c r="G3819" s="80" t="s">
        <v>63</v>
      </c>
      <c r="I3819" s="80" t="s">
        <v>63</v>
      </c>
      <c r="J3819" s="80">
        <v>1265.0</v>
      </c>
      <c r="K3819" s="80">
        <v>0.727848101265822</v>
      </c>
      <c r="L3819" s="80" t="s">
        <v>64</v>
      </c>
    </row>
    <row r="3820">
      <c r="A3820" s="80" t="s">
        <v>1670</v>
      </c>
      <c r="B3820" s="81" t="str">
        <f>HYPERLINK("https://www.youtube.com/channel/UC-PIt5m-WOg8UVBkt2RnN0g", "阿JACK睇樓團")</f>
        <v>阿JACK睇樓團</v>
      </c>
      <c r="C3820" s="80" t="s">
        <v>4228</v>
      </c>
      <c r="D3820" s="81" t="str">
        <f>HYPERLINK("https://youtube.com/watch?v=ZzYVULWVLjY", "原來靚到哇一聲嘅海景竟然唔止屯門碼頭先有🤩￼ ￼新鴻基出品￼ 阿Jack睇樓團￼ #睇樓￼ #海景 #兩房￼")</f>
        <v>原來靚到哇一聲嘅海景竟然唔止屯門碼頭先有🤩￼ ￼新鴻基出品￼ 阿Jack睇樓團￼ #睇樓￼ #海景 #兩房￼</v>
      </c>
      <c r="E3820" s="82">
        <v>44566.0</v>
      </c>
      <c r="F3820" s="80">
        <v>511.0</v>
      </c>
      <c r="G3820" s="80" t="s">
        <v>63</v>
      </c>
      <c r="I3820" s="80" t="s">
        <v>63</v>
      </c>
      <c r="J3820" s="80">
        <v>1796.0</v>
      </c>
      <c r="K3820" s="80">
        <v>0.991717283268912</v>
      </c>
      <c r="L3820" s="80" t="s">
        <v>64</v>
      </c>
    </row>
    <row r="3821">
      <c r="A3821" s="80" t="s">
        <v>3021</v>
      </c>
      <c r="B3821" s="81" t="str">
        <f>HYPERLINK("https://www.youtube.com/channel/UCEZ8fnigqno2a1z2_JSYjxQ", "9up Youtuber")</f>
        <v>9up Youtuber</v>
      </c>
      <c r="C3821" s="80" t="s">
        <v>4229</v>
      </c>
      <c r="D3821" s="81" t="str">
        <f>HYPERLINK("https://youtube.com/watch?v=_0vPCaF3348", "口罩套DIY|免費!!1個FILE變3個|9up教學")</f>
        <v>口罩套DIY|免費!!1個FILE變3個|9up教學</v>
      </c>
      <c r="E3821" s="82">
        <v>43913.0</v>
      </c>
      <c r="F3821" s="80">
        <v>475.0</v>
      </c>
      <c r="G3821" s="80" t="s">
        <v>63</v>
      </c>
      <c r="I3821" s="80" t="s">
        <v>63</v>
      </c>
      <c r="J3821" s="80">
        <v>100.0</v>
      </c>
      <c r="K3821" s="80">
        <v>0.909090909090909</v>
      </c>
      <c r="L3821" s="80" t="s">
        <v>64</v>
      </c>
    </row>
    <row r="3822">
      <c r="A3822" s="80" t="s">
        <v>2800</v>
      </c>
      <c r="B3822" s="81" t="str">
        <f>HYPERLINK("https://www.youtube.com/channel/UCMqrlsr-AECPc6_3oDr8m9w", "Unicorn 獸哥")</f>
        <v>Unicorn 獸哥</v>
      </c>
      <c r="C3822" s="80" t="s">
        <v>4230</v>
      </c>
      <c r="D3822" s="81" t="str">
        <f>HYPERLINK("https://youtube.com/watch?v=_4hot2PI90w", "Leon&amp;Claire成長之路+Resident Evil Infinite Darkness影評")</f>
        <v>Leon&amp;Claire成長之路+Resident Evil Infinite Darkness影評</v>
      </c>
      <c r="E3822" s="82">
        <v>44396.0</v>
      </c>
      <c r="F3822" s="80">
        <v>1531.0</v>
      </c>
      <c r="G3822" s="80" t="s">
        <v>63</v>
      </c>
      <c r="I3822" s="80" t="s">
        <v>63</v>
      </c>
      <c r="J3822" s="80">
        <v>5671.0</v>
      </c>
      <c r="K3822" s="80">
        <v>0.852781954887218</v>
      </c>
      <c r="L3822" s="80" t="s">
        <v>64</v>
      </c>
    </row>
    <row r="3823">
      <c r="A3823" s="80" t="s">
        <v>108</v>
      </c>
      <c r="B3823" s="81" t="str">
        <f>HYPERLINK("https://www.youtube.com/channel/UCZL6QN6Xs-ZrKY3y6Pv6Emg", "廢青 - 日賺3000")</f>
        <v>廢青 - 日賺3000</v>
      </c>
      <c r="C3823" s="80" t="s">
        <v>4231</v>
      </c>
      <c r="D3823" s="81" t="str">
        <f>HYPERLINK("https://youtube.com/watch?v=_5gDRjb8WiE", "美股入門 | 5隻倍升美股！5年爆升 500%回報！😱😱   USD$1,000蚊就買到  EP06【廢青 日賺3000】（New 新增中文字幕！)")</f>
        <v>美股入門 | 5隻倍升美股！5年爆升 500%回報！😱😱   USD$1,000蚊就買到  EP06【廢青 日賺3000】（New 新增中文字幕！)</v>
      </c>
      <c r="E3823" s="82">
        <v>44078.0</v>
      </c>
      <c r="F3823" s="80">
        <v>1101.0</v>
      </c>
      <c r="G3823" s="80" t="s">
        <v>63</v>
      </c>
      <c r="I3823" s="80" t="s">
        <v>63</v>
      </c>
      <c r="J3823" s="80">
        <v>3681.0</v>
      </c>
      <c r="K3823" s="80">
        <v>0.874762357414448</v>
      </c>
      <c r="L3823" s="80" t="s">
        <v>64</v>
      </c>
    </row>
    <row r="3824">
      <c r="A3824" s="80" t="s">
        <v>248</v>
      </c>
      <c r="B3824" s="81" t="str">
        <f>HYPERLINK("https://www.youtube.com/channel/UCUEJok-GiWaGlv5nIPwk-GQ", "Price.com.hk 香港格價網")</f>
        <v>Price.com.hk 香港格價網</v>
      </c>
      <c r="C3824" s="80" t="s">
        <v>4232</v>
      </c>
      <c r="D3824" s="81" t="str">
        <f>HYPERLINK("https://youtube.com/watch?v=_6l7Yljhhd4", "2021 浴室寶選購攻略 天花式、窗口式、移動式有咩分別？｜8大浴室寶推介｜廣東話【Price.com.hk選購攻略】")</f>
        <v>2021 浴室寶選購攻略 天花式、窗口式、移動式有咩分別？｜8大浴室寶推介｜廣東話【Price.com.hk選購攻略】</v>
      </c>
      <c r="E3824" s="82">
        <v>44531.0</v>
      </c>
      <c r="F3824" s="80">
        <v>452.0</v>
      </c>
      <c r="G3824" s="80" t="s">
        <v>63</v>
      </c>
      <c r="I3824" s="80" t="s">
        <v>63</v>
      </c>
      <c r="J3824" s="80">
        <v>1819.0</v>
      </c>
      <c r="K3824" s="80">
        <v>0.946409989594172</v>
      </c>
      <c r="L3824" s="80" t="s">
        <v>64</v>
      </c>
    </row>
    <row r="3825">
      <c r="A3825" s="80" t="s">
        <v>127</v>
      </c>
      <c r="B3825" s="81" t="str">
        <f>HYPERLINK("https://www.youtube.com/channel/UC97oYK3XMf9RLtkc0lO8C-Q", "健康旦 HiEggo")</f>
        <v>健康旦 HiEggo</v>
      </c>
      <c r="C3825" s="80" t="s">
        <v>4233</v>
      </c>
      <c r="D3825" s="81" t="str">
        <f>HYPERLINK("https://youtube.com/watch?v=_7G_p-W5Dw8", "許冠傑特別講話！一口答應「健康旦」做場 2020 網上演唱會 另捐 25 萬畀前「通利琴行」手足！- 鄭丹瑞《健康旦》許冠傑 Sam Hui")</f>
        <v>許冠傑特別講話！一口答應「健康旦」做場 2020 網上演唱會 另捐 25 萬畀前「通利琴行」手足！- 鄭丹瑞《健康旦》許冠傑 Sam Hui</v>
      </c>
      <c r="E3825" s="82">
        <v>43927.0</v>
      </c>
      <c r="F3825" s="80">
        <v>608.0</v>
      </c>
      <c r="G3825" s="80" t="s">
        <v>63</v>
      </c>
      <c r="I3825" s="80" t="s">
        <v>63</v>
      </c>
      <c r="J3825" s="80">
        <v>1712.0</v>
      </c>
      <c r="K3825" s="80">
        <v>0.975498575498575</v>
      </c>
      <c r="L3825" s="80" t="s">
        <v>102</v>
      </c>
    </row>
    <row r="3826">
      <c r="A3826" s="80" t="s">
        <v>2041</v>
      </c>
      <c r="B3826" s="81" t="str">
        <f>HYPERLINK("https://www.youtube.com/channel/UCO6pB-ZN4XJ6MVkibvuEe0A", "SingSingTracker 星昇財經指標")</f>
        <v>SingSingTracker 星昇財經指標</v>
      </c>
      <c r="C3826" s="80" t="s">
        <v>4234</v>
      </c>
      <c r="D3826" s="81" t="str">
        <f>HYPERLINK("https://youtube.com/watch?v=_AmKMFaksvA", "【有獎遊戲：送MIRROR口罩 】MIRROR x MaskOn口罩｜MIRROR廣告破百，你數到幾多？｜Anson Lo Edan 姜濤 Jer Ian 有咩新代言？｜viu賺錢｜0008 電訊盈科")</f>
        <v>【有獎遊戲：送MIRROR口罩 】MIRROR x MaskOn口罩｜MIRROR廣告破百，你數到幾多？｜Anson Lo Edan 姜濤 Jer Ian 有咩新代言？｜viu賺錢｜0008 電訊盈科</v>
      </c>
      <c r="E3826" s="82">
        <v>44432.0</v>
      </c>
      <c r="F3826" s="80">
        <v>479.0</v>
      </c>
      <c r="G3826" s="80" t="s">
        <v>63</v>
      </c>
      <c r="I3826" s="80" t="s">
        <v>63</v>
      </c>
      <c r="J3826" s="80">
        <v>1569.0</v>
      </c>
      <c r="K3826" s="80">
        <v>0.744660654959658</v>
      </c>
      <c r="L3826" s="80" t="s">
        <v>64</v>
      </c>
    </row>
    <row r="3827">
      <c r="A3827" s="80" t="s">
        <v>108</v>
      </c>
      <c r="B3827" s="81" t="str">
        <f>HYPERLINK("https://www.youtube.com/channel/UCZL6QN6Xs-ZrKY3y6Pv6Emg", "廢青 - 日賺3000")</f>
        <v>廢青 - 日賺3000</v>
      </c>
      <c r="C3827" s="80" t="s">
        <v>4235</v>
      </c>
      <c r="D3827" s="81" t="str">
        <f>HYPERLINK("https://youtube.com/watch?v=_BKbLFyyGWM", "【股票入門】幾時入市先唔會輸？幾時要止賺離場？投資回報幾多先合理 |  EP15【廢青 日賺3000】【點CC看中文字幕】")</f>
        <v>【股票入門】幾時入市先唔會輸？幾時要止賺離場？投資回報幾多先合理 |  EP15【廢青 日賺3000】【點CC看中文字幕】</v>
      </c>
      <c r="E3827" s="82">
        <v>44439.0</v>
      </c>
      <c r="F3827" s="80">
        <v>813.0</v>
      </c>
      <c r="G3827" s="80" t="s">
        <v>63</v>
      </c>
      <c r="I3827" s="80" t="s">
        <v>63</v>
      </c>
      <c r="J3827" s="80">
        <v>3282.0</v>
      </c>
      <c r="K3827" s="80">
        <v>0.890154597233523</v>
      </c>
      <c r="L3827" s="80" t="s">
        <v>64</v>
      </c>
    </row>
    <row r="3828">
      <c r="A3828" s="80" t="s">
        <v>127</v>
      </c>
      <c r="B3828" s="81" t="str">
        <f>HYPERLINK("https://www.youtube.com/channel/UC97oYK3XMf9RLtkc0lO8C-Q", "健康旦 HiEggo")</f>
        <v>健康旦 HiEggo</v>
      </c>
      <c r="C3828" s="80" t="s">
        <v>4236</v>
      </c>
      <c r="D3828" s="81" t="str">
        <f>HYPERLINK("https://youtube.com/watch?v=_BQEDhpWpwo", "肺炎經北風吹到香港？冷風到、落雨點影響病毒傳播？梁榮武引科學文獻 Fact Check！ - 鄭丹瑞《健康旦》梁榮武 (CC中文字幕)")</f>
        <v>肺炎經北風吹到香港？冷風到、落雨點影響病毒傳播？梁榮武引科學文獻 Fact Check！ - 鄭丹瑞《健康旦》梁榮武 (CC中文字幕)</v>
      </c>
      <c r="E3828" s="82">
        <v>43875.0</v>
      </c>
      <c r="F3828" s="80">
        <v>606.0</v>
      </c>
      <c r="G3828" s="80" t="s">
        <v>63</v>
      </c>
      <c r="I3828" s="80" t="s">
        <v>63</v>
      </c>
      <c r="J3828" s="80">
        <v>2643.0</v>
      </c>
      <c r="K3828" s="80">
        <v>0.983624860439151</v>
      </c>
      <c r="L3828" s="80" t="s">
        <v>102</v>
      </c>
    </row>
    <row r="3829">
      <c r="A3829" s="80" t="s">
        <v>3930</v>
      </c>
      <c r="B3829" s="81" t="str">
        <f>HYPERLINK("https://www.youtube.com/channel/UCGO_BBmwEXblglcSmr5Zcpg", "Danny Summer 夏韶聲")</f>
        <v>Danny Summer 夏韶聲</v>
      </c>
      <c r="C3829" s="80" t="s">
        <v>4237</v>
      </c>
      <c r="D3829" s="81" t="str">
        <f>HYPERLINK("https://youtube.com/watch?v=_Fq0UnjKWmw", "Danny Summer 夏韶聲 -《孫仔萬歲》我係細路KOL ...荃灣三棟屋博物館")</f>
        <v>Danny Summer 夏韶聲 -《孫仔萬歲》我係細路KOL ...荃灣三棟屋博物館</v>
      </c>
      <c r="E3829" s="82">
        <v>44372.0</v>
      </c>
      <c r="F3829" s="80">
        <v>552.0</v>
      </c>
      <c r="G3829" s="80" t="s">
        <v>63</v>
      </c>
      <c r="I3829" s="80" t="s">
        <v>63</v>
      </c>
      <c r="J3829" s="80">
        <v>758.0</v>
      </c>
      <c r="K3829" s="80">
        <v>0.988265971316818</v>
      </c>
      <c r="L3829" s="80" t="s">
        <v>64</v>
      </c>
    </row>
    <row r="3830">
      <c r="A3830" s="80" t="s">
        <v>2753</v>
      </c>
      <c r="B3830" s="81" t="str">
        <f>HYPERLINK("https://www.youtube.com/channel/UCxRXNy5P6fLtHYpawxoiqJQ", "焦點視頻")</f>
        <v>焦點視頻</v>
      </c>
      <c r="C3830" s="80" t="s">
        <v>4238</v>
      </c>
      <c r="D3830" s="81" t="str">
        <f>HYPERLINK("https://youtube.com/watch?v=_HJbDKvUrVw", "奇人命格：香港的女兒，回顧紀念梅艶芳的一生《李應聰風水命理》 #梅艷芳 #梅姐 #Anita #八字教學 #李應聰 EP120 20211125")</f>
        <v>奇人命格：香港的女兒，回顧紀念梅艶芳的一生《李應聰風水命理》 #梅艷芳 #梅姐 #Anita #八字教學 #李應聰 EP120 20211125</v>
      </c>
      <c r="E3830" s="82">
        <v>44526.0</v>
      </c>
      <c r="F3830" s="80">
        <v>1456.0</v>
      </c>
      <c r="G3830" s="80" t="s">
        <v>63</v>
      </c>
      <c r="I3830" s="80" t="s">
        <v>63</v>
      </c>
      <c r="J3830" s="80">
        <v>6357.0</v>
      </c>
      <c r="K3830" s="80">
        <v>0.988646967340591</v>
      </c>
      <c r="L3830" s="80" t="s">
        <v>3012</v>
      </c>
    </row>
    <row r="3831">
      <c r="A3831" s="80" t="s">
        <v>2780</v>
      </c>
      <c r="B3831" s="81" t="str">
        <f>HYPERLINK("https://www.youtube.com/channel/UC0CojhLcc0VESgaG633m5kA", "RainErs")</f>
        <v>RainErs</v>
      </c>
      <c r="C3831" s="80" t="s">
        <v>4239</v>
      </c>
      <c r="D3831" s="81" t="str">
        <f>HYPERLINK("https://youtube.com/watch?v=_HPnGreDEYE", "DJI Osmo Action[開箱]--穩守三年最高CP值の運動相機!!//絕對不會輸給gopro!![有CC字幕]")</f>
        <v>DJI Osmo Action[開箱]--穩守三年最高CP值の運動相機!!//絕對不會輸給gopro!![有CC字幕]</v>
      </c>
      <c r="E3831" s="82">
        <v>44306.0</v>
      </c>
      <c r="F3831" s="80">
        <v>824.0</v>
      </c>
      <c r="G3831" s="80" t="s">
        <v>63</v>
      </c>
      <c r="I3831" s="80" t="s">
        <v>63</v>
      </c>
      <c r="J3831" s="80">
        <v>2937.0</v>
      </c>
      <c r="K3831" s="80">
        <v>0.893791844187461</v>
      </c>
      <c r="L3831" s="80" t="s">
        <v>64</v>
      </c>
    </row>
    <row r="3832">
      <c r="A3832" s="80" t="s">
        <v>127</v>
      </c>
      <c r="B3832" s="81" t="str">
        <f>HYPERLINK("https://www.youtube.com/channel/UC97oYK3XMf9RLtkc0lO8C-Q", "健康旦 HiEggo")</f>
        <v>健康旦 HiEggo</v>
      </c>
      <c r="C3832" s="80" t="s">
        <v>4240</v>
      </c>
      <c r="D3832" s="81" t="str">
        <f>HYPERLINK("https://youtube.com/watch?v=_IHUbR2Mpqw", "天氣潮濕兼長戴口罩易出油 星級化妝師 RickyKAZAF教揀護膚產品 爆瘡可用天然砂糖去角質層 - 鄭丹瑞《健康旦》 @RickyKAZAF  Part 1")</f>
        <v>天氣潮濕兼長戴口罩易出油 星級化妝師 RickyKAZAF教揀護膚產品 爆瘡可用天然砂糖去角質層 - 鄭丹瑞《健康旦》 @RickyKAZAF  Part 1</v>
      </c>
      <c r="E3832" s="82">
        <v>43901.0</v>
      </c>
      <c r="F3832" s="80">
        <v>815.0</v>
      </c>
      <c r="G3832" s="80" t="s">
        <v>63</v>
      </c>
      <c r="I3832" s="80" t="s">
        <v>63</v>
      </c>
      <c r="J3832" s="80">
        <v>3936.0</v>
      </c>
      <c r="K3832" s="80">
        <v>0.97667493796526</v>
      </c>
      <c r="L3832" s="80" t="s">
        <v>102</v>
      </c>
    </row>
    <row r="3833">
      <c r="A3833" s="80" t="s">
        <v>2800</v>
      </c>
      <c r="B3833" s="81" t="str">
        <f>HYPERLINK("https://www.youtube.com/channel/UCMqrlsr-AECPc6_3oDr8m9w", "Unicorn 獸哥")</f>
        <v>Unicorn 獸哥</v>
      </c>
      <c r="C3833" s="80" t="s">
        <v>4241</v>
      </c>
      <c r="D3833" s="81" t="str">
        <f>HYPERLINK("https://youtube.com/watch?v=_R6iyE0e5ZM", "殺得開心 死得爽快 重有新靚女睇？THE SUICIDE SQUAD劇透影評")</f>
        <v>殺得開心 死得爽快 重有新靚女睇？THE SUICIDE SQUAD劇透影評</v>
      </c>
      <c r="E3833" s="82">
        <v>44418.0</v>
      </c>
      <c r="F3833" s="80">
        <v>892.0</v>
      </c>
      <c r="G3833" s="80" t="s">
        <v>63</v>
      </c>
      <c r="I3833" s="80" t="s">
        <v>63</v>
      </c>
      <c r="J3833" s="80">
        <v>3205.0</v>
      </c>
      <c r="K3833" s="80">
        <v>0.893753485778025</v>
      </c>
      <c r="L3833" s="80" t="s">
        <v>64</v>
      </c>
    </row>
    <row r="3834">
      <c r="A3834" s="80" t="s">
        <v>248</v>
      </c>
      <c r="B3834" s="81" t="str">
        <f>HYPERLINK("https://www.youtube.com/channel/UCUEJok-GiWaGlv5nIPwk-GQ", "Price.com.hk 香港格價網")</f>
        <v>Price.com.hk 香港格價網</v>
      </c>
      <c r="C3834" s="80" t="s">
        <v>4242</v>
      </c>
      <c r="D3834" s="81" t="str">
        <f>HYPERLINK("https://youtube.com/watch?v=_RdTzWCMlZ0", "全港首試 iPhone 13！失望還是驚喜？ | 實試電影拍片效果、A15晶片跑分、續航力 | 廣東話【Price.com.hk產品開箱】")</f>
        <v>全港首試 iPhone 13！失望還是驚喜？ | 實試電影拍片效果、A15晶片跑分、續航力 | 廣東話【Price.com.hk產品開箱】</v>
      </c>
      <c r="E3834" s="82">
        <v>44460.0</v>
      </c>
      <c r="F3834" s="80">
        <v>683.0</v>
      </c>
      <c r="G3834" s="80" t="s">
        <v>63</v>
      </c>
      <c r="I3834" s="80" t="s">
        <v>63</v>
      </c>
      <c r="J3834" s="80">
        <v>2171.0</v>
      </c>
      <c r="K3834" s="80">
        <v>0.789454545454545</v>
      </c>
      <c r="L3834" s="80" t="s">
        <v>64</v>
      </c>
    </row>
    <row r="3835">
      <c r="A3835" s="80" t="s">
        <v>127</v>
      </c>
      <c r="B3835" s="81" t="str">
        <f>HYPERLINK("https://www.youtube.com/channel/UC97oYK3XMf9RLtkc0lO8C-Q", "健康旦 HiEggo")</f>
        <v>健康旦 HiEggo</v>
      </c>
      <c r="C3835" s="80" t="s">
        <v>4243</v>
      </c>
      <c r="D3835" s="81" t="str">
        <f>HYPERLINK("https://youtube.com/watch?v=_SF8GQYj8Ek", "胡志遠醫生：安老院舍風險比醫院高 改變醫療模式 減低員工感染機會 望政府能支援增設防疫裝備  - 鄭丹瑞《健康旦》中文大學醫院營運總監 #胡志遠 醫生 Part 6 (CC中文字幕)")</f>
        <v>胡志遠醫生：安老院舍風險比醫院高 改變醫療模式 減低員工感染機會 望政府能支援增設防疫裝備  - 鄭丹瑞《健康旦》中文大學醫院營運總監 #胡志遠 醫生 Part 6 (CC中文字幕)</v>
      </c>
      <c r="E3835" s="82">
        <v>44033.0</v>
      </c>
      <c r="F3835" s="80">
        <v>641.0</v>
      </c>
      <c r="G3835" s="80" t="s">
        <v>63</v>
      </c>
      <c r="I3835" s="80" t="s">
        <v>63</v>
      </c>
      <c r="J3835" s="80">
        <v>2622.0</v>
      </c>
      <c r="K3835" s="80">
        <v>0.984603830266616</v>
      </c>
      <c r="L3835" s="80" t="s">
        <v>102</v>
      </c>
    </row>
    <row r="3836">
      <c r="A3836" s="80" t="s">
        <v>1260</v>
      </c>
      <c r="B3836" s="81" t="str">
        <f>HYPERLINK("https://www.youtube.com/channel/UCh1k4i86BpiXEO3nzJIYynw", "The Wave")</f>
        <v>The Wave</v>
      </c>
      <c r="C3836" s="80" t="s">
        <v>4244</v>
      </c>
      <c r="D3836" s="81" t="str">
        <f>HYPERLINK("https://youtube.com/watch?v=_WD-CQyp3d4", "TheWave | NVIDIA Geforce RTX 2080 開箱 | 測試")</f>
        <v>TheWave | NVIDIA Geforce RTX 2080 開箱 | 測試</v>
      </c>
      <c r="E3836" s="82">
        <v>43417.0</v>
      </c>
      <c r="F3836" s="80">
        <v>236.0</v>
      </c>
      <c r="G3836" s="80" t="s">
        <v>63</v>
      </c>
      <c r="H3836" s="80" t="s">
        <v>63</v>
      </c>
      <c r="I3836" s="80" t="s">
        <v>63</v>
      </c>
      <c r="J3836" s="80">
        <v>696.0</v>
      </c>
      <c r="K3836" s="80">
        <v>0.662226450999048</v>
      </c>
      <c r="L3836" s="80" t="s">
        <v>120</v>
      </c>
    </row>
    <row r="3837">
      <c r="A3837" s="80" t="s">
        <v>288</v>
      </c>
      <c r="B3837" s="81" t="str">
        <f>HYPERLINK("https://www.youtube.com/channel/UCDWOYEhVnyD4IHZGVAMLc0g", "Brendan 毛爸")</f>
        <v>Brendan 毛爸</v>
      </c>
      <c r="C3837" s="80" t="s">
        <v>4245</v>
      </c>
      <c r="D3837" s="81" t="str">
        <f>HYPERLINK("https://youtube.com/watch?v=_X2tVvIOOKo", "[新三國志手機版 - 第三十六部] 免費拿諸葛亮！平民打南蠻最好方法！片尾彩蛋！！")</f>
        <v>[新三國志手機版 - 第三十六部] 免費拿諸葛亮！平民打南蠻最好方法！片尾彩蛋！！</v>
      </c>
      <c r="E3837" s="82">
        <v>43875.0</v>
      </c>
      <c r="F3837" s="80">
        <v>421.0</v>
      </c>
      <c r="G3837" s="80" t="s">
        <v>63</v>
      </c>
      <c r="I3837" s="80" t="s">
        <v>63</v>
      </c>
      <c r="J3837" s="80">
        <v>1356.0</v>
      </c>
      <c r="K3837" s="80">
        <v>0.972043010752688</v>
      </c>
      <c r="L3837" s="80" t="s">
        <v>64</v>
      </c>
    </row>
    <row r="3838">
      <c r="A3838" s="80" t="s">
        <v>1987</v>
      </c>
      <c r="B3838" s="81" t="str">
        <f>HYPERLINK("https://www.youtube.com/channel/UCgGUmm04nVyj-ftaCxVcyBg", "MangoHK大馬獅家")</f>
        <v>MangoHK大馬獅家</v>
      </c>
      <c r="C3838" s="80" t="s">
        <v>4246</v>
      </c>
      <c r="D3838" s="81" t="str">
        <f>HYPERLINK("https://youtube.com/watch?v=_YWMi8-LqSA", "【50】👋點解疫情唔離開🇬🇧走佬去英國！{中英字幕}  Subtitled | Stay with Malaysia  | Malaysia Vlog | mm2h")</f>
        <v>【50】👋點解疫情唔離開🇬🇧走佬去英國！{中英字幕}  Subtitled | Stay with Malaysia  | Malaysia Vlog | mm2h</v>
      </c>
      <c r="E3838" s="82">
        <v>44478.0</v>
      </c>
      <c r="F3838" s="80">
        <v>501.0</v>
      </c>
      <c r="G3838" s="80" t="s">
        <v>63</v>
      </c>
      <c r="I3838" s="80" t="s">
        <v>63</v>
      </c>
      <c r="J3838" s="80">
        <v>1299.0</v>
      </c>
      <c r="K3838" s="80">
        <v>0.946793002915451</v>
      </c>
      <c r="L3838" s="80" t="s">
        <v>896</v>
      </c>
    </row>
    <row r="3839">
      <c r="A3839" s="80" t="s">
        <v>108</v>
      </c>
      <c r="B3839" s="81" t="str">
        <f>HYPERLINK("https://www.youtube.com/channel/UCZL6QN6Xs-ZrKY3y6Pv6Emg", "廢青 - 日賺3000")</f>
        <v>廢青 - 日賺3000</v>
      </c>
      <c r="C3839" s="80" t="s">
        <v>4247</v>
      </c>
      <c r="D3839" s="81" t="str">
        <f>HYPERLINK("https://youtube.com/watch?v=_YfNceXCoCg", "【Q&amp;A】 股災撈到底 , 平價買中優質股應該「長揸」「短炒」|  EP68【廢青 日賺3000】")</f>
        <v>【Q&amp;A】 股災撈到底 , 平價買中優質股應該「長揸」「短炒」|  EP68【廢青 日賺3000】</v>
      </c>
      <c r="E3839" s="82">
        <v>44435.0</v>
      </c>
      <c r="F3839" s="80">
        <v>592.0</v>
      </c>
      <c r="G3839" s="80" t="s">
        <v>63</v>
      </c>
      <c r="I3839" s="80" t="s">
        <v>63</v>
      </c>
      <c r="J3839" s="80">
        <v>2324.0</v>
      </c>
      <c r="K3839" s="80">
        <v>0.910301605953779</v>
      </c>
      <c r="L3839" s="80" t="s">
        <v>64</v>
      </c>
    </row>
    <row r="3840">
      <c r="A3840" s="80" t="s">
        <v>1260</v>
      </c>
      <c r="B3840" s="81" t="str">
        <f>HYPERLINK("https://www.youtube.com/channel/UCh1k4i86BpiXEO3nzJIYynw", "The Wave")</f>
        <v>The Wave</v>
      </c>
      <c r="C3840" s="80" t="s">
        <v>4248</v>
      </c>
      <c r="D3840" s="81" t="str">
        <f>HYPERLINK("https://youtube.com/watch?v=_ZswlkTHpF4", "TheWave | Xperia 1 II 充電測試 | USB PD")</f>
        <v>TheWave | Xperia 1 II 充電測試 | USB PD</v>
      </c>
      <c r="E3840" s="82">
        <v>44023.0</v>
      </c>
      <c r="F3840" s="80">
        <v>178.0</v>
      </c>
      <c r="G3840" s="80" t="s">
        <v>63</v>
      </c>
      <c r="H3840" s="80" t="s">
        <v>63</v>
      </c>
      <c r="I3840" s="80" t="s">
        <v>63</v>
      </c>
      <c r="J3840" s="80">
        <v>524.0</v>
      </c>
      <c r="K3840" s="80">
        <v>0.783132530120481</v>
      </c>
      <c r="L3840" s="80" t="s">
        <v>1634</v>
      </c>
    </row>
    <row r="3841">
      <c r="A3841" s="80" t="s">
        <v>2893</v>
      </c>
      <c r="B3841" s="81" t="str">
        <f>HYPERLINK("https://www.youtube.com/channel/UCS6TtQSjGUpGHJTCHTTFe9g", "玩學實驗室Play &amp; Learn Lab")</f>
        <v>玩學實驗室Play &amp; Learn Lab</v>
      </c>
      <c r="C3841" s="80" t="s">
        <v>4249</v>
      </c>
      <c r="D3841" s="81" t="str">
        <f>HYPERLINK("https://youtube.com/watch?v=__jzAm3usTY", "【玩學實驗室 #1】玩學兩兄弟正式踏進 Youtube 界 !!!  一齊玩《My First Castle Panic》比你睇 !!!｜親子桌遊研習社｜【玩學玩你睇】")</f>
        <v>【玩學實驗室 #1】玩學兩兄弟正式踏進 Youtube 界 !!!  一齊玩《My First Castle Panic》比你睇 !!!｜親子桌遊研習社｜【玩學玩你睇】</v>
      </c>
      <c r="E3841" s="82">
        <v>44207.0</v>
      </c>
      <c r="F3841" s="80">
        <v>606.0</v>
      </c>
      <c r="G3841" s="80" t="s">
        <v>63</v>
      </c>
      <c r="I3841" s="80" t="s">
        <v>63</v>
      </c>
      <c r="J3841" s="80">
        <v>1172.0</v>
      </c>
      <c r="K3841" s="80">
        <v>0.623072833599149</v>
      </c>
      <c r="L3841" s="80" t="s">
        <v>64</v>
      </c>
    </row>
    <row r="3842">
      <c r="A3842" s="80" t="s">
        <v>124</v>
      </c>
      <c r="B3842" s="81" t="str">
        <f>HYPERLINK("https://www.youtube.com/channel/UCg0vuSE0fBF_NvodyYhMcWg", "Wallace Studio HK")</f>
        <v>Wallace Studio HK</v>
      </c>
      <c r="C3842" s="80" t="s">
        <v>4250</v>
      </c>
      <c r="D3842" s="81" t="str">
        <f>HYPERLINK("https://youtube.com/watch?v=_clVMsNIxmg", "[電量測試] S21 Ultra , S21+, Note 20 Ultra, iPhone 12 Pro , Xperia 5 II, 小米11 電量實測 續航力大比拼!!! (CC中文字幕)")</f>
        <v>[電量測試] S21 Ultra , S21+, Note 20 Ultra, iPhone 12 Pro , Xperia 5 II, 小米11 電量實測 續航力大比拼!!! (CC中文字幕)</v>
      </c>
      <c r="E3842" s="82">
        <v>44255.0</v>
      </c>
      <c r="F3842" s="80">
        <v>450.0</v>
      </c>
      <c r="G3842" s="80" t="s">
        <v>63</v>
      </c>
      <c r="H3842" s="80" t="s">
        <v>63</v>
      </c>
      <c r="I3842" s="80" t="s">
        <v>63</v>
      </c>
      <c r="J3842" s="80">
        <v>1453.0</v>
      </c>
      <c r="K3842" s="80">
        <v>0.680880974695407</v>
      </c>
      <c r="L3842" s="80" t="s">
        <v>86</v>
      </c>
    </row>
    <row r="3843">
      <c r="A3843" s="80" t="s">
        <v>248</v>
      </c>
      <c r="B3843" s="81" t="str">
        <f>HYPERLINK("https://www.youtube.com/channel/UCUEJok-GiWaGlv5nIPwk-GQ", "Price.com.hk 香港格價網")</f>
        <v>Price.com.hk 香港格價網</v>
      </c>
      <c r="C3843" s="80" t="s">
        <v>4251</v>
      </c>
      <c r="D3843" s="81" t="str">
        <f>HYPERLINK("https://youtube.com/watch?v=_eE1yIhGtzI", "Samsung發佈會重點 摺機變平板Z Fold3/Z Flip3 |防水機身|支援SPen|16GB儲存Watch4|  Galaxy Unpacked 【Price.com.hk產品情報】")</f>
        <v>Samsung發佈會重點 摺機變平板Z Fold3/Z Flip3 |防水機身|支援SPen|16GB儲存Watch4|  Galaxy Unpacked 【Price.com.hk產品情報】</v>
      </c>
      <c r="E3843" s="82">
        <v>44419.0</v>
      </c>
      <c r="F3843" s="80">
        <v>431.0</v>
      </c>
      <c r="G3843" s="80" t="s">
        <v>63</v>
      </c>
      <c r="I3843" s="80" t="s">
        <v>63</v>
      </c>
      <c r="J3843" s="80">
        <v>1181.0</v>
      </c>
      <c r="K3843" s="80">
        <v>0.599188229325215</v>
      </c>
      <c r="L3843" s="80" t="s">
        <v>64</v>
      </c>
    </row>
    <row r="3844">
      <c r="A3844" s="80" t="s">
        <v>293</v>
      </c>
      <c r="B3844" s="81" t="str">
        <f>HYPERLINK("https://www.youtube.com/channel/UCXRcbXqjORdIvl63I7MtOLQ", "趁熱 Kerry 's kitchen")</f>
        <v>趁熱 Kerry 's kitchen</v>
      </c>
      <c r="C3844" s="80" t="s">
        <v>4252</v>
      </c>
      <c r="D3844" s="81" t="str">
        <f>HYPERLINK("https://youtube.com/watch?v=_eYcMqDFYLA", "辣炒 花蛤/辣炒花蛤麵/簡單 家做/花蛤吐沙竅門/新手 入門/微辣/粵語/中字/cc字幕")</f>
        <v>辣炒 花蛤/辣炒花蛤麵/簡單 家做/花蛤吐沙竅門/新手 入門/微辣/粵語/中字/cc字幕</v>
      </c>
      <c r="E3844" s="82">
        <v>44328.0</v>
      </c>
      <c r="F3844" s="80">
        <v>529.0</v>
      </c>
      <c r="G3844" s="80" t="s">
        <v>63</v>
      </c>
      <c r="I3844" s="80" t="s">
        <v>63</v>
      </c>
      <c r="J3844" s="80">
        <v>1297.0</v>
      </c>
      <c r="K3844" s="80">
        <v>0.960029607698001</v>
      </c>
      <c r="L3844" s="80" t="s">
        <v>64</v>
      </c>
    </row>
    <row r="3845">
      <c r="A3845" s="80" t="s">
        <v>1390</v>
      </c>
      <c r="B3845" s="81" t="str">
        <f>HYPERLINK("https://www.youtube.com/channel/UCgwEJflQi4WnZ8PU0xdibZQ", "Kinson Ho")</f>
        <v>Kinson Ho</v>
      </c>
      <c r="C3845" s="80" t="s">
        <v>4253</v>
      </c>
      <c r="D3845" s="81" t="str">
        <f>HYPERLINK("https://youtube.com/watch?v=_kReLNK1zxA", "K神任我行 - [CC字幕4K] 鹹田灣露營｜望魚角｜大灣｜東灣｜赤徑｜3日2夜｜走營｜日出日落｜航拍")</f>
        <v>K神任我行 - [CC字幕4K] 鹹田灣露營｜望魚角｜大灣｜東灣｜赤徑｜3日2夜｜走營｜日出日落｜航拍</v>
      </c>
      <c r="E3845" s="82">
        <v>44535.0</v>
      </c>
      <c r="F3845" s="80">
        <v>1658.0</v>
      </c>
      <c r="G3845" s="80" t="s">
        <v>63</v>
      </c>
      <c r="I3845" s="80" t="s">
        <v>63</v>
      </c>
      <c r="J3845" s="80">
        <v>1501.0</v>
      </c>
      <c r="K3845" s="80">
        <v>0.982973149967256</v>
      </c>
      <c r="L3845" s="80" t="s">
        <v>64</v>
      </c>
    </row>
    <row r="3846">
      <c r="A3846" s="80" t="s">
        <v>2829</v>
      </c>
      <c r="B3846" s="81" t="str">
        <f>HYPERLINK("https://www.youtube.com/channel/UC7GnES6AEQlDzaP04UqtyjA", "SOLID IDEA")</f>
        <v>SOLID IDEA</v>
      </c>
      <c r="C3846" s="80" t="s">
        <v>4254</v>
      </c>
      <c r="D3846" s="81" t="str">
        <f>HYPERLINK("https://youtube.com/watch?v=_poXy_mltF0", "[#設計概念] #LP6 1房衣櫃可以點放?  | 室內設計 | 空間擺位 | SOLID IDEA |  (CC中文字幕)")</f>
        <v>[#設計概念] #LP6 1房衣櫃可以點放?  | 室內設計 | 空間擺位 | SOLID IDEA |  (CC中文字幕)</v>
      </c>
      <c r="E3846" s="82">
        <v>44176.0</v>
      </c>
      <c r="F3846" s="80">
        <v>191.0</v>
      </c>
      <c r="G3846" s="80" t="s">
        <v>63</v>
      </c>
      <c r="I3846" s="80" t="s">
        <v>63</v>
      </c>
      <c r="J3846" s="80">
        <v>591.0</v>
      </c>
      <c r="K3846" s="80">
        <v>0.935126582278481</v>
      </c>
      <c r="L3846" s="80" t="s">
        <v>64</v>
      </c>
    </row>
    <row r="3847">
      <c r="A3847" s="80" t="s">
        <v>1260</v>
      </c>
      <c r="B3847" s="81" t="str">
        <f>HYPERLINK("https://www.youtube.com/channel/UCh1k4i86BpiXEO3nzJIYynw", "The Wave")</f>
        <v>The Wave</v>
      </c>
      <c r="C3847" s="80" t="s">
        <v>4255</v>
      </c>
      <c r="D3847" s="81" t="str">
        <f>HYPERLINK("https://youtube.com/watch?v=_qmPpH9bxLk", "TheWave | Xperia™ XZs 專用的時尚智能手機套底座 SCSG20 | 廣東話 Eng Sub")</f>
        <v>TheWave | Xperia™ XZs 專用的時尚智能手機套底座 SCSG20 | 廣東話 Eng Sub</v>
      </c>
      <c r="E3847" s="82">
        <v>42838.0</v>
      </c>
      <c r="F3847" s="80">
        <v>147.0</v>
      </c>
      <c r="G3847" s="80" t="s">
        <v>63</v>
      </c>
      <c r="I3847" s="80" t="s">
        <v>63</v>
      </c>
      <c r="J3847" s="80">
        <v>277.0</v>
      </c>
      <c r="K3847" s="80">
        <v>0.713917525773195</v>
      </c>
      <c r="L3847" s="80" t="s">
        <v>521</v>
      </c>
    </row>
    <row r="3848">
      <c r="A3848" s="80" t="s">
        <v>1987</v>
      </c>
      <c r="B3848" s="81" t="str">
        <f>HYPERLINK("https://www.youtube.com/channel/UCgGUmm04nVyj-ftaCxVcyBg", "MangoHK大馬獅家")</f>
        <v>MangoHK大馬獅家</v>
      </c>
      <c r="C3848" s="80" t="s">
        <v>4256</v>
      </c>
      <c r="D3848" s="81" t="str">
        <f>HYPERLINK("https://youtube.com/watch?v=_ro_lYStCeU", "【19】✈️我們離開了👋再見香港🇲🇾移居大馬隔離！{字幕}  Subtitled | Goodbye HK Malaysia Quarantine | Malaysia Vlog | mm2h")</f>
        <v>【19】✈️我們離開了👋再見香港🇲🇾移居大馬隔離！{字幕}  Subtitled | Goodbye HK Malaysia Quarantine | Malaysia Vlog | mm2h</v>
      </c>
      <c r="E3848" s="82">
        <v>44478.0</v>
      </c>
      <c r="F3848" s="80">
        <v>478.0</v>
      </c>
      <c r="G3848" s="80" t="s">
        <v>63</v>
      </c>
      <c r="I3848" s="80" t="s">
        <v>63</v>
      </c>
      <c r="J3848" s="80">
        <v>923.0</v>
      </c>
      <c r="K3848" s="80">
        <v>0.948612538540596</v>
      </c>
      <c r="L3848" s="80" t="s">
        <v>896</v>
      </c>
    </row>
    <row r="3849">
      <c r="A3849" s="80" t="s">
        <v>127</v>
      </c>
      <c r="B3849" s="81" t="str">
        <f>HYPERLINK("https://www.youtube.com/channel/UC97oYK3XMf9RLtkc0lO8C-Q", "健康旦 HiEggo")</f>
        <v>健康旦 HiEggo</v>
      </c>
      <c r="C3849" s="80" t="s">
        <v>4257</v>
      </c>
      <c r="D3849" s="81" t="str">
        <f>HYPERLINK("https://youtube.com/watch?v=_uweK8CzTjQ", "視覺扭曲關黃斑前膜事 護眼記得B+B同4X20 - 鄭丹瑞《健康旦》香港眼科醫學院前院長 #周伯展 醫生 Part 2 (CC中文字幕）")</f>
        <v>視覺扭曲關黃斑前膜事 護眼記得B+B同4X20 - 鄭丹瑞《健康旦》香港眼科醫學院前院長 #周伯展 醫生 Part 2 (CC中文字幕）</v>
      </c>
      <c r="E3849" s="82">
        <v>43984.0</v>
      </c>
      <c r="F3849" s="80">
        <v>591.0</v>
      </c>
      <c r="G3849" s="80" t="s">
        <v>63</v>
      </c>
      <c r="I3849" s="80" t="s">
        <v>63</v>
      </c>
      <c r="J3849" s="80">
        <v>2279.0</v>
      </c>
      <c r="K3849" s="80">
        <v>0.9764353041988</v>
      </c>
      <c r="L3849" s="80" t="s">
        <v>64</v>
      </c>
    </row>
    <row r="3850">
      <c r="A3850" s="80" t="s">
        <v>1390</v>
      </c>
      <c r="B3850" s="81" t="str">
        <f>HYPERLINK("https://www.youtube.com/channel/UCgwEJflQi4WnZ8PU0xdibZQ", "Kinson Ho")</f>
        <v>Kinson Ho</v>
      </c>
      <c r="C3850" s="80" t="s">
        <v>4258</v>
      </c>
      <c r="D3850" s="81" t="str">
        <f>HYPERLINK("https://youtube.com/watch?v=_voenXZTtFc", "K神任我行 - [CC字幕4K] 石芽北脊｜石芽山｜跨天懸門｜天涯石窗｜水牛山｜黃牛山｜芒草｜日落｜航拍｜路線分享")</f>
        <v>K神任我行 - [CC字幕4K] 石芽北脊｜石芽山｜跨天懸門｜天涯石窗｜水牛山｜黃牛山｜芒草｜日落｜航拍｜路線分享</v>
      </c>
      <c r="E3850" s="82">
        <v>44530.0</v>
      </c>
      <c r="F3850" s="80">
        <v>1455.0</v>
      </c>
      <c r="G3850" s="80" t="s">
        <v>63</v>
      </c>
      <c r="I3850" s="80" t="s">
        <v>63</v>
      </c>
      <c r="J3850" s="80">
        <v>1310.0</v>
      </c>
      <c r="K3850" s="80">
        <v>0.987933634992458</v>
      </c>
      <c r="L3850" s="80" t="s">
        <v>64</v>
      </c>
    </row>
    <row r="3851">
      <c r="A3851" s="80" t="s">
        <v>127</v>
      </c>
      <c r="B3851" s="81" t="str">
        <f>HYPERLINK("https://www.youtube.com/channel/UC97oYK3XMf9RLtkc0lO8C-Q", "健康旦 HiEggo")</f>
        <v>健康旦 HiEggo</v>
      </c>
      <c r="C3851" s="80" t="s">
        <v>4259</v>
      </c>
      <c r="D3851" s="81" t="str">
        <f>HYPERLINK("https://youtube.com/watch?v=a0gAMnLCdhU", "浸大教授拆解新冠肺炎患者復陽現象 起紅疹便秘皆病徵 五大後遺症逐個睇 - 鄭丹瑞《健康旦》#卞兆祥 教授 Part 4 (CC中文字幕)")</f>
        <v>浸大教授拆解新冠肺炎患者復陽現象 起紅疹便秘皆病徵 五大後遺症逐個睇 - 鄭丹瑞《健康旦》#卞兆祥 教授 Part 4 (CC中文字幕)</v>
      </c>
      <c r="E3851" s="82">
        <v>43997.0</v>
      </c>
      <c r="F3851" s="80">
        <v>763.0</v>
      </c>
      <c r="G3851" s="80" t="s">
        <v>63</v>
      </c>
      <c r="I3851" s="80" t="s">
        <v>63</v>
      </c>
      <c r="J3851" s="80">
        <v>2802.0</v>
      </c>
      <c r="K3851" s="80">
        <v>0.943116795691686</v>
      </c>
      <c r="L3851" s="80" t="s">
        <v>64</v>
      </c>
    </row>
    <row r="3852">
      <c r="A3852" s="80" t="s">
        <v>293</v>
      </c>
      <c r="B3852" s="81" t="str">
        <f>HYPERLINK("https://www.youtube.com/channel/UCXRcbXqjORdIvl63I7MtOLQ", "趁熱 Kerry 's kitchen")</f>
        <v>趁熱 Kerry 's kitchen</v>
      </c>
      <c r="C3852" s="80" t="s">
        <v>4260</v>
      </c>
      <c r="D3852" s="81" t="str">
        <f>HYPERLINK("https://youtube.com/watch?v=a1MeFxUxl5Y", "炒飯/鹹魚雞粒炒飯/茶記風味/超香梅香鹹魚/簡單 家做/新手 入門/廣東話/中字")</f>
        <v>炒飯/鹹魚雞粒炒飯/茶記風味/超香梅香鹹魚/簡單 家做/新手 入門/廣東話/中字</v>
      </c>
      <c r="E3852" s="82">
        <v>44433.0</v>
      </c>
      <c r="F3852" s="80">
        <v>568.0</v>
      </c>
      <c r="G3852" s="80" t="s">
        <v>63</v>
      </c>
      <c r="I3852" s="80" t="s">
        <v>63</v>
      </c>
      <c r="J3852" s="80">
        <v>1538.0</v>
      </c>
      <c r="K3852" s="80">
        <v>0.989703989703989</v>
      </c>
      <c r="L3852" s="80" t="s">
        <v>64</v>
      </c>
    </row>
    <row r="3853">
      <c r="A3853" s="80" t="s">
        <v>2761</v>
      </c>
      <c r="B3853" s="81" t="str">
        <f>HYPERLINK("https://www.youtube.com/channel/UCr_L9cZdbBU_XDsKDHBBlew", "am730")</f>
        <v>am730</v>
      </c>
      <c r="C3853" s="80" t="s">
        <v>4261</v>
      </c>
      <c r="D3853" s="81" t="str">
        <f>HYPERLINK("https://youtube.com/watch?v=a4gq5JECr5s", "【與施永青對談】買六合彩不反對 施永青曾窒下屬買跑車")</f>
        <v>【與施永青對談】買六合彩不反對 施永青曾窒下屬買跑車</v>
      </c>
      <c r="E3853" s="82">
        <v>44094.0</v>
      </c>
      <c r="F3853" s="80">
        <v>722.0</v>
      </c>
      <c r="G3853" s="80" t="s">
        <v>63</v>
      </c>
      <c r="I3853" s="80" t="s">
        <v>63</v>
      </c>
      <c r="J3853" s="80">
        <v>2099.0</v>
      </c>
      <c r="K3853" s="80">
        <v>0.993844696969697</v>
      </c>
      <c r="L3853" s="80" t="s">
        <v>64</v>
      </c>
    </row>
    <row r="3854">
      <c r="A3854" s="80" t="s">
        <v>1260</v>
      </c>
      <c r="B3854" s="81" t="str">
        <f>HYPERLINK("https://www.youtube.com/channel/UCh1k4i86BpiXEO3nzJIYynw", "The Wave")</f>
        <v>The Wave</v>
      </c>
      <c r="C3854" s="80" t="s">
        <v>4262</v>
      </c>
      <c r="D3854" s="81" t="str">
        <f>HYPERLINK("https://youtube.com/watch?v=a9GGI6yUB-E", "TheWave | Xperia 5 跑分 測試 | CPU | GPU | WiFi | ROM")</f>
        <v>TheWave | Xperia 5 跑分 測試 | CPU | GPU | WiFi | ROM</v>
      </c>
      <c r="E3854" s="82">
        <v>43747.0</v>
      </c>
      <c r="F3854" s="80">
        <v>202.0</v>
      </c>
      <c r="G3854" s="80" t="s">
        <v>63</v>
      </c>
      <c r="H3854" s="80" t="s">
        <v>63</v>
      </c>
      <c r="I3854" s="80" t="s">
        <v>63</v>
      </c>
      <c r="J3854" s="80">
        <v>401.0</v>
      </c>
      <c r="K3854" s="80">
        <v>0.572857142857142</v>
      </c>
      <c r="L3854" s="80" t="s">
        <v>1634</v>
      </c>
    </row>
    <row r="3855">
      <c r="A3855" s="80" t="s">
        <v>108</v>
      </c>
      <c r="B3855" s="81" t="str">
        <f>HYPERLINK("https://www.youtube.com/channel/UCZL6QN6Xs-ZrKY3y6Pv6Emg", "廢青 - 日賺3000")</f>
        <v>廢青 - 日賺3000</v>
      </c>
      <c r="C3855" s="80" t="s">
        <v>4263</v>
      </c>
      <c r="D3855" s="81" t="str">
        <f>HYPERLINK("https://youtube.com/watch?v=aGjsJvGqAYo", "Tesla拆股，$500勁抵買呀?! 😱😱😱 ( 蘋果🍎都有拆股哦 !! ) | EP04 Part B【廢青 日賺3000】")</f>
        <v>Tesla拆股，$500勁抵買呀?! 😱😱😱 ( 蘋果🍎都有拆股哦 !! ) | EP04 Part B【廢青 日賺3000】</v>
      </c>
      <c r="E3855" s="82">
        <v>44099.0</v>
      </c>
      <c r="F3855" s="80">
        <v>670.0</v>
      </c>
      <c r="G3855" s="80" t="s">
        <v>63</v>
      </c>
      <c r="I3855" s="80" t="s">
        <v>63</v>
      </c>
      <c r="J3855" s="80">
        <v>1508.0</v>
      </c>
      <c r="K3855" s="80">
        <v>0.835457063711911</v>
      </c>
      <c r="L3855" s="80" t="s">
        <v>64</v>
      </c>
    </row>
    <row r="3856">
      <c r="A3856" s="80" t="s">
        <v>1987</v>
      </c>
      <c r="B3856" s="81" t="str">
        <f>HYPERLINK("https://www.youtube.com/channel/UCgGUmm04nVyj-ftaCxVcyBg", "MangoHK大馬獅家")</f>
        <v>MangoHK大馬獅家</v>
      </c>
      <c r="C3856" s="80" t="s">
        <v>4264</v>
      </c>
      <c r="D3856" s="81" t="str">
        <f>HYPERLINK("https://youtube.com/watch?v=aGucrmAEKtk", "【22】🇮🇳印度廟黑風洞🐵馬騮唔驚人？{中英字幕}  Subtitled | Malaysia Batu Caves | Malaysia Vlog | mm2h")</f>
        <v>【22】🇮🇳印度廟黑風洞🐵馬騮唔驚人？{中英字幕}  Subtitled | Malaysia Batu Caves | Malaysia Vlog | mm2h</v>
      </c>
      <c r="E3856" s="82">
        <v>44456.0</v>
      </c>
      <c r="F3856" s="80">
        <v>214.0</v>
      </c>
      <c r="G3856" s="80" t="s">
        <v>63</v>
      </c>
      <c r="I3856" s="80" t="s">
        <v>63</v>
      </c>
      <c r="J3856" s="80">
        <v>438.0</v>
      </c>
      <c r="K3856" s="80">
        <v>0.914405010438413</v>
      </c>
      <c r="L3856" s="80" t="s">
        <v>896</v>
      </c>
    </row>
    <row r="3857">
      <c r="A3857" s="80" t="s">
        <v>1139</v>
      </c>
      <c r="B3857" s="81" t="str">
        <f>HYPERLINK("https://www.youtube.com/channel/UCw51gVFijIewmXH4tIR0ufw", "Crystal Zen")</f>
        <v>Crystal Zen</v>
      </c>
      <c r="C3857" s="80" t="s">
        <v>4265</v>
      </c>
      <c r="D3857" s="81" t="str">
        <f>HYPERLINK("https://youtube.com/watch?v=aHKPRaMXicE", "[實用系列] 我們都是有情緒病的人！詳談茶晶·舒俱萊·彼得石")</f>
        <v>[實用系列] 我們都是有情緒病的人！詳談茶晶·舒俱萊·彼得石</v>
      </c>
      <c r="E3857" s="82">
        <v>44295.0</v>
      </c>
      <c r="F3857" s="80">
        <v>762.0</v>
      </c>
      <c r="G3857" s="80" t="s">
        <v>63</v>
      </c>
      <c r="I3857" s="80" t="s">
        <v>63</v>
      </c>
      <c r="J3857" s="80">
        <v>3093.0</v>
      </c>
      <c r="K3857" s="80">
        <v>0.953746530989824</v>
      </c>
      <c r="L3857" s="80" t="s">
        <v>64</v>
      </c>
    </row>
    <row r="3858">
      <c r="A3858" s="80" t="s">
        <v>1260</v>
      </c>
      <c r="B3858" s="81" t="str">
        <f>HYPERLINK("https://www.youtube.com/channel/UCh1k4i86BpiXEO3nzJIYynw", "The Wave")</f>
        <v>The Wave</v>
      </c>
      <c r="C3858" s="80" t="s">
        <v>4266</v>
      </c>
      <c r="D3858" s="81" t="str">
        <f>HYPERLINK("https://youtube.com/watch?v=aIp3bnqEIOQ", "TheWave | Xperia 1 II 影片播放電力測試 | 全字幕")</f>
        <v>TheWave | Xperia 1 II 影片播放電力測試 | 全字幕</v>
      </c>
      <c r="E3858" s="82">
        <v>44007.0</v>
      </c>
      <c r="F3858" s="80">
        <v>86.0</v>
      </c>
      <c r="G3858" s="80" t="s">
        <v>63</v>
      </c>
      <c r="H3858" s="80" t="s">
        <v>63</v>
      </c>
      <c r="I3858" s="80" t="s">
        <v>63</v>
      </c>
      <c r="J3858" s="80">
        <v>224.0</v>
      </c>
      <c r="K3858" s="80">
        <v>0.70886075949367</v>
      </c>
      <c r="L3858" s="80" t="s">
        <v>1634</v>
      </c>
    </row>
    <row r="3859">
      <c r="A3859" s="80" t="s">
        <v>238</v>
      </c>
      <c r="B3859" s="81" t="str">
        <f>HYPERLINK("https://www.youtube.com/channel/UCSBkm4LwpgBmcA3MCtO8vqg", "Post76影音玩樂")</f>
        <v>Post76影音玩樂</v>
      </c>
      <c r="C3859" s="80" t="s">
        <v>4267</v>
      </c>
      <c r="D3859" s="81" t="str">
        <f>HYPERLINK("https://youtube.com/watch?v=aNdNi09129E", "$3280一條過支援 Dolby Atmos 及 DTS:X : LG SN7CY Soundbar 聽歌都好掂喎！（附設中文字幕）粵語 【Soundbar評測 | Post76.hk】")</f>
        <v>$3280一條過支援 Dolby Atmos 及 DTS:X : LG SN7CY Soundbar 聽歌都好掂喎！（附設中文字幕）粵語 【Soundbar評測 | Post76.hk】</v>
      </c>
      <c r="E3859" s="82">
        <v>44335.0</v>
      </c>
      <c r="F3859" s="80">
        <v>1058.0</v>
      </c>
      <c r="G3859" s="80" t="s">
        <v>63</v>
      </c>
      <c r="H3859" s="80" t="s">
        <v>63</v>
      </c>
      <c r="I3859" s="80" t="s">
        <v>63</v>
      </c>
      <c r="J3859" s="80">
        <v>3805.0</v>
      </c>
      <c r="K3859" s="80">
        <v>0.787784679089026</v>
      </c>
      <c r="L3859" s="80" t="s">
        <v>66</v>
      </c>
    </row>
    <row r="3860">
      <c r="A3860" s="80" t="s">
        <v>288</v>
      </c>
      <c r="B3860" s="81" t="str">
        <f>HYPERLINK("https://www.youtube.com/channel/UCDWOYEhVnyD4IHZGVAMLc0g", "Brendan 毛爸")</f>
        <v>Brendan 毛爸</v>
      </c>
      <c r="C3860" s="80" t="s">
        <v>4268</v>
      </c>
      <c r="D3860" s="81" t="str">
        <f>HYPERLINK("https://youtube.com/watch?v=aQ8ZKXsldwE", "[限 I Phone ！簡單方便教學!!!!] 自制 DIY Whatsapp Sticker + 分享完整貼圖包教學 (按cc 開啟字幕) Brendan 毛爸")</f>
        <v>[限 I Phone ！簡單方便教學!!!!] 自制 DIY Whatsapp Sticker + 分享完整貼圖包教學 (按cc 開啟字幕) Brendan 毛爸</v>
      </c>
      <c r="E3860" s="82">
        <v>43449.0</v>
      </c>
      <c r="F3860" s="80">
        <v>214.0</v>
      </c>
      <c r="G3860" s="80" t="s">
        <v>63</v>
      </c>
      <c r="I3860" s="80" t="s">
        <v>63</v>
      </c>
      <c r="J3860" s="80">
        <v>462.0</v>
      </c>
      <c r="K3860" s="80">
        <v>0.738019169329073</v>
      </c>
      <c r="L3860" s="80" t="s">
        <v>64</v>
      </c>
    </row>
    <row r="3861">
      <c r="A3861" s="80" t="s">
        <v>2041</v>
      </c>
      <c r="B3861" s="81" t="str">
        <f>HYPERLINK("https://www.youtube.com/channel/UCO6pB-ZN4XJ6MVkibvuEe0A", "SingSingTracker 星昇財經指標")</f>
        <v>SingSingTracker 星昇財經指標</v>
      </c>
      <c r="C3861" s="80" t="s">
        <v>4269</v>
      </c>
      <c r="D3861" s="81" t="str">
        <f>HYPERLINK("https://youtube.com/watch?v=aQcySia_pu0", "【Disney EP2 有買貴，沒買錯❓】竟然是最值錢的電影公司？【點CC中文字幕】#FWCChannel")</f>
        <v>【Disney EP2 有買貴，沒買錯❓】竟然是最值錢的電影公司？【點CC中文字幕】#FWCChannel</v>
      </c>
      <c r="E3861" s="82">
        <v>44294.0</v>
      </c>
      <c r="F3861" s="80">
        <v>271.0</v>
      </c>
      <c r="G3861" s="80" t="s">
        <v>63</v>
      </c>
      <c r="I3861" s="80" t="s">
        <v>63</v>
      </c>
      <c r="J3861" s="80">
        <v>1678.0</v>
      </c>
      <c r="K3861" s="80">
        <v>0.893028206492815</v>
      </c>
      <c r="L3861" s="80" t="s">
        <v>64</v>
      </c>
    </row>
    <row r="3862">
      <c r="A3862" s="80" t="s">
        <v>238</v>
      </c>
      <c r="B3862" s="81" t="str">
        <f>HYPERLINK("https://www.youtube.com/channel/UCSBkm4LwpgBmcA3MCtO8vqg", "Post76影音玩樂")</f>
        <v>Post76影音玩樂</v>
      </c>
      <c r="C3862" s="80" t="s">
        <v>4270</v>
      </c>
      <c r="D3862" s="81" t="str">
        <f>HYPERLINK("https://youtube.com/watch?v=aSTS93M1Rg8", "家訪76元老級AV發燒友 : PAC大哥玩盡 KEF LS50 Meta + KC62 越級挑戰 7.1.4 家庭影院組合 ( ft: KEF KF92 超低音喇叭 | 附設cc字幕）【影音家訪】")</f>
        <v>家訪76元老級AV發燒友 : PAC大哥玩盡 KEF LS50 Meta + KC62 越級挑戰 7.1.4 家庭影院組合 ( ft: KEF KF92 超低音喇叭 | 附設cc字幕）【影音家訪】</v>
      </c>
      <c r="E3862" s="82">
        <v>44558.0</v>
      </c>
      <c r="F3862" s="80">
        <v>869.0</v>
      </c>
      <c r="G3862" s="80" t="s">
        <v>63</v>
      </c>
      <c r="H3862" s="80" t="s">
        <v>63</v>
      </c>
      <c r="I3862" s="80" t="s">
        <v>63</v>
      </c>
      <c r="J3862" s="80">
        <v>2764.0</v>
      </c>
      <c r="K3862" s="80">
        <v>0.853483286472977</v>
      </c>
      <c r="L3862" s="80" t="s">
        <v>240</v>
      </c>
    </row>
    <row r="3863">
      <c r="A3863" s="80" t="s">
        <v>288</v>
      </c>
      <c r="B3863" s="81" t="str">
        <f>HYPERLINK("https://www.youtube.com/channel/UCDWOYEhVnyD4IHZGVAMLc0g", "Brendan 毛爸")</f>
        <v>Brendan 毛爸</v>
      </c>
      <c r="C3863" s="80" t="s">
        <v>4271</v>
      </c>
      <c r="D3863" s="81" t="str">
        <f>HYPERLINK("https://youtube.com/watch?v=aScJK2h7qGw", "[家居神器！懸掛洗手液的小魔法！] 家居必備用品分享！不想鑽牆的最好選擇！")</f>
        <v>[家居神器！懸掛洗手液的小魔法！] 家居必備用品分享！不想鑽牆的最好選擇！</v>
      </c>
      <c r="E3863" s="82">
        <v>43822.0</v>
      </c>
      <c r="F3863" s="80">
        <v>184.0</v>
      </c>
      <c r="G3863" s="80" t="s">
        <v>63</v>
      </c>
      <c r="I3863" s="80" t="s">
        <v>63</v>
      </c>
      <c r="J3863" s="80">
        <v>508.0</v>
      </c>
      <c r="K3863" s="80">
        <v>0.94074074074074</v>
      </c>
      <c r="L3863" s="80" t="s">
        <v>64</v>
      </c>
    </row>
    <row r="3864">
      <c r="A3864" s="80" t="s">
        <v>2800</v>
      </c>
      <c r="B3864" s="81" t="str">
        <f>HYPERLINK("https://www.youtube.com/channel/UCMqrlsr-AECPc6_3oDr8m9w", "Unicorn 獸哥")</f>
        <v>Unicorn 獸哥</v>
      </c>
      <c r="C3864" s="80" t="s">
        <v>4272</v>
      </c>
      <c r="D3864" s="81" t="str">
        <f>HYPERLINK("https://youtube.com/watch?v=aUceXKMIVJo", "scarlet witch究竟有幾勁？Wandavision原作介紹")</f>
        <v>scarlet witch究竟有幾勁？Wandavision原作介紹</v>
      </c>
      <c r="E3864" s="82">
        <v>44523.0</v>
      </c>
      <c r="F3864" s="80">
        <v>559.0</v>
      </c>
      <c r="G3864" s="80" t="s">
        <v>63</v>
      </c>
      <c r="I3864" s="80" t="s">
        <v>63</v>
      </c>
      <c r="J3864" s="80">
        <v>2497.0</v>
      </c>
      <c r="K3864" s="80">
        <v>0.765246705485749</v>
      </c>
      <c r="L3864" s="80" t="s">
        <v>64</v>
      </c>
    </row>
    <row r="3865">
      <c r="A3865" s="80" t="s">
        <v>248</v>
      </c>
      <c r="B3865" s="81" t="str">
        <f>HYPERLINK("https://www.youtube.com/channel/UCUEJok-GiWaGlv5nIPwk-GQ", "Price.com.hk 香港格價網")</f>
        <v>Price.com.hk 香港格價網</v>
      </c>
      <c r="C3865" s="80" t="s">
        <v>4273</v>
      </c>
      <c r="D3865" s="81" t="str">
        <f>HYPERLINK("https://youtube.com/watch?v=aVRnMlVu8p4", "萬眾期待！LG UltraGear 27吋電競mon LG 27GP950 4K極致畫質、超頻160Hz高刷新率｜HDMI 2.1｜支援次世代遊戲機｜特約專題【Price.com.hk產品評測】")</f>
        <v>萬眾期待！LG UltraGear 27吋電競mon LG 27GP950 4K極致畫質、超頻160Hz高刷新率｜HDMI 2.1｜支援次世代遊戲機｜特約專題【Price.com.hk產品評測】</v>
      </c>
      <c r="E3865" s="82">
        <v>44498.0</v>
      </c>
      <c r="F3865" s="80">
        <v>526.0</v>
      </c>
      <c r="G3865" s="80" t="s">
        <v>63</v>
      </c>
      <c r="I3865" s="80" t="s">
        <v>63</v>
      </c>
      <c r="J3865" s="80">
        <v>1716.0</v>
      </c>
      <c r="K3865" s="80">
        <v>0.71979865771812</v>
      </c>
      <c r="L3865" s="80" t="s">
        <v>64</v>
      </c>
    </row>
    <row r="3866">
      <c r="A3866" s="80" t="s">
        <v>288</v>
      </c>
      <c r="B3866" s="81" t="str">
        <f>HYPERLINK("https://www.youtube.com/channel/UCDWOYEhVnyD4IHZGVAMLc0g", "Brendan 毛爸")</f>
        <v>Brendan 毛爸</v>
      </c>
      <c r="C3866" s="80" t="s">
        <v>4274</v>
      </c>
      <c r="D3866" s="81" t="str">
        <f>HYPERLINK("https://youtube.com/watch?v=aXpMqHxdluk", "【快閃泰國曼谷72小時-EP3最終回】食新派泰菜！抵食甜品店！介紹商場免費寄存行李！曼谷機場餐廳攻略！(請開CC 中文字幕）")</f>
        <v>【快閃泰國曼谷72小時-EP3最終回】食新派泰菜！抵食甜品店！介紹商場免費寄存行李！曼谷機場餐廳攻略！(請開CC 中文字幕）</v>
      </c>
      <c r="E3866" s="82">
        <v>43851.0</v>
      </c>
      <c r="F3866" s="80">
        <v>665.0</v>
      </c>
      <c r="G3866" s="80" t="s">
        <v>63</v>
      </c>
      <c r="I3866" s="80" t="s">
        <v>63</v>
      </c>
      <c r="J3866" s="80">
        <v>1922.0</v>
      </c>
      <c r="K3866" s="80">
        <v>0.925818882466281</v>
      </c>
      <c r="L3866" s="80" t="s">
        <v>64</v>
      </c>
    </row>
    <row r="3867">
      <c r="A3867" s="80" t="s">
        <v>98</v>
      </c>
      <c r="B3867" s="81" t="str">
        <f>HYPERLINK("https://www.youtube.com/channel/UCrquuQB6v1Ued2xyRKZreGQ", "Stephen Leung ")</f>
        <v>Stephen Leung </v>
      </c>
      <c r="C3867" s="80" t="s">
        <v>4275</v>
      </c>
      <c r="D3867" s="81" t="str">
        <f>HYPERLINK("https://youtube.com/watch?v=aYurS9Edqq0", "【香港 自助餐】 7折 高質平食 $4xx全包 五星酒店自助晚餐! 自助餐優惠 任食4小時 香港嘉里酒店 Big Bay Cafe | 吃喝玩樂 香港懶人包")</f>
        <v>【香港 自助餐】 7折 高質平食 $4xx全包 五星酒店自助晚餐! 自助餐優惠 任食4小時 香港嘉里酒店 Big Bay Cafe | 吃喝玩樂 香港懶人包</v>
      </c>
      <c r="E3867" s="82">
        <v>44372.0</v>
      </c>
      <c r="F3867" s="80">
        <v>585.0</v>
      </c>
      <c r="G3867" s="80" t="s">
        <v>63</v>
      </c>
      <c r="I3867" s="80" t="s">
        <v>63</v>
      </c>
      <c r="J3867" s="80">
        <v>1457.0</v>
      </c>
      <c r="K3867" s="80">
        <v>0.974581939799331</v>
      </c>
      <c r="L3867" s="80" t="s">
        <v>64</v>
      </c>
    </row>
    <row r="3868">
      <c r="A3868" s="80" t="s">
        <v>3639</v>
      </c>
      <c r="B3868" s="81" t="str">
        <f>HYPERLINK("https://www.youtube.com/channel/UCvU4k0Z8HUSWZUrqDodvlAg", "Audrey Yung")</f>
        <v>Audrey Yung</v>
      </c>
      <c r="C3868" s="80" t="s">
        <v>4276</v>
      </c>
      <c r="D3868" s="81" t="str">
        <f>HYPERLINK("https://youtube.com/watch?v=aZVIfB-FzJA", "My Skincare Routine 我的護膚步驟 🧴(Skincare SOS)")</f>
        <v>My Skincare Routine 我的護膚步驟 🧴(Skincare SOS)</v>
      </c>
      <c r="E3868" s="82">
        <v>44249.0</v>
      </c>
      <c r="F3868" s="80">
        <v>553.0</v>
      </c>
      <c r="G3868" s="80" t="s">
        <v>63</v>
      </c>
      <c r="I3868" s="80" t="s">
        <v>63</v>
      </c>
      <c r="J3868" s="80">
        <v>658.0</v>
      </c>
      <c r="K3868" s="80">
        <v>0.93465909090909</v>
      </c>
      <c r="L3868" s="80" t="s">
        <v>287</v>
      </c>
    </row>
    <row r="3869">
      <c r="A3869" s="80" t="s">
        <v>2793</v>
      </c>
      <c r="B3869" s="81" t="str">
        <f>HYPERLINK("https://www.youtube.com/channel/UC03mRlT2h1B4LohYaIj9lHg", "Messiah2048")</f>
        <v>Messiah2048</v>
      </c>
      <c r="C3869" s="80" t="s">
        <v>4277</v>
      </c>
      <c r="D3869" s="81" t="str">
        <f>HYPERLINK("https://youtube.com/watch?v=afPBt-6aEMI", "市民陳荔芬寄語『港豬』(已新增字幕) (值得一看)")</f>
        <v>市民陳荔芬寄語『港豬』(已新增字幕) (值得一看)</v>
      </c>
      <c r="E3869" s="82">
        <v>42702.0</v>
      </c>
      <c r="F3869" s="80">
        <v>187.0</v>
      </c>
      <c r="G3869" s="80" t="s">
        <v>63</v>
      </c>
      <c r="I3869" s="80" t="s">
        <v>63</v>
      </c>
      <c r="J3869" s="80">
        <v>819.0</v>
      </c>
      <c r="K3869" s="80">
        <v>0.945727482678983</v>
      </c>
      <c r="L3869" s="80" t="s">
        <v>64</v>
      </c>
    </row>
    <row r="3870">
      <c r="A3870" s="80" t="s">
        <v>288</v>
      </c>
      <c r="B3870" s="81" t="str">
        <f>HYPERLINK("https://www.youtube.com/channel/UCDWOYEhVnyD4IHZGVAMLc0g", "Brendan 毛爸")</f>
        <v>Brendan 毛爸</v>
      </c>
      <c r="C3870" s="80" t="s">
        <v>4278</v>
      </c>
      <c r="D3870" s="81" t="str">
        <f>HYPERLINK("https://youtube.com/watch?v=afdCwaJlTZY", "【任務全面介紹】挑戰二十人生存遊戲！輕鬆食雞！可能係世界上最豐富內容嘅手機遊戲！【天啟紀元 】（請打開CC 中文字幕）")</f>
        <v>【任務全面介紹】挑戰二十人生存遊戲！輕鬆食雞！可能係世界上最豐富內容嘅手機遊戲！【天啟紀元 】（請打開CC 中文字幕）</v>
      </c>
      <c r="E3870" s="82">
        <v>44003.0</v>
      </c>
      <c r="F3870" s="80">
        <v>643.0</v>
      </c>
      <c r="G3870" s="80" t="s">
        <v>63</v>
      </c>
      <c r="I3870" s="80" t="s">
        <v>63</v>
      </c>
      <c r="J3870" s="80">
        <v>2226.0</v>
      </c>
      <c r="K3870" s="80">
        <v>0.965307892454466</v>
      </c>
      <c r="L3870" s="80" t="s">
        <v>64</v>
      </c>
    </row>
    <row r="3871">
      <c r="A3871" s="80" t="s">
        <v>2041</v>
      </c>
      <c r="B3871" s="81" t="str">
        <f>HYPERLINK("https://www.youtube.com/channel/UCO6pB-ZN4XJ6MVkibvuEe0A", "SingSingTracker 星昇財經指標")</f>
        <v>SingSingTracker 星昇財經指標</v>
      </c>
      <c r="C3871" s="80" t="s">
        <v>4279</v>
      </c>
      <c r="D3871" s="81" t="str">
        <f>HYPERLINK("https://youtube.com/watch?v=aiyFpxWGiYE", "【元宇宙投資】Metaverse ETF｜懶人投資元宇宙｜賺錢機會來了｜元宇宙大熱ETF｜META最強組合｜一網打盡 吸金力驚人｜頻頻爆升 上望$20 !? #nvda #rblx #facebook")</f>
        <v>【元宇宙投資】Metaverse ETF｜懶人投資元宇宙｜賺錢機會來了｜元宇宙大熱ETF｜META最強組合｜一網打盡 吸金力驚人｜頻頻爆升 上望$20 !? #nvda #rblx #facebook</v>
      </c>
      <c r="E3871" s="82">
        <v>44539.0</v>
      </c>
      <c r="F3871" s="80">
        <v>425.0</v>
      </c>
      <c r="G3871" s="80" t="s">
        <v>63</v>
      </c>
      <c r="I3871" s="80" t="s">
        <v>63</v>
      </c>
      <c r="J3871" s="80">
        <v>1457.0</v>
      </c>
      <c r="K3871" s="80">
        <v>0.74147582697201</v>
      </c>
      <c r="L3871" s="80" t="s">
        <v>64</v>
      </c>
    </row>
    <row r="3872">
      <c r="A3872" s="80" t="s">
        <v>108</v>
      </c>
      <c r="B3872" s="81" t="str">
        <f>HYPERLINK("https://www.youtube.com/channel/UCZL6QN6Xs-ZrKY3y6Pv6Emg", "廢青 - 日賺3000")</f>
        <v>廢青 - 日賺3000</v>
      </c>
      <c r="C3872" s="80" t="s">
        <v>4280</v>
      </c>
      <c r="D3872" s="81" t="str">
        <f>HYPERLINK("https://youtube.com/watch?v=alxBn8Ki11I", "🔥為什麼2022會係最易賺錢既一年 ? 🔥|  #股市 #幣市 #樓市 #港股 #美股  EP70【廢青 日賺3000】【點CC看中文字幕】")</f>
        <v>🔥為什麼2022會係最易賺錢既一年 ? 🔥|  #股市 #幣市 #樓市 #港股 #美股  EP70【廢青 日賺3000】【點CC看中文字幕】</v>
      </c>
      <c r="E3872" s="82">
        <v>44568.0</v>
      </c>
      <c r="F3872" s="80">
        <v>774.0</v>
      </c>
      <c r="G3872" s="80" t="s">
        <v>63</v>
      </c>
      <c r="I3872" s="80" t="s">
        <v>63</v>
      </c>
      <c r="J3872" s="80">
        <v>2879.0</v>
      </c>
      <c r="K3872" s="80">
        <v>0.908201892744479</v>
      </c>
      <c r="L3872" s="80" t="s">
        <v>64</v>
      </c>
    </row>
    <row r="3873">
      <c r="A3873" s="80" t="s">
        <v>127</v>
      </c>
      <c r="B3873" s="81" t="str">
        <f>HYPERLINK("https://www.youtube.com/channel/UC97oYK3XMf9RLtkc0lO8C-Q", "健康旦 HiEggo")</f>
        <v>健康旦 HiEggo</v>
      </c>
      <c r="C3873" s="80" t="s">
        <v>4281</v>
      </c>
      <c r="D3873" s="81" t="str">
        <f>HYPERLINK("https://youtube.com/watch?v=am88hQa4tT0", "多白蟻致地板發黑拱起 滅蟲專家：白蟻繁殖最怕乾爽 飛蟻雨季入屋靠盤水 - 鄭丹瑞《健康旦》 滅蟲專家 #任永強 Part 2 (CC中文字幕)")</f>
        <v>多白蟻致地板發黑拱起 滅蟲專家：白蟻繁殖最怕乾爽 飛蟻雨季入屋靠盤水 - 鄭丹瑞《健康旦》 滅蟲專家 #任永強 Part 2 (CC中文字幕)</v>
      </c>
      <c r="E3873" s="82">
        <v>44034.0</v>
      </c>
      <c r="F3873" s="80">
        <v>724.0</v>
      </c>
      <c r="G3873" s="80" t="s">
        <v>63</v>
      </c>
      <c r="I3873" s="80" t="s">
        <v>63</v>
      </c>
      <c r="J3873" s="80">
        <v>2583.0</v>
      </c>
      <c r="K3873" s="80">
        <v>0.988140780413159</v>
      </c>
      <c r="L3873" s="80" t="s">
        <v>2771</v>
      </c>
    </row>
    <row r="3874">
      <c r="A3874" s="80" t="s">
        <v>248</v>
      </c>
      <c r="B3874" s="81" t="str">
        <f>HYPERLINK("https://www.youtube.com/channel/UCUEJok-GiWaGlv5nIPwk-GQ", "Price.com.hk 香港格價網")</f>
        <v>Price.com.hk 香港格價網</v>
      </c>
      <c r="C3874" s="80" t="s">
        <v>4282</v>
      </c>
      <c r="D3874" s="81" t="str">
        <f>HYPERLINK("https://youtube.com/watch?v=asI22FNYIKc", "電話卡實名制正式推行．EVA推出11隻Blu-ray套裝．經典外觀Bose QuietComfort 45 ｜廣東話【Price Weekly #78 2021年9月】")</f>
        <v>電話卡實名制正式推行．EVA推出11隻Blu-ray套裝．經典外觀Bose QuietComfort 45 ｜廣東話【Price Weekly #78 2021年9月】</v>
      </c>
      <c r="E3874" s="82">
        <v>44443.0</v>
      </c>
      <c r="F3874" s="80">
        <v>593.0</v>
      </c>
      <c r="G3874" s="80" t="s">
        <v>63</v>
      </c>
      <c r="I3874" s="80" t="s">
        <v>63</v>
      </c>
      <c r="J3874" s="80">
        <v>2178.0</v>
      </c>
      <c r="K3874" s="80">
        <v>0.734569983136593</v>
      </c>
      <c r="L3874" s="80" t="s">
        <v>64</v>
      </c>
    </row>
    <row r="3875">
      <c r="A3875" s="80" t="s">
        <v>2481</v>
      </c>
      <c r="B3875" s="81" t="str">
        <f>HYPERLINK("https://www.youtube.com/channel/UCFT-PtLfmdMIShkQMynOEMQ", "一男一旅 HowFarGo")</f>
        <v>一男一旅 HowFarGo</v>
      </c>
      <c r="C3875" s="80" t="s">
        <v>4283</v>
      </c>
      <c r="D3875" s="81" t="str">
        <f>HYPERLINK("https://youtube.com/watch?v=atv-6nQgQms", "郵輪上的華氏555°扒房 值唔值得試下？(粤語/有字幕) Fahrenheit 555 Steakhouse on Carnival Panorama, with English subtitles.")</f>
        <v>郵輪上的華氏555°扒房 值唔值得試下？(粤語/有字幕) Fahrenheit 555 Steakhouse on Carnival Panorama, with English subtitles.</v>
      </c>
      <c r="E3875" s="82">
        <v>44505.0</v>
      </c>
      <c r="F3875" s="80">
        <v>443.0</v>
      </c>
      <c r="G3875" s="80" t="s">
        <v>63</v>
      </c>
      <c r="I3875" s="80" t="s">
        <v>63</v>
      </c>
      <c r="J3875" s="80">
        <v>1108.0</v>
      </c>
      <c r="K3875" s="80">
        <v>0.871069182389937</v>
      </c>
      <c r="L3875" s="80" t="s">
        <v>102</v>
      </c>
    </row>
    <row r="3876">
      <c r="A3876" s="80" t="s">
        <v>245</v>
      </c>
      <c r="B3876" s="81" t="str">
        <f>HYPERLINK("https://www.youtube.com/channel/UCkZ3cOWgnhJheCK7Ywpiezw", "Eagen Kao")</f>
        <v>Eagen Kao</v>
      </c>
      <c r="C3876" s="80" t="s">
        <v>4284</v>
      </c>
      <c r="D3876" s="81" t="str">
        <f>HYPERLINK("https://youtube.com/watch?v=au9pg4hytXo", "[講TECH] Apple ProRAW 係乜來㗎？點樣用？又點樣好用？ | Software")</f>
        <v>[講TECH] Apple ProRAW 係乜來㗎？點樣用？又點樣好用？ | Software</v>
      </c>
      <c r="E3876" s="82">
        <v>44186.0</v>
      </c>
      <c r="F3876" s="80">
        <v>665.0</v>
      </c>
      <c r="G3876" s="80" t="s">
        <v>63</v>
      </c>
      <c r="I3876" s="80" t="s">
        <v>63</v>
      </c>
      <c r="J3876" s="80">
        <v>1787.0</v>
      </c>
      <c r="K3876" s="80">
        <v>0.592899800928998</v>
      </c>
      <c r="L3876" s="80" t="s">
        <v>287</v>
      </c>
    </row>
    <row r="3877">
      <c r="A3877" s="80" t="s">
        <v>2041</v>
      </c>
      <c r="B3877" s="81" t="str">
        <f>HYPERLINK("https://www.youtube.com/channel/UCO6pB-ZN4XJ6MVkibvuEe0A", "SingSingTracker 星昇財經指標")</f>
        <v>SingSingTracker 星昇財經指標</v>
      </c>
      <c r="C3877" s="80" t="s">
        <v>4285</v>
      </c>
      <c r="D3877" s="81" t="str">
        <f>HYPERLINK("https://youtube.com/watch?v=ax-U8EC32yI", "FWC主播大剖白！最後一屆問答比賽？-就係講呢啲EP1 【點CC中文字幕】")</f>
        <v>FWC主播大剖白！最後一屆問答比賽？-就係講呢啲EP1 【點CC中文字幕】</v>
      </c>
      <c r="E3877" s="82">
        <v>44309.0</v>
      </c>
      <c r="F3877" s="80">
        <v>291.0</v>
      </c>
      <c r="G3877" s="80" t="s">
        <v>63</v>
      </c>
      <c r="I3877" s="80" t="s">
        <v>63</v>
      </c>
      <c r="J3877" s="80">
        <v>665.0</v>
      </c>
      <c r="K3877" s="80">
        <v>0.771461716937355</v>
      </c>
      <c r="L3877" s="80" t="s">
        <v>64</v>
      </c>
    </row>
    <row r="3878">
      <c r="A3878" s="80" t="s">
        <v>293</v>
      </c>
      <c r="B3878" s="81" t="str">
        <f>HYPERLINK("https://www.youtube.com/channel/UCXRcbXqjORdIvl63I7MtOLQ", "趁熱 Kerry 's kitchen")</f>
        <v>趁熱 Kerry 's kitchen</v>
      </c>
      <c r="C3878" s="80" t="s">
        <v>4286</v>
      </c>
      <c r="D3878" s="81" t="str">
        <f>HYPERLINK("https://youtube.com/watch?v=axCN2CcOmKQ", "姜汁 燉蛋/牛奶 燉蛋/超滑/滅泡 秘技/無敵 比例/粵語 中字/請打開cc字幕提供英語及多國語言翻譯")</f>
        <v>姜汁 燉蛋/牛奶 燉蛋/超滑/滅泡 秘技/無敵 比例/粵語 中字/請打開cc字幕提供英語及多國語言翻譯</v>
      </c>
      <c r="E3878" s="82">
        <v>44333.0</v>
      </c>
      <c r="F3878" s="80">
        <v>240.0</v>
      </c>
      <c r="G3878" s="80" t="s">
        <v>63</v>
      </c>
      <c r="I3878" s="80" t="s">
        <v>63</v>
      </c>
      <c r="J3878" s="80">
        <v>716.0</v>
      </c>
      <c r="K3878" s="80">
        <v>0.950863213811421</v>
      </c>
      <c r="L3878" s="80" t="s">
        <v>64</v>
      </c>
    </row>
    <row r="3879">
      <c r="A3879" s="80" t="s">
        <v>127</v>
      </c>
      <c r="B3879" s="81" t="str">
        <f>HYPERLINK("https://www.youtube.com/channel/UC97oYK3XMf9RLtkc0lO8C-Q", "健康旦 HiEggo")</f>
        <v>健康旦 HiEggo</v>
      </c>
      <c r="C3879" s="80" t="s">
        <v>4287</v>
      </c>
      <c r="D3879" s="81" t="str">
        <f>HYPERLINK("https://youtube.com/watch?v=azK88U5K5Qk", "香茅多種用法 肚痛第一時間煲香茅水 教煲番茄香茅花蛤湯 - 鄭丹瑞《健康旦》#方曉嵐 Part 9 （CC中文字幕）")</f>
        <v>香茅多種用法 肚痛第一時間煲香茅水 教煲番茄香茅花蛤湯 - 鄭丹瑞《健康旦》#方曉嵐 Part 9 （CC中文字幕）</v>
      </c>
      <c r="E3879" s="82">
        <v>43950.0</v>
      </c>
      <c r="F3879" s="80">
        <v>628.0</v>
      </c>
      <c r="G3879" s="80" t="s">
        <v>63</v>
      </c>
      <c r="I3879" s="80" t="s">
        <v>63</v>
      </c>
      <c r="J3879" s="80">
        <v>2352.0</v>
      </c>
      <c r="K3879" s="80">
        <v>0.986991187578682</v>
      </c>
      <c r="L3879" s="80" t="s">
        <v>64</v>
      </c>
    </row>
    <row r="3880">
      <c r="A3880" s="80" t="s">
        <v>2972</v>
      </c>
      <c r="B3880" s="81" t="str">
        <f>HYPERLINK("https://www.youtube.com/channel/UCVMEQdIDLjHcKAsEwhVXEoQ", "Danny W.")</f>
        <v>Danny W.</v>
      </c>
      <c r="C3880" s="80" t="s">
        <v>4288</v>
      </c>
      <c r="D3880" s="81" t="str">
        <f>HYPERLINK("https://youtube.com/watch?v=azMz85jeTL8", "粵語吟誦 岳陽樓記 范仲淹  | DSE中文十二篇文言文指定範文 12篇指定文言經典學習材料誦讀錄音")</f>
        <v>粵語吟誦 岳陽樓記 范仲淹  | DSE中文十二篇文言文指定範文 12篇指定文言經典學習材料誦讀錄音</v>
      </c>
      <c r="E3880" s="82">
        <v>42963.0</v>
      </c>
      <c r="F3880" s="80">
        <v>247.0</v>
      </c>
      <c r="G3880" s="80" t="s">
        <v>63</v>
      </c>
      <c r="I3880" s="80" t="s">
        <v>63</v>
      </c>
      <c r="J3880" s="80">
        <v>347.0</v>
      </c>
      <c r="K3880" s="80">
        <v>0.983002832861189</v>
      </c>
      <c r="L3880" s="80" t="s">
        <v>102</v>
      </c>
    </row>
    <row r="3881">
      <c r="A3881" s="80" t="s">
        <v>2893</v>
      </c>
      <c r="B3881" s="81" t="str">
        <f>HYPERLINK("https://www.youtube.com/channel/UCS6TtQSjGUpGHJTCHTTFe9g", "玩學實驗室Play &amp; Learn Lab")</f>
        <v>玩學實驗室Play &amp; Learn Lab</v>
      </c>
      <c r="C3881" s="80" t="s">
        <v>4289</v>
      </c>
      <c r="D3881" s="81" t="str">
        <f>HYPERLINK("https://youtube.com/watch?v=b05vZovzPQU", "【玩學實驗室 #7】讓小朋友靠「策略思考」成為鐵路大亨《Ticket to Ride: My First Journey》｜親子桌遊研習社｜【親子桌遊玩學堂】EP.03｜4K (廣東話字幕)")</f>
        <v>【玩學實驗室 #7】讓小朋友靠「策略思考」成為鐵路大亨《Ticket to Ride: My First Journey》｜親子桌遊研習社｜【親子桌遊玩學堂】EP.03｜4K (廣東話字幕)</v>
      </c>
      <c r="E3881" s="82">
        <v>44357.0</v>
      </c>
      <c r="F3881" s="80">
        <v>367.0</v>
      </c>
      <c r="G3881" s="80" t="s">
        <v>63</v>
      </c>
      <c r="I3881" s="80" t="s">
        <v>63</v>
      </c>
      <c r="J3881" s="80">
        <v>1059.0</v>
      </c>
      <c r="K3881" s="80">
        <v>0.774122807017543</v>
      </c>
      <c r="L3881" s="80" t="s">
        <v>64</v>
      </c>
    </row>
    <row r="3882">
      <c r="A3882" s="80" t="s">
        <v>127</v>
      </c>
      <c r="B3882" s="81" t="str">
        <f t="shared" ref="B3882:B3883" si="203">HYPERLINK("https://www.youtube.com/channel/UC97oYK3XMf9RLtkc0lO8C-Q", "健康旦 HiEggo")</f>
        <v>健康旦 HiEggo</v>
      </c>
      <c r="C3882" s="80" t="s">
        <v>4290</v>
      </c>
      <c r="D3882" s="81" t="str">
        <f>HYPERLINK("https://youtube.com/watch?v=b0p3EO1yunQ", "中暑應深呼吸切勿飲水 呼吸法肌力訓練加強深層肌肉 肺部良好換氣減輕疲勞 - 鄭丹瑞《健康旦》#坐式徒手運動導師 #PaulLau Part 9 (CC中文字幕)")</f>
        <v>中暑應深呼吸切勿飲水 呼吸法肌力訓練加強深層肌肉 肺部良好換氣減輕疲勞 - 鄭丹瑞《健康旦》#坐式徒手運動導師 #PaulLau Part 9 (CC中文字幕)</v>
      </c>
      <c r="E3882" s="82">
        <v>44117.0</v>
      </c>
      <c r="F3882" s="80">
        <v>591.0</v>
      </c>
      <c r="G3882" s="80" t="s">
        <v>63</v>
      </c>
      <c r="I3882" s="80" t="s">
        <v>63</v>
      </c>
      <c r="J3882" s="80">
        <v>2369.0</v>
      </c>
      <c r="K3882" s="80">
        <v>0.988318731748018</v>
      </c>
      <c r="L3882" s="80" t="s">
        <v>66</v>
      </c>
    </row>
    <row r="3883">
      <c r="A3883" s="80" t="s">
        <v>127</v>
      </c>
      <c r="B3883" s="81" t="str">
        <f t="shared" si="203"/>
        <v>健康旦 HiEggo</v>
      </c>
      <c r="C3883" s="80" t="s">
        <v>4291</v>
      </c>
      <c r="D3883" s="81" t="str">
        <f>HYPERLINK("https://youtube.com/watch?v=b1XcPwxv_3I", "趙汝威博士灰犀牛黑天鵝論疫情 預測十年後再有另一疫情 溫室效應不容忽視 - 鄭丹瑞《健康旦》趙汝威 Part 11（CC中文字幕）")</f>
        <v>趙汝威博士灰犀牛黑天鵝論疫情 預測十年後再有另一疫情 溫室效應不容忽視 - 鄭丹瑞《健康旦》趙汝威 Part 11（CC中文字幕）</v>
      </c>
      <c r="E3883" s="82">
        <v>43986.0</v>
      </c>
      <c r="F3883" s="80">
        <v>871.0</v>
      </c>
      <c r="G3883" s="80" t="s">
        <v>63</v>
      </c>
      <c r="I3883" s="80" t="s">
        <v>63</v>
      </c>
      <c r="J3883" s="80">
        <v>3654.0</v>
      </c>
      <c r="K3883" s="80">
        <v>0.942967741935483</v>
      </c>
      <c r="L3883" s="80" t="s">
        <v>240</v>
      </c>
    </row>
    <row r="3884">
      <c r="A3884" s="80" t="s">
        <v>2041</v>
      </c>
      <c r="B3884" s="81" t="str">
        <f>HYPERLINK("https://www.youtube.com/channel/UCO6pB-ZN4XJ6MVkibvuEe0A", "SingSingTracker 星昇財經指標")</f>
        <v>SingSingTracker 星昇財經指標</v>
      </c>
      <c r="C3884" s="80" t="s">
        <v>4292</v>
      </c>
      <c r="D3884" s="81" t="str">
        <f>HYPERLINK("https://youtube.com/watch?v=b3a-uUMoxcs", "【美國加息 股市買什麼？】QE提早結束｜通脹 收水 加息 美股投資策略｜美股etf 2021｜VOO ETF｜VIX 波動率指數｜Proshares UVXY｜跌市要如何部署? #收水 #加息 #股災")</f>
        <v>【美國加息 股市買什麼？】QE提早結束｜通脹 收水 加息 美股投資策略｜美股etf 2021｜VOO ETF｜VIX 波動率指數｜Proshares UVXY｜跌市要如何部署? #收水 #加息 #股災</v>
      </c>
      <c r="E3884" s="82">
        <v>44553.0</v>
      </c>
      <c r="F3884" s="80">
        <v>431.0</v>
      </c>
      <c r="G3884" s="80" t="s">
        <v>63</v>
      </c>
      <c r="I3884" s="80" t="s">
        <v>63</v>
      </c>
      <c r="J3884" s="80">
        <v>1380.0</v>
      </c>
      <c r="K3884" s="80">
        <v>0.876747141041931</v>
      </c>
      <c r="L3884" s="80" t="s">
        <v>64</v>
      </c>
    </row>
    <row r="3885">
      <c r="A3885" s="80" t="s">
        <v>285</v>
      </c>
      <c r="B3885" s="81" t="str">
        <f>HYPERLINK("https://www.youtube.com/channel/UCW76wvF8SpMMPS4XD0hGQcg", "Sisters Lab")</f>
        <v>Sisters Lab</v>
      </c>
      <c r="C3885" s="80" t="s">
        <v>4293</v>
      </c>
      <c r="D3885" s="81" t="str">
        <f>HYPERLINK("https://youtube.com/watch?v=b3vy4-TJSe8", "Our First Youtube Video!!!【姊妹情實相】 | ENG+CANTO SUB/CC")</f>
        <v>Our First Youtube Video!!!【姊妹情實相】 | ENG+CANTO SUB/CC</v>
      </c>
      <c r="E3885" s="82">
        <v>44085.0</v>
      </c>
      <c r="F3885" s="80">
        <v>259.0</v>
      </c>
      <c r="G3885" s="80" t="s">
        <v>63</v>
      </c>
      <c r="I3885" s="80" t="s">
        <v>63</v>
      </c>
      <c r="J3885" s="80">
        <v>714.0</v>
      </c>
      <c r="K3885" s="80">
        <v>0.883663366336633</v>
      </c>
      <c r="L3885" s="80" t="s">
        <v>4294</v>
      </c>
    </row>
    <row r="3886">
      <c r="A3886" s="80" t="s">
        <v>248</v>
      </c>
      <c r="B3886" s="81" t="str">
        <f>HYPERLINK("https://www.youtube.com/channel/UCUEJok-GiWaGlv5nIPwk-GQ", "Price.com.hk 香港格價網")</f>
        <v>Price.com.hk 香港格價網</v>
      </c>
      <c r="C3886" s="80" t="s">
        <v>4295</v>
      </c>
      <c r="D3886" s="81" t="str">
        <f>HYPERLINK("https://youtube.com/watch?v=b5m0yDM88fk", "Clubhouse 會被監聽嗎？到底有咩好玩？新手必知5件事【Price.com.hk 應用教學】")</f>
        <v>Clubhouse 會被監聽嗎？到底有咩好玩？新手必知5件事【Price.com.hk 應用教學】</v>
      </c>
      <c r="E3886" s="82">
        <v>44258.0</v>
      </c>
      <c r="F3886" s="80">
        <v>485.0</v>
      </c>
      <c r="G3886" s="80" t="s">
        <v>63</v>
      </c>
      <c r="I3886" s="80" t="s">
        <v>63</v>
      </c>
      <c r="J3886" s="80">
        <v>1844.0</v>
      </c>
      <c r="K3886" s="80">
        <v>0.766098878271707</v>
      </c>
      <c r="L3886" s="80" t="s">
        <v>64</v>
      </c>
    </row>
    <row r="3887">
      <c r="A3887" s="80" t="s">
        <v>127</v>
      </c>
      <c r="B3887" s="81" t="str">
        <f t="shared" ref="B3887:B3888" si="204">HYPERLINK("https://www.youtube.com/channel/UC97oYK3XMf9RLtkc0lO8C-Q", "健康旦 HiEggo")</f>
        <v>健康旦 HiEggo</v>
      </c>
      <c r="C3887" s="80" t="s">
        <v>4296</v>
      </c>
      <c r="D3887" s="81" t="str">
        <f>HYPERLINK("https://youtube.com/watch?v=bAwray36xqo", "小肥分享澳門防疫情況 防疫意識仍未夠 - 鄭丹瑞《健康旦》小肥 Part2  (CC中文字幕)")</f>
        <v>小肥分享澳門防疫情況 防疫意識仍未夠 - 鄭丹瑞《健康旦》小肥 Part2  (CC中文字幕)</v>
      </c>
      <c r="E3887" s="82">
        <v>43911.0</v>
      </c>
      <c r="F3887" s="80">
        <v>612.0</v>
      </c>
      <c r="G3887" s="80" t="s">
        <v>63</v>
      </c>
      <c r="I3887" s="80" t="s">
        <v>63</v>
      </c>
      <c r="J3887" s="80">
        <v>2157.0</v>
      </c>
      <c r="K3887" s="80">
        <v>0.986733760292772</v>
      </c>
      <c r="L3887" s="80" t="s">
        <v>102</v>
      </c>
    </row>
    <row r="3888">
      <c r="A3888" s="80" t="s">
        <v>127</v>
      </c>
      <c r="B3888" s="81" t="str">
        <f t="shared" si="204"/>
        <v>健康旦 HiEggo</v>
      </c>
      <c r="C3888" s="80" t="s">
        <v>4297</v>
      </c>
      <c r="D3888" s="81" t="str">
        <f>HYPERLINK("https://youtube.com/watch?v=bBH2Ir9ZFNk", "彭家麗怕受傷影響歌手生涯 開班教音樂最著重學生興趣 復出後主力重製五六十年代歌曲 - 鄭丹瑞《健康旦》#彭家麗 Part 2 (CC中文字幕)")</f>
        <v>彭家麗怕受傷影響歌手生涯 開班教音樂最著重學生興趣 復出後主力重製五六十年代歌曲 - 鄭丹瑞《健康旦》#彭家麗 Part 2 (CC中文字幕)</v>
      </c>
      <c r="E3888" s="82">
        <v>44030.0</v>
      </c>
      <c r="F3888" s="80">
        <v>764.0</v>
      </c>
      <c r="G3888" s="80" t="s">
        <v>63</v>
      </c>
      <c r="I3888" s="80" t="s">
        <v>63</v>
      </c>
      <c r="J3888" s="80">
        <v>2537.0</v>
      </c>
      <c r="K3888" s="80">
        <v>0.990628660679422</v>
      </c>
      <c r="L3888" s="80" t="s">
        <v>2771</v>
      </c>
    </row>
    <row r="3889">
      <c r="A3889" s="80" t="s">
        <v>106</v>
      </c>
      <c r="B3889" s="81" t="str">
        <f>HYPERLINK("https://www.youtube.com/channel/UC9jW6WpsAPgh-9HqDTvkFzg", "ValorGears")</f>
        <v>ValorGears</v>
      </c>
      <c r="C3889" s="80" t="s">
        <v>4298</v>
      </c>
      <c r="D3889" s="81" t="str">
        <f>HYPERLINK("https://youtube.com/watch?v=bKoqVwFjkkQ", "【數碼Youtuber集結】玩轉 2021 Price 網上電腦節 ｜16-20/8 每晚8:00pm 特選Super Deal優惠搶先睇 | 密切留意")</f>
        <v>【數碼Youtuber集結】玩轉 2021 Price 網上電腦節 ｜16-20/8 每晚8:00pm 特選Super Deal優惠搶先睇 | 密切留意</v>
      </c>
      <c r="E3889" s="82">
        <v>44417.0</v>
      </c>
      <c r="F3889" s="80">
        <v>83.0</v>
      </c>
      <c r="G3889" s="80" t="s">
        <v>63</v>
      </c>
      <c r="I3889" s="80" t="s">
        <v>63</v>
      </c>
      <c r="J3889" s="80">
        <v>262.0</v>
      </c>
      <c r="K3889" s="80">
        <v>0.719780219780219</v>
      </c>
      <c r="L3889" s="80" t="s">
        <v>64</v>
      </c>
    </row>
    <row r="3890">
      <c r="A3890" s="80" t="s">
        <v>127</v>
      </c>
      <c r="B3890" s="81" t="str">
        <f t="shared" ref="B3890:B3891" si="205">HYPERLINK("https://www.youtube.com/channel/UC97oYK3XMf9RLtkc0lO8C-Q", "健康旦 HiEggo")</f>
        <v>健康旦 HiEggo</v>
      </c>
      <c r="C3890" s="80" t="s">
        <v>4299</v>
      </c>
      <c r="D3890" s="81" t="str">
        <f>HYPERLINK("https://youtube.com/watch?v=bO7OeU1WhEQ", "【號外】羅蘭 - 鄭丹瑞 旦Vlog (CC中文字幕)")</f>
        <v>【號外】羅蘭 - 鄭丹瑞 旦Vlog (CC中文字幕)</v>
      </c>
      <c r="E3890" s="82">
        <v>44042.0</v>
      </c>
      <c r="F3890" s="80">
        <v>81.0</v>
      </c>
      <c r="G3890" s="80" t="s">
        <v>63</v>
      </c>
      <c r="I3890" s="80" t="s">
        <v>63</v>
      </c>
      <c r="J3890" s="80">
        <v>208.0</v>
      </c>
      <c r="K3890" s="80">
        <v>1.0</v>
      </c>
      <c r="L3890" s="80" t="s">
        <v>64</v>
      </c>
    </row>
    <row r="3891">
      <c r="A3891" s="80" t="s">
        <v>127</v>
      </c>
      <c r="B3891" s="81" t="str">
        <f t="shared" si="205"/>
        <v>健康旦 HiEggo</v>
      </c>
      <c r="C3891" s="80" t="s">
        <v>4300</v>
      </c>
      <c r="D3891" s="81" t="str">
        <f>HYPERLINK("https://youtube.com/watch?v=bPGA_fV04wQ", "八段錦健身氣功運動 調整脊柱穩定情緒 低頭族生活習慣影響肌肉姿勢 - 鄭丹瑞《健康旦》 跌打醫師 #甘澤民 博士 Part 1 (CC中文字幕)")</f>
        <v>八段錦健身氣功運動 調整脊柱穩定情緒 低頭族生活習慣影響肌肉姿勢 - 鄭丹瑞《健康旦》 跌打醫師 #甘澤民 博士 Part 1 (CC中文字幕)</v>
      </c>
      <c r="E3891" s="82">
        <v>44043.0</v>
      </c>
      <c r="F3891" s="80">
        <v>625.0</v>
      </c>
      <c r="G3891" s="80" t="s">
        <v>63</v>
      </c>
      <c r="I3891" s="80" t="s">
        <v>63</v>
      </c>
      <c r="J3891" s="80">
        <v>2814.0</v>
      </c>
      <c r="K3891" s="80">
        <v>0.99434628975265</v>
      </c>
      <c r="L3891" s="80" t="s">
        <v>2771</v>
      </c>
    </row>
    <row r="3892">
      <c r="A3892" s="80" t="s">
        <v>2041</v>
      </c>
      <c r="B3892" s="81" t="str">
        <f>HYPERLINK("https://www.youtube.com/channel/UCO6pB-ZN4XJ6MVkibvuEe0A", "SingSingTracker 星昇財經指標")</f>
        <v>SingSingTracker 星昇財經指標</v>
      </c>
      <c r="C3892" s="80" t="s">
        <v>4301</v>
      </c>
      <c r="D3892" s="81" t="str">
        <f>HYPERLINK("https://youtube.com/watch?v=bRHOKHgf8UU", "【想一夜暴富？有NFT,得左 ?!】虛擬資產市場大解構 【點CC中文字幕】#NFT #以太坊 #blockchain")</f>
        <v>【想一夜暴富？有NFT,得左 ?!】虛擬資產市場大解構 【點CC中文字幕】#NFT #以太坊 #blockchain</v>
      </c>
      <c r="E3892" s="82">
        <v>44334.0</v>
      </c>
      <c r="F3892" s="80">
        <v>329.0</v>
      </c>
      <c r="G3892" s="80" t="s">
        <v>63</v>
      </c>
      <c r="I3892" s="80" t="s">
        <v>63</v>
      </c>
      <c r="J3892" s="80">
        <v>1134.0</v>
      </c>
      <c r="K3892" s="80">
        <v>0.803116147308781</v>
      </c>
      <c r="L3892" s="80" t="s">
        <v>64</v>
      </c>
    </row>
    <row r="3893">
      <c r="A3893" s="80" t="s">
        <v>1987</v>
      </c>
      <c r="B3893" s="81" t="str">
        <f>HYPERLINK("https://www.youtube.com/channel/UCgGUmm04nVyj-ftaCxVcyBg", "MangoHK大馬獅家")</f>
        <v>MangoHK大馬獅家</v>
      </c>
      <c r="C3893" s="80" t="s">
        <v>4302</v>
      </c>
      <c r="D3893" s="81" t="str">
        <f>HYPERLINK("https://youtube.com/watch?v=bTJaikMU7bw", "【65】🇫🇷歐陸法國村🌹大馬歐洲風情 {中英字幕} Subtitled | Malaysia Colmar Tropicale | Malaysia Vlog | mm2h")</f>
        <v>【65】🇫🇷歐陸法國村🌹大馬歐洲風情 {中英字幕} Subtitled | Malaysia Colmar Tropicale | Malaysia Vlog | mm2h</v>
      </c>
      <c r="E3893" s="82">
        <v>44492.0</v>
      </c>
      <c r="F3893" s="80">
        <v>687.0</v>
      </c>
      <c r="G3893" s="80" t="s">
        <v>63</v>
      </c>
      <c r="I3893" s="80" t="s">
        <v>63</v>
      </c>
      <c r="J3893" s="80">
        <v>1384.0</v>
      </c>
      <c r="K3893" s="80">
        <v>0.960444136016655</v>
      </c>
      <c r="L3893" s="80" t="s">
        <v>896</v>
      </c>
    </row>
    <row r="3894">
      <c r="A3894" s="80" t="s">
        <v>4303</v>
      </c>
      <c r="B3894" s="81" t="str">
        <f>HYPERLINK("https://www.youtube.com/channel/UC1Hs0hel0FjqRV_bVlUvTdQ", "陳自瑤 Yoyo Chen")</f>
        <v>陳自瑤 Yoyo Chen</v>
      </c>
      <c r="C3894" s="80" t="s">
        <v>4304</v>
      </c>
      <c r="D3894" s="81" t="str">
        <f>HYPERLINK("https://youtube.com/watch?v=bWKTGntrlAg", "【Cooking Yoyo 母親節篇👩‍🍳 】 同閨蜜一齊整紙杯蛋糕 🍰  首次分享艱辛懷孕經歷🤰 如果女兒拍拖會點⁉️ ｜ 陳自瑤Yoyo  (中文字幕）")</f>
        <v>【Cooking Yoyo 母親節篇👩‍🍳 】 同閨蜜一齊整紙杯蛋糕 🍰  首次分享艱辛懷孕經歷🤰 如果女兒拍拖會點⁉️ ｜ 陳自瑤Yoyo  (中文字幕）</v>
      </c>
      <c r="E3894" s="82">
        <v>44323.0</v>
      </c>
      <c r="F3894" s="80">
        <v>983.0</v>
      </c>
      <c r="G3894" s="80" t="s">
        <v>63</v>
      </c>
      <c r="I3894" s="80" t="s">
        <v>63</v>
      </c>
      <c r="J3894" s="80">
        <v>2575.0</v>
      </c>
      <c r="K3894" s="80">
        <v>0.873177348253645</v>
      </c>
      <c r="L3894" s="80" t="s">
        <v>64</v>
      </c>
    </row>
    <row r="3895">
      <c r="A3895" s="80" t="s">
        <v>2041</v>
      </c>
      <c r="B3895" s="81" t="str">
        <f>HYPERLINK("https://www.youtube.com/channel/UCO6pB-ZN4XJ6MVkibvuEe0A", "SingSingTracker 星昇財經指標")</f>
        <v>SingSingTracker 星昇財經指標</v>
      </c>
      <c r="C3895" s="80" t="s">
        <v>4305</v>
      </c>
      <c r="D3895" s="81" t="str">
        <f>HYPERLINK("https://youtube.com/watch?v=b_dZJ_JNkCQ", "【醫脈通VS康聖邊隻好？】7月新股焦點 #IPO #康聖 #醫療板塊")</f>
        <v>【醫脈通VS康聖邊隻好？】7月新股焦點 #IPO #康聖 #醫療板塊</v>
      </c>
      <c r="E3895" s="82">
        <v>44391.0</v>
      </c>
      <c r="F3895" s="80">
        <v>282.0</v>
      </c>
      <c r="G3895" s="80" t="s">
        <v>63</v>
      </c>
      <c r="I3895" s="80" t="s">
        <v>63</v>
      </c>
      <c r="J3895" s="80">
        <v>1036.0</v>
      </c>
      <c r="K3895" s="80">
        <v>0.941818181818181</v>
      </c>
      <c r="L3895" s="80" t="s">
        <v>64</v>
      </c>
    </row>
    <row r="3896">
      <c r="A3896" s="80" t="s">
        <v>291</v>
      </c>
      <c r="B3896" s="81" t="str">
        <f>HYPERLINK("https://www.youtube.com/channel/UClSNJbCUCp_W4yrS3DlCmjw", "飛馬 PEGASUS")</f>
        <v>飛馬 PEGASUS</v>
      </c>
      <c r="C3896" s="80" t="s">
        <v>4306</v>
      </c>
      <c r="D3896" s="81" t="str">
        <f>HYPERLINK("https://youtube.com/watch?v=bc93a-ix9xU", "[淘寶開箱] 我淘左二十隻鍵盤滑鼠試玩 (Part 2) (CC 雙語字幕)")</f>
        <v>[淘寶開箱] 我淘左二十隻鍵盤滑鼠試玩 (Part 2) (CC 雙語字幕)</v>
      </c>
      <c r="E3896" s="82">
        <v>43126.0</v>
      </c>
      <c r="F3896" s="80">
        <v>329.0</v>
      </c>
      <c r="G3896" s="80" t="s">
        <v>63</v>
      </c>
      <c r="I3896" s="80" t="s">
        <v>63</v>
      </c>
      <c r="J3896" s="80">
        <v>1255.0</v>
      </c>
      <c r="K3896" s="80">
        <v>0.868512110726643</v>
      </c>
      <c r="L3896" s="80" t="s">
        <v>1206</v>
      </c>
    </row>
    <row r="3897">
      <c r="A3897" s="80" t="s">
        <v>248</v>
      </c>
      <c r="B3897" s="81" t="str">
        <f>HYPERLINK("https://www.youtube.com/channel/UCUEJok-GiWaGlv5nIPwk-GQ", "Price.com.hk 香港格價網")</f>
        <v>Price.com.hk 香港格價網</v>
      </c>
      <c r="C3897" s="80" t="s">
        <v>4307</v>
      </c>
      <c r="D3897" s="81" t="str">
        <f>HYPERLINK("https://youtube.com/watch?v=bcP0XnGQeNs", "睇佢唔出！有按摩功能的梳化？OSIM 梳化小天后實測｜特約專題｜廣東話【Price.com.hk產品介紹】")</f>
        <v>睇佢唔出！有按摩功能的梳化？OSIM 梳化小天后實測｜特約專題｜廣東話【Price.com.hk產品介紹】</v>
      </c>
      <c r="E3897" s="82">
        <v>44466.0</v>
      </c>
      <c r="F3897" s="80">
        <v>357.0</v>
      </c>
      <c r="G3897" s="80" t="s">
        <v>63</v>
      </c>
      <c r="I3897" s="80" t="s">
        <v>63</v>
      </c>
      <c r="J3897" s="80">
        <v>1312.0</v>
      </c>
      <c r="K3897" s="80">
        <v>0.906703524533517</v>
      </c>
      <c r="L3897" s="80" t="s">
        <v>64</v>
      </c>
    </row>
    <row r="3898">
      <c r="A3898" s="80" t="s">
        <v>4131</v>
      </c>
      <c r="B3898" s="81" t="str">
        <f>HYPERLINK("https://www.youtube.com/channel/UCEf8tnbLkl2bLZwxGigSvSw", "癲嗱 DINNER")</f>
        <v>癲嗱 DINNER</v>
      </c>
      <c r="C3898" s="80" t="s">
        <v>4308</v>
      </c>
      <c r="D3898" s="81" t="str">
        <f>HYPERLINK("https://youtube.com/watch?v=beh6lM9Qis4", "初三赤口情人節｜36E招親 龍尾超出宇宙｜JJ被鞭打 越打越有生產力｜任食Omakase 慘叫廚師發辦｜食雞浪子不回頭｜勁high 萬人大合唱｜齊唱齊樂｜東青Go")</f>
        <v>初三赤口情人節｜36E招親 龍尾超出宇宙｜JJ被鞭打 越打越有生產力｜任食Omakase 慘叫廚師發辦｜食雞浪子不回頭｜勁high 萬人大合唱｜齊唱齊樂｜東青Go</v>
      </c>
      <c r="E3898" s="82">
        <v>44239.0</v>
      </c>
      <c r="F3898" s="80">
        <v>757.0</v>
      </c>
      <c r="G3898" s="80" t="s">
        <v>63</v>
      </c>
      <c r="I3898" s="80" t="s">
        <v>63</v>
      </c>
      <c r="J3898" s="80">
        <v>2302.0</v>
      </c>
      <c r="K3898" s="80">
        <v>0.935012185215272</v>
      </c>
      <c r="L3898" s="80" t="s">
        <v>64</v>
      </c>
    </row>
    <row r="3899">
      <c r="A3899" s="80" t="s">
        <v>238</v>
      </c>
      <c r="B3899" s="81" t="str">
        <f>HYPERLINK("https://www.youtube.com/channel/UCSBkm4LwpgBmcA3MCtO8vqg", "Post76影音玩樂")</f>
        <v>Post76影音玩樂</v>
      </c>
      <c r="C3899" s="80" t="s">
        <v>4309</v>
      </c>
      <c r="D3899" s="81" t="str">
        <f>HYPERLINK("https://youtube.com/watch?v=bgAkdP6vEO4", "Austrian Audio Hi-X15 : 入門價可入手專業級奧地利 Over-Ear 44mm Hi-X單元耳機實測（附設cc字幕）【耳機評測】")</f>
        <v>Austrian Audio Hi-X15 : 入門價可入手專業級奧地利 Over-Ear 44mm Hi-X單元耳機實測（附設cc字幕）【耳機評測】</v>
      </c>
      <c r="E3899" s="82">
        <v>44484.0</v>
      </c>
      <c r="F3899" s="80">
        <v>422.0</v>
      </c>
      <c r="G3899" s="80" t="s">
        <v>63</v>
      </c>
      <c r="H3899" s="80" t="s">
        <v>63</v>
      </c>
      <c r="I3899" s="80" t="s">
        <v>63</v>
      </c>
      <c r="J3899" s="80">
        <v>1980.0</v>
      </c>
      <c r="K3899" s="80">
        <v>0.912650602409638</v>
      </c>
      <c r="L3899" s="80" t="s">
        <v>240</v>
      </c>
    </row>
    <row r="3900">
      <c r="A3900" s="80" t="s">
        <v>1260</v>
      </c>
      <c r="B3900" s="81" t="str">
        <f>HYPERLINK("https://www.youtube.com/channel/UCh1k4i86BpiXEO3nzJIYynw", "The Wave")</f>
        <v>The Wave</v>
      </c>
      <c r="C3900" s="80" t="s">
        <v>4310</v>
      </c>
      <c r="D3900" s="81" t="str">
        <f>HYPERLINK("https://youtube.com/watch?v=bhh3FW6Ebe4", "TheWave | XZ4 最新消息 | 竟然係Premium?")</f>
        <v>TheWave | XZ4 最新消息 | 竟然係Premium?</v>
      </c>
      <c r="E3900" s="82">
        <v>43508.0</v>
      </c>
      <c r="F3900" s="80">
        <v>174.0</v>
      </c>
      <c r="G3900" s="80" t="s">
        <v>63</v>
      </c>
      <c r="H3900" s="80" t="s">
        <v>63</v>
      </c>
      <c r="I3900" s="80" t="s">
        <v>63</v>
      </c>
      <c r="J3900" s="80">
        <v>560.0</v>
      </c>
      <c r="K3900" s="80">
        <v>0.734559789750328</v>
      </c>
      <c r="L3900" s="80" t="s">
        <v>120</v>
      </c>
    </row>
    <row r="3901">
      <c r="A3901" s="80" t="s">
        <v>2041</v>
      </c>
      <c r="B3901" s="81" t="str">
        <f>HYPERLINK("https://www.youtube.com/channel/UCO6pB-ZN4XJ6MVkibvuEe0A", "SingSingTracker 星昇財經指標")</f>
        <v>SingSingTracker 星昇財經指標</v>
      </c>
      <c r="C3901" s="80" t="s">
        <v>4311</v>
      </c>
      <c r="D3901" s="81" t="str">
        <f>HYPERLINK("https://youtube.com/watch?v=biS3aYkDWOM", "【虛擬銀行優惠】ZA mox Airstar WeLab 邊間好？｜高息存款之選｜虛擬銀行比較｜Virtual Bank｜5分鐘懶人包｜迎新獎賞｜存款利率達3.6%｜開戶程序邊間最快？｜預付卡用途")</f>
        <v>【虛擬銀行優惠】ZA mox Airstar WeLab 邊間好？｜高息存款之選｜虛擬銀行比較｜Virtual Bank｜5分鐘懶人包｜迎新獎賞｜存款利率達3.6%｜開戶程序邊間最快？｜預付卡用途</v>
      </c>
      <c r="E3901" s="82">
        <v>44418.0</v>
      </c>
      <c r="F3901" s="80">
        <v>356.0</v>
      </c>
      <c r="G3901" s="80" t="s">
        <v>63</v>
      </c>
      <c r="I3901" s="80" t="s">
        <v>63</v>
      </c>
      <c r="J3901" s="80">
        <v>1185.0</v>
      </c>
      <c r="K3901" s="80">
        <v>0.833333333333333</v>
      </c>
      <c r="L3901" s="80" t="s">
        <v>64</v>
      </c>
    </row>
    <row r="3902">
      <c r="A3902" s="80" t="s">
        <v>2898</v>
      </c>
      <c r="B3902" s="81" t="str">
        <f>HYPERLINK("https://www.youtube.com/channel/UCy5bjMXbFPglSBNDXfivtOA", "消費者委員會")</f>
        <v>消費者委員會</v>
      </c>
      <c r="C3902" s="80" t="s">
        <v>4312</v>
      </c>
      <c r="D3902" s="81" t="str">
        <f>HYPERLINK("https://youtube.com/watch?v=bkcdU4r8xjQ", "湯洛雯 x 冷氣機測試")</f>
        <v>湯洛雯 x 冷氣機測試</v>
      </c>
      <c r="E3902" s="82">
        <v>43235.0</v>
      </c>
      <c r="F3902" s="80">
        <v>169.0</v>
      </c>
      <c r="G3902" s="80" t="s">
        <v>63</v>
      </c>
      <c r="I3902" s="80" t="s">
        <v>63</v>
      </c>
      <c r="J3902" s="80">
        <v>577.0</v>
      </c>
      <c r="K3902" s="80">
        <v>0.961666666666666</v>
      </c>
      <c r="L3902" s="80" t="s">
        <v>64</v>
      </c>
    </row>
    <row r="3903">
      <c r="A3903" s="80" t="s">
        <v>248</v>
      </c>
      <c r="B3903" s="81" t="str">
        <f>HYPERLINK("https://www.youtube.com/channel/UCUEJok-GiWaGlv5nIPwk-GQ", "Price.com.hk 香港格價網")</f>
        <v>Price.com.hk 香港格價網</v>
      </c>
      <c r="C3903" s="80" t="s">
        <v>4313</v>
      </c>
      <c r="D3903" s="81" t="str">
        <f>HYPERLINK("https://youtube.com/watch?v=bloGKqbieug", "只有38cm厚的洗衣機？ZANUSSI變頻前置式洗衣機 慳位、慳水、慳電｜特約專題｜廣東話【Price.com.hk產品介紹】")</f>
        <v>只有38cm厚的洗衣機？ZANUSSI變頻前置式洗衣機 慳位、慳水、慳電｜特約專題｜廣東話【Price.com.hk產品介紹】</v>
      </c>
      <c r="E3903" s="82">
        <v>44575.0</v>
      </c>
      <c r="F3903" s="80">
        <v>224.0</v>
      </c>
      <c r="G3903" s="80" t="s">
        <v>63</v>
      </c>
      <c r="I3903" s="80" t="s">
        <v>63</v>
      </c>
      <c r="J3903" s="80">
        <v>825.0</v>
      </c>
      <c r="K3903" s="80">
        <v>0.943935926773455</v>
      </c>
      <c r="L3903" s="80" t="s">
        <v>64</v>
      </c>
    </row>
    <row r="3904">
      <c r="A3904" s="80" t="s">
        <v>2898</v>
      </c>
      <c r="B3904" s="81" t="str">
        <f>HYPERLINK("https://www.youtube.com/channel/UCy5bjMXbFPglSBNDXfivtOA", "消費者委員會")</f>
        <v>消費者委員會</v>
      </c>
      <c r="C3904" s="80" t="s">
        <v>4314</v>
      </c>
      <c r="D3904" s="81" t="str">
        <f>HYPERLINK("https://youtube.com/watch?v=blrk6DgqqHY", "《借錢來電 一招搞掂！》咪一刻煙花換一世傷疤")</f>
        <v>《借錢來電 一招搞掂！》咪一刻煙花換一世傷疤</v>
      </c>
      <c r="E3904" s="82">
        <v>43065.0</v>
      </c>
      <c r="F3904" s="80">
        <v>121.0</v>
      </c>
      <c r="G3904" s="80" t="s">
        <v>63</v>
      </c>
      <c r="I3904" s="80" t="s">
        <v>63</v>
      </c>
      <c r="J3904" s="80">
        <v>234.0</v>
      </c>
      <c r="K3904" s="80">
        <v>0.921259842519685</v>
      </c>
      <c r="L3904" s="80" t="s">
        <v>64</v>
      </c>
    </row>
    <row r="3905">
      <c r="A3905" s="80" t="s">
        <v>127</v>
      </c>
      <c r="B3905" s="81" t="str">
        <f>HYPERLINK("https://www.youtube.com/channel/UC97oYK3XMf9RLtkc0lO8C-Q", "健康旦 HiEggo")</f>
        <v>健康旦 HiEggo</v>
      </c>
      <c r="C3905" s="80" t="s">
        <v>4315</v>
      </c>
      <c r="D3905" s="81" t="str">
        <f>HYPERLINK("https://youtube.com/watch?v=bpM3iehlMxU", "梁卓偉專訪（上）部份疫苗已進入人類測試階段 面臨三大問題需解答：優先測試次序、倫理道德、產量與派發方式  - 鄭丹瑞《健康旦》港大梁卓偉教授 - Part 1 (CC中文字幕)")</f>
        <v>梁卓偉專訪（上）部份疫苗已進入人類測試階段 面臨三大問題需解答：優先測試次序、倫理道德、產量與派發方式  - 鄭丹瑞《健康旦》港大梁卓偉教授 - Part 1 (CC中文字幕)</v>
      </c>
      <c r="E3905" s="82">
        <v>43925.0</v>
      </c>
      <c r="F3905" s="80">
        <v>612.0</v>
      </c>
      <c r="G3905" s="80" t="s">
        <v>63</v>
      </c>
      <c r="I3905" s="80" t="s">
        <v>63</v>
      </c>
      <c r="J3905" s="80">
        <v>2085.0</v>
      </c>
      <c r="K3905" s="80">
        <v>0.997607655502392</v>
      </c>
      <c r="L3905" s="80" t="s">
        <v>102</v>
      </c>
    </row>
    <row r="3906">
      <c r="A3906" s="80" t="s">
        <v>3339</v>
      </c>
      <c r="B3906" s="81" t="str">
        <f>HYPERLINK("https://www.youtube.com/channel/UCo0lvDJ5ikc3hhD30ttGznw", "gingerlemoncola")</f>
        <v>gingerlemoncola</v>
      </c>
      <c r="C3906" s="80" t="s">
        <v>4316</v>
      </c>
      <c r="D3906" s="81" t="str">
        <f>HYPERLINK("https://youtube.com/watch?v=brnYrnKFxPw", "公開好朋友珍藏咸片  w/浩嵐")</f>
        <v>公開好朋友珍藏咸片  w/浩嵐</v>
      </c>
      <c r="E3906" s="82">
        <v>43487.0</v>
      </c>
      <c r="F3906" s="80">
        <v>390.0</v>
      </c>
      <c r="G3906" s="80" t="s">
        <v>63</v>
      </c>
      <c r="I3906" s="80" t="s">
        <v>63</v>
      </c>
      <c r="J3906" s="80">
        <v>546.0</v>
      </c>
      <c r="K3906" s="80">
        <v>0.84914463452566</v>
      </c>
      <c r="L3906" s="80" t="s">
        <v>521</v>
      </c>
    </row>
    <row r="3907">
      <c r="A3907" s="80" t="s">
        <v>288</v>
      </c>
      <c r="B3907" s="81" t="str">
        <f>HYPERLINK("https://www.youtube.com/channel/UCDWOYEhVnyD4IHZGVAMLc0g", "Brendan 毛爸")</f>
        <v>Brendan 毛爸</v>
      </c>
      <c r="C3907" s="80" t="s">
        <v>4317</v>
      </c>
      <c r="D3907" s="81" t="str">
        <f>HYPERLINK("https://youtube.com/watch?v=buHOED3q0BA", "【新三國 漢室復興 #3】 王城作用！解釋國策是什麼？武將推薦！必看攻略！（請打開CC 中文字幕）")</f>
        <v>【新三國 漢室復興 #3】 王城作用！解釋國策是什麼？武將推薦！必看攻略！（請打開CC 中文字幕）</v>
      </c>
      <c r="E3907" s="82">
        <v>43945.0</v>
      </c>
      <c r="F3907" s="80">
        <v>603.0</v>
      </c>
      <c r="G3907" s="80" t="s">
        <v>63</v>
      </c>
      <c r="I3907" s="80" t="s">
        <v>63</v>
      </c>
      <c r="J3907" s="80">
        <v>1921.0</v>
      </c>
      <c r="K3907" s="80">
        <v>0.989696032972694</v>
      </c>
      <c r="L3907" s="80" t="s">
        <v>64</v>
      </c>
    </row>
    <row r="3908">
      <c r="A3908" s="80" t="s">
        <v>127</v>
      </c>
      <c r="B3908" s="81" t="str">
        <f>HYPERLINK("https://www.youtube.com/channel/UC97oYK3XMf9RLtkc0lO8C-Q", "健康旦 HiEggo")</f>
        <v>健康旦 HiEggo</v>
      </c>
      <c r="C3908" s="80" t="s">
        <v>4318</v>
      </c>
      <c r="D3908" s="81" t="str">
        <f>HYPERLINK("https://youtube.com/watch?v=bvCIjXyN2n4", "中醫曾記載冠狀病毒 阿旦請教卞兆祥中醫教授 學習按摩穴道健脾化濕 - 鄭丹瑞《健康旦》香港浸會大學協理副校長 (中醫藥發展) 卞兆祥教授 PART 1 (CC中文字幕)")</f>
        <v>中醫曾記載冠狀病毒 阿旦請教卞兆祥中醫教授 學習按摩穴道健脾化濕 - 鄭丹瑞《健康旦》香港浸會大學協理副校長 (中醫藥發展) 卞兆祥教授 PART 1 (CC中文字幕)</v>
      </c>
      <c r="E3908" s="82">
        <v>43883.0</v>
      </c>
      <c r="F3908" s="80">
        <v>664.0</v>
      </c>
      <c r="G3908" s="80" t="s">
        <v>63</v>
      </c>
      <c r="I3908" s="80" t="s">
        <v>63</v>
      </c>
      <c r="J3908" s="80">
        <v>2369.0</v>
      </c>
      <c r="K3908" s="80">
        <v>0.994125052454888</v>
      </c>
      <c r="L3908" s="80" t="s">
        <v>102</v>
      </c>
    </row>
    <row r="3909">
      <c r="A3909" s="80" t="s">
        <v>108</v>
      </c>
      <c r="B3909" s="81" t="str">
        <f>HYPERLINK("https://www.youtube.com/channel/UCZL6QN6Xs-ZrKY3y6Pv6Emg", "廢青 - 日賺3000")</f>
        <v>廢青 - 日賺3000</v>
      </c>
      <c r="C3909" s="80" t="s">
        <v>4319</v>
      </c>
      <c r="D3909" s="81" t="str">
        <f>HYPERLINK("https://youtube.com/watch?v=bysuanqtlXM", "【廢青財務自由】沒有真資產💀💀 不要妄想財務自由😫㊙  (2020)【點CC看中文字幕】")</f>
        <v>【廢青財務自由】沒有真資產💀💀 不要妄想財務自由😫㊙  (2020)【點CC看中文字幕】</v>
      </c>
      <c r="E3909" s="82">
        <v>43648.0</v>
      </c>
      <c r="F3909" s="80">
        <v>781.0</v>
      </c>
      <c r="G3909" s="80" t="s">
        <v>63</v>
      </c>
      <c r="I3909" s="80" t="s">
        <v>63</v>
      </c>
      <c r="J3909" s="80">
        <v>3610.0</v>
      </c>
      <c r="K3909" s="80">
        <v>0.929933024214322</v>
      </c>
      <c r="L3909" s="80" t="s">
        <v>64</v>
      </c>
    </row>
    <row r="3910">
      <c r="A3910" s="80" t="s">
        <v>238</v>
      </c>
      <c r="B3910" s="81" t="str">
        <f>HYPERLINK("https://www.youtube.com/channel/UCSBkm4LwpgBmcA3MCtO8vqg", "Post76影音玩樂")</f>
        <v>Post76影音玩樂</v>
      </c>
      <c r="C3910" s="80" t="s">
        <v>4320</v>
      </c>
      <c r="D3910" s="81" t="str">
        <f>HYPERLINK("https://youtube.com/watch?v=c82xTTKcVUI", "Apple HomePod Mini 真係好聲 !? AV友值得入手嗎 ?? 音質評測、Pair一對立體聲、對講機、Siri功能 | 粵語 | 自選香港字幕【 喇叭評測 | Post76.hk 】")</f>
        <v>Apple HomePod Mini 真係好聲 !? AV友值得入手嗎 ?? 音質評測、Pair一對立體聲、對講機、Siri功能 | 粵語 | 自選香港字幕【 喇叭評測 | Post76.hk 】</v>
      </c>
      <c r="E3910" s="82">
        <v>44159.0</v>
      </c>
      <c r="F3910" s="80">
        <v>938.0</v>
      </c>
      <c r="G3910" s="80" t="s">
        <v>63</v>
      </c>
      <c r="H3910" s="80" t="s">
        <v>63</v>
      </c>
      <c r="I3910" s="80" t="s">
        <v>63</v>
      </c>
      <c r="J3910" s="80">
        <v>3895.0</v>
      </c>
      <c r="K3910" s="80">
        <v>0.822458628841607</v>
      </c>
      <c r="L3910" s="80" t="s">
        <v>66</v>
      </c>
    </row>
    <row r="3911">
      <c r="A3911" s="80" t="s">
        <v>4321</v>
      </c>
      <c r="B3911" s="81" t="str">
        <f>HYPERLINK("https://www.youtube.com/channel/UCe4WrIB00UzAcU9EWDcxQ8Q", "lik wai tang")</f>
        <v>lik wai tang</v>
      </c>
      <c r="C3911" s="80" t="s">
        <v>4322</v>
      </c>
      <c r="D3911" s="81" t="str">
        <f>HYPERLINK("https://youtube.com/watch?v=c9Hja3_y-9Y", "【lik wai tang】用8500元打造了一台高性能RGB水冷電腦!?  (繁中CC)")</f>
        <v>【lik wai tang】用8500元打造了一台高性能RGB水冷電腦!?  (繁中CC)</v>
      </c>
      <c r="E3911" s="82">
        <v>43832.0</v>
      </c>
      <c r="F3911" s="80">
        <v>778.0</v>
      </c>
      <c r="G3911" s="80" t="s">
        <v>63</v>
      </c>
      <c r="I3911" s="80" t="s">
        <v>63</v>
      </c>
      <c r="J3911" s="80">
        <v>2079.0</v>
      </c>
      <c r="K3911" s="80">
        <v>0.73645058448459</v>
      </c>
      <c r="L3911" s="80" t="s">
        <v>91</v>
      </c>
    </row>
    <row r="3912">
      <c r="A3912" s="80" t="s">
        <v>108</v>
      </c>
      <c r="B3912" s="81" t="str">
        <f>HYPERLINK("https://www.youtube.com/channel/UCZL6QN6Xs-ZrKY3y6Pv6Emg", "廢青 - 日賺3000")</f>
        <v>廢青 - 日賺3000</v>
      </c>
      <c r="C3912" s="80" t="s">
        <v>4323</v>
      </c>
      <c r="D3912" s="81" t="str">
        <f>HYPERLINK("https://youtube.com/watch?v=cAvZEi5zr3Y", "美股入門 | 5隻‼️必買‼️ARK ETF⚠️年年賺30%的機會⚠️你買左未？(2021) 優質股選股方法 | EP13 【廢青 日賺3000】【點CC看中文字幕】")</f>
        <v>美股入門 | 5隻‼️必買‼️ARK ETF⚠️年年賺30%的機會⚠️你買左未？(2021) 優質股選股方法 | EP13 【廢青 日賺3000】【點CC看中文字幕】</v>
      </c>
      <c r="E3912" s="82">
        <v>44393.0</v>
      </c>
      <c r="F3912" s="80">
        <v>933.0</v>
      </c>
      <c r="G3912" s="80" t="s">
        <v>63</v>
      </c>
      <c r="I3912" s="80" t="s">
        <v>63</v>
      </c>
      <c r="J3912" s="80">
        <v>3512.0</v>
      </c>
      <c r="K3912" s="80">
        <v>0.84606119007468</v>
      </c>
      <c r="L3912" s="80" t="s">
        <v>64</v>
      </c>
    </row>
    <row r="3913">
      <c r="A3913" s="80" t="s">
        <v>248</v>
      </c>
      <c r="B3913" s="81" t="str">
        <f>HYPERLINK("https://www.youtube.com/channel/UCUEJok-GiWaGlv5nIPwk-GQ", "Price.com.hk 香港格價網")</f>
        <v>Price.com.hk 香港格價網</v>
      </c>
      <c r="C3913" s="80" t="s">
        <v>4324</v>
      </c>
      <c r="D3913" s="81" t="str">
        <f>HYPERLINK("https://youtube.com/watch?v=cB3BaV5TjMc", "$500 Budget 聖誕禮物精選推介! 交換禮物首選｜Gadgets、家品、玩具、汽酒 ｜廣東話【Price.com.hk日日聖誕折】")</f>
        <v>$500 Budget 聖誕禮物精選推介! 交換禮物首選｜Gadgets、家品、玩具、汽酒 ｜廣東話【Price.com.hk日日聖誕折】</v>
      </c>
      <c r="E3913" s="82">
        <v>44545.0</v>
      </c>
      <c r="F3913" s="80">
        <v>345.0</v>
      </c>
      <c r="G3913" s="80" t="s">
        <v>63</v>
      </c>
      <c r="I3913" s="80" t="s">
        <v>63</v>
      </c>
      <c r="J3913" s="80">
        <v>1288.0</v>
      </c>
      <c r="K3913" s="80">
        <v>0.791641057160418</v>
      </c>
      <c r="L3913" s="80" t="s">
        <v>64</v>
      </c>
    </row>
    <row r="3914">
      <c r="A3914" s="80" t="s">
        <v>1987</v>
      </c>
      <c r="B3914" s="81" t="str">
        <f>HYPERLINK("https://www.youtube.com/channel/UCgGUmm04nVyj-ftaCxVcyBg", "MangoHK大馬獅家")</f>
        <v>MangoHK大馬獅家</v>
      </c>
      <c r="C3914" s="80" t="s">
        <v>4325</v>
      </c>
      <c r="D3914" s="81" t="str">
        <f>HYPERLINK("https://youtube.com/watch?v=cETH1fUitPo", "【3】🦑深海怪魚咬斷手指, 🐢激送海龜伴遊! {中英字幕}  Subtitled | [DIY]Redang Island Sea Turtle | Malaysia Vlog | mm2h")</f>
        <v>【3】🦑深海怪魚咬斷手指, 🐢激送海龜伴遊! {中英字幕}  Subtitled | [DIY]Redang Island Sea Turtle | Malaysia Vlog | mm2h</v>
      </c>
      <c r="E3914" s="82">
        <v>44445.0</v>
      </c>
      <c r="F3914" s="80">
        <v>149.0</v>
      </c>
      <c r="G3914" s="80" t="s">
        <v>63</v>
      </c>
      <c r="I3914" s="80" t="s">
        <v>63</v>
      </c>
      <c r="J3914" s="80">
        <v>142.0</v>
      </c>
      <c r="K3914" s="80">
        <v>0.993006993006993</v>
      </c>
      <c r="L3914" s="80" t="s">
        <v>521</v>
      </c>
    </row>
    <row r="3915">
      <c r="A3915" s="80" t="s">
        <v>2972</v>
      </c>
      <c r="B3915" s="81" t="str">
        <f>HYPERLINK("https://www.youtube.com/channel/UCVMEQdIDLjHcKAsEwhVXEoQ", "Danny W.")</f>
        <v>Danny W.</v>
      </c>
      <c r="C3915" s="80" t="s">
        <v>4326</v>
      </c>
      <c r="D3915" s="81" t="str">
        <f>HYPERLINK("https://youtube.com/watch?v=cHMQXDzT0DI", "DSE Math 學過又被遺忘的 第三集")</f>
        <v>DSE Math 學過又被遺忘的 第三集</v>
      </c>
      <c r="E3915" s="82">
        <v>44328.0</v>
      </c>
      <c r="F3915" s="80">
        <v>163.0</v>
      </c>
      <c r="G3915" s="80" t="s">
        <v>63</v>
      </c>
      <c r="I3915" s="80" t="s">
        <v>63</v>
      </c>
      <c r="J3915" s="80">
        <v>331.0</v>
      </c>
      <c r="K3915" s="80">
        <v>0.722707423580786</v>
      </c>
      <c r="L3915" s="80" t="s">
        <v>102</v>
      </c>
    </row>
    <row r="3916">
      <c r="A3916" s="80" t="s">
        <v>127</v>
      </c>
      <c r="B3916" s="81" t="str">
        <f t="shared" ref="B3916:B3917" si="206">HYPERLINK("https://www.youtube.com/channel/UC97oYK3XMf9RLtkc0lO8C-Q", "健康旦 HiEggo")</f>
        <v>健康旦 HiEggo</v>
      </c>
      <c r="C3916" s="80" t="s">
        <v>4327</v>
      </c>
      <c r="D3916" s="81" t="str">
        <f>HYPERLINK("https://youtube.com/watch?v=cK6Q5RTw9wM", "陳美齡局部切除乳房前陷兩難 最怕蔓延至淋巴 患癌消息影響細仔考入史丹福大學 - 鄭丹瑞《健康旦》 #陳美齡 Part 2 (CC中文字幕)")</f>
        <v>陳美齡局部切除乳房前陷兩難 最怕蔓延至淋巴 患癌消息影響細仔考入史丹福大學 - 鄭丹瑞《健康旦》 #陳美齡 Part 2 (CC中文字幕)</v>
      </c>
      <c r="E3916" s="82">
        <v>44120.0</v>
      </c>
      <c r="F3916" s="80">
        <v>636.0</v>
      </c>
      <c r="G3916" s="80" t="s">
        <v>63</v>
      </c>
      <c r="I3916" s="80" t="s">
        <v>63</v>
      </c>
      <c r="J3916" s="80">
        <v>2003.0</v>
      </c>
      <c r="K3916" s="80">
        <v>0.983308787432498</v>
      </c>
      <c r="L3916" s="80" t="s">
        <v>64</v>
      </c>
    </row>
    <row r="3917">
      <c r="A3917" s="80" t="s">
        <v>127</v>
      </c>
      <c r="B3917" s="81" t="str">
        <f t="shared" si="206"/>
        <v>健康旦 HiEggo</v>
      </c>
      <c r="C3917" s="80" t="s">
        <v>4328</v>
      </c>
      <c r="D3917" s="81" t="str">
        <f>HYPERLINK("https://youtube.com/watch?v=cL3pR15e0SA", "中醫淺談九種體質 教你煲祛濕湯水、預防感染中藥 - 鄭丹瑞《健康旦》香港浸會大學協理副校長 (中醫藥發展) 卞兆祥教授PART 2 (CC中文字幕)")</f>
        <v>中醫淺談九種體質 教你煲祛濕湯水、預防感染中藥 - 鄭丹瑞《健康旦》香港浸會大學協理副校長 (中醫藥發展) 卞兆祥教授PART 2 (CC中文字幕)</v>
      </c>
      <c r="E3917" s="82">
        <v>43884.0</v>
      </c>
      <c r="F3917" s="80">
        <v>609.0</v>
      </c>
      <c r="G3917" s="80" t="s">
        <v>63</v>
      </c>
      <c r="I3917" s="80" t="s">
        <v>63</v>
      </c>
      <c r="J3917" s="80">
        <v>1938.0</v>
      </c>
      <c r="K3917" s="80">
        <v>0.996401028277635</v>
      </c>
      <c r="L3917" s="80" t="s">
        <v>102</v>
      </c>
    </row>
    <row r="3918">
      <c r="A3918" s="80" t="s">
        <v>98</v>
      </c>
      <c r="B3918" s="81" t="str">
        <f>HYPERLINK("https://www.youtube.com/channel/UCrquuQB6v1Ued2xyRKZreGQ", "Stephen Leung ")</f>
        <v>Stephen Leung </v>
      </c>
      <c r="C3918" s="80" t="s">
        <v>4329</v>
      </c>
      <c r="D3918" s="81" t="str">
        <f>HYPERLINK("https://youtube.com/watch?v=cLkz-pkxxPk", "【香港美食】30款小菜任點任食 四小時 $238 小菜放題 再送 佛跳牆 龍蝦 乳鴿 燉湯 荃灣放題  愉花園 Club one | 電子消費券 吃喝玩樂  香港好去處 消費券 點用 4K 播放")</f>
        <v>【香港美食】30款小菜任點任食 四小時 $238 小菜放題 再送 佛跳牆 龍蝦 乳鴿 燉湯 荃灣放題  愉花園 Club one | 電子消費券 吃喝玩樂  香港好去處 消費券 點用 4K 播放</v>
      </c>
      <c r="E3918" s="82">
        <v>44408.0</v>
      </c>
      <c r="F3918" s="80">
        <v>547.0</v>
      </c>
      <c r="G3918" s="80" t="s">
        <v>63</v>
      </c>
      <c r="I3918" s="80" t="s">
        <v>63</v>
      </c>
      <c r="J3918" s="80">
        <v>1712.0</v>
      </c>
      <c r="K3918" s="80">
        <v>0.965595036661026</v>
      </c>
      <c r="L3918" s="80" t="s">
        <v>64</v>
      </c>
    </row>
    <row r="3919">
      <c r="A3919" s="80" t="s">
        <v>2804</v>
      </c>
      <c r="B3919" s="81" t="str">
        <f>HYPERLINK("https://www.youtube.com/channel/UCrFrg50t0JqgqV2dkIrH5Hg", "投智財女 GirlbossInvest 創業投資智慧")</f>
        <v>投智財女 GirlbossInvest 創業投資智慧</v>
      </c>
      <c r="C3919" s="80" t="s">
        <v>4330</v>
      </c>
      <c r="D3919" s="81" t="str">
        <f>HYPERLINK("https://youtube.com/watch?v=cLzyJ9Tu0Xo", "【最齊比較】消費券之八達通、支付寶、微信支付優惠比較！5000元消費券全攻略！ #如何申請消費劵 #消費卷懶人包 #中文字幕cc #消費券攻略")</f>
        <v>【最齊比較】消費券之八達通、支付寶、微信支付優惠比較！5000元消費券全攻略！ #如何申請消費劵 #消費卷懶人包 #中文字幕cc #消費券攻略</v>
      </c>
      <c r="E3919" s="82">
        <v>44368.0</v>
      </c>
      <c r="F3919" s="80">
        <v>703.0</v>
      </c>
      <c r="G3919" s="80" t="s">
        <v>63</v>
      </c>
      <c r="I3919" s="80" t="s">
        <v>63</v>
      </c>
      <c r="J3919" s="80">
        <v>2248.0</v>
      </c>
      <c r="K3919" s="80">
        <v>0.923582580115037</v>
      </c>
      <c r="L3919" s="80" t="s">
        <v>102</v>
      </c>
    </row>
    <row r="3920">
      <c r="A3920" s="80" t="s">
        <v>288</v>
      </c>
      <c r="B3920" s="81" t="str">
        <f>HYPERLINK("https://www.youtube.com/channel/UCDWOYEhVnyD4IHZGVAMLc0g", "Brendan 毛爸")</f>
        <v>Brendan 毛爸</v>
      </c>
      <c r="C3920" s="80" t="s">
        <v>4331</v>
      </c>
      <c r="D3920" s="81" t="str">
        <f>HYPERLINK("https://youtube.com/watch?v=cQyIPaB3CZ4", "毛媽生日飯 之 少女心主題餐廳！萬花筒世界！打卡熱點！漫花燈火 OMG [feat. Gaston luga] 《合作影片》（請打開CC 中文字幕）")</f>
        <v>毛媽生日飯 之 少女心主題餐廳！萬花筒世界！打卡熱點！漫花燈火 OMG [feat. Gaston luga] 《合作影片》（請打開CC 中文字幕）</v>
      </c>
      <c r="E3920" s="82">
        <v>43911.0</v>
      </c>
      <c r="F3920" s="80">
        <v>642.0</v>
      </c>
      <c r="G3920" s="80" t="s">
        <v>63</v>
      </c>
      <c r="I3920" s="80" t="s">
        <v>63</v>
      </c>
      <c r="J3920" s="80">
        <v>2133.0</v>
      </c>
      <c r="K3920" s="80">
        <v>0.94715808170515</v>
      </c>
      <c r="L3920" s="80" t="s">
        <v>64</v>
      </c>
    </row>
    <row r="3921">
      <c r="A3921" s="80" t="s">
        <v>98</v>
      </c>
      <c r="B3921" s="81" t="str">
        <f>HYPERLINK("https://www.youtube.com/channel/UCrquuQB6v1Ued2xyRKZreGQ", "Stephen Leung ")</f>
        <v>Stephen Leung </v>
      </c>
      <c r="C3921" s="80" t="s">
        <v>4332</v>
      </c>
      <c r="D3921" s="81" t="str">
        <f>HYPERLINK("https://youtube.com/watch?v=cREytM8X5dQ", "【吃喝玩樂】JW Marriott 萬豪酒店 Staycation 用餐體驗驚喜之旅! 萬豪金殿 | Fish Bar | 酒店Staycation | 吃喝玩樂")</f>
        <v>【吃喝玩樂】JW Marriott 萬豪酒店 Staycation 用餐體驗驚喜之旅! 萬豪金殿 | Fish Bar | 酒店Staycation | 吃喝玩樂</v>
      </c>
      <c r="E3921" s="82">
        <v>44302.0</v>
      </c>
      <c r="F3921" s="80">
        <v>648.0</v>
      </c>
      <c r="G3921" s="80" t="s">
        <v>63</v>
      </c>
      <c r="I3921" s="80" t="s">
        <v>63</v>
      </c>
      <c r="J3921" s="80">
        <v>1605.0</v>
      </c>
      <c r="K3921" s="80">
        <v>0.854177754124534</v>
      </c>
      <c r="L3921" s="80" t="s">
        <v>64</v>
      </c>
    </row>
    <row r="3922">
      <c r="A3922" s="80" t="s">
        <v>127</v>
      </c>
      <c r="B3922" s="81" t="str">
        <f>HYPERLINK("https://www.youtube.com/channel/UC97oYK3XMf9RLtkc0lO8C-Q", "健康旦 HiEggo")</f>
        <v>健康旦 HiEggo</v>
      </c>
      <c r="C3922" s="80" t="s">
        <v>4333</v>
      </c>
      <c r="D3922" s="81" t="str">
        <f>HYPERLINK("https://youtube.com/watch?v=cUyQZmZzCMg", "人類四大循環階段 李維恩教授女士回春妙法  - 鄭丹瑞《健康旦》李維恩 Part 12")</f>
        <v>人類四大循環階段 李維恩教授女士回春妙法  - 鄭丹瑞《健康旦》李維恩 Part 12</v>
      </c>
      <c r="E3922" s="82">
        <v>43931.0</v>
      </c>
      <c r="F3922" s="80">
        <v>748.0</v>
      </c>
      <c r="G3922" s="80" t="s">
        <v>63</v>
      </c>
      <c r="I3922" s="80" t="s">
        <v>63</v>
      </c>
      <c r="J3922" s="80">
        <v>2472.0</v>
      </c>
      <c r="K3922" s="80">
        <v>0.975917883932096</v>
      </c>
      <c r="L3922" s="80" t="s">
        <v>64</v>
      </c>
    </row>
    <row r="3923">
      <c r="A3923" s="80" t="s">
        <v>293</v>
      </c>
      <c r="B3923" s="81" t="str">
        <f>HYPERLINK("https://www.youtube.com/channel/UCXRcbXqjORdIvl63I7MtOLQ", "趁熱 Kerry 's kitchen")</f>
        <v>趁熱 Kerry 's kitchen</v>
      </c>
      <c r="C3923" s="80" t="s">
        <v>4334</v>
      </c>
      <c r="D3923" s="81" t="str">
        <f>HYPERLINK("https://youtube.com/watch?v=cWyhPT_mLA0", "炒飯/福建炒飯/茶記風味/簡單 家做/惹味/新手 入門/廣東話/中字")</f>
        <v>炒飯/福建炒飯/茶記風味/簡單 家做/惹味/新手 入門/廣東話/中字</v>
      </c>
      <c r="E3923" s="82">
        <v>44396.0</v>
      </c>
      <c r="F3923" s="80">
        <v>553.0</v>
      </c>
      <c r="G3923" s="80" t="s">
        <v>63</v>
      </c>
      <c r="I3923" s="80" t="s">
        <v>63</v>
      </c>
      <c r="J3923" s="80">
        <v>1252.0</v>
      </c>
      <c r="K3923" s="80">
        <v>0.975077881619937</v>
      </c>
      <c r="L3923" s="80" t="s">
        <v>64</v>
      </c>
    </row>
    <row r="3924">
      <c r="A3924" s="80" t="s">
        <v>248</v>
      </c>
      <c r="B3924" s="81" t="str">
        <f>HYPERLINK("https://www.youtube.com/channel/UCUEJok-GiWaGlv5nIPwk-GQ", "Price.com.hk 香港格價網")</f>
        <v>Price.com.hk 香港格價網</v>
      </c>
      <c r="C3924" s="80" t="s">
        <v>4335</v>
      </c>
      <c r="D3924" s="81" t="str">
        <f>HYPERLINK("https://youtube.com/watch?v=c_SJxEv00AQ", "Apple iPhone 12四機齊發﹗新機功能、售價、推出日期 5分鐘速報 | 廣東話 | 手機情報【Price.com.hk產品情報】")</f>
        <v>Apple iPhone 12四機齊發﹗新機功能、售價、推出日期 5分鐘速報 | 廣東話 | 手機情報【Price.com.hk產品情報】</v>
      </c>
      <c r="E3924" s="82">
        <v>44117.0</v>
      </c>
      <c r="F3924" s="80">
        <v>331.0</v>
      </c>
      <c r="G3924" s="80" t="s">
        <v>63</v>
      </c>
      <c r="I3924" s="80" t="s">
        <v>63</v>
      </c>
      <c r="J3924" s="80">
        <v>1069.0</v>
      </c>
      <c r="K3924" s="80">
        <v>0.626611957796014</v>
      </c>
      <c r="L3924" s="80" t="s">
        <v>64</v>
      </c>
    </row>
    <row r="3925">
      <c r="A3925" s="80" t="s">
        <v>291</v>
      </c>
      <c r="B3925" s="81" t="str">
        <f>HYPERLINK("https://www.youtube.com/channel/UClSNJbCUCp_W4yrS3DlCmjw", "飛馬 PEGASUS")</f>
        <v>飛馬 PEGASUS</v>
      </c>
      <c r="C3925" s="80" t="s">
        <v>4336</v>
      </c>
      <c r="D3925" s="81" t="str">
        <f>HYPERLINK("https://youtube.com/watch?v=c_ZDAR3rcfw", "唔洗 $1000 搞掂, Notebook 配 外置顯示卡打機? (CC中文字幕) - EXP GDC 外置顯示卡打機轉插")</f>
        <v>唔洗 $1000 搞掂, Notebook 配 外置顯示卡打機? (CC中文字幕) - EXP GDC 外置顯示卡打機轉插</v>
      </c>
      <c r="E3925" s="82">
        <v>43963.0</v>
      </c>
      <c r="F3925" s="80">
        <v>720.0</v>
      </c>
      <c r="G3925" s="80" t="s">
        <v>63</v>
      </c>
      <c r="I3925" s="80" t="s">
        <v>63</v>
      </c>
      <c r="J3925" s="80">
        <v>3355.0</v>
      </c>
      <c r="K3925" s="80">
        <v>0.777160064859856</v>
      </c>
      <c r="L3925" s="80" t="s">
        <v>64</v>
      </c>
    </row>
    <row r="3926">
      <c r="A3926" s="80" t="s">
        <v>1260</v>
      </c>
      <c r="B3926" s="81" t="str">
        <f>HYPERLINK("https://www.youtube.com/channel/UCh1k4i86BpiXEO3nzJIYynw", "The Wave")</f>
        <v>The Wave</v>
      </c>
      <c r="C3926" s="80" t="s">
        <v>4337</v>
      </c>
      <c r="D3926" s="81" t="str">
        <f>HYPERLINK("https://youtube.com/watch?v=cc4E6weUayY", "TheWave | Samsung手機發佈 | S10 , S10+ , S10e, S10 5G , Galaxy Fold")</f>
        <v>TheWave | Samsung手機發佈 | S10 , S10+ , S10e, S10 5G , Galaxy Fold</v>
      </c>
      <c r="E3926" s="82">
        <v>43517.0</v>
      </c>
      <c r="F3926" s="80">
        <v>134.0</v>
      </c>
      <c r="G3926" s="80" t="s">
        <v>63</v>
      </c>
      <c r="H3926" s="80" t="s">
        <v>63</v>
      </c>
      <c r="I3926" s="80" t="s">
        <v>63</v>
      </c>
      <c r="J3926" s="80">
        <v>407.0</v>
      </c>
      <c r="K3926" s="80">
        <v>0.717813051146384</v>
      </c>
      <c r="L3926" s="80" t="s">
        <v>120</v>
      </c>
    </row>
    <row r="3927">
      <c r="A3927" s="80" t="s">
        <v>238</v>
      </c>
      <c r="B3927" s="81" t="str">
        <f>HYPERLINK("https://www.youtube.com/channel/UCSBkm4LwpgBmcA3MCtO8vqg", "Post76影音玩樂")</f>
        <v>Post76影音玩樂</v>
      </c>
      <c r="C3927" s="80" t="s">
        <v>4338</v>
      </c>
      <c r="D3927" s="81" t="str">
        <f>HYPERLINK("https://youtube.com/watch?v=ccXJhpfvcCs", "三千幾蚊都可玩到 Atmos 音效！TCL TS9030 Ray Danz 3.1 聲道 Soundbar 實試 | 粵語 | 中文字幕【 Soundbar 評測 | Post76.hk 】")</f>
        <v>三千幾蚊都可玩到 Atmos 音效！TCL TS9030 Ray Danz 3.1 聲道 Soundbar 實試 | 粵語 | 中文字幕【 Soundbar 評測 | Post76.hk 】</v>
      </c>
      <c r="E3927" s="82">
        <v>44229.0</v>
      </c>
      <c r="F3927" s="80">
        <v>526.0</v>
      </c>
      <c r="G3927" s="80" t="s">
        <v>63</v>
      </c>
      <c r="H3927" s="80" t="s">
        <v>63</v>
      </c>
      <c r="I3927" s="80" t="s">
        <v>63</v>
      </c>
      <c r="J3927" s="80">
        <v>1793.0</v>
      </c>
      <c r="K3927" s="80">
        <v>0.730346232179226</v>
      </c>
      <c r="L3927" s="80" t="s">
        <v>66</v>
      </c>
    </row>
    <row r="3928">
      <c r="A3928" s="80" t="s">
        <v>2825</v>
      </c>
      <c r="B3928" s="81" t="str">
        <f>HYPERLINK("https://www.youtube.com/channel/UCP7XhYDgUbvjvaHxIhjTd_g", "Maviskuku 雞蛋妹")</f>
        <v>Maviskuku 雞蛋妹</v>
      </c>
      <c r="C3928" s="80" t="s">
        <v>4339</v>
      </c>
      <c r="D3928" s="81" t="str">
        <f>HYPERLINK("https://youtube.com/watch?v=cci6x_8P6XQ", "HK$698 VS HK$ 2199 ! 兩款藍牙耳機大比拼！ JLAB JBuds Air Executive、Sennheiser Momentum True Wireless 2 評測！")</f>
        <v>HK$698 VS HK$ 2199 ! 兩款藍牙耳機大比拼！ JLAB JBuds Air Executive、Sennheiser Momentum True Wireless 2 評測！</v>
      </c>
      <c r="E3928" s="82">
        <v>44337.0</v>
      </c>
      <c r="F3928" s="80">
        <v>668.0</v>
      </c>
      <c r="G3928" s="80" t="s">
        <v>63</v>
      </c>
      <c r="H3928" s="80" t="s">
        <v>63</v>
      </c>
      <c r="I3928" s="80" t="s">
        <v>63</v>
      </c>
      <c r="J3928" s="80">
        <v>1979.0</v>
      </c>
      <c r="K3928" s="80">
        <v>0.783762376237623</v>
      </c>
      <c r="L3928" s="80" t="s">
        <v>66</v>
      </c>
    </row>
    <row r="3929">
      <c r="A3929" s="80" t="s">
        <v>293</v>
      </c>
      <c r="B3929" s="81" t="str">
        <f>HYPERLINK("https://www.youtube.com/channel/UCXRcbXqjORdIvl63I7MtOLQ", "趁熱 Kerry 's kitchen")</f>
        <v>趁熱 Kerry 's kitchen</v>
      </c>
      <c r="C3929" s="80" t="s">
        <v>4340</v>
      </c>
      <c r="D3929" s="81" t="str">
        <f>HYPERLINK("https://youtube.com/watch?v=cdWbohqppYg", "涼瓜豆豉魚塊/急凍魚柳/清熱解毒/去熱氣/簡單 家做/新手 入門/廣東話/中字")</f>
        <v>涼瓜豆豉魚塊/急凍魚柳/清熱解毒/去熱氣/簡單 家做/新手 入門/廣東話/中字</v>
      </c>
      <c r="E3929" s="82">
        <v>44445.0</v>
      </c>
      <c r="F3929" s="80">
        <v>654.0</v>
      </c>
      <c r="G3929" s="80" t="s">
        <v>63</v>
      </c>
      <c r="I3929" s="80" t="s">
        <v>63</v>
      </c>
      <c r="J3929" s="80">
        <v>1771.0</v>
      </c>
      <c r="K3929" s="80">
        <v>0.989385474860335</v>
      </c>
      <c r="L3929" s="80" t="s">
        <v>64</v>
      </c>
    </row>
    <row r="3930">
      <c r="A3930" s="80" t="s">
        <v>1594</v>
      </c>
      <c r="B3930" s="81" t="str">
        <f>HYPERLINK("https://www.youtube.com/channel/UCUtm1awT2EO9D7uJ2OlMcTQ", "黐住這一家 Sticky Love Family")</f>
        <v>黐住這一家 Sticky Love Family</v>
      </c>
      <c r="C3930" s="80" t="s">
        <v>4341</v>
      </c>
      <c r="D3930" s="81" t="str">
        <f>HYPERLINK("https://youtube.com/watch?v=ciPOtIsLLNQ", "【原創 廣東歌】 ❝ 當你生氣時😠💢❞  教你舒緩情緒方法的絕招！❤️ 5歲小朋友和媽媽合唱👦🏻👩🏻‍💻🎧 社交故事主題曲！🎵  ENG SUB CC/粵語字幕/繁簡字幕")</f>
        <v>【原創 廣東歌】 ❝ 當你生氣時😠💢❞  教你舒緩情緒方法的絕招！❤️ 5歲小朋友和媽媽合唱👦🏻👩🏻‍💻🎧 社交故事主題曲！🎵  ENG SUB CC/粵語字幕/繁簡字幕</v>
      </c>
      <c r="E3930" s="82">
        <v>44342.0</v>
      </c>
      <c r="F3930" s="80">
        <v>125.0</v>
      </c>
      <c r="G3930" s="80" t="s">
        <v>63</v>
      </c>
      <c r="H3930" s="80" t="s">
        <v>63</v>
      </c>
      <c r="I3930" s="80" t="s">
        <v>63</v>
      </c>
      <c r="J3930" s="80">
        <v>223.0</v>
      </c>
      <c r="K3930" s="80">
        <v>1.0</v>
      </c>
      <c r="L3930" s="80" t="s">
        <v>1596</v>
      </c>
    </row>
    <row r="3931">
      <c r="A3931" s="80" t="s">
        <v>238</v>
      </c>
      <c r="B3931" s="81" t="str">
        <f>HYPERLINK("https://www.youtube.com/channel/UCSBkm4LwpgBmcA3MCtO8vqg", "Post76影音玩樂")</f>
        <v>Post76影音玩樂</v>
      </c>
      <c r="C3931" s="80" t="s">
        <v>4342</v>
      </c>
      <c r="D3931" s="81" t="str">
        <f>HYPERLINK("https://youtube.com/watch?v=ciyIzG0YvTQ", "NAD M10 串流合併 All-in-One 點止聽歌咁簡單 ?! Step by Step 教你點玩法. (feat.雅詠女神Yui) （附設中文字幕）粵語 【音響評測 | Post76.hk】")</f>
        <v>NAD M10 串流合併 All-in-One 點止聽歌咁簡單 ?! Step by Step 教你點玩法. (feat.雅詠女神Yui) （附設中文字幕）粵語 【音響評測 | Post76.hk】</v>
      </c>
      <c r="E3931" s="82">
        <v>44266.0</v>
      </c>
      <c r="F3931" s="80">
        <v>654.0</v>
      </c>
      <c r="G3931" s="80" t="s">
        <v>63</v>
      </c>
      <c r="H3931" s="80" t="s">
        <v>63</v>
      </c>
      <c r="I3931" s="80" t="s">
        <v>63</v>
      </c>
      <c r="J3931" s="80">
        <v>2462.0</v>
      </c>
      <c r="K3931" s="80">
        <v>0.850513637973786</v>
      </c>
      <c r="L3931" s="80" t="s">
        <v>66</v>
      </c>
    </row>
    <row r="3932">
      <c r="A3932" s="80" t="s">
        <v>127</v>
      </c>
      <c r="B3932" s="81" t="str">
        <f t="shared" ref="B3932:B3934" si="207">HYPERLINK("https://www.youtube.com/channel/UC97oYK3XMf9RLtkc0lO8C-Q", "健康旦 HiEggo")</f>
        <v>健康旦 HiEggo</v>
      </c>
      <c r="C3932" s="80" t="s">
        <v>4343</v>
      </c>
      <c r="D3932" s="81" t="str">
        <f>HYPERLINK("https://youtube.com/watch?v=cjajw_dDhKQ", "血虛可令皮膚乾燥 中醫師：肺臟乾燥易感冒 太子蔘雪莉無花果潤肺湯 - 鄭丹瑞《健康旦》註冊中醫師 #徐澤昌 Part 3 (CC中文字幕)")</f>
        <v>血虛可令皮膚乾燥 中醫師：肺臟乾燥易感冒 太子蔘雪莉無花果潤肺湯 - 鄭丹瑞《健康旦》註冊中醫師 #徐澤昌 Part 3 (CC中文字幕)</v>
      </c>
      <c r="E3932" s="82">
        <v>44082.0</v>
      </c>
      <c r="F3932" s="80">
        <v>602.0</v>
      </c>
      <c r="G3932" s="80" t="s">
        <v>63</v>
      </c>
      <c r="I3932" s="80" t="s">
        <v>63</v>
      </c>
      <c r="J3932" s="80">
        <v>2396.0</v>
      </c>
      <c r="K3932" s="80">
        <v>0.998749478949562</v>
      </c>
      <c r="L3932" s="80" t="s">
        <v>2771</v>
      </c>
    </row>
    <row r="3933">
      <c r="A3933" s="80" t="s">
        <v>127</v>
      </c>
      <c r="B3933" s="81" t="str">
        <f t="shared" si="207"/>
        <v>健康旦 HiEggo</v>
      </c>
      <c r="C3933" s="80" t="s">
        <v>4344</v>
      </c>
      <c r="D3933" s="81" t="str">
        <f>HYPERLINK("https://youtube.com/watch?v=ckGkRZ6eJto", "大女鄭瑤教煮白酒煮燉雞 超市選購白酒策略 細女鄭珉示範精湛刀法 - 鄭丹瑞《健康旦》Vlog （CC中文字幕）")</f>
        <v>大女鄭瑤教煮白酒煮燉雞 超市選購白酒策略 細女鄭珉示範精湛刀法 - 鄭丹瑞《健康旦》Vlog （CC中文字幕）</v>
      </c>
      <c r="E3933" s="82">
        <v>43961.0</v>
      </c>
      <c r="F3933" s="80">
        <v>817.0</v>
      </c>
      <c r="G3933" s="80" t="s">
        <v>63</v>
      </c>
      <c r="I3933" s="80" t="s">
        <v>63</v>
      </c>
      <c r="J3933" s="80">
        <v>2468.0</v>
      </c>
      <c r="K3933" s="80">
        <v>0.956218519953506</v>
      </c>
      <c r="L3933" s="80" t="s">
        <v>102</v>
      </c>
    </row>
    <row r="3934">
      <c r="A3934" s="80" t="s">
        <v>127</v>
      </c>
      <c r="B3934" s="81" t="str">
        <f t="shared" si="207"/>
        <v>健康旦 HiEggo</v>
      </c>
      <c r="C3934" s="80" t="s">
        <v>4345</v>
      </c>
      <c r="D3934" s="81" t="str">
        <f>HYPERLINK("https://youtube.com/watch?v=cm4NH0rxa4I", "維他命C功效產生嘅利益衝突！李維恩教授維他命C攝取量建議 - 鄭丹瑞《健康旦》李維恩 Part 10")</f>
        <v>維他命C功效產生嘅利益衝突！李維恩教授維他命C攝取量建議 - 鄭丹瑞《健康旦》李維恩 Part 10</v>
      </c>
      <c r="E3934" s="82">
        <v>43929.0</v>
      </c>
      <c r="F3934" s="80">
        <v>799.0</v>
      </c>
      <c r="G3934" s="80" t="s">
        <v>63</v>
      </c>
      <c r="I3934" s="80" t="s">
        <v>63</v>
      </c>
      <c r="J3934" s="80">
        <v>2698.0</v>
      </c>
      <c r="K3934" s="80">
        <v>0.94766420793818</v>
      </c>
      <c r="L3934" s="80" t="s">
        <v>64</v>
      </c>
    </row>
    <row r="3935">
      <c r="A3935" s="80" t="s">
        <v>1260</v>
      </c>
      <c r="B3935" s="81" t="str">
        <f>HYPERLINK("https://www.youtube.com/channel/UCh1k4i86BpiXEO3nzJIYynw", "The Wave")</f>
        <v>The Wave</v>
      </c>
      <c r="C3935" s="80" t="s">
        <v>4346</v>
      </c>
      <c r="D3935" s="81" t="str">
        <f>HYPERLINK("https://youtube.com/watch?v=cmA4wD7hwLo", "TheWave | Xperia 2 ？！乜料...呢部電話唔係Xperia 1 後繼！？")</f>
        <v>TheWave | Xperia 2 ？！乜料...呢部電話唔係Xperia 1 後繼！？</v>
      </c>
      <c r="E3935" s="82">
        <v>43611.0</v>
      </c>
      <c r="F3935" s="80">
        <v>190.0</v>
      </c>
      <c r="G3935" s="80" t="s">
        <v>63</v>
      </c>
      <c r="H3935" s="80" t="s">
        <v>63</v>
      </c>
      <c r="I3935" s="80" t="s">
        <v>63</v>
      </c>
      <c r="J3935" s="80">
        <v>703.0</v>
      </c>
      <c r="K3935" s="80">
        <v>0.741525423728813</v>
      </c>
      <c r="L3935" s="80" t="s">
        <v>1132</v>
      </c>
    </row>
    <row r="3936">
      <c r="A3936" s="80" t="s">
        <v>124</v>
      </c>
      <c r="B3936" s="81" t="str">
        <f>HYPERLINK("https://www.youtube.com/channel/UCg0vuSE0fBF_NvodyYhMcWg", "Wallace Studio HK")</f>
        <v>Wallace Studio HK</v>
      </c>
      <c r="C3936" s="80" t="s">
        <v>4347</v>
      </c>
      <c r="D3936" s="81" t="str">
        <f>HYPERLINK("https://youtube.com/watch?v=cpXuqY6KDWg", "[路由器] 試左個強大既Wifi 6 路由器! Netgear NightHawk AX12(RAX120) 試用!")</f>
        <v>[路由器] 試左個強大既Wifi 6 路由器! Netgear NightHawk AX12(RAX120) 試用!</v>
      </c>
      <c r="E3936" s="82">
        <v>44519.0</v>
      </c>
      <c r="F3936" s="80">
        <v>442.0</v>
      </c>
      <c r="G3936" s="80" t="s">
        <v>63</v>
      </c>
      <c r="H3936" s="80" t="s">
        <v>63</v>
      </c>
      <c r="I3936" s="80" t="s">
        <v>63</v>
      </c>
      <c r="J3936" s="80">
        <v>1737.0</v>
      </c>
      <c r="K3936" s="80">
        <v>0.69452219112355</v>
      </c>
      <c r="L3936" s="80" t="s">
        <v>86</v>
      </c>
    </row>
    <row r="3937">
      <c r="A3937" s="80" t="s">
        <v>108</v>
      </c>
      <c r="B3937" s="81" t="str">
        <f>HYPERLINK("https://www.youtube.com/channel/UCZL6QN6Xs-ZrKY3y6Pv6Emg", "廢青 - 日賺3000")</f>
        <v>廢青 - 日賺3000</v>
      </c>
      <c r="C3937" s="80" t="s">
        <v>4348</v>
      </c>
      <c r="D3937" s="81" t="str">
        <f>HYPERLINK("https://youtube.com/watch?v=cqR9zxMvlEA", "【財務自由靠股票】㊙月供股票3大陷阱(下)😱😱😱 (2020 股票投資教學EP3)【廢青 日賺3000】【點CC看中文字幕】")</f>
        <v>【財務自由靠股票】㊙月供股票3大陷阱(下)😱😱😱 (2020 股票投資教學EP3)【廢青 日賺3000】【點CC看中文字幕】</v>
      </c>
      <c r="E3937" s="82">
        <v>43623.0</v>
      </c>
      <c r="F3937" s="80">
        <v>857.0</v>
      </c>
      <c r="G3937" s="80" t="s">
        <v>63</v>
      </c>
      <c r="I3937" s="80" t="s">
        <v>63</v>
      </c>
      <c r="J3937" s="80">
        <v>3461.0</v>
      </c>
      <c r="K3937" s="80">
        <v>0.880437547697786</v>
      </c>
      <c r="L3937" s="80" t="s">
        <v>64</v>
      </c>
    </row>
    <row r="3938">
      <c r="A3938" s="80" t="s">
        <v>1987</v>
      </c>
      <c r="B3938" s="81" t="str">
        <f>HYPERLINK("https://www.youtube.com/channel/UCgGUmm04nVyj-ftaCxVcyBg", "MangoHK大馬獅家")</f>
        <v>MangoHK大馬獅家</v>
      </c>
      <c r="C3938" s="80" t="s">
        <v>4349</v>
      </c>
      <c r="D3938" s="81" t="str">
        <f>HYPERLINK("https://youtube.com/watch?v=cr1i_3ah8X4", "【47】💸完全無收入🥺生活怎樣過？{中英字幕}  Subtitled | Malaysia Monthly Income | Malaysia Vlog | mm2h")</f>
        <v>【47】💸完全無收入🥺生活怎樣過？{中英字幕}  Subtitled | Malaysia Monthly Income | Malaysia Vlog | mm2h</v>
      </c>
      <c r="E3938" s="82">
        <v>44475.0</v>
      </c>
      <c r="F3938" s="80">
        <v>455.0</v>
      </c>
      <c r="G3938" s="80" t="s">
        <v>63</v>
      </c>
      <c r="I3938" s="80" t="s">
        <v>63</v>
      </c>
      <c r="J3938" s="80">
        <v>1323.0</v>
      </c>
      <c r="K3938" s="80">
        <v>0.955234657039711</v>
      </c>
      <c r="L3938" s="80" t="s">
        <v>896</v>
      </c>
    </row>
    <row r="3939">
      <c r="A3939" s="80" t="s">
        <v>108</v>
      </c>
      <c r="B3939" s="81" t="str">
        <f>HYPERLINK("https://www.youtube.com/channel/UCZL6QN6Xs-ZrKY3y6Pv6Emg", "廢青 - 日賺3000")</f>
        <v>廢青 - 日賺3000</v>
      </c>
      <c r="C3939" s="80" t="s">
        <v>4350</v>
      </c>
      <c r="D3939" s="81" t="str">
        <f>HYPERLINK("https://youtube.com/watch?v=crdHz8IEHjg", "Bitcoin 跌穿$30,000㊙️㊙️ 立即狗衝入市?  | ⚠️重要提示⚠️! 【廢青 日賺3000】【點CC看中文字幕】")</f>
        <v>Bitcoin 跌穿$30,000㊙️㊙️ 立即狗衝入市?  | ⚠️重要提示⚠️! 【廢青 日賺3000】【點CC看中文字幕】</v>
      </c>
      <c r="E3939" s="82">
        <v>44344.0</v>
      </c>
      <c r="F3939" s="80">
        <v>773.0</v>
      </c>
      <c r="G3939" s="80" t="s">
        <v>63</v>
      </c>
      <c r="I3939" s="80" t="s">
        <v>63</v>
      </c>
      <c r="J3939" s="80">
        <v>3131.0</v>
      </c>
      <c r="K3939" s="80">
        <v>0.820492662473794</v>
      </c>
      <c r="L3939" s="80" t="s">
        <v>64</v>
      </c>
    </row>
    <row r="3940">
      <c r="A3940" s="80" t="s">
        <v>127</v>
      </c>
      <c r="B3940" s="81" t="str">
        <f>HYPERLINK("https://www.youtube.com/channel/UC97oYK3XMf9RLtkc0lO8C-Q", "健康旦 HiEggo")</f>
        <v>健康旦 HiEggo</v>
      </c>
      <c r="C3940" s="80" t="s">
        <v>4351</v>
      </c>
      <c r="D3940" s="81" t="str">
        <f>HYPERLINK("https://youtube.com/watch?v=ctLpAJkywew", "陳美齡教仔應用兒童心理學 孩子成長快樂優先 三兄弟現居加洲半年無見 - 鄭丹瑞《健康旦》 #陳美齡 Part 4 (CC中文字幕)")</f>
        <v>陳美齡教仔應用兒童心理學 孩子成長快樂優先 三兄弟現居加洲半年無見 - 鄭丹瑞《健康旦》 #陳美齡 Part 4 (CC中文字幕)</v>
      </c>
      <c r="E3940" s="82">
        <v>44121.0</v>
      </c>
      <c r="F3940" s="80">
        <v>560.0</v>
      </c>
      <c r="G3940" s="80" t="s">
        <v>63</v>
      </c>
      <c r="I3940" s="80" t="s">
        <v>63</v>
      </c>
      <c r="J3940" s="80">
        <v>1925.0</v>
      </c>
      <c r="K3940" s="80">
        <v>0.966850828729281</v>
      </c>
      <c r="L3940" s="80" t="s">
        <v>64</v>
      </c>
    </row>
    <row r="3941">
      <c r="A3941" s="80" t="s">
        <v>288</v>
      </c>
      <c r="B3941" s="81" t="str">
        <f>HYPERLINK("https://www.youtube.com/channel/UCDWOYEhVnyD4IHZGVAMLc0g", "Brendan 毛爸")</f>
        <v>Brendan 毛爸</v>
      </c>
      <c r="C3941" s="80" t="s">
        <v>4352</v>
      </c>
      <c r="D3941" s="81" t="str">
        <f>HYPERLINK("https://youtube.com/watch?v=cuKNQvyuevk", "S1S2 凌晨皇城大戰！ 柔道 VS 初心不改+青火即滅！v2.7更新後城池科技研究及解說！還適合長時間戰爭？能一次下三十城？ ｜新三國志手機版攻略 （請打開CC 中文字幕）")</f>
        <v>S1S2 凌晨皇城大戰！ 柔道 VS 初心不改+青火即滅！v2.7更新後城池科技研究及解說！還適合長時間戰爭？能一次下三十城？ ｜新三國志手機版攻略 （請打開CC 中文字幕）</v>
      </c>
      <c r="E3941" s="82">
        <v>44040.0</v>
      </c>
      <c r="F3941" s="80">
        <v>656.0</v>
      </c>
      <c r="G3941" s="80" t="s">
        <v>63</v>
      </c>
      <c r="I3941" s="80" t="s">
        <v>63</v>
      </c>
      <c r="J3941" s="80">
        <v>1286.0</v>
      </c>
      <c r="K3941" s="80">
        <v>0.969103240391861</v>
      </c>
      <c r="L3941" s="80" t="s">
        <v>64</v>
      </c>
    </row>
    <row r="3942">
      <c r="A3942" s="80" t="s">
        <v>1139</v>
      </c>
      <c r="B3942" s="81" t="str">
        <f>HYPERLINK("https://www.youtube.com/channel/UCw51gVFijIewmXH4tIR0ufw", "Crystal Zen")</f>
        <v>Crystal Zen</v>
      </c>
      <c r="C3942" s="80" t="s">
        <v>4353</v>
      </c>
      <c r="D3942" s="81" t="str">
        <f>HYPERLINK("https://youtube.com/watch?v=cx1poxeRRLg", "[水晶知多啲第五集]拉長石係乜東東？")</f>
        <v>[水晶知多啲第五集]拉長石係乜東東？</v>
      </c>
      <c r="E3942" s="82">
        <v>44027.0</v>
      </c>
      <c r="F3942" s="80">
        <v>525.0</v>
      </c>
      <c r="G3942" s="80" t="s">
        <v>63</v>
      </c>
      <c r="I3942" s="80" t="s">
        <v>63</v>
      </c>
      <c r="J3942" s="80">
        <v>2313.0</v>
      </c>
      <c r="K3942" s="80">
        <v>0.957367549668874</v>
      </c>
      <c r="L3942" s="80" t="s">
        <v>64</v>
      </c>
    </row>
    <row r="3943">
      <c r="A3943" s="80" t="s">
        <v>2753</v>
      </c>
      <c r="B3943" s="81" t="str">
        <f t="shared" ref="B3943:B3944" si="208">HYPERLINK("https://www.youtube.com/channel/UCxRXNy5P6fLtHYpawxoiqJQ", "焦點視頻")</f>
        <v>焦點視頻</v>
      </c>
      <c r="C3943" s="80" t="s">
        <v>4354</v>
      </c>
      <c r="D3943" s="81" t="str">
        <f>HYPERLINK("https://youtube.com/watch?v=d0DMOmqWCgk", "(中字) 為「九運」來臨做準備！ 2022壬寅年風水佈局，個人「人緣」催旺法︱玄學大師李應聰師傅《焦點視頻 x 開運王》")</f>
        <v>(中字) 為「九運」來臨做準備！ 2022壬寅年風水佈局，個人「人緣」催旺法︱玄學大師李應聰師傅《焦點視頻 x 開運王》</v>
      </c>
      <c r="E3943" s="82">
        <v>44540.0</v>
      </c>
      <c r="F3943" s="80">
        <v>1110.0</v>
      </c>
      <c r="G3943" s="80" t="s">
        <v>63</v>
      </c>
      <c r="I3943" s="80" t="s">
        <v>63</v>
      </c>
      <c r="J3943" s="80">
        <v>5071.0</v>
      </c>
      <c r="K3943" s="80">
        <v>0.989463414634146</v>
      </c>
      <c r="L3943" s="80" t="s">
        <v>2755</v>
      </c>
    </row>
    <row r="3944">
      <c r="A3944" s="80" t="s">
        <v>2753</v>
      </c>
      <c r="B3944" s="81" t="str">
        <f t="shared" si="208"/>
        <v>焦點視頻</v>
      </c>
      <c r="C3944" s="80" t="s">
        <v>4355</v>
      </c>
      <c r="D3944" s="81" t="str">
        <f>HYPERLINK("https://youtube.com/watch?v=d67985Yv0GM", "【中文字幕】面相認清好上司！ 職場識人術10秒懂人心！《施敏玲玄學應用》 EP62 20211124")</f>
        <v>【中文字幕】面相認清好上司！ 職場識人術10秒懂人心！《施敏玲玄學應用》 EP62 20211124</v>
      </c>
      <c r="E3944" s="82">
        <v>44523.0</v>
      </c>
      <c r="F3944" s="80">
        <v>572.0</v>
      </c>
      <c r="G3944" s="80" t="s">
        <v>63</v>
      </c>
      <c r="I3944" s="80" t="s">
        <v>63</v>
      </c>
      <c r="J3944" s="80">
        <v>2766.0</v>
      </c>
      <c r="K3944" s="80">
        <v>0.993177737881508</v>
      </c>
      <c r="L3944" s="80" t="s">
        <v>3012</v>
      </c>
    </row>
    <row r="3945">
      <c r="A3945" s="80" t="s">
        <v>127</v>
      </c>
      <c r="B3945" s="81" t="str">
        <f>HYPERLINK("https://www.youtube.com/channel/UC97oYK3XMf9RLtkc0lO8C-Q", "健康旦 HiEggo")</f>
        <v>健康旦 HiEggo</v>
      </c>
      <c r="C3945" s="80" t="s">
        <v>4356</v>
      </c>
      <c r="D3945" s="81" t="str">
        <f>HYPERLINK("https://youtube.com/watch?v=d7_Ic4sOcpg", "拜訪慈山寺嚮往寧靜無分宗教 修習慈悲喜捨四大能量 - 鄭丹瑞《健康旦》旦Vlog")</f>
        <v>拜訪慈山寺嚮往寧靜無分宗教 修習慈悲喜捨四大能量 - 鄭丹瑞《健康旦》旦Vlog</v>
      </c>
      <c r="E3945" s="82">
        <v>43975.0</v>
      </c>
      <c r="F3945" s="80">
        <v>812.0</v>
      </c>
      <c r="G3945" s="80" t="s">
        <v>63</v>
      </c>
      <c r="I3945" s="80" t="s">
        <v>63</v>
      </c>
      <c r="J3945" s="80">
        <v>3718.0</v>
      </c>
      <c r="K3945" s="80">
        <v>0.952600563668972</v>
      </c>
      <c r="L3945" s="80" t="s">
        <v>64</v>
      </c>
    </row>
    <row r="3946">
      <c r="A3946" s="80" t="s">
        <v>124</v>
      </c>
      <c r="B3946" s="81" t="str">
        <f>HYPERLINK("https://www.youtube.com/channel/UCg0vuSE0fBF_NvodyYhMcWg", "Wallace Studio HK")</f>
        <v>Wallace Studio HK</v>
      </c>
      <c r="C3946" s="80" t="s">
        <v>4357</v>
      </c>
      <c r="D3946" s="81" t="str">
        <f>HYPERLINK("https://youtube.com/watch?v=d8dbRje1Aoc", "[拍攝比較] Galaxy S21+ VS 小米11 VS Sony Xperia 5 II 拍攝全比較!!! (CC中文字幕)")</f>
        <v>[拍攝比較] Galaxy S21+ VS 小米11 VS Sony Xperia 5 II 拍攝全比較!!! (CC中文字幕)</v>
      </c>
      <c r="E3946" s="82">
        <v>44247.0</v>
      </c>
      <c r="F3946" s="80">
        <v>369.0</v>
      </c>
      <c r="G3946" s="80" t="s">
        <v>63</v>
      </c>
      <c r="H3946" s="80" t="s">
        <v>63</v>
      </c>
      <c r="I3946" s="80" t="s">
        <v>63</v>
      </c>
      <c r="J3946" s="80">
        <v>1268.0</v>
      </c>
      <c r="K3946" s="80">
        <v>0.798488664987405</v>
      </c>
      <c r="L3946" s="80" t="s">
        <v>86</v>
      </c>
    </row>
    <row r="3947">
      <c r="A3947" s="80" t="s">
        <v>1260</v>
      </c>
      <c r="B3947" s="81" t="str">
        <f>HYPERLINK("https://www.youtube.com/channel/UCh1k4i86BpiXEO3nzJIYynw", "The Wave")</f>
        <v>The Wave</v>
      </c>
      <c r="C3947" s="80" t="s">
        <v>4358</v>
      </c>
      <c r="D3947" s="81" t="str">
        <f>HYPERLINK("https://youtube.com/watch?v=d9DIGYH-VQM", "TheWave | Logitech 最新電競滑鼠 G604 開箱")</f>
        <v>TheWave | Logitech 最新電競滑鼠 G604 開箱</v>
      </c>
      <c r="E3947" s="82">
        <v>43775.0</v>
      </c>
      <c r="F3947" s="80">
        <v>197.0</v>
      </c>
      <c r="G3947" s="80" t="s">
        <v>63</v>
      </c>
      <c r="I3947" s="80" t="s">
        <v>63</v>
      </c>
      <c r="J3947" s="80">
        <v>692.0</v>
      </c>
      <c r="K3947" s="80">
        <v>0.759604829857299</v>
      </c>
      <c r="L3947" s="80" t="s">
        <v>102</v>
      </c>
    </row>
    <row r="3948">
      <c r="A3948" s="80" t="s">
        <v>1390</v>
      </c>
      <c r="B3948" s="81" t="str">
        <f t="shared" ref="B3948:B3949" si="209">HYPERLINK("https://www.youtube.com/channel/UCgwEJflQi4WnZ8PU0xdibZQ", "Kinson Ho")</f>
        <v>Kinson Ho</v>
      </c>
      <c r="C3948" s="80" t="s">
        <v>4359</v>
      </c>
      <c r="D3948" s="81" t="str">
        <f>HYPERLINK("https://youtube.com/watch?v=dA_YhcUX3yU", "K神任我行 - [CC字幕4K] 大潭廢堡+機槍堡+探射燈台｜李小龍電影《龍爭虎鬥》取景場地｜軍事遺跡｜打卡熱點｜航拍")</f>
        <v>K神任我行 - [CC字幕4K] 大潭廢堡+機槍堡+探射燈台｜李小龍電影《龍爭虎鬥》取景場地｜軍事遺跡｜打卡熱點｜航拍</v>
      </c>
      <c r="E3948" s="82">
        <v>44540.0</v>
      </c>
      <c r="F3948" s="80">
        <v>971.0</v>
      </c>
      <c r="G3948" s="80" t="s">
        <v>63</v>
      </c>
      <c r="I3948" s="80" t="s">
        <v>63</v>
      </c>
      <c r="J3948" s="80">
        <v>932.0</v>
      </c>
      <c r="K3948" s="80">
        <v>0.940464177598385</v>
      </c>
      <c r="L3948" s="80" t="s">
        <v>64</v>
      </c>
    </row>
    <row r="3949">
      <c r="A3949" s="80" t="s">
        <v>1390</v>
      </c>
      <c r="B3949" s="81" t="str">
        <f t="shared" si="209"/>
        <v>Kinson Ho</v>
      </c>
      <c r="C3949" s="80" t="s">
        <v>4360</v>
      </c>
      <c r="D3949" s="81" t="str">
        <f>HYPERLINK("https://youtube.com/watch?v=dArlMLSWhh8", "K神任我行 - [CC字幕4K] 黃龍石澗｜澗鞋大測試｜澗王之王｜Five Ten｜黃龍瀑｜左龍瀑｜右龍瀑｜龍尾瀑｜航拍")</f>
        <v>K神任我行 - [CC字幕4K] 黃龍石澗｜澗鞋大測試｜澗王之王｜Five Ten｜黃龍瀑｜左龍瀑｜右龍瀑｜龍尾瀑｜航拍</v>
      </c>
      <c r="E3949" s="82">
        <v>44477.0</v>
      </c>
      <c r="F3949" s="80">
        <v>1497.0</v>
      </c>
      <c r="G3949" s="80" t="s">
        <v>63</v>
      </c>
      <c r="I3949" s="80" t="s">
        <v>63</v>
      </c>
      <c r="J3949" s="80">
        <v>1238.0</v>
      </c>
      <c r="K3949" s="80">
        <v>0.938589840788476</v>
      </c>
      <c r="L3949" s="80" t="s">
        <v>64</v>
      </c>
    </row>
    <row r="3950">
      <c r="A3950" s="80" t="s">
        <v>248</v>
      </c>
      <c r="B3950" s="81" t="str">
        <f>HYPERLINK("https://www.youtube.com/channel/UCUEJok-GiWaGlv5nIPwk-GQ", "Price.com.hk 香港格價網")</f>
        <v>Price.com.hk 香港格價網</v>
      </c>
      <c r="C3950" s="80" t="s">
        <v>4361</v>
      </c>
      <c r="D3950" s="81" t="str">
        <f>HYPERLINK("https://youtube.com/watch?v=dE68sg4YgKM", "Google、Yahoo 2021年十大熱門搜尋榜．月費$28 Apple Music語音點播計劃即將推出．傳Sony出遊戲訂閱服務｜廣東話【Price Weekly #92 2021年12月 】")</f>
        <v>Google、Yahoo 2021年十大熱門搜尋榜．月費$28 Apple Music語音點播計劃即將推出．傳Sony出遊戲訂閱服務｜廣東話【Price Weekly #92 2021年12月 】</v>
      </c>
      <c r="E3950" s="82">
        <v>44541.0</v>
      </c>
      <c r="F3950" s="80">
        <v>444.0</v>
      </c>
      <c r="G3950" s="80" t="s">
        <v>63</v>
      </c>
      <c r="I3950" s="80" t="s">
        <v>63</v>
      </c>
      <c r="J3950" s="80">
        <v>1591.0</v>
      </c>
      <c r="K3950" s="80">
        <v>0.687851275399913</v>
      </c>
      <c r="L3950" s="80" t="s">
        <v>64</v>
      </c>
    </row>
    <row r="3951">
      <c r="A3951" s="80" t="s">
        <v>1390</v>
      </c>
      <c r="B3951" s="81" t="str">
        <f>HYPERLINK("https://www.youtube.com/channel/UCgwEJflQi4WnZ8PU0xdibZQ", "Kinson Ho")</f>
        <v>Kinson Ho</v>
      </c>
      <c r="C3951" s="80" t="s">
        <v>4362</v>
      </c>
      <c r="D3951" s="81" t="str">
        <f>HYPERLINK("https://youtube.com/watch?v=dERgLKQC46Q", "K神任我行 - [4K高清CC字幕]  西貢快艇周圍飛｜短咀｜將軍石｜米粉咀｜黃茅洲｜燕子岩｜尖洲｜大洲｜眼洞｜千溪海岸｜劍龍石｜航拍")</f>
        <v>K神任我行 - [4K高清CC字幕]  西貢快艇周圍飛｜短咀｜將軍石｜米粉咀｜黃茅洲｜燕子岩｜尖洲｜大洲｜眼洞｜千溪海岸｜劍龍石｜航拍</v>
      </c>
      <c r="E3951" s="82">
        <v>44418.0</v>
      </c>
      <c r="F3951" s="80">
        <v>663.0</v>
      </c>
      <c r="G3951" s="80" t="s">
        <v>63</v>
      </c>
      <c r="I3951" s="80" t="s">
        <v>63</v>
      </c>
      <c r="J3951" s="80">
        <v>792.0</v>
      </c>
      <c r="K3951" s="80">
        <v>0.967032967032967</v>
      </c>
      <c r="L3951" s="80" t="s">
        <v>64</v>
      </c>
    </row>
    <row r="3952">
      <c r="A3952" s="80" t="s">
        <v>2829</v>
      </c>
      <c r="B3952" s="81" t="str">
        <f>HYPERLINK("https://www.youtube.com/channel/UC7GnES6AEQlDzaP04UqtyjA", "SOLID IDEA")</f>
        <v>SOLID IDEA</v>
      </c>
      <c r="C3952" s="80" t="s">
        <v>4363</v>
      </c>
      <c r="D3952" s="81" t="str">
        <f>HYPERLINK("https://youtube.com/watch?v=dEc6WEw_njA", "[#設計概念] #坪石邨 #間房 #公屋變私樓   (CC中文字幕)")</f>
        <v>[#設計概念] #坪石邨 #間房 #公屋變私樓   (CC中文字幕)</v>
      </c>
      <c r="E3952" s="82">
        <v>44110.0</v>
      </c>
      <c r="F3952" s="80">
        <v>226.0</v>
      </c>
      <c r="G3952" s="80" t="s">
        <v>63</v>
      </c>
      <c r="I3952" s="80" t="s">
        <v>63</v>
      </c>
      <c r="J3952" s="80">
        <v>762.0</v>
      </c>
      <c r="K3952" s="80">
        <v>0.954887218045112</v>
      </c>
      <c r="L3952" s="80" t="s">
        <v>64</v>
      </c>
    </row>
    <row r="3953">
      <c r="A3953" s="80" t="s">
        <v>124</v>
      </c>
      <c r="B3953" s="81" t="str">
        <f>HYPERLINK("https://www.youtube.com/channel/UCg0vuSE0fBF_NvodyYhMcWg", "Wallace Studio HK")</f>
        <v>Wallace Studio HK</v>
      </c>
      <c r="C3953" s="80" t="s">
        <v>4364</v>
      </c>
      <c r="D3953" s="81" t="str">
        <f>HYPERLINK("https://youtube.com/watch?v=dFzLPseU8GI", "[MiniPC] Zotac Magnus One (ECM53060C) 唔好睇少細細地既一部機仔!!! ""納米樓"" 枱機之選")</f>
        <v>[MiniPC] Zotac Magnus One (ECM53060C) 唔好睇少細細地既一部機仔!!! "納米樓" 枱機之選</v>
      </c>
      <c r="E3953" s="82">
        <v>44417.0</v>
      </c>
      <c r="F3953" s="80">
        <v>564.0</v>
      </c>
      <c r="G3953" s="80" t="s">
        <v>63</v>
      </c>
      <c r="H3953" s="80" t="s">
        <v>63</v>
      </c>
      <c r="I3953" s="80" t="s">
        <v>63</v>
      </c>
      <c r="J3953" s="80">
        <v>1765.0</v>
      </c>
      <c r="K3953" s="80">
        <v>0.703187250996016</v>
      </c>
      <c r="L3953" s="80" t="s">
        <v>86</v>
      </c>
    </row>
    <row r="3954">
      <c r="A3954" s="80" t="s">
        <v>127</v>
      </c>
      <c r="B3954" s="81" t="str">
        <f>HYPERLINK("https://www.youtube.com/channel/UC97oYK3XMf9RLtkc0lO8C-Q", "健康旦 HiEggo")</f>
        <v>健康旦 HiEggo</v>
      </c>
      <c r="C3954" s="80" t="s">
        <v>4365</v>
      </c>
      <c r="D3954" s="81" t="str">
        <f>HYPERLINK("https://youtube.com/watch?v=dITk4NGv38I", "李維恩教授神秘身份大揭秘 帶你認識愉快荷爾蒙 按壓穴位幫助提神息怒  - 鄭丹瑞《健康旦》李維恩 Part 13")</f>
        <v>李維恩教授神秘身份大揭秘 帶你認識愉快荷爾蒙 按壓穴位幫助提神息怒  - 鄭丹瑞《健康旦》李維恩 Part 13</v>
      </c>
      <c r="E3954" s="82">
        <v>43979.0</v>
      </c>
      <c r="F3954" s="80">
        <v>920.0</v>
      </c>
      <c r="G3954" s="80" t="s">
        <v>63</v>
      </c>
      <c r="I3954" s="80" t="s">
        <v>63</v>
      </c>
      <c r="J3954" s="80">
        <v>3076.0</v>
      </c>
      <c r="K3954" s="80">
        <v>0.969124133585381</v>
      </c>
      <c r="L3954" s="80" t="s">
        <v>64</v>
      </c>
    </row>
    <row r="3955">
      <c r="A3955" s="80" t="s">
        <v>2780</v>
      </c>
      <c r="B3955" s="81" t="str">
        <f>HYPERLINK("https://www.youtube.com/channel/UC0CojhLcc0VESgaG633m5kA", "RainErs")</f>
        <v>RainErs</v>
      </c>
      <c r="C3955" s="80" t="s">
        <v>4366</v>
      </c>
      <c r="D3955" s="81" t="str">
        <f>HYPERLINK("https://youtube.com/watch?v=dLNUQ3AnqAs", "SONY A7C📷📷!![開箱] --- 消費券之選💰💰! ! //最強Vlog相機🈵️🈵️ ??[有CC字幕]")</f>
        <v>SONY A7C📷📷!![開箱] --- 消費券之選💰💰! ! //最強Vlog相機🈵️🈵️ ??[有CC字幕]</v>
      </c>
      <c r="E3955" s="82">
        <v>44495.0</v>
      </c>
      <c r="F3955" s="80">
        <v>605.0</v>
      </c>
      <c r="G3955" s="80" t="s">
        <v>63</v>
      </c>
      <c r="I3955" s="80" t="s">
        <v>63</v>
      </c>
      <c r="J3955" s="80">
        <v>2302.0</v>
      </c>
      <c r="K3955" s="80">
        <v>0.9520264681555</v>
      </c>
      <c r="L3955" s="80" t="s">
        <v>64</v>
      </c>
    </row>
    <row r="3956">
      <c r="A3956" s="80" t="s">
        <v>293</v>
      </c>
      <c r="B3956" s="81" t="str">
        <f>HYPERLINK("https://www.youtube.com/channel/UCXRcbXqjORdIvl63I7MtOLQ", "趁熱 Kerry 's kitchen")</f>
        <v>趁熱 Kerry 's kitchen</v>
      </c>
      <c r="C3956" s="80" t="s">
        <v>4367</v>
      </c>
      <c r="D3956" s="81" t="str">
        <f>HYPERLINK("https://youtube.com/watch?v=dNoARKlrwJA", "餐肉蘿蔔 煎蛋餅/原創香港菜/下飯菜/簡單 家做/粵語/中字/新手 入門/")</f>
        <v>餐肉蘿蔔 煎蛋餅/原創香港菜/下飯菜/簡單 家做/粵語/中字/新手 入門/</v>
      </c>
      <c r="E3956" s="82">
        <v>44358.0</v>
      </c>
      <c r="F3956" s="80">
        <v>565.0</v>
      </c>
      <c r="G3956" s="80" t="s">
        <v>63</v>
      </c>
      <c r="I3956" s="80" t="s">
        <v>63</v>
      </c>
      <c r="J3956" s="80">
        <v>1463.0</v>
      </c>
      <c r="K3956" s="80">
        <v>0.986513823331085</v>
      </c>
      <c r="L3956" s="80" t="s">
        <v>64</v>
      </c>
    </row>
    <row r="3957">
      <c r="A3957" s="80" t="s">
        <v>1987</v>
      </c>
      <c r="B3957" s="81" t="str">
        <f>HYPERLINK("https://www.youtube.com/channel/UCgGUmm04nVyj-ftaCxVcyBg", "MangoHK大馬獅家")</f>
        <v>MangoHK大馬獅家</v>
      </c>
      <c r="C3957" s="80" t="s">
        <v>4368</v>
      </c>
      <c r="D3957" s="81" t="str">
        <f>HYPERLINK("https://youtube.com/watch?v=dON1ybaXKUU", "【69】👨‍🍳獅弟小廚神🌮挑戰越南春卷 {中英字幕} Subtitled | Malaysia Vietnamese Spring Roll | Malaysia Vlog | mm2h")</f>
        <v>【69】👨‍🍳獅弟小廚神🌮挑戰越南春卷 {中英字幕} Subtitled | Malaysia Vietnamese Spring Roll | Malaysia Vlog | mm2h</v>
      </c>
      <c r="E3957" s="82">
        <v>44496.0</v>
      </c>
      <c r="F3957" s="80">
        <v>1158.0</v>
      </c>
      <c r="G3957" s="80" t="s">
        <v>63</v>
      </c>
      <c r="I3957" s="80" t="s">
        <v>63</v>
      </c>
      <c r="J3957" s="80">
        <v>2582.0</v>
      </c>
      <c r="K3957" s="80">
        <v>0.969583176868193</v>
      </c>
      <c r="L3957" s="80" t="s">
        <v>896</v>
      </c>
    </row>
    <row r="3958">
      <c r="A3958" s="80" t="s">
        <v>106</v>
      </c>
      <c r="B3958" s="81" t="str">
        <f>HYPERLINK("https://www.youtube.com/channel/UC9jW6WpsAPgh-9HqDTvkFzg", "ValorGears")</f>
        <v>ValorGears</v>
      </c>
      <c r="C3958" s="80" t="s">
        <v>4369</v>
      </c>
      <c r="D3958" s="81" t="str">
        <f>HYPERLINK("https://youtube.com/watch?v=dXlbgJrNGY4", "新龜兔賽跑!? 2077窮砌大賽終極預告 (中文字幕)")</f>
        <v>新龜兔賽跑!? 2077窮砌大賽終極預告 (中文字幕)</v>
      </c>
      <c r="E3958" s="82">
        <v>44208.0</v>
      </c>
      <c r="F3958" s="80">
        <v>110.0</v>
      </c>
      <c r="G3958" s="80" t="s">
        <v>63</v>
      </c>
      <c r="I3958" s="80" t="s">
        <v>63</v>
      </c>
      <c r="J3958" s="80">
        <v>291.0</v>
      </c>
      <c r="K3958" s="80">
        <v>0.853372434017595</v>
      </c>
      <c r="L3958" s="80" t="s">
        <v>64</v>
      </c>
    </row>
    <row r="3959">
      <c r="A3959" s="80" t="s">
        <v>291</v>
      </c>
      <c r="B3959" s="81" t="str">
        <f>HYPERLINK("https://www.youtube.com/channel/UClSNJbCUCp_W4yrS3DlCmjw", "飛馬 PEGASUS")</f>
        <v>飛馬 PEGASUS</v>
      </c>
      <c r="C3959" s="80" t="s">
        <v>4370</v>
      </c>
      <c r="D3959" s="81" t="str">
        <f>HYPERLINK("https://youtube.com/watch?v=dZu5gN02gXY", "[砌機新手 EP5] 如何才能選一個合適的機箱? (CC中文字幕)")</f>
        <v>[砌機新手 EP5] 如何才能選一個合適的機箱? (CC中文字幕)</v>
      </c>
      <c r="E3959" s="82">
        <v>43288.0</v>
      </c>
      <c r="F3959" s="80">
        <v>211.0</v>
      </c>
      <c r="G3959" s="80" t="s">
        <v>63</v>
      </c>
      <c r="I3959" s="80" t="s">
        <v>63</v>
      </c>
      <c r="J3959" s="80">
        <v>610.0</v>
      </c>
      <c r="K3959" s="80">
        <v>0.67853170189099</v>
      </c>
      <c r="L3959" s="80" t="s">
        <v>64</v>
      </c>
    </row>
    <row r="3960">
      <c r="A3960" s="80" t="s">
        <v>238</v>
      </c>
      <c r="B3960" s="81" t="str">
        <f t="shared" ref="B3960:B3961" si="210">HYPERLINK("https://www.youtube.com/channel/UCSBkm4LwpgBmcA3MCtO8vqg", "Post76影音玩樂")</f>
        <v>Post76影音玩樂</v>
      </c>
      <c r="C3960" s="80" t="s">
        <v>4371</v>
      </c>
      <c r="D3960" s="81" t="str">
        <f>HYPERLINK("https://youtube.com/watch?v=deyjcv6esC0", "AirPods Max 值得入手嗎？音樂、睇戲、通話、ANC、空間音效打造蘋果影音生態圈！ | 粵語 | 雙中文字幕【耳機評測 | Post76.hk】")</f>
        <v>AirPods Max 值得入手嗎？音樂、睇戲、通話、ANC、空間音效打造蘋果影音生態圈！ | 粵語 | 雙中文字幕【耳機評測 | Post76.hk】</v>
      </c>
      <c r="E3960" s="82">
        <v>44201.0</v>
      </c>
      <c r="F3960" s="80">
        <v>947.0</v>
      </c>
      <c r="G3960" s="80" t="s">
        <v>63</v>
      </c>
      <c r="H3960" s="80" t="s">
        <v>63</v>
      </c>
      <c r="I3960" s="80" t="s">
        <v>63</v>
      </c>
      <c r="J3960" s="80">
        <v>3416.0</v>
      </c>
      <c r="K3960" s="80">
        <v>0.817132598102077</v>
      </c>
      <c r="L3960" s="80" t="s">
        <v>66</v>
      </c>
    </row>
    <row r="3961">
      <c r="A3961" s="80" t="s">
        <v>238</v>
      </c>
      <c r="B3961" s="81" t="str">
        <f t="shared" si="210"/>
        <v>Post76影音玩樂</v>
      </c>
      <c r="C3961" s="80" t="s">
        <v>4372</v>
      </c>
      <c r="D3961" s="81" t="str">
        <f>HYPERLINK("https://youtube.com/watch?v=dlqr8zKRfWc", "Sennheiser IE900 不負旗艦發燒級耳機之名：動圈之王.......當之無愧！（附設中文字幕）粵語 【耳機評測 | Post76.hk】")</f>
        <v>Sennheiser IE900 不負旗艦發燒級耳機之名：動圈之王.......當之無愧！（附設中文字幕）粵語 【耳機評測 | Post76.hk】</v>
      </c>
      <c r="E3961" s="82">
        <v>44350.0</v>
      </c>
      <c r="F3961" s="80">
        <v>1035.0</v>
      </c>
      <c r="G3961" s="80" t="s">
        <v>63</v>
      </c>
      <c r="H3961" s="80" t="s">
        <v>63</v>
      </c>
      <c r="I3961" s="80" t="s">
        <v>63</v>
      </c>
      <c r="J3961" s="80">
        <v>3630.0</v>
      </c>
      <c r="K3961" s="80">
        <v>0.863003663003663</v>
      </c>
      <c r="L3961" s="80" t="s">
        <v>66</v>
      </c>
    </row>
    <row r="3962">
      <c r="A3962" s="80" t="s">
        <v>127</v>
      </c>
      <c r="B3962" s="81" t="str">
        <f t="shared" ref="B3962:B3963" si="211">HYPERLINK("https://www.youtube.com/channel/UC97oYK3XMf9RLtkc0lO8C-Q", "健康旦 HiEggo")</f>
        <v>健康旦 HiEggo</v>
      </c>
      <c r="C3962" s="80" t="s">
        <v>4373</v>
      </c>
      <c r="D3962" s="81" t="str">
        <f>HYPERLINK("https://youtube.com/watch?v=dpI9_x9kpeA", "日系養生熱療新物 神奇石座負離子對付濕疹筋膜炎 仲可以幫助調整情緒 - 鄭丹瑞《健康旦》Paully Ip (CC中文字幕)")</f>
        <v>日系養生熱療新物 神奇石座負離子對付濕疹筋膜炎 仲可以幫助調整情緒 - 鄭丹瑞《健康旦》Paully Ip (CC中文字幕)</v>
      </c>
      <c r="E3962" s="82">
        <v>43992.0</v>
      </c>
      <c r="F3962" s="80">
        <v>670.0</v>
      </c>
      <c r="G3962" s="80" t="s">
        <v>63</v>
      </c>
      <c r="I3962" s="80" t="s">
        <v>63</v>
      </c>
      <c r="J3962" s="80">
        <v>2709.0</v>
      </c>
      <c r="K3962" s="80">
        <v>0.96234458259325</v>
      </c>
      <c r="L3962" s="80" t="s">
        <v>2771</v>
      </c>
    </row>
    <row r="3963">
      <c r="A3963" s="80" t="s">
        <v>127</v>
      </c>
      <c r="B3963" s="81" t="str">
        <f t="shared" si="211"/>
        <v>健康旦 HiEggo</v>
      </c>
      <c r="C3963" s="80" t="s">
        <v>4374</v>
      </c>
      <c r="D3963" s="81" t="str">
        <f>HYPERLINK("https://youtube.com/watch?v=dsIPyo47ML4", "健脾暖胃蘿蔔絲鰂魚湯食譜！又平又正江南名物 - 鄭丹瑞《健康旦》#方曉嵐 Part 4")</f>
        <v>健脾暖胃蘿蔔絲鰂魚湯食譜！又平又正江南名物 - 鄭丹瑞《健康旦》#方曉嵐 Part 4</v>
      </c>
      <c r="E3963" s="82">
        <v>43933.0</v>
      </c>
      <c r="F3963" s="80">
        <v>681.0</v>
      </c>
      <c r="G3963" s="80" t="s">
        <v>63</v>
      </c>
      <c r="I3963" s="80" t="s">
        <v>63</v>
      </c>
      <c r="J3963" s="80">
        <v>2167.0</v>
      </c>
      <c r="K3963" s="80">
        <v>0.996321839080459</v>
      </c>
      <c r="L3963" s="80" t="s">
        <v>64</v>
      </c>
    </row>
    <row r="3964">
      <c r="A3964" s="80" t="s">
        <v>2825</v>
      </c>
      <c r="B3964" s="81" t="str">
        <f>HYPERLINK("https://www.youtube.com/channel/UCP7XhYDgUbvjvaHxIhjTd_g", "Maviskuku 雞蛋妹")</f>
        <v>Maviskuku 雞蛋妹</v>
      </c>
      <c r="C3964" s="80" t="s">
        <v>4375</v>
      </c>
      <c r="D3964" s="81" t="str">
        <f>HYPERLINK("https://youtube.com/watch?v=dvYoK7-7y9k", "【手機開箱】Sony Xperia 1 III 評測！外形超靚！對焦功能、相機、120Hz OLED 螢幕測試")</f>
        <v>【手機開箱】Sony Xperia 1 III 評測！外形超靚！對焦功能、相機、120Hz OLED 螢幕測試</v>
      </c>
      <c r="E3964" s="82">
        <v>44446.0</v>
      </c>
      <c r="F3964" s="80">
        <v>620.0</v>
      </c>
      <c r="G3964" s="80" t="s">
        <v>63</v>
      </c>
      <c r="H3964" s="80" t="s">
        <v>63</v>
      </c>
      <c r="I3964" s="80" t="s">
        <v>63</v>
      </c>
      <c r="J3964" s="80">
        <v>1962.0</v>
      </c>
      <c r="K3964" s="80">
        <v>0.857142857142857</v>
      </c>
      <c r="L3964" s="80" t="s">
        <v>66</v>
      </c>
    </row>
    <row r="3965">
      <c r="A3965" s="80" t="s">
        <v>1260</v>
      </c>
      <c r="B3965" s="81" t="str">
        <f>HYPERLINK("https://www.youtube.com/channel/UCh1k4i86BpiXEO3nzJIYynw", "The Wave")</f>
        <v>The Wave</v>
      </c>
      <c r="C3965" s="80" t="s">
        <v>4376</v>
      </c>
      <c r="D3965" s="81" t="str">
        <f>HYPERLINK("https://youtube.com/watch?v=dyoRr6UpvsQ", "TheWave | iPhone SE 2020充電測試 | USB PD &amp; 5V")</f>
        <v>TheWave | iPhone SE 2020充電測試 | USB PD &amp; 5V</v>
      </c>
      <c r="E3965" s="82">
        <v>43959.0</v>
      </c>
      <c r="F3965" s="80">
        <v>146.0</v>
      </c>
      <c r="G3965" s="80" t="s">
        <v>63</v>
      </c>
      <c r="H3965" s="80" t="s">
        <v>63</v>
      </c>
      <c r="I3965" s="80" t="s">
        <v>63</v>
      </c>
      <c r="J3965" s="80">
        <v>436.0</v>
      </c>
      <c r="K3965" s="80">
        <v>0.751748251748251</v>
      </c>
      <c r="L3965" s="80" t="s">
        <v>1634</v>
      </c>
    </row>
    <row r="3966">
      <c r="A3966" s="80" t="s">
        <v>2764</v>
      </c>
      <c r="B3966" s="81" t="str">
        <f>HYPERLINK("https://www.youtube.com/channel/UCejZUW4khvxoA4uL2Afz20g", "Housik Laanfei 好食懶飛")</f>
        <v>Housik Laanfei 好食懶飛</v>
      </c>
      <c r="C3966" s="80" t="s">
        <v>4377</v>
      </c>
      <c r="D3966" s="81" t="str">
        <f>HYPERLINK("https://youtube.com/watch?v=dzfuTZvyopo", "[香甜暖胃] 白果腐竹雞蛋糖水 | CC: 廣東話/繁中/ENG SUB | COOKING VLOG")</f>
        <v>[香甜暖胃] 白果腐竹雞蛋糖水 | CC: 廣東話/繁中/ENG SUB | COOKING VLOG</v>
      </c>
      <c r="E3966" s="82">
        <v>44182.0</v>
      </c>
      <c r="F3966" s="80">
        <v>270.0</v>
      </c>
      <c r="G3966" s="80" t="s">
        <v>63</v>
      </c>
      <c r="H3966" s="80" t="s">
        <v>63</v>
      </c>
      <c r="I3966" s="80" t="s">
        <v>63</v>
      </c>
      <c r="J3966" s="80">
        <v>179.0</v>
      </c>
      <c r="K3966" s="80">
        <v>0.978142076502732</v>
      </c>
      <c r="L3966" s="80" t="s">
        <v>80</v>
      </c>
    </row>
    <row r="3967">
      <c r="A3967" s="80" t="s">
        <v>1260</v>
      </c>
      <c r="B3967" s="81" t="str">
        <f>HYPERLINK("https://www.youtube.com/channel/UCh1k4i86BpiXEO3nzJIYynw", "The Wave")</f>
        <v>The Wave</v>
      </c>
      <c r="C3967" s="80" t="s">
        <v>4378</v>
      </c>
      <c r="D3967" s="81" t="str">
        <f>HYPERLINK("https://youtube.com/watch?v=e-hlcUbus3M", "TheWave | 點解寧願揀 Samsung Galaxy Note10+ 唔揀 Note10")</f>
        <v>TheWave | 點解寧願揀 Samsung Galaxy Note10+ 唔揀 Note10</v>
      </c>
      <c r="E3967" s="82">
        <v>43691.0</v>
      </c>
      <c r="F3967" s="80">
        <v>182.0</v>
      </c>
      <c r="G3967" s="80" t="s">
        <v>63</v>
      </c>
      <c r="H3967" s="80" t="s">
        <v>63</v>
      </c>
      <c r="I3967" s="80" t="s">
        <v>63</v>
      </c>
      <c r="J3967" s="80">
        <v>578.0</v>
      </c>
      <c r="K3967" s="80">
        <v>0.787175989085948</v>
      </c>
      <c r="L3967" s="80" t="s">
        <v>1634</v>
      </c>
    </row>
    <row r="3968">
      <c r="A3968" s="80" t="s">
        <v>293</v>
      </c>
      <c r="B3968" s="81" t="str">
        <f>HYPERLINK("https://www.youtube.com/channel/UCXRcbXqjORdIvl63I7MtOLQ", "趁熱 Kerry 's kitchen")</f>
        <v>趁熱 Kerry 's kitchen</v>
      </c>
      <c r="C3968" s="80" t="s">
        <v>4379</v>
      </c>
      <c r="D3968" s="81" t="str">
        <f>HYPERLINK("https://youtube.com/watch?v=e496JsbInUA", "地道 香港/灣仔清湯牛腩/新手 入門/兒時味道/簡單 家做/#廣東話/中字/")</f>
        <v>地道 香港/灣仔清湯牛腩/新手 入門/兒時味道/簡單 家做/#廣東話/中字/</v>
      </c>
      <c r="E3968" s="82">
        <v>44379.0</v>
      </c>
      <c r="F3968" s="80">
        <v>716.0</v>
      </c>
      <c r="G3968" s="80" t="s">
        <v>63</v>
      </c>
      <c r="I3968" s="80" t="s">
        <v>63</v>
      </c>
      <c r="J3968" s="80">
        <v>1973.0</v>
      </c>
      <c r="K3968" s="80">
        <v>0.972400197141449</v>
      </c>
      <c r="L3968" s="80" t="s">
        <v>64</v>
      </c>
    </row>
    <row r="3969">
      <c r="A3969" s="80" t="s">
        <v>291</v>
      </c>
      <c r="B3969" s="81" t="str">
        <f>HYPERLINK("https://www.youtube.com/channel/UClSNJbCUCp_W4yrS3DlCmjw", "飛馬 PEGASUS")</f>
        <v>飛馬 PEGASUS</v>
      </c>
      <c r="C3969" s="80" t="s">
        <v>4380</v>
      </c>
      <c r="D3969" s="81" t="str">
        <f>HYPERLINK("https://youtube.com/watch?v=e4wYoey8z6o", "[Vlog] 原來Matthew換手機MON都可以自己搞!? (CC中文字幕)")</f>
        <v>[Vlog] 原來Matthew換手機MON都可以自己搞!? (CC中文字幕)</v>
      </c>
      <c r="E3969" s="82">
        <v>43980.0</v>
      </c>
      <c r="F3969" s="80">
        <v>480.0</v>
      </c>
      <c r="G3969" s="80" t="s">
        <v>63</v>
      </c>
      <c r="I3969" s="80" t="s">
        <v>63</v>
      </c>
      <c r="J3969" s="80">
        <v>2008.0</v>
      </c>
      <c r="K3969" s="80">
        <v>0.90166142792995</v>
      </c>
      <c r="L3969" s="80" t="s">
        <v>64</v>
      </c>
    </row>
    <row r="3970">
      <c r="A3970" s="80" t="s">
        <v>127</v>
      </c>
      <c r="B3970" s="81" t="str">
        <f>HYPERLINK("https://www.youtube.com/channel/UC97oYK3XMf9RLtkc0lO8C-Q", "健康旦 HiEggo")</f>
        <v>健康旦 HiEggo</v>
      </c>
      <c r="C3970" s="80" t="s">
        <v>4381</v>
      </c>
      <c r="D3970" s="81" t="str">
        <f>HYPERLINK("https://youtube.com/watch?v=e5akXfUqzHg", "咖啡專家教你齋啡消水腫 新鮮烘焙咖啡唔苦 減低心血管病延緩老人痴呆癌病  - 鄭丹瑞《健康旦》文桂芳博士 Part 1（CC中文字幕）")</f>
        <v>咖啡專家教你齋啡消水腫 新鮮烘焙咖啡唔苦 減低心血管病延緩老人痴呆癌病  - 鄭丹瑞《健康旦》文桂芳博士 Part 1（CC中文字幕）</v>
      </c>
      <c r="E3970" s="82">
        <v>43982.0</v>
      </c>
      <c r="F3970" s="80">
        <v>748.0</v>
      </c>
      <c r="G3970" s="80" t="s">
        <v>63</v>
      </c>
      <c r="I3970" s="80" t="s">
        <v>63</v>
      </c>
      <c r="J3970" s="80">
        <v>2689.0</v>
      </c>
      <c r="K3970" s="80">
        <v>0.932708983697537</v>
      </c>
      <c r="L3970" s="80" t="s">
        <v>64</v>
      </c>
    </row>
    <row r="3971">
      <c r="A3971" s="80" t="s">
        <v>1260</v>
      </c>
      <c r="B3971" s="81" t="str">
        <f>HYPERLINK("https://www.youtube.com/channel/UCh1k4i86BpiXEO3nzJIYynw", "The Wave")</f>
        <v>The Wave</v>
      </c>
      <c r="C3971" s="80" t="s">
        <v>4382</v>
      </c>
      <c r="D3971" s="81" t="str">
        <f>HYPERLINK("https://youtube.com/watch?v=e7Wmw4YlEyI", "TheWave | Xperia XZ3 充電測試 Part 2 | UCH20 原裝充電器")</f>
        <v>TheWave | Xperia XZ3 充電測試 Part 2 | UCH20 原裝充電器</v>
      </c>
      <c r="E3971" s="82">
        <v>43399.0</v>
      </c>
      <c r="F3971" s="80">
        <v>179.0</v>
      </c>
      <c r="G3971" s="80" t="s">
        <v>63</v>
      </c>
      <c r="H3971" s="80" t="s">
        <v>63</v>
      </c>
      <c r="I3971" s="80" t="s">
        <v>63</v>
      </c>
      <c r="J3971" s="80">
        <v>654.0</v>
      </c>
      <c r="K3971" s="80">
        <v>0.860526315789473</v>
      </c>
      <c r="L3971" s="80" t="s">
        <v>120</v>
      </c>
    </row>
    <row r="3972">
      <c r="A3972" s="80" t="s">
        <v>295</v>
      </c>
      <c r="B3972" s="81" t="str">
        <f>HYPERLINK("https://www.youtube.com/channel/UCIotQRUz6c4H-BRsouLt4YQ", "Captain and his squad")</f>
        <v>Captain and his squad</v>
      </c>
      <c r="C3972" s="80" t="s">
        <v>4383</v>
      </c>
      <c r="D3972" s="81" t="str">
        <f>HYPERLINK("https://youtube.com/watch?v=e8rFNYGKwz8", "【 教學 ep.05 : 訓練狗狗最重要嘅五大工具同秘訣(下) 🐶📚💯 】狗主速成班｜狗狗喺邊度都聽話｜訓練狗狗Q&amp;A《Captain 狗隻訓練》(cc中英字幕)")</f>
        <v>【 教學 ep.05 : 訓練狗狗最重要嘅五大工具同秘訣(下) 🐶📚💯 】狗主速成班｜狗狗喺邊度都聽話｜訓練狗狗Q&amp;A《Captain 狗隻訓練》(cc中英字幕)</v>
      </c>
      <c r="E3972" s="82">
        <v>44055.0</v>
      </c>
      <c r="F3972" s="80">
        <v>443.0</v>
      </c>
      <c r="G3972" s="80" t="s">
        <v>63</v>
      </c>
      <c r="I3972" s="80" t="s">
        <v>63</v>
      </c>
      <c r="J3972" s="80">
        <v>2021.0</v>
      </c>
      <c r="K3972" s="80">
        <v>0.827261563651248</v>
      </c>
      <c r="L3972" s="80" t="s">
        <v>102</v>
      </c>
    </row>
    <row r="3973">
      <c r="A3973" s="80" t="s">
        <v>293</v>
      </c>
      <c r="B3973" s="81" t="str">
        <f>HYPERLINK("https://www.youtube.com/channel/UCXRcbXqjORdIvl63I7MtOLQ", "趁熱 Kerry 's kitchen")</f>
        <v>趁熱 Kerry 's kitchen</v>
      </c>
      <c r="C3973" s="80" t="s">
        <v>4384</v>
      </c>
      <c r="D3973" s="81" t="str">
        <f>HYPERLINK("https://youtube.com/watch?v=e9rdudjo9rM", "咖哩牛腩 /茶記風味/薯仔極速入味/簡單 家做/新手 入門/廣東話/中字幕")</f>
        <v>咖哩牛腩 /茶記風味/薯仔極速入味/簡單 家做/新手 入門/廣東話/中字幕</v>
      </c>
      <c r="E3973" s="82">
        <v>44393.0</v>
      </c>
      <c r="F3973" s="80">
        <v>884.0</v>
      </c>
      <c r="G3973" s="80" t="s">
        <v>63</v>
      </c>
      <c r="I3973" s="80" t="s">
        <v>63</v>
      </c>
      <c r="J3973" s="80">
        <v>2142.0</v>
      </c>
      <c r="K3973" s="80">
        <v>0.977189781021897</v>
      </c>
      <c r="L3973" s="80" t="s">
        <v>64</v>
      </c>
    </row>
    <row r="3974">
      <c r="A3974" s="80" t="s">
        <v>2829</v>
      </c>
      <c r="B3974" s="81" t="str">
        <f>HYPERLINK("https://www.youtube.com/channel/UC7GnES6AEQlDzaP04UqtyjA", "SOLID IDEA")</f>
        <v>SOLID IDEA</v>
      </c>
      <c r="C3974" s="80" t="s">
        <v>4385</v>
      </c>
      <c r="D3974" s="81" t="str">
        <f>HYPERLINK("https://youtube.com/watch?v=eBD0Yimy1ew", "[#實境拍攝] #LP6 #3房2廳 輕工業風 | 室內設計 | 空間擺位 | SOLID IDEA | (CC中文字幕)")</f>
        <v>[#實境拍攝] #LP6 #3房2廳 輕工業風 | 室內設計 | 空間擺位 | SOLID IDEA | (CC中文字幕)</v>
      </c>
      <c r="E3974" s="82">
        <v>44477.0</v>
      </c>
      <c r="F3974" s="80">
        <v>116.0</v>
      </c>
      <c r="G3974" s="80" t="s">
        <v>63</v>
      </c>
      <c r="I3974" s="80" t="s">
        <v>63</v>
      </c>
      <c r="J3974" s="80">
        <v>387.0</v>
      </c>
      <c r="K3974" s="80">
        <v>0.834051724137931</v>
      </c>
      <c r="L3974" s="80" t="s">
        <v>64</v>
      </c>
    </row>
    <row r="3975">
      <c r="A3975" s="80" t="s">
        <v>248</v>
      </c>
      <c r="B3975" s="81" t="str">
        <f>HYPERLINK("https://www.youtube.com/channel/UCUEJok-GiWaGlv5nIPwk-GQ", "Price.com.hk 香港格價網")</f>
        <v>Price.com.hk 香港格價網</v>
      </c>
      <c r="C3975" s="80" t="s">
        <v>4386</v>
      </c>
      <c r="D3975" s="81" t="str">
        <f>HYPERLINK("https://youtube.com/watch?v=eGX9JK8Jud4", "唔駛捱炒價買PS5？！$1搶Logitech G滑鼠 | 即日至31.3 | Price 100萬會員感謝祭激賞回饋會員")</f>
        <v>唔駛捱炒價買PS5？！$1搶Logitech G滑鼠 | 即日至31.3 | Price 100萬會員感謝祭激賞回饋會員</v>
      </c>
      <c r="E3975" s="82">
        <v>44279.0</v>
      </c>
      <c r="F3975" s="80">
        <v>248.0</v>
      </c>
      <c r="G3975" s="80" t="s">
        <v>63</v>
      </c>
      <c r="I3975" s="80" t="s">
        <v>63</v>
      </c>
      <c r="J3975" s="80">
        <v>821.0</v>
      </c>
      <c r="K3975" s="80">
        <v>0.68019884009942</v>
      </c>
      <c r="L3975" s="80" t="s">
        <v>64</v>
      </c>
    </row>
    <row r="3976">
      <c r="A3976" s="80" t="s">
        <v>2942</v>
      </c>
      <c r="B3976" s="81" t="str">
        <f>HYPERLINK("https://www.youtube.com/channel/UCFOFvhsNWMPHwvbfHl7K6qw", "司徒文進 CROSSBONE")</f>
        <v>司徒文進 CROSSBONE</v>
      </c>
      <c r="C3976" s="80" t="s">
        <v>4387</v>
      </c>
      <c r="D3976" s="81" t="str">
        <f>HYPERLINK("https://youtube.com/watch?v=eH8g7Kp-CqI", "(中字)現在六大博企均會順利續牌？博企與社會責任 :《司徒文進談2021澳門博彩公眾咨詢報告（下）》")</f>
        <v>(中字)現在六大博企均會順利續牌？博企與社會責任 :《司徒文進談2021澳門博彩公眾咨詢報告（下）》</v>
      </c>
      <c r="E3976" s="82">
        <v>44557.0</v>
      </c>
      <c r="F3976" s="80">
        <v>1245.0</v>
      </c>
      <c r="G3976" s="80" t="s">
        <v>63</v>
      </c>
      <c r="I3976" s="80" t="s">
        <v>63</v>
      </c>
      <c r="J3976" s="80">
        <v>5056.0</v>
      </c>
      <c r="K3976" s="80">
        <v>0.988465298142717</v>
      </c>
      <c r="L3976" s="80" t="s">
        <v>820</v>
      </c>
    </row>
    <row r="3977">
      <c r="A3977" s="80" t="s">
        <v>248</v>
      </c>
      <c r="B3977" s="81" t="str">
        <f>HYPERLINK("https://www.youtube.com/channel/UCUEJok-GiWaGlv5nIPwk-GQ", "Price.com.hk 香港格價網")</f>
        <v>Price.com.hk 香港格價網</v>
      </c>
      <c r="C3977" s="80" t="s">
        <v>4388</v>
      </c>
      <c r="D3977" s="81" t="str">
        <f>HYPERLINK("https://youtube.com/watch?v=eIWOqJ4l6N0", "抗刮測試 𠝹極唔花！Apple Watch Series 7 重點功能測試！Series 6同場比較｜WatchOS 8｜7天試戴分享｜廣東話｜中文字幕【Price.com.hk產品比較】")</f>
        <v>抗刮測試 𠝹極唔花！Apple Watch Series 7 重點功能測試！Series 6同場比較｜WatchOS 8｜7天試戴分享｜廣東話｜中文字幕【Price.com.hk產品比較】</v>
      </c>
      <c r="E3977" s="82">
        <v>44483.0</v>
      </c>
      <c r="F3977" s="80">
        <v>342.0</v>
      </c>
      <c r="G3977" s="80" t="s">
        <v>63</v>
      </c>
      <c r="I3977" s="80" t="s">
        <v>63</v>
      </c>
      <c r="J3977" s="80">
        <v>1152.0</v>
      </c>
      <c r="K3977" s="80">
        <v>0.809557273366127</v>
      </c>
      <c r="L3977" s="80" t="s">
        <v>64</v>
      </c>
    </row>
    <row r="3978">
      <c r="A3978" s="80" t="s">
        <v>2829</v>
      </c>
      <c r="B3978" s="81" t="str">
        <f>HYPERLINK("https://www.youtube.com/channel/UC7GnES6AEQlDzaP04UqtyjA", "SOLID IDEA")</f>
        <v>SOLID IDEA</v>
      </c>
      <c r="C3978" s="80" t="s">
        <v>4389</v>
      </c>
      <c r="D3978" s="81" t="str">
        <f>HYPERLINK("https://youtube.com/watch?v=eL4B7XRVLlA", "[#實境拍攝] #山水盈 一隊人一齊上去收樓!  | 室內設計 | 空間擺位 | SOLID IDEA | (CC中文字幕)")</f>
        <v>[#實境拍攝] #山水盈 一隊人一齊上去收樓!  | 室內設計 | 空間擺位 | SOLID IDEA | (CC中文字幕)</v>
      </c>
      <c r="E3978" s="82">
        <v>44162.0</v>
      </c>
      <c r="F3978" s="80">
        <v>143.0</v>
      </c>
      <c r="G3978" s="80" t="s">
        <v>63</v>
      </c>
      <c r="I3978" s="80" t="s">
        <v>63</v>
      </c>
      <c r="J3978" s="80">
        <v>356.0</v>
      </c>
      <c r="K3978" s="80">
        <v>0.962162162162162</v>
      </c>
      <c r="L3978" s="80" t="s">
        <v>64</v>
      </c>
    </row>
    <row r="3979">
      <c r="A3979" s="80" t="s">
        <v>238</v>
      </c>
      <c r="B3979" s="81" t="str">
        <f>HYPERLINK("https://www.youtube.com/channel/UCSBkm4LwpgBmcA3MCtO8vqg", "Post76影音玩樂")</f>
        <v>Post76影音玩樂</v>
      </c>
      <c r="C3979" s="80" t="s">
        <v>4390</v>
      </c>
      <c r="D3979" s="81" t="str">
        <f>HYPERLINK("https://youtube.com/watch?v=eMDpjWbJ3zA", "三分鐘教學 : YAMAHA RX-A8A 11.2聲道 AV環繞擴音機＂設定需知＂！ (附設 cc 字幕)【擴音機設定】")</f>
        <v>三分鐘教學 : YAMAHA RX-A8A 11.2聲道 AV環繞擴音機＂設定需知＂！ (附設 cc 字幕)【擴音機設定】</v>
      </c>
      <c r="E3979" s="82">
        <v>44531.0</v>
      </c>
      <c r="F3979" s="80">
        <v>210.0</v>
      </c>
      <c r="G3979" s="80" t="s">
        <v>63</v>
      </c>
      <c r="H3979" s="80" t="s">
        <v>63</v>
      </c>
      <c r="I3979" s="80" t="s">
        <v>63</v>
      </c>
      <c r="J3979" s="80">
        <v>741.0</v>
      </c>
      <c r="K3979" s="80">
        <v>0.74558670820353</v>
      </c>
      <c r="L3979" s="80" t="s">
        <v>240</v>
      </c>
    </row>
    <row r="3980">
      <c r="A3980" s="80" t="s">
        <v>2862</v>
      </c>
      <c r="B3980" s="81" t="str">
        <f>HYPERLINK("https://www.youtube.com/channel/UCi6CqLjdoCN_ijofoCJFpCw", "Anton 安冬晴 ")</f>
        <v>Anton 安冬晴 </v>
      </c>
      <c r="C3980" s="80" t="s">
        <v>4391</v>
      </c>
      <c r="D3980" s="81" t="str">
        <f>HYPERLINK("https://youtube.com/watch?v=eQmfXbKcRIA", "【本土旅遊】香港竟然有咁靚嘅地方｜跟著我去考察｜萬宜水庫東壩")</f>
        <v>【本土旅遊】香港竟然有咁靚嘅地方｜跟著我去考察｜萬宜水庫東壩</v>
      </c>
      <c r="E3980" s="82">
        <v>43009.0</v>
      </c>
      <c r="F3980" s="80">
        <v>304.0</v>
      </c>
      <c r="G3980" s="80" t="s">
        <v>63</v>
      </c>
      <c r="I3980" s="80" t="s">
        <v>63</v>
      </c>
      <c r="J3980" s="80">
        <v>715.0</v>
      </c>
      <c r="K3980" s="80">
        <v>0.909669211195928</v>
      </c>
      <c r="L3980" s="80" t="s">
        <v>64</v>
      </c>
    </row>
    <row r="3981">
      <c r="A3981" s="80" t="s">
        <v>108</v>
      </c>
      <c r="B3981" s="81" t="str">
        <f>HYPERLINK("https://www.youtube.com/channel/UCZL6QN6Xs-ZrKY3y6Pv6Emg", "廢青 - 日賺3000")</f>
        <v>廢青 - 日賺3000</v>
      </c>
      <c r="C3981" s="80" t="s">
        <v>4392</v>
      </c>
      <c r="D3981" s="81" t="str">
        <f>HYPERLINK("https://youtube.com/watch?v=eReK1v3sjv0", "【 IPO 教學 】IPO暗盤交易 , 抽新股必學技能 !!  ⚠️新手注意⚠️ 【廢青 日賺3000】【點CC看中文字幕】")</f>
        <v>【 IPO 教學 】IPO暗盤交易 , 抽新股必學技能 !!  ⚠️新手注意⚠️ 【廢青 日賺3000】【點CC看中文字幕】</v>
      </c>
      <c r="E3981" s="82">
        <v>44386.0</v>
      </c>
      <c r="F3981" s="80">
        <v>603.0</v>
      </c>
      <c r="G3981" s="80" t="s">
        <v>63</v>
      </c>
      <c r="I3981" s="80" t="s">
        <v>63</v>
      </c>
      <c r="J3981" s="80">
        <v>2601.0</v>
      </c>
      <c r="K3981" s="80">
        <v>0.913272471910112</v>
      </c>
      <c r="L3981" s="80" t="s">
        <v>64</v>
      </c>
    </row>
    <row r="3982">
      <c r="A3982" s="80" t="s">
        <v>248</v>
      </c>
      <c r="B3982" s="81" t="str">
        <f>HYPERLINK("https://www.youtube.com/channel/UCUEJok-GiWaGlv5nIPwk-GQ", "Price.com.hk 香港格價網")</f>
        <v>Price.com.hk 香港格價網</v>
      </c>
      <c r="C3982" s="80" t="s">
        <v>4393</v>
      </c>
      <c r="D3982" s="81" t="str">
        <f>HYPERLINK("https://youtube.com/watch?v=eSjTL9izTbI", "iPhone 11/11 Pro/11 Pro Max 美國登場﹗即睇新機賣點、功能、售價懶人包 | 廣東話 | 手機情報【Price.com.hk產品情報】")</f>
        <v>iPhone 11/11 Pro/11 Pro Max 美國登場﹗即睇新機賣點、功能、售價懶人包 | 廣東話 | 手機情報【Price.com.hk產品情報】</v>
      </c>
      <c r="E3982" s="82">
        <v>43718.0</v>
      </c>
      <c r="F3982" s="80">
        <v>292.0</v>
      </c>
      <c r="G3982" s="80" t="s">
        <v>63</v>
      </c>
      <c r="I3982" s="80" t="s">
        <v>63</v>
      </c>
      <c r="J3982" s="80">
        <v>764.0</v>
      </c>
      <c r="K3982" s="80">
        <v>0.547670250896057</v>
      </c>
      <c r="L3982" s="80" t="s">
        <v>64</v>
      </c>
    </row>
    <row r="3983">
      <c r="A3983" s="80" t="s">
        <v>293</v>
      </c>
      <c r="B3983" s="81" t="str">
        <f>HYPERLINK("https://www.youtube.com/channel/UCXRcbXqjORdIvl63I7MtOLQ", "趁熱 Kerry 's kitchen")</f>
        <v>趁熱 Kerry 's kitchen</v>
      </c>
      <c r="C3983" s="80" t="s">
        <v>4394</v>
      </c>
      <c r="D3983" s="81" t="str">
        <f>HYPERLINK("https://youtube.com/watch?v=eTSOakpbc-E", "滑蛋 蝦仁/滑蛋蝦仁炒河/茶記味道/堅嫩滑/簡單 家做/平底鑊也能做/新手 入門/廣東話 /中字")</f>
        <v>滑蛋 蝦仁/滑蛋蝦仁炒河/茶記味道/堅嫩滑/簡單 家做/平底鑊也能做/新手 入門/廣東話 /中字</v>
      </c>
      <c r="E3983" s="82">
        <v>44536.0</v>
      </c>
      <c r="F3983" s="80">
        <v>523.0</v>
      </c>
      <c r="G3983" s="80" t="s">
        <v>63</v>
      </c>
      <c r="I3983" s="80" t="s">
        <v>63</v>
      </c>
      <c r="J3983" s="80">
        <v>646.0</v>
      </c>
      <c r="K3983" s="80">
        <v>0.980273141122913</v>
      </c>
      <c r="L3983" s="80" t="s">
        <v>64</v>
      </c>
    </row>
    <row r="3984">
      <c r="A3984" s="80" t="s">
        <v>248</v>
      </c>
      <c r="B3984" s="81" t="str">
        <f>HYPERLINK("https://www.youtube.com/channel/UCUEJok-GiWaGlv5nIPwk-GQ", "Price.com.hk 香港格價網")</f>
        <v>Price.com.hk 香港格價網</v>
      </c>
      <c r="C3984" s="80" t="s">
        <v>4395</v>
      </c>
      <c r="D3984" s="81" t="str">
        <f>HYPERLINK("https://youtube.com/watch?v=eYv3KAIGkFg", "Tesla Model Y 初體驗！甚麼是科技的威力？ | 實測SuperCharge、OTA 軟件更新、Autopilot | 廣東話【Price.com.hk 汽車評測】")</f>
        <v>Tesla Model Y 初體驗！甚麼是科技的威力？ | 實測SuperCharge、OTA 軟件更新、Autopilot | 廣東話【Price.com.hk 汽車評測】</v>
      </c>
      <c r="E3984" s="82">
        <v>44455.0</v>
      </c>
      <c r="F3984" s="80">
        <v>523.0</v>
      </c>
      <c r="G3984" s="80" t="s">
        <v>63</v>
      </c>
      <c r="I3984" s="80" t="s">
        <v>63</v>
      </c>
      <c r="J3984" s="80">
        <v>1726.0</v>
      </c>
      <c r="K3984" s="80">
        <v>0.838678328474246</v>
      </c>
      <c r="L3984" s="80" t="s">
        <v>64</v>
      </c>
    </row>
    <row r="3985">
      <c r="A3985" s="80" t="s">
        <v>238</v>
      </c>
      <c r="B3985" s="81" t="str">
        <f>HYPERLINK("https://www.youtube.com/channel/UCSBkm4LwpgBmcA3MCtO8vqg", "Post76影音玩樂")</f>
        <v>Post76影音玩樂</v>
      </c>
      <c r="C3985" s="80" t="s">
        <v>4396</v>
      </c>
      <c r="D3985" s="81" t="str">
        <f>HYPERLINK("https://youtube.com/watch?v=e_4g3lxI4T8", "🎵Hi-Res音樂串流平台用咩上大機好！？🎧 Apple iOS、 Android優劣分別！ （附設cc字幕）【音樂串流｜粵語噏噏噏噏噏噏噏噏噏節目】")</f>
        <v>🎵Hi-Res音樂串流平台用咩上大機好！？🎧 Apple iOS、 Android優劣分別！ （附設cc字幕）【音樂串流｜粵語噏噏噏噏噏噏噏噏噏節目】</v>
      </c>
      <c r="E3985" s="82">
        <v>44472.0</v>
      </c>
      <c r="F3985" s="80">
        <v>872.0</v>
      </c>
      <c r="G3985" s="80" t="s">
        <v>63</v>
      </c>
      <c r="H3985" s="80" t="s">
        <v>63</v>
      </c>
      <c r="I3985" s="80" t="s">
        <v>63</v>
      </c>
      <c r="J3985" s="80">
        <v>3028.0</v>
      </c>
      <c r="K3985" s="80">
        <v>0.799825682742591</v>
      </c>
      <c r="L3985" s="80" t="s">
        <v>66</v>
      </c>
    </row>
    <row r="3986">
      <c r="A3986" s="80" t="s">
        <v>2764</v>
      </c>
      <c r="B3986" s="81" t="str">
        <f>HYPERLINK("https://www.youtube.com/channel/UCejZUW4khvxoA4uL2Afz20g", "Housik Laanfei 好食懶飛")</f>
        <v>Housik Laanfei 好食懶飛</v>
      </c>
      <c r="C3986" s="80" t="s">
        <v>4397</v>
      </c>
      <c r="D3986" s="81" t="str">
        <f>HYPERLINK("https://youtube.com/watch?v=e_J5m2XqhYY", "[試乜懶嘢] 煎PAN薄餅 | CC: 廣東話/繁中/ENG SUB | COOKING VLOG")</f>
        <v>[試乜懶嘢] 煎PAN薄餅 | CC: 廣東話/繁中/ENG SUB | COOKING VLOG</v>
      </c>
      <c r="E3986" s="82">
        <v>44429.0</v>
      </c>
      <c r="F3986" s="80">
        <v>335.0</v>
      </c>
      <c r="G3986" s="80" t="s">
        <v>63</v>
      </c>
      <c r="H3986" s="80" t="s">
        <v>63</v>
      </c>
      <c r="I3986" s="80" t="s">
        <v>63</v>
      </c>
      <c r="J3986" s="80">
        <v>310.0</v>
      </c>
      <c r="K3986" s="80">
        <v>0.885714285714285</v>
      </c>
      <c r="L3986" s="80" t="s">
        <v>80</v>
      </c>
    </row>
    <row r="3987">
      <c r="A3987" s="80" t="s">
        <v>98</v>
      </c>
      <c r="B3987" s="81" t="str">
        <f>HYPERLINK("https://www.youtube.com/channel/UCrquuQB6v1Ued2xyRKZreGQ", "Stephen Leung ")</f>
        <v>Stephen Leung </v>
      </c>
      <c r="C3987" s="80" t="s">
        <v>4398</v>
      </c>
      <c r="D3987" s="81" t="str">
        <f>HYPERLINK("https://youtube.com/watch?v=e_a_cUE0f6c", "【香港自助餐】頂級海鮮任食3小時 多款高級海鮮 蒜蓉蒸扇貝 蠔皇扣鮑魚 星洲炒辣蟹 紅燒乳鴿 美國肉眼扒 任食 JW Marriott 萬豪酒店 自助晚餐 The Lounge | 吃喝玩樂")</f>
        <v>【香港自助餐】頂級海鮮任食3小時 多款高級海鮮 蒜蓉蒸扇貝 蠔皇扣鮑魚 星洲炒辣蟹 紅燒乳鴿 美國肉眼扒 任食 JW Marriott 萬豪酒店 自助晚餐 The Lounge | 吃喝玩樂</v>
      </c>
      <c r="E3987" s="82">
        <v>44276.0</v>
      </c>
      <c r="F3987" s="80">
        <v>763.0</v>
      </c>
      <c r="G3987" s="80" t="s">
        <v>63</v>
      </c>
      <c r="I3987" s="80" t="s">
        <v>63</v>
      </c>
      <c r="J3987" s="80">
        <v>2072.0</v>
      </c>
      <c r="K3987" s="80">
        <v>0.95045871559633</v>
      </c>
      <c r="L3987" s="80" t="s">
        <v>64</v>
      </c>
    </row>
    <row r="3988">
      <c r="A3988" s="80" t="s">
        <v>127</v>
      </c>
      <c r="B3988" s="81" t="str">
        <f>HYPERLINK("https://www.youtube.com/channel/UC97oYK3XMf9RLtkc0lO8C-Q", "健康旦 HiEggo")</f>
        <v>健康旦 HiEggo</v>
      </c>
      <c r="C3988" s="80" t="s">
        <v>4399</v>
      </c>
      <c r="D3988" s="81" t="str">
        <f>HYPERLINK("https://youtube.com/watch?v=ed2BhLy5Sfg", "醫生教「土法防疫七式」信封包口罩重用前先消毒 多飲水不能有效防止病毒入侵 - 鄭丹瑞《健康旦》胡志遠醫生 PART 1 (CC中文字幕)")</f>
        <v>醫生教「土法防疫七式」信封包口罩重用前先消毒 多飲水不能有效防止病毒入侵 - 鄭丹瑞《健康旦》胡志遠醫生 PART 1 (CC中文字幕)</v>
      </c>
      <c r="E3988" s="82">
        <v>43879.0</v>
      </c>
      <c r="F3988" s="80">
        <v>829.0</v>
      </c>
      <c r="G3988" s="80" t="s">
        <v>63</v>
      </c>
      <c r="I3988" s="80" t="s">
        <v>63</v>
      </c>
      <c r="J3988" s="80">
        <v>2952.0</v>
      </c>
      <c r="K3988" s="80">
        <v>0.99494438827098</v>
      </c>
      <c r="L3988" s="80" t="s">
        <v>102</v>
      </c>
    </row>
    <row r="3989">
      <c r="A3989" s="80" t="s">
        <v>248</v>
      </c>
      <c r="B3989" s="81" t="str">
        <f>HYPERLINK("https://www.youtube.com/channel/UCUEJok-GiWaGlv5nIPwk-GQ", "Price.com.hk 香港格價網")</f>
        <v>Price.com.hk 香港格價網</v>
      </c>
      <c r="C3989" s="80" t="s">
        <v>4400</v>
      </c>
      <c r="D3989" s="81" t="str">
        <f>HYPERLINK("https://youtube.com/watch?v=ee0TWWrjZJw", "【數碼Youtuber集結】玩轉 2021 Price 網上電腦節 ｜16-20/8 每晚8:00pm 特選Super Deal優惠搶先睇 | 密切留意")</f>
        <v>【數碼Youtuber集結】玩轉 2021 Price 網上電腦節 ｜16-20/8 每晚8:00pm 特選Super Deal優惠搶先睇 | 密切留意</v>
      </c>
      <c r="E3989" s="82">
        <v>44417.0</v>
      </c>
      <c r="F3989" s="80">
        <v>83.0</v>
      </c>
      <c r="G3989" s="80" t="s">
        <v>63</v>
      </c>
      <c r="I3989" s="80" t="s">
        <v>63</v>
      </c>
      <c r="J3989" s="80">
        <v>262.0</v>
      </c>
      <c r="K3989" s="80">
        <v>0.719780219780219</v>
      </c>
      <c r="L3989" s="80" t="s">
        <v>64</v>
      </c>
    </row>
    <row r="3990">
      <c r="A3990" s="80" t="s">
        <v>238</v>
      </c>
      <c r="B3990" s="81" t="str">
        <f>HYPERLINK("https://www.youtube.com/channel/UCSBkm4LwpgBmcA3MCtO8vqg", "Post76影音玩樂")</f>
        <v>Post76影音玩樂</v>
      </c>
      <c r="C3990" s="80" t="s">
        <v>4401</v>
      </c>
      <c r="D3990" s="81" t="str">
        <f>HYPERLINK("https://youtube.com/watch?v=ef3Dz2C5G3c", "Fender Tour 真無線耳機 - IEM式超強隔音，同廠最抵玩的入耳式耳機 （附設中文字幕）粵語 【耳機評測 | Post76.hk】")</f>
        <v>Fender Tour 真無線耳機 - IEM式超強隔音，同廠最抵玩的入耳式耳機 （附設中文字幕）粵語 【耳機評測 | Post76.hk】</v>
      </c>
      <c r="E3990" s="82">
        <v>44318.0</v>
      </c>
      <c r="F3990" s="80">
        <v>962.0</v>
      </c>
      <c r="G3990" s="80" t="s">
        <v>63</v>
      </c>
      <c r="H3990" s="80" t="s">
        <v>63</v>
      </c>
      <c r="I3990" s="80" t="s">
        <v>63</v>
      </c>
      <c r="J3990" s="80">
        <v>3576.0</v>
      </c>
      <c r="K3990" s="80">
        <v>0.856109906001446</v>
      </c>
      <c r="L3990" s="80" t="s">
        <v>66</v>
      </c>
    </row>
    <row r="3991">
      <c r="A3991" s="80" t="s">
        <v>1594</v>
      </c>
      <c r="B3991" s="81" t="str">
        <f>HYPERLINK("https://www.youtube.com/channel/UCUtm1awT2EO9D7uJ2OlMcTQ", "黐住這一家 Sticky Love Family")</f>
        <v>黐住這一家 Sticky Love Family</v>
      </c>
      <c r="C3991" s="80" t="s">
        <v>4402</v>
      </c>
      <c r="D3991" s="81" t="str">
        <f>HYPERLINK("https://youtube.com/watch?v=efIgqGX7vCc", "【粵語 | 廣東話  社交故事👦🏻💬🧒🏻】情緒管理有方法！ ❝嬲可以點做？❞   [ Eng Sub| 繁簡粵語字幕 ]")</f>
        <v>【粵語 | 廣東話  社交故事👦🏻💬🧒🏻】情緒管理有方法！ ❝嬲可以點做？❞   [ Eng Sub| 繁簡粵語字幕 ]</v>
      </c>
      <c r="E3991" s="82">
        <v>44312.0</v>
      </c>
      <c r="F3991" s="80">
        <v>299.0</v>
      </c>
      <c r="G3991" s="80" t="s">
        <v>63</v>
      </c>
      <c r="H3991" s="80" t="s">
        <v>63</v>
      </c>
      <c r="I3991" s="80" t="s">
        <v>63</v>
      </c>
      <c r="J3991" s="80">
        <v>926.0</v>
      </c>
      <c r="K3991" s="80">
        <v>1.0</v>
      </c>
      <c r="L3991" s="80" t="s">
        <v>1596</v>
      </c>
    </row>
    <row r="3992">
      <c r="A3992" s="80" t="s">
        <v>127</v>
      </c>
      <c r="B3992" s="81" t="str">
        <f>HYPERLINK("https://www.youtube.com/channel/UC97oYK3XMf9RLtkc0lO8C-Q", "健康旦 HiEggo")</f>
        <v>健康旦 HiEggo</v>
      </c>
      <c r="C3992" s="80" t="s">
        <v>4403</v>
      </c>
      <c r="D3992" s="81" t="str">
        <f>HYPERLINK("https://youtube.com/watch?v=eiOYimb4a9Q", "長者O字腳因大腿肌肉弱 帶氧運動助改善腦部運作 腳踭痛勿捽宜用冰敷 - 鄭丹瑞《健康旦》#坐式徒手運動導師 #PaulLau Part 7 (CC中文字幕)")</f>
        <v>長者O字腳因大腿肌肉弱 帶氧運動助改善腦部運作 腳踭痛勿捽宜用冰敷 - 鄭丹瑞《健康旦》#坐式徒手運動導師 #PaulLau Part 7 (CC中文字幕)</v>
      </c>
      <c r="E3992" s="82">
        <v>44116.0</v>
      </c>
      <c r="F3992" s="80">
        <v>680.0</v>
      </c>
      <c r="G3992" s="80" t="s">
        <v>63</v>
      </c>
      <c r="I3992" s="80" t="s">
        <v>63</v>
      </c>
      <c r="J3992" s="80">
        <v>2371.0</v>
      </c>
      <c r="K3992" s="80">
        <v>0.974116680361544</v>
      </c>
      <c r="L3992" s="80" t="s">
        <v>66</v>
      </c>
    </row>
    <row r="3993">
      <c r="A3993" s="80" t="s">
        <v>3238</v>
      </c>
      <c r="B3993" s="81" t="str">
        <f>HYPERLINK("https://www.youtube.com/channel/UCZ_hzCBwc6ATeXfyQYUk5WQ", "CHINCHIN C")</f>
        <v>CHINCHIN C</v>
      </c>
      <c r="C3993" s="80" t="s">
        <v>4404</v>
      </c>
      <c r="D3993" s="81" t="str">
        <f>HYPERLINK("https://youtube.com/watch?v=eshLkHs-_LQ", "購入DIOR 3款新底妝！用後感分享！｜Chinchinc")</f>
        <v>購入DIOR 3款新底妝！用後感分享！｜Chinchinc</v>
      </c>
      <c r="E3993" s="82">
        <v>43180.0</v>
      </c>
      <c r="F3993" s="80">
        <v>579.0</v>
      </c>
      <c r="G3993" s="80" t="s">
        <v>63</v>
      </c>
      <c r="I3993" s="80" t="s">
        <v>63</v>
      </c>
      <c r="J3993" s="80">
        <v>2648.0</v>
      </c>
      <c r="K3993" s="80">
        <v>0.890383322125084</v>
      </c>
      <c r="L3993" s="80" t="s">
        <v>64</v>
      </c>
    </row>
    <row r="3994">
      <c r="A3994" s="80" t="s">
        <v>248</v>
      </c>
      <c r="B3994" s="81" t="str">
        <f>HYPERLINK("https://www.youtube.com/channel/UCUEJok-GiWaGlv5nIPwk-GQ", "Price.com.hk 香港格價網")</f>
        <v>Price.com.hk 香港格價網</v>
      </c>
      <c r="C3994" s="80" t="s">
        <v>4405</v>
      </c>
      <c r="D3994" s="81" t="str">
        <f>HYPERLINK("https://youtube.com/watch?v=eu03-ZHUi3k", "特集主持出現!【Price家電家品節】家電家品低至1折︱每日中午12點、夜晚10點輪流出擊")</f>
        <v>特集主持出現!【Price家電家品節】家電家品低至1折︱每日中午12點、夜晚10點輪流出擊</v>
      </c>
      <c r="E3994" s="82">
        <v>44309.0</v>
      </c>
      <c r="F3994" s="80">
        <v>255.0</v>
      </c>
      <c r="G3994" s="80" t="s">
        <v>63</v>
      </c>
      <c r="I3994" s="80" t="s">
        <v>63</v>
      </c>
      <c r="J3994" s="80">
        <v>952.0</v>
      </c>
      <c r="K3994" s="80">
        <v>0.790041493775933</v>
      </c>
      <c r="L3994" s="80" t="s">
        <v>64</v>
      </c>
    </row>
    <row r="3995">
      <c r="A3995" s="80" t="s">
        <v>127</v>
      </c>
      <c r="B3995" s="81" t="str">
        <f>HYPERLINK("https://www.youtube.com/channel/UC97oYK3XMf9RLtkc0lO8C-Q", "健康旦 HiEggo")</f>
        <v>健康旦 HiEggo</v>
      </c>
      <c r="C3995" s="80" t="s">
        <v>4406</v>
      </c>
      <c r="D3995" s="81" t="str">
        <f>HYPERLINK("https://youtube.com/watch?v=eun7P8A8O4E", "張達明憶述鼻咽癌康復後 與郭富城拍《麥路人》奪金像獎 抗癌途中諗埋骨灰龕位 - 鄭丹瑞《健康旦》#張達明 Part 1 (CC中文字幕)")</f>
        <v>張達明憶述鼻咽癌康復後 與郭富城拍《麥路人》奪金像獎 抗癌途中諗埋骨灰龕位 - 鄭丹瑞《健康旦》#張達明 Part 1 (CC中文字幕)</v>
      </c>
      <c r="E3995" s="82">
        <v>44008.0</v>
      </c>
      <c r="F3995" s="80">
        <v>618.0</v>
      </c>
      <c r="G3995" s="80" t="s">
        <v>63</v>
      </c>
      <c r="I3995" s="80" t="s">
        <v>63</v>
      </c>
      <c r="J3995" s="80">
        <v>2631.0</v>
      </c>
      <c r="K3995" s="80">
        <v>0.927388086006344</v>
      </c>
      <c r="L3995" s="80" t="s">
        <v>64</v>
      </c>
    </row>
    <row r="3996">
      <c r="A3996" s="80" t="s">
        <v>108</v>
      </c>
      <c r="B3996" s="81" t="str">
        <f>HYPERLINK("https://www.youtube.com/channel/UCZL6QN6Xs-ZrKY3y6Pv6Emg", "廢青 - 日賺3000")</f>
        <v>廢青 - 日賺3000</v>
      </c>
      <c r="C3996" s="80" t="s">
        <v>4407</v>
      </c>
      <c r="D3996" s="81" t="str">
        <f>HYPERLINK("https://youtube.com/watch?v=evd2eIZBlto", "股災前 📣📣廢青最後5個提示!! ㊙️ │ 2020 財務自由靠股票 EP50【廢青 日賺3000】【點CC看中文字幕】")</f>
        <v>股災前 📣📣廢青最後5個提示!! ㊙️ │ 2020 財務自由靠股票 EP50【廢青 日賺3000】【點CC看中文字幕】</v>
      </c>
      <c r="E3996" s="82">
        <v>44113.0</v>
      </c>
      <c r="F3996" s="80">
        <v>565.0</v>
      </c>
      <c r="G3996" s="80" t="s">
        <v>63</v>
      </c>
      <c r="I3996" s="80" t="s">
        <v>63</v>
      </c>
      <c r="J3996" s="80">
        <v>2581.0</v>
      </c>
      <c r="K3996" s="80">
        <v>0.897739130434782</v>
      </c>
      <c r="L3996" s="80" t="s">
        <v>64</v>
      </c>
    </row>
    <row r="3997">
      <c r="A3997" s="80" t="s">
        <v>1260</v>
      </c>
      <c r="B3997" s="81" t="str">
        <f>HYPERLINK("https://www.youtube.com/channel/UCh1k4i86BpiXEO3nzJIYynw", "The Wave")</f>
        <v>The Wave</v>
      </c>
      <c r="C3997" s="80" t="s">
        <v>4408</v>
      </c>
      <c r="D3997" s="81" t="str">
        <f>HYPERLINK("https://youtube.com/watch?v=f1XmTm9ReD0", "TheWave | 水冷？手機？！咪玩啦")</f>
        <v>TheWave | 水冷？手機？！咪玩啦</v>
      </c>
      <c r="E3997" s="82">
        <v>43791.0</v>
      </c>
      <c r="F3997" s="80">
        <v>154.0</v>
      </c>
      <c r="G3997" s="80" t="s">
        <v>63</v>
      </c>
      <c r="H3997" s="80" t="s">
        <v>63</v>
      </c>
      <c r="I3997" s="80" t="s">
        <v>63</v>
      </c>
      <c r="J3997" s="80">
        <v>657.0</v>
      </c>
      <c r="K3997" s="80">
        <v>0.898328690807799</v>
      </c>
      <c r="L3997" s="80" t="s">
        <v>1634</v>
      </c>
    </row>
    <row r="3998">
      <c r="A3998" s="80" t="s">
        <v>108</v>
      </c>
      <c r="B3998" s="81" t="str">
        <f>HYPERLINK("https://www.youtube.com/channel/UCZL6QN6Xs-ZrKY3y6Pv6Emg", "廢青 - 日賺3000")</f>
        <v>廢青 - 日賺3000</v>
      </c>
      <c r="C3998" s="80" t="s">
        <v>4409</v>
      </c>
      <c r="D3998" s="81" t="str">
        <f>HYPERLINK("https://youtube.com/watch?v=f25lBAz0-4k", "【 IPO 教學 】2021 不可不抽的一只新股 🤑💰 | #IPO #抽新股 #日賺3000 | EP58【廢青 日賺3000】【點CC看中文字幕】")</f>
        <v>【 IPO 教學 】2021 不可不抽的一只新股 🤑💰 | #IPO #抽新股 #日賺3000 | EP58【廢青 日賺3000】【點CC看中文字幕】</v>
      </c>
      <c r="E3998" s="82">
        <v>44210.0</v>
      </c>
      <c r="F3998" s="80">
        <v>688.0</v>
      </c>
      <c r="G3998" s="80" t="s">
        <v>63</v>
      </c>
      <c r="I3998" s="80" t="s">
        <v>63</v>
      </c>
      <c r="J3998" s="80">
        <v>3035.0</v>
      </c>
      <c r="K3998" s="80">
        <v>0.858800226372382</v>
      </c>
      <c r="L3998" s="80" t="s">
        <v>64</v>
      </c>
    </row>
    <row r="3999">
      <c r="A3999" s="80" t="s">
        <v>1139</v>
      </c>
      <c r="B3999" s="81" t="str">
        <f>HYPERLINK("https://www.youtube.com/channel/UCw51gVFijIewmXH4tIR0ufw", "Crystal Zen")</f>
        <v>Crystal Zen</v>
      </c>
      <c r="C3999" s="80" t="s">
        <v>4410</v>
      </c>
      <c r="D3999" s="81" t="str">
        <f>HYPERLINK("https://youtube.com/watch?v=f9JL812bf2E", "直播水晶真係咁吸引？講水晶。講心聲🙊")</f>
        <v>直播水晶真係咁吸引？講水晶。講心聲🙊</v>
      </c>
      <c r="E3999" s="82">
        <v>44469.0</v>
      </c>
      <c r="F3999" s="80">
        <v>633.0</v>
      </c>
      <c r="G3999" s="80" t="s">
        <v>63</v>
      </c>
      <c r="I3999" s="80" t="s">
        <v>63</v>
      </c>
      <c r="J3999" s="80">
        <v>2663.0</v>
      </c>
      <c r="K3999" s="80">
        <v>0.932096604830241</v>
      </c>
      <c r="L3999" s="80" t="s">
        <v>64</v>
      </c>
    </row>
    <row r="4000">
      <c r="A4000" s="80" t="s">
        <v>127</v>
      </c>
      <c r="B4000" s="81" t="str">
        <f>HYPERLINK("https://www.youtube.com/channel/UC97oYK3XMf9RLtkc0lO8C-Q", "健康旦 HiEggo")</f>
        <v>健康旦 HiEggo</v>
      </c>
      <c r="C4000" s="80" t="s">
        <v>4411</v>
      </c>
      <c r="D4000" s="81" t="str">
        <f>HYPERLINK("https://youtube.com/watch?v=fBJnlsWM5R0", "阿旦主要嗌林珊珊、何嘉麗讚下佢！邊讚邊窒笑不停！何嘉麗爆阿旦天星小輪打碟趣事 林珊珊憶述初見廣播道才子開咪 - 鄭丹瑞《健康旦》@RTHK 香港電台《三個小神仙》林珊珊、何嘉麗Part 2")</f>
        <v>阿旦主要嗌林珊珊、何嘉麗讚下佢！邊讚邊窒笑不停！何嘉麗爆阿旦天星小輪打碟趣事 林珊珊憶述初見廣播道才子開咪 - 鄭丹瑞《健康旦》@RTHK 香港電台《三個小神仙》林珊珊、何嘉麗Part 2</v>
      </c>
      <c r="E4000" s="82">
        <v>43945.0</v>
      </c>
      <c r="F4000" s="80">
        <v>693.0</v>
      </c>
      <c r="G4000" s="80" t="s">
        <v>63</v>
      </c>
      <c r="I4000" s="80" t="s">
        <v>63</v>
      </c>
      <c r="J4000" s="80">
        <v>3099.0</v>
      </c>
      <c r="K4000" s="80">
        <v>0.967228464419475</v>
      </c>
      <c r="L4000" s="80" t="s">
        <v>64</v>
      </c>
    </row>
    <row r="4001">
      <c r="A4001" s="80" t="s">
        <v>1260</v>
      </c>
      <c r="B4001" s="81" t="str">
        <f>HYPERLINK("https://www.youtube.com/channel/UCh1k4i86BpiXEO3nzJIYynw", "The Wave")</f>
        <v>The Wave</v>
      </c>
      <c r="C4001" s="80" t="s">
        <v>4412</v>
      </c>
      <c r="D4001" s="81" t="str">
        <f>HYPERLINK("https://youtube.com/watch?v=fDjJ7it_AM8", "TheWave | iPhone 11 Product Red 開箱")</f>
        <v>TheWave | iPhone 11 Product Red 開箱</v>
      </c>
      <c r="E4001" s="82">
        <v>43730.0</v>
      </c>
      <c r="F4001" s="80">
        <v>265.0</v>
      </c>
      <c r="G4001" s="80" t="s">
        <v>63</v>
      </c>
      <c r="H4001" s="80" t="s">
        <v>63</v>
      </c>
      <c r="I4001" s="80" t="s">
        <v>63</v>
      </c>
      <c r="J4001" s="80">
        <v>576.0</v>
      </c>
      <c r="K4001" s="80">
        <v>0.643742953776775</v>
      </c>
      <c r="L4001" s="80" t="s">
        <v>1634</v>
      </c>
    </row>
    <row r="4002">
      <c r="A4002" s="80" t="s">
        <v>127</v>
      </c>
      <c r="B4002" s="81" t="str">
        <f>HYPERLINK("https://www.youtube.com/channel/UC97oYK3XMf9RLtkc0lO8C-Q", "健康旦 HiEggo")</f>
        <v>健康旦 HiEggo</v>
      </c>
      <c r="C4002" s="80" t="s">
        <v>4413</v>
      </c>
      <c r="D4002" s="81" t="str">
        <f>HYPERLINK("https://youtube.com/watch?v=fEkg7X2kJsI", "每日 16 小時斷食推動細胞自噬機制 李維恩教授引用諾貝爾獎得主解釋 - 鄭丹瑞《健康旦》李維恩教授 Part 9 (CC中文字幕)")</f>
        <v>每日 16 小時斷食推動細胞自噬機制 李維恩教授引用諾貝爾獎得主解釋 - 鄭丹瑞《健康旦》李維恩教授 Part 9 (CC中文字幕)</v>
      </c>
      <c r="E4002" s="82">
        <v>43910.0</v>
      </c>
      <c r="F4002" s="80">
        <v>685.0</v>
      </c>
      <c r="G4002" s="80" t="s">
        <v>63</v>
      </c>
      <c r="I4002" s="80" t="s">
        <v>63</v>
      </c>
      <c r="J4002" s="80">
        <v>2673.0</v>
      </c>
      <c r="K4002" s="80">
        <v>0.955325232308792</v>
      </c>
      <c r="L4002" s="80" t="s">
        <v>102</v>
      </c>
    </row>
    <row r="4003">
      <c r="A4003" s="80" t="s">
        <v>1987</v>
      </c>
      <c r="B4003" s="81" t="str">
        <f>HYPERLINK("https://www.youtube.com/channel/UCgGUmm04nVyj-ftaCxVcyBg", "MangoHK大馬獅家")</f>
        <v>MangoHK大馬獅家</v>
      </c>
      <c r="C4003" s="80" t="s">
        <v>4414</v>
      </c>
      <c r="D4003" s="81" t="str">
        <f>HYPERLINK("https://youtube.com/watch?v=fFC_-HDw2NI", "【51】🆘求助✈️網友身在紐約💪綿力盡量協助！ {中英字幕}  Subtitled | Malaysia help each other | Malaysia Vlog | mm2h")</f>
        <v>【51】🆘求助✈️網友身在紐約💪綿力盡量協助！ {中英字幕}  Subtitled | Malaysia help each other | Malaysia Vlog | mm2h</v>
      </c>
      <c r="E4003" s="82">
        <v>44479.0</v>
      </c>
      <c r="F4003" s="80">
        <v>482.0</v>
      </c>
      <c r="G4003" s="80" t="s">
        <v>63</v>
      </c>
      <c r="I4003" s="80" t="s">
        <v>63</v>
      </c>
      <c r="J4003" s="80">
        <v>821.0</v>
      </c>
      <c r="K4003" s="80">
        <v>0.870625662778367</v>
      </c>
      <c r="L4003" s="80" t="s">
        <v>896</v>
      </c>
    </row>
    <row r="4004">
      <c r="A4004" s="80" t="s">
        <v>248</v>
      </c>
      <c r="B4004" s="81" t="str">
        <f t="shared" ref="B4004:B4005" si="212">HYPERLINK("https://www.youtube.com/channel/UCUEJok-GiWaGlv5nIPwk-GQ", "Price.com.hk 香港格價網")</f>
        <v>Price.com.hk 香港格價網</v>
      </c>
      <c r="C4004" s="80" t="s">
        <v>4415</v>
      </c>
      <c r="D4004" s="81" t="str">
        <f>HYPERLINK("https://youtube.com/watch?v=fFaaSYzQJ8M", "市面上最細全身按摩椅 實測OSIM小天王2｜網上限定｜特約專題｜廣東話【Price.com.hk產品介紹】")</f>
        <v>市面上最細全身按摩椅 實測OSIM小天王2｜網上限定｜特約專題｜廣東話【Price.com.hk產品介紹】</v>
      </c>
      <c r="E4004" s="82">
        <v>44489.0</v>
      </c>
      <c r="F4004" s="80">
        <v>265.0</v>
      </c>
      <c r="G4004" s="80" t="s">
        <v>63</v>
      </c>
      <c r="I4004" s="80" t="s">
        <v>63</v>
      </c>
      <c r="J4004" s="80">
        <v>889.0</v>
      </c>
      <c r="K4004" s="80">
        <v>0.920289855072463</v>
      </c>
      <c r="L4004" s="80" t="s">
        <v>64</v>
      </c>
    </row>
    <row r="4005">
      <c r="A4005" s="80" t="s">
        <v>248</v>
      </c>
      <c r="B4005" s="81" t="str">
        <f t="shared" si="212"/>
        <v>Price.com.hk 香港格價網</v>
      </c>
      <c r="C4005" s="80" t="s">
        <v>4416</v>
      </c>
      <c r="D4005" s="81" t="str">
        <f>HYPERLINK("https://youtube.com/watch?v=fFiWHHe-_ZQ", "【Price網購呈獻 #02】電腦枱裝備升級 5件網購精選貨品｜Karen電腦枱大公開｜Keyboard、Mouse、充電座、電腦支架、Soundbar｜消費劵預備｜廣東話")</f>
        <v>【Price網購呈獻 #02】電腦枱裝備升級 5件網購精選貨品｜Karen電腦枱大公開｜Keyboard、Mouse、充電座、電腦支架、Soundbar｜消費劵預備｜廣東話</v>
      </c>
      <c r="E4005" s="82">
        <v>44446.0</v>
      </c>
      <c r="F4005" s="80">
        <v>315.0</v>
      </c>
      <c r="G4005" s="80" t="s">
        <v>63</v>
      </c>
      <c r="I4005" s="80" t="s">
        <v>63</v>
      </c>
      <c r="J4005" s="80">
        <v>937.0</v>
      </c>
      <c r="K4005" s="80">
        <v>0.74129746835443</v>
      </c>
      <c r="L4005" s="80" t="s">
        <v>64</v>
      </c>
    </row>
    <row r="4006">
      <c r="A4006" s="80" t="s">
        <v>293</v>
      </c>
      <c r="B4006" s="81" t="str">
        <f>HYPERLINK("https://www.youtube.com/channel/UCXRcbXqjORdIvl63I7MtOLQ", "趁熱 Kerry 's kitchen")</f>
        <v>趁熱 Kerry 's kitchen</v>
      </c>
      <c r="C4006" s="80" t="s">
        <v>4417</v>
      </c>
      <c r="D4006" s="81" t="str">
        <f>HYPERLINK("https://youtube.com/watch?v=fJNalt3SD5c", "鹹菜胡椒豬肚湯/驅胃寒/劈完酒必備/戰湯/清洗豬肚竅門/簡單 家做/新手 入門/廣東話/中字")</f>
        <v>鹹菜胡椒豬肚湯/驅胃寒/劈完酒必備/戰湯/清洗豬肚竅門/簡單 家做/新手 入門/廣東話/中字</v>
      </c>
      <c r="E4006" s="82">
        <v>44461.0</v>
      </c>
      <c r="F4006" s="80">
        <v>592.0</v>
      </c>
      <c r="G4006" s="80" t="s">
        <v>63</v>
      </c>
      <c r="I4006" s="80" t="s">
        <v>63</v>
      </c>
      <c r="J4006" s="80">
        <v>1476.0</v>
      </c>
      <c r="K4006" s="80">
        <v>0.9800796812749</v>
      </c>
      <c r="L4006" s="80" t="s">
        <v>64</v>
      </c>
    </row>
    <row r="4007">
      <c r="A4007" s="80" t="s">
        <v>2825</v>
      </c>
      <c r="B4007" s="81" t="str">
        <f>HYPERLINK("https://www.youtube.com/channel/UCP7XhYDgUbvjvaHxIhjTd_g", "Maviskuku 雞蛋妹")</f>
        <v>Maviskuku 雞蛋妹</v>
      </c>
      <c r="C4007" s="80" t="s">
        <v>4418</v>
      </c>
      <c r="D4007" s="81" t="str">
        <f>HYPERLINK("https://youtube.com/watch?v=fKEaj3fHLcE", "【Vlog】跟我去 Samsung Galaxy Z Fold 3＋Galaxy Z Flip 3 發佈會！近距離見 MIRROR！鏡粉福利💕")</f>
        <v>【Vlog】跟我去 Samsung Galaxy Z Fold 3＋Galaxy Z Flip 3 發佈會！近距離見 MIRROR！鏡粉福利💕</v>
      </c>
      <c r="E4007" s="82">
        <v>44440.0</v>
      </c>
      <c r="F4007" s="80">
        <v>522.0</v>
      </c>
      <c r="G4007" s="80" t="s">
        <v>63</v>
      </c>
      <c r="H4007" s="80" t="s">
        <v>63</v>
      </c>
      <c r="I4007" s="80" t="s">
        <v>63</v>
      </c>
      <c r="J4007" s="80">
        <v>1251.0</v>
      </c>
      <c r="K4007" s="80">
        <v>0.798340778557753</v>
      </c>
      <c r="L4007" s="80" t="s">
        <v>66</v>
      </c>
    </row>
    <row r="4008">
      <c r="A4008" s="80" t="s">
        <v>1260</v>
      </c>
      <c r="B4008" s="81" t="str">
        <f>HYPERLINK("https://www.youtube.com/channel/UCh1k4i86BpiXEO3nzJIYynw", "The Wave")</f>
        <v>The Wave</v>
      </c>
      <c r="C4008" s="80" t="s">
        <v>4419</v>
      </c>
      <c r="D4008" s="81" t="str">
        <f>HYPERLINK("https://youtube.com/watch?v=fKEuck8ik-I", "TheWave | Sony Walkman NW-A35 Unboxing | 4KUHD | Eng Sub")</f>
        <v>TheWave | Sony Walkman NW-A35 Unboxing | 4KUHD | Eng Sub</v>
      </c>
      <c r="E4008" s="82">
        <v>42687.0</v>
      </c>
      <c r="F4008" s="80">
        <v>127.0</v>
      </c>
      <c r="G4008" s="80" t="s">
        <v>63</v>
      </c>
      <c r="H4008" s="80" t="s">
        <v>63</v>
      </c>
      <c r="I4008" s="80" t="s">
        <v>63</v>
      </c>
      <c r="J4008" s="80">
        <v>429.0</v>
      </c>
      <c r="K4008" s="80">
        <v>0.658986175115207</v>
      </c>
      <c r="L4008" s="80" t="s">
        <v>1105</v>
      </c>
    </row>
    <row r="4009">
      <c r="A4009" s="80" t="s">
        <v>1987</v>
      </c>
      <c r="B4009" s="81" t="str">
        <f>HYPERLINK("https://www.youtube.com/channel/UCgGUmm04nVyj-ftaCxVcyBg", "MangoHK大馬獅家")</f>
        <v>MangoHK大馬獅家</v>
      </c>
      <c r="C4009" s="80" t="s">
        <v>4420</v>
      </c>
      <c r="D4009" s="81" t="str">
        <f>HYPERLINK("https://youtube.com/watch?v=fKUGZD_y99s", "【20】🌺點解大馬種得好🪴超大陽台後花園！{中英字幕}  Subtitled | Malaysia Garden | Malaysia Vlog | mm2h")</f>
        <v>【20】🌺點解大馬種得好🪴超大陽台後花園！{中英字幕}  Subtitled | Malaysia Garden | Malaysia Vlog | mm2h</v>
      </c>
      <c r="E4009" s="82">
        <v>44454.0</v>
      </c>
      <c r="F4009" s="80">
        <v>482.0</v>
      </c>
      <c r="G4009" s="80" t="s">
        <v>63</v>
      </c>
      <c r="I4009" s="80" t="s">
        <v>63</v>
      </c>
      <c r="J4009" s="80">
        <v>687.0</v>
      </c>
      <c r="K4009" s="80">
        <v>0.948895027624309</v>
      </c>
      <c r="L4009" s="80" t="s">
        <v>896</v>
      </c>
    </row>
    <row r="4010">
      <c r="A4010" s="80" t="s">
        <v>1260</v>
      </c>
      <c r="B4010" s="81" t="str">
        <f>HYPERLINK("https://www.youtube.com/channel/UCh1k4i86BpiXEO3nzJIYynw", "The Wave")</f>
        <v>The Wave</v>
      </c>
      <c r="C4010" s="80" t="s">
        <v>4421</v>
      </c>
      <c r="D4010" s="81" t="str">
        <f>HYPERLINK("https://youtube.com/watch?v=fNElQbUUP9o", "TheWave | Xperia 折疊式手機？ Xperia F ？ 最終幻想🤣🤣😈")</f>
        <v>TheWave | Xperia 折疊式手機？ Xperia F ？ 最終幻想🤣🤣😈</v>
      </c>
      <c r="E4010" s="82">
        <v>43632.0</v>
      </c>
      <c r="F4010" s="80">
        <v>142.0</v>
      </c>
      <c r="G4010" s="80" t="s">
        <v>63</v>
      </c>
      <c r="H4010" s="80" t="s">
        <v>63</v>
      </c>
      <c r="I4010" s="80" t="s">
        <v>63</v>
      </c>
      <c r="J4010" s="80">
        <v>618.0</v>
      </c>
      <c r="K4010" s="80">
        <v>0.841961852861035</v>
      </c>
      <c r="L4010" s="80" t="s">
        <v>1132</v>
      </c>
    </row>
    <row r="4011">
      <c r="A4011" s="80" t="s">
        <v>1987</v>
      </c>
      <c r="B4011" s="81" t="str">
        <f>HYPERLINK("https://www.youtube.com/channel/UCgGUmm04nVyj-ftaCxVcyBg", "MangoHK大馬獅家")</f>
        <v>MangoHK大馬獅家</v>
      </c>
      <c r="C4011" s="80" t="s">
        <v>4422</v>
      </c>
      <c r="D4011" s="81" t="str">
        <f>HYPERLINK("https://youtube.com/watch?v=fPTz10MfFss", "【5】🈵零失敗蒸水蛋, ✅秘訣喺邊度？{中英字幕}  Subtitled | [DIY]Steamed Egg with Minced Pork | Malaysia Vlog | mm2h")</f>
        <v>【5】🈵零失敗蒸水蛋, ✅秘訣喺邊度？{中英字幕}  Subtitled | [DIY]Steamed Egg with Minced Pork | Malaysia Vlog | mm2h</v>
      </c>
      <c r="E4011" s="82">
        <v>44446.0</v>
      </c>
      <c r="F4011" s="80">
        <v>668.0</v>
      </c>
      <c r="G4011" s="80" t="s">
        <v>63</v>
      </c>
      <c r="I4011" s="80" t="s">
        <v>63</v>
      </c>
      <c r="J4011" s="80">
        <v>783.0</v>
      </c>
      <c r="K4011" s="80">
        <v>0.993654822335025</v>
      </c>
      <c r="L4011" s="80" t="s">
        <v>896</v>
      </c>
    </row>
    <row r="4012">
      <c r="A4012" s="80" t="s">
        <v>1260</v>
      </c>
      <c r="B4012" s="81" t="str">
        <f>HYPERLINK("https://www.youtube.com/channel/UCh1k4i86BpiXEO3nzJIYynw", "The Wave")</f>
        <v>The Wave</v>
      </c>
      <c r="C4012" s="80" t="s">
        <v>4423</v>
      </c>
      <c r="D4012" s="81" t="str">
        <f>HYPERLINK("https://youtube.com/watch?v=fSv52lEDAC8", "TheWave | WI-1000XM2 簡單評測 | WI-1000XM2 vs WI-1000X vs WF-1000XM3")</f>
        <v>TheWave | WI-1000XM2 簡單評測 | WI-1000XM2 vs WI-1000X vs WF-1000XM3</v>
      </c>
      <c r="E4012" s="82">
        <v>43821.0</v>
      </c>
      <c r="F4012" s="80">
        <v>141.0</v>
      </c>
      <c r="G4012" s="80" t="s">
        <v>63</v>
      </c>
      <c r="H4012" s="80" t="s">
        <v>63</v>
      </c>
      <c r="I4012" s="80" t="s">
        <v>63</v>
      </c>
      <c r="J4012" s="80">
        <v>403.0</v>
      </c>
      <c r="K4012" s="80">
        <v>0.746741154562383</v>
      </c>
      <c r="L4012" s="80" t="s">
        <v>1634</v>
      </c>
    </row>
    <row r="4013">
      <c r="A4013" s="80" t="s">
        <v>127</v>
      </c>
      <c r="B4013" s="81" t="str">
        <f>HYPERLINK("https://www.youtube.com/channel/UC97oYK3XMf9RLtkc0lO8C-Q", "健康旦 HiEggo")</f>
        <v>健康旦 HiEggo</v>
      </c>
      <c r="C4013" s="80" t="s">
        <v>4424</v>
      </c>
      <c r="D4013" s="81" t="str">
        <f>HYPERLINK("https://youtube.com/watch?v=fUcB75Uv7rY", "Eric Ko 教狗仔着鞋方法抗疫；獸醫陳文滔答你 人狗抗疫時期應否與狗錫錫 - 鄭丹瑞《健康旦》Eric Ko、陳文滔 Part 2")</f>
        <v>Eric Ko 教狗仔着鞋方法抗疫；獸醫陳文滔答你 人狗抗疫時期應否與狗錫錫 - 鄭丹瑞《健康旦》Eric Ko、陳文滔 Part 2</v>
      </c>
      <c r="E4013" s="82">
        <v>43895.0</v>
      </c>
      <c r="F4013" s="80">
        <v>741.0</v>
      </c>
      <c r="G4013" s="80" t="s">
        <v>63</v>
      </c>
      <c r="I4013" s="80" t="s">
        <v>63</v>
      </c>
      <c r="J4013" s="80">
        <v>2947.0</v>
      </c>
      <c r="K4013" s="80">
        <v>0.990255376344086</v>
      </c>
      <c r="L4013" s="80" t="s">
        <v>102</v>
      </c>
    </row>
    <row r="4014">
      <c r="A4014" s="80" t="s">
        <v>293</v>
      </c>
      <c r="B4014" s="81" t="str">
        <f>HYPERLINK("https://www.youtube.com/channel/UCXRcbXqjORdIvl63I7MtOLQ", "趁熱 Kerry 's kitchen")</f>
        <v>趁熱 Kerry 's kitchen</v>
      </c>
      <c r="C4014" s="80" t="s">
        <v>4425</v>
      </c>
      <c r="D4014" s="81" t="str">
        <f>HYPERLINK("https://youtube.com/watch?v=fXDjGuZokcE", "香茅豬扒/越南餐廳做法/大部人都教錯,如何令香茅出味/粵語/中字/簡單 家做/拍鬆豬扒方法")</f>
        <v>香茅豬扒/越南餐廳做法/大部人都教錯,如何令香茅出味/粵語/中字/簡單 家做/拍鬆豬扒方法</v>
      </c>
      <c r="E4014" s="82">
        <v>44356.0</v>
      </c>
      <c r="F4014" s="80">
        <v>644.0</v>
      </c>
      <c r="G4014" s="80" t="s">
        <v>63</v>
      </c>
      <c r="I4014" s="80" t="s">
        <v>63</v>
      </c>
      <c r="J4014" s="80">
        <v>1559.0</v>
      </c>
      <c r="K4014" s="80">
        <v>0.991099809281627</v>
      </c>
      <c r="L4014" s="80" t="s">
        <v>64</v>
      </c>
    </row>
    <row r="4015">
      <c r="A4015" s="80" t="s">
        <v>238</v>
      </c>
      <c r="B4015" s="81" t="str">
        <f>HYPERLINK("https://www.youtube.com/channel/UCSBkm4LwpgBmcA3MCtO8vqg", "Post76影音玩樂")</f>
        <v>Post76影音玩樂</v>
      </c>
      <c r="C4015" s="80" t="s">
        <v>4426</v>
      </c>
      <c r="D4015" s="81" t="str">
        <f>HYPERLINK("https://youtube.com/watch?v=fYrtspo-Czc", "醒到不得了!?  Yamaha RX-A8A 新旗艦 Surround:AI 二代目 8K + 11.2 聲道家庭擴音機 (附設 cc 字幕)【擴音機評測】")</f>
        <v>醒到不得了!?  Yamaha RX-A8A 新旗艦 Surround:AI 二代目 8K + 11.2 聲道家庭擴音機 (附設 cc 字幕)【擴音機評測】</v>
      </c>
      <c r="E4015" s="82">
        <v>44489.0</v>
      </c>
      <c r="F4015" s="80">
        <v>1139.0</v>
      </c>
      <c r="G4015" s="80" t="s">
        <v>63</v>
      </c>
      <c r="H4015" s="80" t="s">
        <v>63</v>
      </c>
      <c r="I4015" s="80" t="s">
        <v>63</v>
      </c>
      <c r="J4015" s="80">
        <v>4301.0</v>
      </c>
      <c r="K4015" s="80">
        <v>0.812614819350888</v>
      </c>
      <c r="L4015" s="80" t="s">
        <v>240</v>
      </c>
    </row>
    <row r="4016">
      <c r="A4016" s="80" t="s">
        <v>127</v>
      </c>
      <c r="B4016" s="81" t="str">
        <f>HYPERLINK("https://www.youtube.com/channel/UC97oYK3XMf9RLtkc0lO8C-Q", "健康旦 HiEggo")</f>
        <v>健康旦 HiEggo</v>
      </c>
      <c r="C4016" s="80" t="s">
        <v>4427</v>
      </c>
      <c r="D4016" s="81" t="str">
        <f>HYPERLINK("https://youtube.com/watch?v=fa6j7zzs4E0", "腳軟老人必練簡易動作 閉目單腳企改善平衝力 加強大腿肌肉穩定及協調 - 鄭丹瑞《健康旦》#羅曉暉 義肢及矯形師 (CC中文字幕)")</f>
        <v>腳軟老人必練簡易動作 閉目單腳企改善平衝力 加強大腿肌肉穩定及協調 - 鄭丹瑞《健康旦》#羅曉暉 義肢及矯形師 (CC中文字幕)</v>
      </c>
      <c r="E4016" s="82">
        <v>44011.0</v>
      </c>
      <c r="F4016" s="80">
        <v>686.0</v>
      </c>
      <c r="G4016" s="80" t="s">
        <v>63</v>
      </c>
      <c r="I4016" s="80" t="s">
        <v>63</v>
      </c>
      <c r="J4016" s="80">
        <v>2899.0</v>
      </c>
      <c r="K4016" s="80">
        <v>0.964404524284763</v>
      </c>
      <c r="L4016" s="80" t="s">
        <v>2771</v>
      </c>
    </row>
    <row r="4017">
      <c r="A4017" s="80" t="s">
        <v>2764</v>
      </c>
      <c r="B4017" s="81" t="str">
        <f>HYPERLINK("https://www.youtube.com/channel/UCejZUW4khvxoA4uL2Afz20g", "Housik Laanfei 好食懶飛")</f>
        <v>Housik Laanfei 好食懶飛</v>
      </c>
      <c r="C4017" s="80" t="s">
        <v>4428</v>
      </c>
      <c r="D4017" s="81" t="str">
        <f>HYPERLINK("https://youtube.com/watch?v=fb8y65xBfc0", "[懷舊小食] 蝦多士 | CC: 廣東話/繁中/ENG SUB | COOKING VLOG")</f>
        <v>[懷舊小食] 蝦多士 | CC: 廣東話/繁中/ENG SUB | COOKING VLOG</v>
      </c>
      <c r="E4017" s="82">
        <v>44266.0</v>
      </c>
      <c r="F4017" s="80">
        <v>295.0</v>
      </c>
      <c r="G4017" s="80" t="s">
        <v>63</v>
      </c>
      <c r="H4017" s="80" t="s">
        <v>63</v>
      </c>
      <c r="I4017" s="80" t="s">
        <v>63</v>
      </c>
      <c r="J4017" s="80">
        <v>215.0</v>
      </c>
      <c r="K4017" s="80">
        <v>0.986238532110091</v>
      </c>
      <c r="L4017" s="80" t="s">
        <v>80</v>
      </c>
    </row>
    <row r="4018">
      <c r="A4018" s="80" t="s">
        <v>288</v>
      </c>
      <c r="B4018" s="81" t="str">
        <f>HYPERLINK("https://www.youtube.com/channel/UCDWOYEhVnyD4IHZGVAMLc0g", "Brendan 毛爸")</f>
        <v>Brendan 毛爸</v>
      </c>
      <c r="C4018" s="80" t="s">
        <v>4429</v>
      </c>
      <c r="D4018" s="81" t="str">
        <f>HYPERLINK("https://youtube.com/watch?v=fdaQXtl5eq0", "【集合啦! 動物森友會】#2｜最重要的密技！ 想要朋友的傢具、服飾，摸一摸就得到？到底甚麼是 “摸”?（請開CC 中文字幕)")</f>
        <v>【集合啦! 動物森友會】#2｜最重要的密技！ 想要朋友的傢具、服飾，摸一摸就得到？到底甚麼是 “摸”?（請開CC 中文字幕)</v>
      </c>
      <c r="E4018" s="82">
        <v>43931.0</v>
      </c>
      <c r="F4018" s="80">
        <v>117.0</v>
      </c>
      <c r="G4018" s="80" t="s">
        <v>63</v>
      </c>
      <c r="I4018" s="80" t="s">
        <v>63</v>
      </c>
      <c r="J4018" s="80">
        <v>422.0</v>
      </c>
      <c r="K4018" s="80">
        <v>0.94407158836689</v>
      </c>
      <c r="L4018" s="80" t="s">
        <v>64</v>
      </c>
    </row>
    <row r="4019">
      <c r="A4019" s="80" t="s">
        <v>127</v>
      </c>
      <c r="B4019" s="81" t="str">
        <f>HYPERLINK("https://www.youtube.com/channel/UC97oYK3XMf9RLtkc0lO8C-Q", "健康旦 HiEggo")</f>
        <v>健康旦 HiEggo</v>
      </c>
      <c r="C4019" s="80" t="s">
        <v>4430</v>
      </c>
      <c r="D4019" s="81" t="str">
        <f>HYPERLINK("https://youtube.com/watch?v=ffpH55lA4Fk", "全套裝備防止檢測交叉感染 血液抗體檢測示範 十分鐘驗隱形病人 - 鄭丹瑞《健康旦》醫療集團總裁 #林濤 Part 2 (CC中文字幕)")</f>
        <v>全套裝備防止檢測交叉感染 血液抗體檢測示範 十分鐘驗隱形病人 - 鄭丹瑞《健康旦》醫療集團總裁 #林濤 Part 2 (CC中文字幕)</v>
      </c>
      <c r="E4019" s="82">
        <v>44068.0</v>
      </c>
      <c r="F4019" s="80">
        <v>643.0</v>
      </c>
      <c r="G4019" s="80" t="s">
        <v>63</v>
      </c>
      <c r="I4019" s="80" t="s">
        <v>63</v>
      </c>
      <c r="J4019" s="80">
        <v>2445.0</v>
      </c>
      <c r="K4019" s="80">
        <v>0.979175010012014</v>
      </c>
      <c r="L4019" s="80" t="s">
        <v>2771</v>
      </c>
    </row>
    <row r="4020">
      <c r="A4020" s="80" t="s">
        <v>124</v>
      </c>
      <c r="B4020" s="81" t="str">
        <f>HYPERLINK("https://www.youtube.com/channel/UCg0vuSE0fBF_NvodyYhMcWg", "Wallace Studio HK")</f>
        <v>Wallace Studio HK</v>
      </c>
      <c r="C4020" s="80" t="s">
        <v>4431</v>
      </c>
      <c r="D4020" s="81" t="str">
        <f>HYPERLINK("https://youtube.com/watch?v=fgNH_N-mlkU", "[詳細評測] Galaxy Book Pro 360詳細評測。唔錯，但仲有好多野可以挑剔。(CC中文字幕)")</f>
        <v>[詳細評測] Galaxy Book Pro 360詳細評測。唔錯，但仲有好多野可以挑剔。(CC中文字幕)</v>
      </c>
      <c r="E4020" s="82">
        <v>44348.0</v>
      </c>
      <c r="F4020" s="80">
        <v>663.0</v>
      </c>
      <c r="G4020" s="80" t="s">
        <v>63</v>
      </c>
      <c r="H4020" s="80" t="s">
        <v>63</v>
      </c>
      <c r="I4020" s="80" t="s">
        <v>63</v>
      </c>
      <c r="J4020" s="80">
        <v>2123.0</v>
      </c>
      <c r="K4020" s="80">
        <v>0.742827151854443</v>
      </c>
      <c r="L4020" s="80" t="s">
        <v>86</v>
      </c>
    </row>
    <row r="4021">
      <c r="A4021" s="80" t="s">
        <v>2942</v>
      </c>
      <c r="B4021" s="81" t="str">
        <f>HYPERLINK("https://www.youtube.com/channel/UCFOFvhsNWMPHwvbfHl7K6qw", "司徒文進 CROSSBONE")</f>
        <v>司徒文進 CROSSBONE</v>
      </c>
      <c r="C4021" s="80" t="s">
        <v>4432</v>
      </c>
      <c r="D4021" s="81" t="str">
        <f>HYPERLINK("https://youtube.com/watch?v=fiqA19F8A64", "(中字)(12.31特別企劃)司徒文進+頻道管理員Louisa同你由內到外參觀澳門著名葡京酒店")</f>
        <v>(中字)(12.31特別企劃)司徒文進+頻道管理員Louisa同你由內到外參觀澳門著名葡京酒店</v>
      </c>
      <c r="E4021" s="82">
        <v>44561.0</v>
      </c>
      <c r="F4021" s="80">
        <v>622.0</v>
      </c>
      <c r="G4021" s="80" t="s">
        <v>63</v>
      </c>
      <c r="I4021" s="80" t="s">
        <v>63</v>
      </c>
      <c r="J4021" s="80">
        <v>2163.0</v>
      </c>
      <c r="K4021" s="80">
        <v>0.959627329192546</v>
      </c>
      <c r="L4021" s="80" t="s">
        <v>820</v>
      </c>
    </row>
    <row r="4022">
      <c r="A4022" s="80" t="s">
        <v>98</v>
      </c>
      <c r="B4022" s="81" t="str">
        <f>HYPERLINK("https://www.youtube.com/channel/UCrquuQB6v1Ued2xyRKZreGQ", "Stephen Leung ")</f>
        <v>Stephen Leung </v>
      </c>
      <c r="C4022" s="80" t="s">
        <v>4433</v>
      </c>
      <c r="D4022" s="81" t="str">
        <f>HYPERLINK("https://youtube.com/watch?v=fj2ZkiyckV0", "【香港美食】君悅酒店 餐飲王牌 罕有傳統意大利風味 平實低調 Grissini Grand Hyatt Hong Kong | 吃喝玩樂 grand hyatt hotel 香港好去處")</f>
        <v>【香港美食】君悅酒店 餐飲王牌 罕有傳統意大利風味 平實低調 Grissini Grand Hyatt Hong Kong | 吃喝玩樂 grand hyatt hotel 香港好去處</v>
      </c>
      <c r="E4022" s="82">
        <v>44455.0</v>
      </c>
      <c r="F4022" s="80">
        <v>736.0</v>
      </c>
      <c r="G4022" s="80" t="s">
        <v>63</v>
      </c>
      <c r="I4022" s="80" t="s">
        <v>63</v>
      </c>
      <c r="J4022" s="80">
        <v>1655.0</v>
      </c>
      <c r="K4022" s="80">
        <v>0.938208616780045</v>
      </c>
      <c r="L4022" s="80" t="s">
        <v>64</v>
      </c>
    </row>
    <row r="4023">
      <c r="A4023" s="80" t="s">
        <v>1260</v>
      </c>
      <c r="B4023" s="81" t="str">
        <f>HYPERLINK("https://www.youtube.com/channel/UCh1k4i86BpiXEO3nzJIYynw", "The Wave")</f>
        <v>The Wave</v>
      </c>
      <c r="C4023" s="80" t="s">
        <v>4434</v>
      </c>
      <c r="D4023" s="81" t="str">
        <f>HYPERLINK("https://youtube.com/watch?v=fjJVMKQUrRY", "TheWave | Samsung 980 Pro 開箱 ONLY | 無測試")</f>
        <v>TheWave | Samsung 980 Pro 開箱 ONLY | 無測試</v>
      </c>
      <c r="E4023" s="82">
        <v>44351.0</v>
      </c>
      <c r="F4023" s="80">
        <v>77.0</v>
      </c>
      <c r="G4023" s="80" t="s">
        <v>63</v>
      </c>
      <c r="H4023" s="80" t="s">
        <v>63</v>
      </c>
      <c r="I4023" s="80" t="s">
        <v>63</v>
      </c>
      <c r="J4023" s="80">
        <v>214.0</v>
      </c>
      <c r="K4023" s="80">
        <v>0.750877192982456</v>
      </c>
      <c r="L4023" s="80" t="s">
        <v>1634</v>
      </c>
    </row>
    <row r="4024">
      <c r="A4024" s="80" t="s">
        <v>1987</v>
      </c>
      <c r="B4024" s="81" t="str">
        <f>HYPERLINK("https://www.youtube.com/channel/UCgGUmm04nVyj-ftaCxVcyBg", "MangoHK大馬獅家")</f>
        <v>MangoHK大馬獅家</v>
      </c>
      <c r="C4024" s="80" t="s">
        <v>4435</v>
      </c>
      <c r="D4024" s="81" t="str">
        <f>HYPERLINK("https://youtube.com/watch?v=fkDQP7xdgUk", "【18】🐲怡保檳城輕度遊🤮足浴片段《愼入》！{中英字幕}  Subtitled | Malaysia Ipoh  Penang | Malaysia Vlog | mm2h")</f>
        <v>【18】🐲怡保檳城輕度遊🤮足浴片段《愼入》！{中英字幕}  Subtitled | Malaysia Ipoh  Penang | Malaysia Vlog | mm2h</v>
      </c>
      <c r="E4024" s="82">
        <v>44453.0</v>
      </c>
      <c r="F4024" s="80">
        <v>703.0</v>
      </c>
      <c r="G4024" s="80" t="s">
        <v>63</v>
      </c>
      <c r="I4024" s="80" t="s">
        <v>63</v>
      </c>
      <c r="J4024" s="80">
        <v>1457.0</v>
      </c>
      <c r="K4024" s="80">
        <v>0.948567708333333</v>
      </c>
      <c r="L4024" s="80" t="s">
        <v>896</v>
      </c>
    </row>
    <row r="4025">
      <c r="A4025" s="80" t="s">
        <v>98</v>
      </c>
      <c r="B4025" s="81" t="str">
        <f>HYPERLINK("https://www.youtube.com/channel/UCrquuQB6v1Ued2xyRKZreGQ", "Stephen Leung ")</f>
        <v>Stephen Leung </v>
      </c>
      <c r="C4025" s="80" t="s">
        <v>4436</v>
      </c>
      <c r="D4025" s="81" t="str">
        <f>HYPERLINK("https://youtube.com/watch?v=fkHaj3_EXyE", "【放題速報】$198 生蠔海鮮放題 一蠔三食 蒸焗炸 韓式海鮮火鍋放題 巨型牛肉山 無限任食 九重鮮 | 吃喝玩樂  推介 香港")</f>
        <v>【放題速報】$198 生蠔海鮮放題 一蠔三食 蒸焗炸 韓式海鮮火鍋放題 巨型牛肉山 無限任食 九重鮮 | 吃喝玩樂  推介 香港</v>
      </c>
      <c r="E4025" s="82">
        <v>44547.0</v>
      </c>
      <c r="F4025" s="80">
        <v>553.0</v>
      </c>
      <c r="G4025" s="80" t="s">
        <v>63</v>
      </c>
      <c r="I4025" s="80" t="s">
        <v>63</v>
      </c>
      <c r="J4025" s="80">
        <v>1357.0</v>
      </c>
      <c r="K4025" s="80">
        <v>0.970672389127324</v>
      </c>
      <c r="L4025" s="80" t="s">
        <v>64</v>
      </c>
    </row>
    <row r="4026">
      <c r="A4026" s="80" t="s">
        <v>1139</v>
      </c>
      <c r="B4026" s="81" t="str">
        <f>HYPERLINK("https://www.youtube.com/channel/UCw51gVFijIewmXH4tIR0ufw", "Crystal Zen")</f>
        <v>Crystal Zen</v>
      </c>
      <c r="C4026" s="80" t="s">
        <v>4437</v>
      </c>
      <c r="D4026" s="81" t="str">
        <f>HYPERLINK("https://youtube.com/watch?v=fkRWBQn6q3c", "[ ANGUS 水晶有感系列 ] 綠幽靈與我的奇妙體驗")</f>
        <v>[ ANGUS 水晶有感系列 ] 綠幽靈與我的奇妙體驗</v>
      </c>
      <c r="E4026" s="82">
        <v>44312.0</v>
      </c>
      <c r="F4026" s="80">
        <v>617.0</v>
      </c>
      <c r="G4026" s="80" t="s">
        <v>63</v>
      </c>
      <c r="I4026" s="80" t="s">
        <v>63</v>
      </c>
      <c r="J4026" s="80">
        <v>2555.0</v>
      </c>
      <c r="K4026" s="80">
        <v>0.978177641653905</v>
      </c>
      <c r="L4026" s="80" t="s">
        <v>64</v>
      </c>
    </row>
    <row r="4027">
      <c r="A4027" s="80" t="s">
        <v>293</v>
      </c>
      <c r="B4027" s="81" t="str">
        <f>HYPERLINK("https://www.youtube.com/channel/UCXRcbXqjORdIvl63I7MtOLQ", "趁熱 Kerry 's kitchen")</f>
        <v>趁熱 Kerry 's kitchen</v>
      </c>
      <c r="C4027" s="80" t="s">
        <v>4438</v>
      </c>
      <c r="D4027" s="81" t="str">
        <f>HYPERLINK("https://youtube.com/watch?v=fkp7W6M6Vzg", "牛肉面 食譜/粵語/中字幕/簡單/沙爹牛肉面/平價急凍牛肉不醃超嫩滑/移民/創業開餐廳[13]如何優化傳統菜式提升賣價 beef noodles/ professional chef recipe")</f>
        <v>牛肉面 食譜/粵語/中字幕/簡單/沙爹牛肉面/平價急凍牛肉不醃超嫩滑/移民/創業開餐廳[13]如何優化傳統菜式提升賣價 beef noodles/ professional chef recipe</v>
      </c>
      <c r="E4027" s="82">
        <v>44253.0</v>
      </c>
      <c r="F4027" s="80">
        <v>578.0</v>
      </c>
      <c r="G4027" s="80" t="s">
        <v>63</v>
      </c>
      <c r="I4027" s="80" t="s">
        <v>63</v>
      </c>
      <c r="J4027" s="80">
        <v>1668.0</v>
      </c>
      <c r="K4027" s="80">
        <v>0.970331588132635</v>
      </c>
      <c r="L4027" s="80" t="s">
        <v>64</v>
      </c>
    </row>
    <row r="4028">
      <c r="A4028" s="80" t="s">
        <v>98</v>
      </c>
      <c r="B4028" s="81" t="str">
        <f>HYPERLINK("https://www.youtube.com/channel/UCrquuQB6v1Ued2xyRKZreGQ", "Stephen Leung ")</f>
        <v>Stephen Leung </v>
      </c>
      <c r="C4028" s="80" t="s">
        <v>4439</v>
      </c>
      <c r="D4028" s="81" t="str">
        <f>HYPERLINK("https://youtube.com/watch?v=fm5dZfIlYF8", "【香港美食】 人氣特色茶飲店 最低半價優惠 | 四款特色茶飲比拼 | 堅果奶茶 + 桃膠茶 + 現場即製珍珠 + 冬瓜茶  Ft. OpenRice 外賣自取  | 吃喝玩樂")</f>
        <v>【香港美食】 人氣特色茶飲店 最低半價優惠 | 四款特色茶飲比拼 | 堅果奶茶 + 桃膠茶 + 現場即製珍珠 + 冬瓜茶  Ft. OpenRice 外賣自取  | 吃喝玩樂</v>
      </c>
      <c r="E4028" s="82">
        <v>44353.0</v>
      </c>
      <c r="F4028" s="80">
        <v>481.0</v>
      </c>
      <c r="G4028" s="80" t="s">
        <v>63</v>
      </c>
      <c r="I4028" s="80" t="s">
        <v>63</v>
      </c>
      <c r="J4028" s="80">
        <v>1488.0</v>
      </c>
      <c r="K4028" s="80">
        <v>0.925948973242065</v>
      </c>
      <c r="L4028" s="80" t="s">
        <v>64</v>
      </c>
    </row>
    <row r="4029">
      <c r="A4029" s="80" t="s">
        <v>1390</v>
      </c>
      <c r="B4029" s="81" t="str">
        <f>HYPERLINK("https://www.youtube.com/channel/UCgwEJflQi4WnZ8PU0xdibZQ", "Kinson Ho")</f>
        <v>Kinson Ho</v>
      </c>
      <c r="C4029" s="80" t="s">
        <v>4440</v>
      </c>
      <c r="D4029" s="81" t="str">
        <f>HYPERLINK("https://youtube.com/watch?v=fmNGtpDPFu8", "K神任我行 - [CC字幕4K] 橫涌石澗｜如何安全攀上龍珠瀑｜三角瀑｜霜碧潭｜澗王之王實測｜航拍")</f>
        <v>K神任我行 - [CC字幕4K] 橫涌石澗｜如何安全攀上龍珠瀑｜三角瀑｜霜碧潭｜澗王之王實測｜航拍</v>
      </c>
      <c r="E4029" s="82">
        <v>44405.0</v>
      </c>
      <c r="F4029" s="80">
        <v>1116.0</v>
      </c>
      <c r="G4029" s="80" t="s">
        <v>63</v>
      </c>
      <c r="I4029" s="80" t="s">
        <v>63</v>
      </c>
      <c r="J4029" s="80">
        <v>867.0</v>
      </c>
      <c r="K4029" s="80">
        <v>0.978555304740406</v>
      </c>
      <c r="L4029" s="80" t="s">
        <v>64</v>
      </c>
    </row>
    <row r="4030">
      <c r="A4030" s="80" t="s">
        <v>3865</v>
      </c>
      <c r="B4030" s="81" t="str">
        <f>HYPERLINK("https://www.youtube.com/channel/UCLE4O4nN6oSFkxSmfm18h3g", "HayCanWhat👫 ")</f>
        <v>HayCanWhat👫 </v>
      </c>
      <c r="C4030" s="80" t="s">
        <v>4441</v>
      </c>
      <c r="D4030" s="81" t="str">
        <f>HYPERLINK("https://youtube.com/watch?v=fqUtlPvvUw4", "Mini-mic Review🎤 | 拍Vlog必備 | 迷你指向咪 | 請開啟cc字幕｜#HayCanTech")</f>
        <v>Mini-mic Review🎤 | 拍Vlog必備 | 迷你指向咪 | 請開啟cc字幕｜#HayCanTech</v>
      </c>
      <c r="E4030" s="82">
        <v>44071.0</v>
      </c>
      <c r="F4030" s="80">
        <v>915.0</v>
      </c>
      <c r="G4030" s="80" t="s">
        <v>63</v>
      </c>
      <c r="I4030" s="80" t="s">
        <v>63</v>
      </c>
      <c r="J4030" s="80">
        <v>2582.0</v>
      </c>
      <c r="K4030" s="80">
        <v>0.770746268656716</v>
      </c>
      <c r="L4030" s="80" t="s">
        <v>64</v>
      </c>
    </row>
    <row r="4031">
      <c r="A4031" s="80" t="s">
        <v>2764</v>
      </c>
      <c r="B4031" s="81" t="str">
        <f>HYPERLINK("https://www.youtube.com/channel/UCejZUW4khvxoA4uL2Afz20g", "Housik Laanfei 好食懶飛")</f>
        <v>Housik Laanfei 好食懶飛</v>
      </c>
      <c r="C4031" s="80" t="s">
        <v>4442</v>
      </c>
      <c r="D4031" s="81" t="str">
        <f>HYPERLINK("https://youtube.com/watch?v=frrWPg-F9R8", "[韓食之鬼] 韓式白切肉 | CC: 廣東話/繁中/ENG SUB | COOKING VLOG")</f>
        <v>[韓食之鬼] 韓式白切肉 | CC: 廣東話/繁中/ENG SUB | COOKING VLOG</v>
      </c>
      <c r="E4031" s="82">
        <v>44140.0</v>
      </c>
      <c r="F4031" s="80">
        <v>382.0</v>
      </c>
      <c r="G4031" s="80" t="s">
        <v>63</v>
      </c>
      <c r="H4031" s="80" t="s">
        <v>63</v>
      </c>
      <c r="I4031" s="80" t="s">
        <v>63</v>
      </c>
      <c r="J4031" s="80">
        <v>323.0</v>
      </c>
      <c r="K4031" s="80">
        <v>0.984756097560975</v>
      </c>
      <c r="L4031" s="80" t="s">
        <v>120</v>
      </c>
    </row>
    <row r="4032">
      <c r="A4032" s="80" t="s">
        <v>127</v>
      </c>
      <c r="B4032" s="81" t="str">
        <f>HYPERLINK("https://www.youtube.com/channel/UC97oYK3XMf9RLtkc0lO8C-Q", "健康旦 HiEggo")</f>
        <v>健康旦 HiEggo</v>
      </c>
      <c r="C4032" s="80" t="s">
        <v>4443</v>
      </c>
      <c r="D4032" s="81" t="str">
        <f>HYPERLINK("https://youtube.com/watch?v=ftc0D_N8bKQ", "黃淑儀教煮夏天開胃小菜 由山楂茄汁醬做起 煮出美味茄汁蝦蕃茄炒蛋 - 鄭丹瑞《健康旦》黃淑儀 Part 3 （CC中文字幕）")</f>
        <v>黃淑儀教煮夏天開胃小菜 由山楂茄汁醬做起 煮出美味茄汁蝦蕃茄炒蛋 - 鄭丹瑞《健康旦》黃淑儀 Part 3 （CC中文字幕）</v>
      </c>
      <c r="E4032" s="82">
        <v>43980.0</v>
      </c>
      <c r="F4032" s="80">
        <v>789.0</v>
      </c>
      <c r="G4032" s="80" t="s">
        <v>63</v>
      </c>
      <c r="I4032" s="80" t="s">
        <v>63</v>
      </c>
      <c r="J4032" s="80">
        <v>2490.0</v>
      </c>
      <c r="K4032" s="80">
        <v>0.987703292344307</v>
      </c>
      <c r="L4032" s="80" t="s">
        <v>64</v>
      </c>
    </row>
    <row r="4033">
      <c r="A4033" s="80" t="s">
        <v>98</v>
      </c>
      <c r="B4033" s="81" t="str">
        <f>HYPERLINK("https://www.youtube.com/channel/UCrquuQB6v1Ued2xyRKZreGQ", "Stephen Leung ")</f>
        <v>Stephen Leung </v>
      </c>
      <c r="C4033" s="80" t="s">
        <v>4444</v>
      </c>
      <c r="D4033" s="81" t="str">
        <f>HYPERLINK("https://youtube.com/watch?v=fvxrGysHmx4", "【自助早午餐】和牛海鮮宴 自助餐 燒澳洲和牛 威靈頓牛 和牛他他 任飲任食 Sunday Brunch Hotel Icon 唯港薈  | 吃喝玩樂")</f>
        <v>【自助早午餐】和牛海鮮宴 自助餐 燒澳洲和牛 威靈頓牛 和牛他他 任飲任食 Sunday Brunch Hotel Icon 唯港薈  | 吃喝玩樂</v>
      </c>
      <c r="E4033" s="82">
        <v>44280.0</v>
      </c>
      <c r="F4033" s="80">
        <v>726.0</v>
      </c>
      <c r="G4033" s="80" t="s">
        <v>63</v>
      </c>
      <c r="I4033" s="80" t="s">
        <v>63</v>
      </c>
      <c r="J4033" s="80">
        <v>1695.0</v>
      </c>
      <c r="K4033" s="80">
        <v>0.917207792207792</v>
      </c>
      <c r="L4033" s="80" t="s">
        <v>64</v>
      </c>
    </row>
    <row r="4034">
      <c r="A4034" s="80" t="s">
        <v>248</v>
      </c>
      <c r="B4034" s="81" t="str">
        <f>HYPERLINK("https://www.youtube.com/channel/UCUEJok-GiWaGlv5nIPwk-GQ", "Price.com.hk 香港格價網")</f>
        <v>Price.com.hk 香港格價網</v>
      </c>
      <c r="C4034" s="80" t="s">
        <v>4445</v>
      </c>
      <c r="D4034" s="81" t="str">
        <f>HYPERLINK("https://youtube.com/watch?v=fyLK1bpsZJI", "全能輕薄Notebook﹗MSI Modern 14 學習娛樂功能實試｜外形重量、文書執相、煲劇聽歌｜筆電評測｜特約專題 【Price.com.hk產品介紹】")</f>
        <v>全能輕薄Notebook﹗MSI Modern 14 學習娛樂功能實試｜外形重量、文書執相、煲劇聽歌｜筆電評測｜特約專題 【Price.com.hk產品介紹】</v>
      </c>
      <c r="E4034" s="82">
        <v>44209.0</v>
      </c>
      <c r="F4034" s="80">
        <v>364.0</v>
      </c>
      <c r="G4034" s="80" t="s">
        <v>63</v>
      </c>
      <c r="I4034" s="80" t="s">
        <v>63</v>
      </c>
      <c r="J4034" s="80">
        <v>1221.0</v>
      </c>
      <c r="K4034" s="80">
        <v>0.686340640809443</v>
      </c>
      <c r="L4034" s="80" t="s">
        <v>64</v>
      </c>
    </row>
    <row r="4035">
      <c r="A4035" s="80" t="s">
        <v>2800</v>
      </c>
      <c r="B4035" s="81" t="str">
        <f>HYPERLINK("https://www.youtube.com/channel/UCMqrlsr-AECPc6_3oDr8m9w", "Unicorn 獸哥")</f>
        <v>Unicorn 獸哥</v>
      </c>
      <c r="C4035" s="80" t="s">
        <v>4446</v>
      </c>
      <c r="D4035" s="81" t="str">
        <f>HYPERLINK("https://youtube.com/watch?v=g2TAr4QDG8Q", "本年度最爛英雄片？毒魔：血戰大屠殺劇透影評")</f>
        <v>本年度最爛英雄片？毒魔：血戰大屠殺劇透影評</v>
      </c>
      <c r="E4035" s="82">
        <v>44485.0</v>
      </c>
      <c r="F4035" s="80">
        <v>366.0</v>
      </c>
      <c r="G4035" s="80" t="s">
        <v>63</v>
      </c>
      <c r="I4035" s="80" t="s">
        <v>63</v>
      </c>
      <c r="J4035" s="80">
        <v>1572.0</v>
      </c>
      <c r="K4035" s="80">
        <v>0.730483271375464</v>
      </c>
      <c r="L4035" s="80" t="s">
        <v>64</v>
      </c>
    </row>
    <row r="4036">
      <c r="A4036" s="80" t="s">
        <v>248</v>
      </c>
      <c r="B4036" s="81" t="str">
        <f>HYPERLINK("https://www.youtube.com/channel/UCUEJok-GiWaGlv5nIPwk-GQ", "Price.com.hk 香港格價網")</f>
        <v>Price.com.hk 香港格價網</v>
      </c>
      <c r="C4036" s="80" t="s">
        <v>4447</v>
      </c>
      <c r="D4036" s="81" t="str">
        <f>HYPERLINK("https://youtube.com/watch?v=g2nn438ju9s", "Shure 首款真無線耳機 AONIC FREE 自由創造音色｜物理隔音、個人化EQ｜用後感｜TrueWireless｜特約專題｜廣東話【Price.com.hk產品評測】")</f>
        <v>Shure 首款真無線耳機 AONIC FREE 自由創造音色｜物理隔音、個人化EQ｜用後感｜TrueWireless｜特約專題｜廣東話【Price.com.hk產品評測】</v>
      </c>
      <c r="E4036" s="82">
        <v>44523.0</v>
      </c>
      <c r="F4036" s="80">
        <v>332.0</v>
      </c>
      <c r="G4036" s="80" t="s">
        <v>63</v>
      </c>
      <c r="I4036" s="80" t="s">
        <v>63</v>
      </c>
      <c r="J4036" s="80">
        <v>1023.0</v>
      </c>
      <c r="K4036" s="80">
        <v>0.830357142857142</v>
      </c>
      <c r="L4036" s="80" t="s">
        <v>64</v>
      </c>
    </row>
    <row r="4037">
      <c r="A4037" s="80" t="s">
        <v>108</v>
      </c>
      <c r="B4037" s="81" t="str">
        <f>HYPERLINK("https://www.youtube.com/channel/UCZL6QN6Xs-ZrKY3y6Pv6Emg", "廢青 - 日賺3000")</f>
        <v>廢青 - 日賺3000</v>
      </c>
      <c r="C4037" s="80" t="s">
        <v>4448</v>
      </c>
      <c r="D4037" s="81" t="str">
        <f>HYPERLINK("https://youtube.com/watch?v=g8mvTkE3TLw", "美股 Tesla 現在值得買入？🤔   💰 EP04 Part A【廢青 日賺3000】【點CC看中文字幕】")</f>
        <v>美股 Tesla 現在值得買入？🤔   💰 EP04 Part A【廢青 日賺3000】【點CC看中文字幕】</v>
      </c>
      <c r="E4037" s="82">
        <v>44015.0</v>
      </c>
      <c r="F4037" s="80">
        <v>523.0</v>
      </c>
      <c r="G4037" s="80" t="s">
        <v>63</v>
      </c>
      <c r="I4037" s="80" t="s">
        <v>63</v>
      </c>
      <c r="J4037" s="80">
        <v>2171.0</v>
      </c>
      <c r="K4037" s="80">
        <v>0.887208827135267</v>
      </c>
      <c r="L4037" s="80" t="s">
        <v>64</v>
      </c>
    </row>
    <row r="4038">
      <c r="A4038" s="80" t="s">
        <v>1260</v>
      </c>
      <c r="B4038" s="81" t="str">
        <f>HYPERLINK("https://www.youtube.com/channel/UCh1k4i86BpiXEO3nzJIYynw", "The Wave")</f>
        <v>The Wave</v>
      </c>
      <c r="C4038" s="80" t="s">
        <v>4449</v>
      </c>
      <c r="D4038" s="81" t="str">
        <f>HYPERLINK("https://youtube.com/watch?v=gCupZo3z7y8", "TheWave | Xperia XZ3 充電測試 Part 3 | USB PD充電")</f>
        <v>TheWave | Xperia XZ3 充電測試 Part 3 | USB PD充電</v>
      </c>
      <c r="E4038" s="82">
        <v>43400.0</v>
      </c>
      <c r="F4038" s="80">
        <v>167.0</v>
      </c>
      <c r="G4038" s="80" t="s">
        <v>63</v>
      </c>
      <c r="H4038" s="80" t="s">
        <v>63</v>
      </c>
      <c r="I4038" s="80" t="s">
        <v>63</v>
      </c>
      <c r="J4038" s="80">
        <v>609.0</v>
      </c>
      <c r="K4038" s="80">
        <v>0.868758915834522</v>
      </c>
      <c r="L4038" s="80" t="s">
        <v>120</v>
      </c>
    </row>
    <row r="4039">
      <c r="A4039" s="80" t="s">
        <v>98</v>
      </c>
      <c r="B4039" s="81" t="str">
        <f>HYPERLINK("https://www.youtube.com/channel/UCrquuQB6v1Ued2xyRKZreGQ", "Stephen Leung ")</f>
        <v>Stephen Leung </v>
      </c>
      <c r="C4039" s="80" t="s">
        <v>4450</v>
      </c>
      <c r="D4039" s="81" t="str">
        <f>HYPERLINK("https://youtube.com/watch?v=gFtocLcwl4w", "【香港 屯馬線】香港好去處 宋皇臺站 食肆生意爆升🔥 滋味潮州菜打冷 九龍城美食 鎔記潮州飯店 | 電子消費券 吃喝玩樂 香港新聞 時事")</f>
        <v>【香港 屯馬線】香港好去處 宋皇臺站 食肆生意爆升🔥 滋味潮州菜打冷 九龍城美食 鎔記潮州飯店 | 電子消費券 吃喝玩樂 香港新聞 時事</v>
      </c>
      <c r="E4039" s="82">
        <v>44381.0</v>
      </c>
      <c r="F4039" s="80">
        <v>487.0</v>
      </c>
      <c r="G4039" s="80" t="s">
        <v>63</v>
      </c>
      <c r="I4039" s="80" t="s">
        <v>63</v>
      </c>
      <c r="J4039" s="80">
        <v>1463.0</v>
      </c>
      <c r="K4039" s="80">
        <v>0.989181879648411</v>
      </c>
      <c r="L4039" s="80" t="s">
        <v>64</v>
      </c>
    </row>
    <row r="4040">
      <c r="A4040" s="80" t="s">
        <v>248</v>
      </c>
      <c r="B4040" s="81" t="str">
        <f>HYPERLINK("https://www.youtube.com/channel/UCUEJok-GiWaGlv5nIPwk-GQ", "Price.com.hk 香港格價網")</f>
        <v>Price.com.hk 香港格價網</v>
      </c>
      <c r="C4040" s="80" t="s">
        <v>4451</v>
      </c>
      <c r="D4040" s="81" t="str">
        <f>HYPERLINK("https://youtube.com/watch?v=gM9lUySV_P0", "【情人節送禮攻略】追女仔必睇！買禮物比女朋友有咩禁忌？女仔收到咩最開心？｜廣東話【Price.com.hk產品推介】")</f>
        <v>【情人節送禮攻略】追女仔必睇！買禮物比女朋友有咩禁忌？女仔收到咩最開心？｜廣東話【Price.com.hk產品推介】</v>
      </c>
      <c r="E4040" s="82">
        <v>44232.0</v>
      </c>
      <c r="F4040" s="80">
        <v>613.0</v>
      </c>
      <c r="G4040" s="80" t="s">
        <v>63</v>
      </c>
      <c r="I4040" s="80" t="s">
        <v>63</v>
      </c>
      <c r="J4040" s="80">
        <v>2464.0</v>
      </c>
      <c r="K4040" s="80">
        <v>0.792537793502734</v>
      </c>
      <c r="L4040" s="80" t="s">
        <v>64</v>
      </c>
    </row>
    <row r="4041">
      <c r="A4041" s="80" t="s">
        <v>127</v>
      </c>
      <c r="B4041" s="81" t="str">
        <f>HYPERLINK("https://www.youtube.com/channel/UC97oYK3XMf9RLtkc0lO8C-Q", "健康旦 HiEggo")</f>
        <v>健康旦 HiEggo</v>
      </c>
      <c r="C4041" s="80" t="s">
        <v>4452</v>
      </c>
      <c r="D4041" s="81" t="str">
        <f>HYPERLINK("https://youtube.com/watch?v=gTAHs7_9UUM", "眼科醫學院前院長預計 肺炎會有第二第三波來臨 成日流眼淚原來係唔夠快 - 鄭丹瑞《健康旦》周伯展 Part 1（CC中文字幕）")</f>
        <v>眼科醫學院前院長預計 肺炎會有第二第三波來臨 成日流眼淚原來係唔夠快 - 鄭丹瑞《健康旦》周伯展 Part 1（CC中文字幕）</v>
      </c>
      <c r="E4041" s="82">
        <v>43977.0</v>
      </c>
      <c r="F4041" s="80">
        <v>674.0</v>
      </c>
      <c r="G4041" s="80" t="s">
        <v>63</v>
      </c>
      <c r="I4041" s="80" t="s">
        <v>63</v>
      </c>
      <c r="J4041" s="80">
        <v>2118.0</v>
      </c>
      <c r="K4041" s="80">
        <v>0.997175141242937</v>
      </c>
      <c r="L4041" s="80" t="s">
        <v>64</v>
      </c>
    </row>
    <row r="4042">
      <c r="A4042" s="80" t="s">
        <v>1260</v>
      </c>
      <c r="B4042" s="81" t="str">
        <f>HYPERLINK("https://www.youtube.com/channel/UCh1k4i86BpiXEO3nzJIYynw", "The Wave")</f>
        <v>The Wave</v>
      </c>
      <c r="C4042" s="80" t="s">
        <v>4453</v>
      </c>
      <c r="D4042" s="81" t="str">
        <f>HYPERLINK("https://youtube.com/watch?v=gTwf2ULioq8", "TheWave | Sony MWC 發佈會 | Xperia 1 旗艦手機")</f>
        <v>TheWave | Sony MWC 發佈會 | Xperia 1 旗艦手機</v>
      </c>
      <c r="E4042" s="82">
        <v>43521.0</v>
      </c>
      <c r="F4042" s="80">
        <v>279.0</v>
      </c>
      <c r="G4042" s="80" t="s">
        <v>63</v>
      </c>
      <c r="H4042" s="80" t="s">
        <v>63</v>
      </c>
      <c r="I4042" s="80" t="s">
        <v>63</v>
      </c>
      <c r="J4042" s="80">
        <v>730.0</v>
      </c>
      <c r="K4042" s="80">
        <v>0.618120237087214</v>
      </c>
      <c r="L4042" s="80" t="s">
        <v>120</v>
      </c>
    </row>
    <row r="4043">
      <c r="A4043" s="80" t="s">
        <v>238</v>
      </c>
      <c r="B4043" s="81" t="str">
        <f>HYPERLINK("https://www.youtube.com/channel/UCSBkm4LwpgBmcA3MCtO8vqg", "Post76影音玩樂")</f>
        <v>Post76影音玩樂</v>
      </c>
      <c r="C4043" s="80" t="s">
        <v>4454</v>
      </c>
      <c r="D4043" s="81" t="str">
        <f>HYPERLINK("https://youtube.com/watch?v=gUv0hOHLQxg", "一萬蚊唔使玩日製 60"" 4K LCD TV 面板 !? Sharp AQUOS 系列 4T-C60BK1X Android TV 實試（附設中文字幕）粵語【電視評測 | Post76.hk】")</f>
        <v>一萬蚊唔使玩日製 60" 4K LCD TV 面板 !? Sharp AQUOS 系列 4T-C60BK1X Android TV 實試（附設中文字幕）粵語【電視評測 | Post76.hk】</v>
      </c>
      <c r="E4043" s="82">
        <v>44256.0</v>
      </c>
      <c r="F4043" s="80">
        <v>1050.0</v>
      </c>
      <c r="G4043" s="80" t="s">
        <v>63</v>
      </c>
      <c r="H4043" s="80" t="s">
        <v>63</v>
      </c>
      <c r="I4043" s="80" t="s">
        <v>63</v>
      </c>
      <c r="J4043" s="80">
        <v>4053.0</v>
      </c>
      <c r="K4043" s="80">
        <v>0.874811137491905</v>
      </c>
      <c r="L4043" s="80" t="s">
        <v>236</v>
      </c>
    </row>
    <row r="4044">
      <c r="A4044" s="80" t="s">
        <v>2898</v>
      </c>
      <c r="B4044" s="81" t="str">
        <f>HYPERLINK("https://www.youtube.com/channel/UCy5bjMXbFPglSBNDXfivtOA", "消費者委員會")</f>
        <v>消費者委員會</v>
      </c>
      <c r="C4044" s="80" t="s">
        <v>4455</v>
      </c>
      <c r="D4044" s="81" t="str">
        <f>HYPERLINK("https://youtube.com/watch?v=gX7gqnmeKuA", "【樂在耆中】 有營豆腐篇 EP1- 豆腐營養成份大不同")</f>
        <v>【樂在耆中】 有營豆腐篇 EP1- 豆腐營養成份大不同</v>
      </c>
      <c r="E4044" s="82">
        <v>43833.0</v>
      </c>
      <c r="F4044" s="80">
        <v>80.0</v>
      </c>
      <c r="G4044" s="80" t="s">
        <v>63</v>
      </c>
      <c r="I4044" s="80" t="s">
        <v>63</v>
      </c>
      <c r="J4044" s="80">
        <v>237.0</v>
      </c>
      <c r="K4044" s="80">
        <v>1.0</v>
      </c>
      <c r="L4044" s="80" t="s">
        <v>64</v>
      </c>
    </row>
    <row r="4045">
      <c r="A4045" s="80" t="s">
        <v>127</v>
      </c>
      <c r="B4045" s="81" t="str">
        <f>HYPERLINK("https://www.youtube.com/channel/UC97oYK3XMf9RLtkc0lO8C-Q", "健康旦 HiEggo")</f>
        <v>健康旦 HiEggo</v>
      </c>
      <c r="C4045" s="80" t="s">
        <v>4456</v>
      </c>
      <c r="D4045" s="81" t="str">
        <f>HYPERLINK("https://youtube.com/watch?v=gXG0UEccqO4", "黑妹李麗霞憶述於唱荔園與酒廊唱歌入行 頸椎生腫瘤仍堅持完成演唱會原因 手術後無力自理 - 鄭丹瑞《健康旦》黑妹李麗霞 Part 1（CC中文字幕）")</f>
        <v>黑妹李麗霞憶述於唱荔園與酒廊唱歌入行 頸椎生腫瘤仍堅持完成演唱會原因 手術後無力自理 - 鄭丹瑞《健康旦》黑妹李麗霞 Part 1（CC中文字幕）</v>
      </c>
      <c r="E4045" s="82">
        <v>43967.0</v>
      </c>
      <c r="F4045" s="80">
        <v>674.0</v>
      </c>
      <c r="G4045" s="80" t="s">
        <v>63</v>
      </c>
      <c r="I4045" s="80" t="s">
        <v>63</v>
      </c>
      <c r="J4045" s="80">
        <v>2199.0</v>
      </c>
      <c r="K4045" s="80">
        <v>0.99637516991391</v>
      </c>
      <c r="L4045" s="80" t="s">
        <v>64</v>
      </c>
    </row>
    <row r="4046">
      <c r="A4046" s="80" t="s">
        <v>1987</v>
      </c>
      <c r="B4046" s="81" t="str">
        <f>HYPERLINK("https://www.youtube.com/channel/UCgGUmm04nVyj-ftaCxVcyBg", "MangoHK大馬獅家")</f>
        <v>MangoHK大馬獅家</v>
      </c>
      <c r="C4046" s="80" t="s">
        <v>4457</v>
      </c>
      <c r="D4046" s="81" t="str">
        <f>HYPERLINK("https://youtube.com/watch?v=gbxtU-AzrD8", "【13】💉大馬打疫苗, 🦠踢走隻病毒! {中英字幕}  Subtitled | Malaysia Vaccine Dosing | Malaysia Vlog | mm2h")</f>
        <v>【13】💉大馬打疫苗, 🦠踢走隻病毒! {中英字幕}  Subtitled | Malaysia Vaccine Dosing | Malaysia Vlog | mm2h</v>
      </c>
      <c r="E4046" s="82">
        <v>44450.0</v>
      </c>
      <c r="F4046" s="80">
        <v>78.0</v>
      </c>
      <c r="G4046" s="80" t="s">
        <v>63</v>
      </c>
      <c r="I4046" s="80" t="s">
        <v>63</v>
      </c>
      <c r="J4046" s="80">
        <v>124.0</v>
      </c>
      <c r="K4046" s="80">
        <v>0.961240310077519</v>
      </c>
      <c r="L4046" s="80" t="s">
        <v>896</v>
      </c>
    </row>
    <row r="4047">
      <c r="A4047" s="80" t="s">
        <v>127</v>
      </c>
      <c r="B4047" s="81" t="str">
        <f>HYPERLINK("https://www.youtube.com/channel/UC97oYK3XMf9RLtkc0lO8C-Q", "健康旦 HiEggo")</f>
        <v>健康旦 HiEggo</v>
      </c>
      <c r="C4047" s="80" t="s">
        <v>4458</v>
      </c>
      <c r="D4047" s="81" t="str">
        <f>HYPERLINK("https://youtube.com/watch?v=gcMFYqxnWAg", "下顎痛屬心臟病非典型病徵 結構性心臟病身體檢查睇唔到 可用微創手術取代傳統開刀 - 鄭丹瑞《健康旦》養和醫院心臟科專科醫生 #陳良貴 Part 3 (CC中文字幕)")</f>
        <v>下顎痛屬心臟病非典型病徵 結構性心臟病身體檢查睇唔到 可用微創手術取代傳統開刀 - 鄭丹瑞《健康旦》養和醫院心臟科專科醫生 #陳良貴 Part 3 (CC中文字幕)</v>
      </c>
      <c r="E4047" s="82">
        <v>44073.0</v>
      </c>
      <c r="F4047" s="80">
        <v>622.0</v>
      </c>
      <c r="G4047" s="80" t="s">
        <v>63</v>
      </c>
      <c r="I4047" s="80" t="s">
        <v>63</v>
      </c>
      <c r="J4047" s="80">
        <v>2814.0</v>
      </c>
      <c r="K4047" s="80">
        <v>0.998935037273695</v>
      </c>
      <c r="L4047" s="80" t="s">
        <v>64</v>
      </c>
    </row>
    <row r="4048">
      <c r="A4048" s="80" t="s">
        <v>1139</v>
      </c>
      <c r="B4048" s="81" t="str">
        <f>HYPERLINK("https://www.youtube.com/channel/UCw51gVFijIewmXH4tIR0ufw", "Crystal Zen")</f>
        <v>Crystal Zen</v>
      </c>
      <c r="C4048" s="80" t="s">
        <v>4459</v>
      </c>
      <c r="D4048" s="81" t="str">
        <f>HYPERLINK("https://youtube.com/watch?v=gc_q5hk2wU0", "[淨思淨心 2021] 牛年想生小朋友點預備好？ 除左生理 心理質素係最為重要（仲可以處理埋婦女病）")</f>
        <v>[淨思淨心 2021] 牛年想生小朋友點預備好？ 除左生理 心理質素係最為重要（仲可以處理埋婦女病）</v>
      </c>
      <c r="E4048" s="82">
        <v>44206.0</v>
      </c>
      <c r="F4048" s="80">
        <v>527.0</v>
      </c>
      <c r="G4048" s="80" t="s">
        <v>63</v>
      </c>
      <c r="I4048" s="80" t="s">
        <v>63</v>
      </c>
      <c r="J4048" s="80">
        <v>2105.0</v>
      </c>
      <c r="K4048" s="80">
        <v>0.940151853506029</v>
      </c>
      <c r="L4048" s="80" t="s">
        <v>64</v>
      </c>
    </row>
    <row r="4049">
      <c r="A4049" s="80" t="s">
        <v>1670</v>
      </c>
      <c r="B4049" s="81" t="str">
        <f>HYPERLINK("https://www.youtube.com/channel/UC-PIt5m-WOg8UVBkt2RnN0g", "阿JACK睇樓團")</f>
        <v>阿JACK睇樓團</v>
      </c>
      <c r="C4049" s="80" t="s">
        <v>4460</v>
      </c>
      <c r="D4049" s="81" t="str">
        <f>HYPERLINK("https://youtube.com/watch?v=gdMaPbhgFjw", "60首期買到嘅大型屋苑  特色平台單位你又鍾唔鍾意？食住行介紹俾你大興花園  l 阿Jack睇樓團 #屯門樓 #九成按揭")</f>
        <v>60首期買到嘅大型屋苑  特色平台單位你又鍾唔鍾意？食住行介紹俾你大興花園  l 阿Jack睇樓團 #屯門樓 #九成按揭</v>
      </c>
      <c r="E4049" s="82">
        <v>44568.0</v>
      </c>
      <c r="F4049" s="80">
        <v>804.0</v>
      </c>
      <c r="G4049" s="80" t="s">
        <v>63</v>
      </c>
      <c r="I4049" s="80" t="s">
        <v>63</v>
      </c>
      <c r="J4049" s="80">
        <v>3110.0</v>
      </c>
      <c r="K4049" s="80">
        <v>0.994563479373201</v>
      </c>
      <c r="L4049" s="80" t="s">
        <v>64</v>
      </c>
    </row>
    <row r="4050">
      <c r="A4050" s="80" t="s">
        <v>98</v>
      </c>
      <c r="B4050" s="81" t="str">
        <f t="shared" ref="B4050:B4051" si="213">HYPERLINK("https://www.youtube.com/channel/UCrquuQB6v1Ued2xyRKZreGQ", "Stephen Leung ")</f>
        <v>Stephen Leung </v>
      </c>
      <c r="C4050" s="80" t="s">
        <v>4461</v>
      </c>
      <c r="D4050" s="81" t="str">
        <f>HYPERLINK("https://youtube.com/watch?v=gdr6DG65Ctg", "【民生關注組】海南雞飯 $58 肉骨茶 雞油飯 | 咖央多士 星洲叻沙 香港 長沙灣平民小店 蘇山雞飯  | 吃喝玩樂")</f>
        <v>【民生關注組】海南雞飯 $58 肉骨茶 雞油飯 | 咖央多士 星洲叻沙 香港 長沙灣平民小店 蘇山雞飯  | 吃喝玩樂</v>
      </c>
      <c r="E4050" s="82">
        <v>44322.0</v>
      </c>
      <c r="F4050" s="80">
        <v>506.0</v>
      </c>
      <c r="G4050" s="80" t="s">
        <v>63</v>
      </c>
      <c r="I4050" s="80" t="s">
        <v>63</v>
      </c>
      <c r="J4050" s="80">
        <v>1217.0</v>
      </c>
      <c r="K4050" s="80">
        <v>0.976725521669341</v>
      </c>
      <c r="L4050" s="80" t="s">
        <v>64</v>
      </c>
    </row>
    <row r="4051">
      <c r="A4051" s="80" t="s">
        <v>98</v>
      </c>
      <c r="B4051" s="81" t="str">
        <f t="shared" si="213"/>
        <v>Stephen Leung </v>
      </c>
      <c r="C4051" s="80" t="s">
        <v>4462</v>
      </c>
      <c r="D4051" s="81" t="str">
        <f>HYPERLINK("https://youtube.com/watch?v=geY2_WIGeb0", "【香港美食】福臨門 分支 亞洲50最佳餐廳 第48位 $2000 一隻脆皮燒乳豬 富豪飯堂 家全七福 | 吃喝玩樂")</f>
        <v>【香港美食】福臨門 分支 亞洲50最佳餐廳 第48位 $2000 一隻脆皮燒乳豬 富豪飯堂 家全七福 | 吃喝玩樂</v>
      </c>
      <c r="E4051" s="82">
        <v>44333.0</v>
      </c>
      <c r="F4051" s="80">
        <v>715.0</v>
      </c>
      <c r="G4051" s="80" t="s">
        <v>63</v>
      </c>
      <c r="I4051" s="80" t="s">
        <v>63</v>
      </c>
      <c r="J4051" s="80">
        <v>1843.0</v>
      </c>
      <c r="K4051" s="80">
        <v>0.989264626945786</v>
      </c>
      <c r="L4051" s="80" t="s">
        <v>64</v>
      </c>
    </row>
    <row r="4052">
      <c r="A4052" s="80" t="s">
        <v>4463</v>
      </c>
      <c r="B4052" s="81" t="str">
        <f>HYPERLINK("https://www.youtube.com/channel/UCHE_U3Smiy1iccuBdbdiJAg", "90後做地產")</f>
        <v>90後做地產</v>
      </c>
      <c r="C4052" s="80" t="s">
        <v>4464</v>
      </c>
      <c r="D4052" s="81" t="str">
        <f>HYPERLINK("https://youtube.com/watch?v=gh3BZWITyTs", "【 南光泊岸】珠海湖心路 50萬上車 🏣 | 澳門直貸 引湖入門 風水寶地🥰 | 小資族投資首選 | 南光泊岸 | 投資 | CC字幕")</f>
        <v>【 南光泊岸】珠海湖心路 50萬上車 🏣 | 澳門直貸 引湖入門 風水寶地🥰 | 小資族投資首選 | 南光泊岸 | 投資 | CC字幕</v>
      </c>
      <c r="E4052" s="82">
        <v>44497.0</v>
      </c>
      <c r="F4052" s="80">
        <v>402.0</v>
      </c>
      <c r="G4052" s="80" t="s">
        <v>63</v>
      </c>
      <c r="I4052" s="80" t="s">
        <v>63</v>
      </c>
      <c r="J4052" s="80">
        <v>1819.0</v>
      </c>
      <c r="K4052" s="80">
        <v>0.993989071038251</v>
      </c>
      <c r="L4052" s="80" t="s">
        <v>91</v>
      </c>
    </row>
    <row r="4053">
      <c r="A4053" s="80" t="s">
        <v>248</v>
      </c>
      <c r="B4053" s="81" t="str">
        <f>HYPERLINK("https://www.youtube.com/channel/UCUEJok-GiWaGlv5nIPwk-GQ", "Price.com.hk 香港格價網")</f>
        <v>Price.com.hk 香港格價網</v>
      </c>
      <c r="C4053" s="80" t="s">
        <v>4465</v>
      </c>
      <c r="D4053" s="81" t="str">
        <f>HYPERLINK("https://youtube.com/watch?v=giNfGVeMzUg", "月供出車$3,188起！BMWNext 靈活換車計劃 高達65%回購額 | 寶馬3系、5系、X3、X5 輔助駕駛功能介紹  | 特約專題【Price.com.hk產品介紹】")</f>
        <v>月供出車$3,188起！BMWNext 靈活換車計劃 高達65%回購額 | 寶馬3系、5系、X3、X5 輔助駕駛功能介紹  | 特約專題【Price.com.hk產品介紹】</v>
      </c>
      <c r="E4053" s="82">
        <v>44539.0</v>
      </c>
      <c r="F4053" s="80">
        <v>352.0</v>
      </c>
      <c r="G4053" s="80" t="s">
        <v>63</v>
      </c>
      <c r="I4053" s="80" t="s">
        <v>63</v>
      </c>
      <c r="J4053" s="80">
        <v>1195.0</v>
      </c>
      <c r="K4053" s="80">
        <v>0.927075252133436</v>
      </c>
      <c r="L4053" s="80" t="s">
        <v>64</v>
      </c>
    </row>
    <row r="4054">
      <c r="A4054" s="80" t="s">
        <v>127</v>
      </c>
      <c r="B4054" s="81" t="str">
        <f>HYPERLINK("https://www.youtube.com/channel/UC97oYK3XMf9RLtkc0lO8C-Q", "健康旦 HiEggo")</f>
        <v>健康旦 HiEggo</v>
      </c>
      <c r="C4054" s="80" t="s">
        <v>4466</v>
      </c>
      <c r="D4054" s="81" t="str">
        <f>HYPERLINK("https://youtube.com/watch?v=gkHaLRZ50XU", "45年煙齡吳錫輝狂咳無法入睡 留英國美國工作畀人當肺癆 決心為愛妻自發戒煙 - 鄭丹瑞《健康旦》 #吳錫輝 Part 1 (CC中文字幕)")</f>
        <v>45年煙齡吳錫輝狂咳無法入睡 留英國美國工作畀人當肺癆 決心為愛妻自發戒煙 - 鄭丹瑞《健康旦》 #吳錫輝 Part 1 (CC中文字幕)</v>
      </c>
      <c r="E4054" s="82">
        <v>44125.0</v>
      </c>
      <c r="F4054" s="80">
        <v>573.0</v>
      </c>
      <c r="G4054" s="80" t="s">
        <v>63</v>
      </c>
      <c r="I4054" s="80" t="s">
        <v>63</v>
      </c>
      <c r="J4054" s="80">
        <v>1593.0</v>
      </c>
      <c r="K4054" s="80">
        <v>0.933763188745603</v>
      </c>
      <c r="L4054" s="80" t="s">
        <v>2771</v>
      </c>
    </row>
    <row r="4055">
      <c r="A4055" s="80" t="s">
        <v>2764</v>
      </c>
      <c r="B4055" s="81" t="str">
        <f>HYPERLINK("https://www.youtube.com/channel/UCejZUW4khvxoA4uL2Afz20g", "Housik Laanfei 好食懶飛")</f>
        <v>Housik Laanfei 好食懶飛</v>
      </c>
      <c r="C4055" s="80" t="s">
        <v>4467</v>
      </c>
      <c r="D4055" s="81" t="str">
        <f>HYPERLINK("https://youtube.com/watch?v=gkZAFYeB_7o", "[超簡單] 瑞士雞翼撈丁 | CC: 廣東話/繁中/ENG SUB | COOKING VLOG")</f>
        <v>[超簡單] 瑞士雞翼撈丁 | CC: 廣東話/繁中/ENG SUB | COOKING VLOG</v>
      </c>
      <c r="E4055" s="82">
        <v>44147.0</v>
      </c>
      <c r="F4055" s="80">
        <v>261.0</v>
      </c>
      <c r="G4055" s="80" t="s">
        <v>63</v>
      </c>
      <c r="H4055" s="80" t="s">
        <v>63</v>
      </c>
      <c r="I4055" s="80" t="s">
        <v>63</v>
      </c>
      <c r="J4055" s="80">
        <v>147.0</v>
      </c>
      <c r="K4055" s="80">
        <v>0.878205128205128</v>
      </c>
      <c r="L4055" s="80" t="s">
        <v>120</v>
      </c>
    </row>
    <row r="4056">
      <c r="A4056" s="80" t="s">
        <v>1260</v>
      </c>
      <c r="B4056" s="81" t="str">
        <f>HYPERLINK("https://www.youtube.com/channel/UCh1k4i86BpiXEO3nzJIYynw", "The Wave")</f>
        <v>The Wave</v>
      </c>
      <c r="C4056" s="80" t="s">
        <v>4468</v>
      </c>
      <c r="D4056" s="81" t="str">
        <f>HYPERLINK("https://youtube.com/watch?v=gojwVCU6mzU", "TheWave | 點樣揀處理器 CPU | Intel")</f>
        <v>TheWave | 點樣揀處理器 CPU | Intel</v>
      </c>
      <c r="E4056" s="82">
        <v>43592.0</v>
      </c>
      <c r="F4056" s="80">
        <v>194.0</v>
      </c>
      <c r="G4056" s="80" t="s">
        <v>63</v>
      </c>
      <c r="H4056" s="80" t="s">
        <v>63</v>
      </c>
      <c r="I4056" s="80" t="s">
        <v>63</v>
      </c>
      <c r="J4056" s="80">
        <v>710.0</v>
      </c>
      <c r="K4056" s="80">
        <v>0.770065075921908</v>
      </c>
      <c r="L4056" s="80" t="s">
        <v>120</v>
      </c>
    </row>
    <row r="4057">
      <c r="A4057" s="80" t="s">
        <v>127</v>
      </c>
      <c r="B4057" s="81" t="str">
        <f>HYPERLINK("https://www.youtube.com/channel/UC97oYK3XMf9RLtkc0lO8C-Q", "健康旦 HiEggo")</f>
        <v>健康旦 HiEggo</v>
      </c>
      <c r="C4057" s="80" t="s">
        <v>4469</v>
      </c>
      <c r="D4057" s="81" t="str">
        <f>HYPERLINK("https://youtube.com/watch?v=grWCSOyQaEI", "韓馬利患焦慮症因追求完美 教友開導接受不足 腦膜炎後遺症記性變差 - 鄭丹瑞《健康旦》 #韓馬利 Part 2 (CC中文字幕)")</f>
        <v>韓馬利患焦慮症因追求完美 教友開導接受不足 腦膜炎後遺症記性變差 - 鄭丹瑞《健康旦》 #韓馬利 Part 2 (CC中文字幕)</v>
      </c>
      <c r="E4057" s="82">
        <v>44114.0</v>
      </c>
      <c r="F4057" s="80">
        <v>680.0</v>
      </c>
      <c r="G4057" s="80" t="s">
        <v>63</v>
      </c>
      <c r="I4057" s="80" t="s">
        <v>63</v>
      </c>
      <c r="J4057" s="80">
        <v>3166.0</v>
      </c>
      <c r="K4057" s="80">
        <v>0.993410731095073</v>
      </c>
      <c r="L4057" s="80" t="s">
        <v>64</v>
      </c>
    </row>
    <row r="4058">
      <c r="A4058" s="80" t="s">
        <v>4470</v>
      </c>
      <c r="B4058" s="81" t="str">
        <f>HYPERLINK("https://www.youtube.com/channel/UC4VI_WmdfVMTkT4vKCiZA4A", "BossMind")</f>
        <v>BossMind</v>
      </c>
      <c r="C4058" s="80" t="s">
        <v>4471</v>
      </c>
      <c r="D4058" s="81" t="str">
        <f>HYPERLINK("https://youtube.com/watch?v=grtNv5nl8-Y", "全民杜昇之 #倒轉地球（股市版）一齊來吧倒轉地球！｜#來吧倒轉地球｜#杜昇｜#華爾街戰線丨#BossMind")</f>
        <v>全民杜昇之 #倒轉地球（股市版）一齊來吧倒轉地球！｜#來吧倒轉地球｜#杜昇｜#華爾街戰線丨#BossMind</v>
      </c>
      <c r="E4058" s="82">
        <v>44533.0</v>
      </c>
      <c r="F4058" s="80">
        <v>161.0</v>
      </c>
      <c r="G4058" s="80" t="s">
        <v>63</v>
      </c>
      <c r="I4058" s="80" t="s">
        <v>63</v>
      </c>
      <c r="J4058" s="80">
        <v>299.0</v>
      </c>
      <c r="K4058" s="80">
        <v>0.766666666666666</v>
      </c>
      <c r="L4058" s="80" t="s">
        <v>64</v>
      </c>
    </row>
    <row r="4059">
      <c r="A4059" s="80" t="s">
        <v>1553</v>
      </c>
      <c r="B4059" s="81" t="str">
        <f>HYPERLINK("https://www.youtube.com/channel/UC5gQ01ai9nF2x43fYmO1vow", "Ck釣魚冒險")</f>
        <v>Ck釣魚冒險</v>
      </c>
      <c r="C4059" s="80" t="s">
        <v>4472</v>
      </c>
      <c r="D4059" s="81" t="str">
        <f>HYPERLINK("https://youtube.com/watch?v=gvkVbssv8iI", "【Jig】布吉遠征 Jigging 釣魚 鐵板爆釣! #2 Roy哥幾時俾條魚我中下 /  プーケット遠征 ジギング #2📣CC字幕")</f>
        <v>【Jig】布吉遠征 Jigging 釣魚 鐵板爆釣! #2 Roy哥幾時俾條魚我中下 /  プーケット遠征 ジギング #2📣CC字幕</v>
      </c>
      <c r="E4059" s="82">
        <v>43977.0</v>
      </c>
      <c r="F4059" s="80">
        <v>775.0</v>
      </c>
      <c r="G4059" s="80" t="s">
        <v>63</v>
      </c>
      <c r="I4059" s="80" t="s">
        <v>63</v>
      </c>
      <c r="J4059" s="80">
        <v>523.0</v>
      </c>
      <c r="K4059" s="80">
        <v>0.88047138047138</v>
      </c>
      <c r="L4059" s="80" t="s">
        <v>64</v>
      </c>
    </row>
    <row r="4060">
      <c r="A4060" s="80" t="s">
        <v>84</v>
      </c>
      <c r="B4060" s="81" t="str">
        <f>HYPERLINK("https://www.youtube.com/channel/UCs6fW24aVjefTsognevmDnA", "PakTil 拍跳")</f>
        <v>PakTil 拍跳</v>
      </c>
      <c r="C4060" s="80" t="s">
        <v>4473</v>
      </c>
      <c r="D4060" s="81" t="str">
        <f>HYPERLINK("https://youtube.com/watch?v=gxYo3J5DtpM", "【拍跳短跑】成人用品性玩具實測 真的叫不行了")</f>
        <v>【拍跳短跑】成人用品性玩具實測 真的叫不行了</v>
      </c>
      <c r="E4060" s="82">
        <v>44221.0</v>
      </c>
      <c r="F4060" s="80">
        <v>90.0</v>
      </c>
      <c r="G4060" s="80" t="s">
        <v>63</v>
      </c>
      <c r="I4060" s="80" t="s">
        <v>63</v>
      </c>
      <c r="J4060" s="80">
        <v>98.0</v>
      </c>
      <c r="K4060" s="80">
        <v>1.0</v>
      </c>
      <c r="L4060" s="80" t="s">
        <v>745</v>
      </c>
    </row>
    <row r="4061">
      <c r="A4061" s="80" t="s">
        <v>248</v>
      </c>
      <c r="B4061" s="81" t="str">
        <f>HYPERLINK("https://www.youtube.com/channel/UCUEJok-GiWaGlv5nIPwk-GQ", "Price.com.hk 香港格價網")</f>
        <v>Price.com.hk 香港格價網</v>
      </c>
      <c r="C4061" s="80" t="s">
        <v>4474</v>
      </c>
      <c r="D4061" s="81" t="str">
        <f>HYPERLINK("https://youtube.com/watch?v=gxnMxtLAxSI", "打機效果無分別!!? RTX 3060 vs 2060 筆電 GPU效能測試｜GIGABYTE AORUS 15G｜廣東話【Price.com.hk產品評測】")</f>
        <v>打機效果無分別!!? RTX 3060 vs 2060 筆電 GPU效能測試｜GIGABYTE AORUS 15G｜廣東話【Price.com.hk產品評測】</v>
      </c>
      <c r="E4061" s="82">
        <v>44287.0</v>
      </c>
      <c r="F4061" s="80">
        <v>322.0</v>
      </c>
      <c r="G4061" s="80" t="s">
        <v>63</v>
      </c>
      <c r="I4061" s="80" t="s">
        <v>63</v>
      </c>
      <c r="J4061" s="80">
        <v>724.0</v>
      </c>
      <c r="K4061" s="80">
        <v>0.618274978650725</v>
      </c>
      <c r="L4061" s="80" t="s">
        <v>64</v>
      </c>
    </row>
    <row r="4062">
      <c r="A4062" s="80" t="s">
        <v>108</v>
      </c>
      <c r="B4062" s="81" t="str">
        <f>HYPERLINK("https://www.youtube.com/channel/UCZL6QN6Xs-ZrKY3y6Pv6Emg", "廢青 - 日賺3000")</f>
        <v>廢青 - 日賺3000</v>
      </c>
      <c r="C4062" s="80" t="s">
        <v>4475</v>
      </c>
      <c r="D4062" s="81" t="str">
        <f>HYPERLINK("https://youtube.com/watch?v=h-SRIlBa9A4", "美股離場❗要快 ❗⚠ EP03【廢青 日賺3000】【點CC看中文字幕】")</f>
        <v>美股離場❗要快 ❗⚠ EP03【廢青 日賺3000】【點CC看中文字幕】</v>
      </c>
      <c r="E4062" s="82">
        <v>44000.0</v>
      </c>
      <c r="F4062" s="80">
        <v>957.0</v>
      </c>
      <c r="G4062" s="80" t="s">
        <v>63</v>
      </c>
      <c r="I4062" s="80" t="s">
        <v>63</v>
      </c>
      <c r="J4062" s="80">
        <v>3584.0</v>
      </c>
      <c r="K4062" s="80">
        <v>0.910337820675641</v>
      </c>
      <c r="L4062" s="80" t="s">
        <v>64</v>
      </c>
    </row>
    <row r="4063">
      <c r="A4063" s="80" t="s">
        <v>248</v>
      </c>
      <c r="B4063" s="81" t="str">
        <f>HYPERLINK("https://www.youtube.com/channel/UCUEJok-GiWaGlv5nIPwk-GQ", "Price.com.hk 香港格價網")</f>
        <v>Price.com.hk 香港格價網</v>
      </c>
      <c r="C4063" s="80" t="s">
        <v>4476</v>
      </c>
      <c r="D4063" s="81" t="str">
        <f>HYPERLINK("https://youtube.com/watch?v=h0J_wLQjx1A", "Fender TRACK入門圈鐵有線耳機｜3D Print機殼｜試用後感｜特約專題｜廣東話【Price.com.hk產品評測】")</f>
        <v>Fender TRACK入門圈鐵有線耳機｜3D Print機殼｜試用後感｜特約專題｜廣東話【Price.com.hk產品評測】</v>
      </c>
      <c r="E4063" s="82">
        <v>44536.0</v>
      </c>
      <c r="F4063" s="80">
        <v>258.0</v>
      </c>
      <c r="G4063" s="80" t="s">
        <v>63</v>
      </c>
      <c r="I4063" s="80" t="s">
        <v>63</v>
      </c>
      <c r="J4063" s="80">
        <v>816.0</v>
      </c>
      <c r="K4063" s="80">
        <v>0.780114722753346</v>
      </c>
      <c r="L4063" s="80" t="s">
        <v>64</v>
      </c>
    </row>
    <row r="4064">
      <c r="A4064" s="80" t="s">
        <v>2829</v>
      </c>
      <c r="B4064" s="81" t="str">
        <f>HYPERLINK("https://www.youtube.com/channel/UC7GnES6AEQlDzaP04UqtyjA", "SOLID IDEA")</f>
        <v>SOLID IDEA</v>
      </c>
      <c r="C4064" s="80" t="s">
        <v>4477</v>
      </c>
      <c r="D4064" s="81" t="str">
        <f>HYPERLINK("https://youtube.com/watch?v=h17B3g7pev8", "[#設計概念] #TheCampton #不打拆 #輕裝修 | 室內設計 | 空間擺位 | SOLID IDEA | (CC中文字幕)")</f>
        <v>[#設計概念] #TheCampton #不打拆 #輕裝修 | 室內設計 | 空間擺位 | SOLID IDEA | (CC中文字幕)</v>
      </c>
      <c r="E4064" s="82">
        <v>44358.0</v>
      </c>
      <c r="F4064" s="80">
        <v>189.0</v>
      </c>
      <c r="G4064" s="80" t="s">
        <v>63</v>
      </c>
      <c r="I4064" s="80" t="s">
        <v>63</v>
      </c>
      <c r="J4064" s="80">
        <v>508.0</v>
      </c>
      <c r="K4064" s="80">
        <v>0.878892733564013</v>
      </c>
      <c r="L4064" s="80" t="s">
        <v>64</v>
      </c>
    </row>
    <row r="4065">
      <c r="A4065" s="80" t="s">
        <v>288</v>
      </c>
      <c r="B4065" s="81" t="str">
        <f>HYPERLINK("https://www.youtube.com/channel/UCDWOYEhVnyD4IHZGVAMLc0g", "Brendan 毛爸")</f>
        <v>Brendan 毛爸</v>
      </c>
      <c r="C4065" s="80" t="s">
        <v>4478</v>
      </c>
      <c r="D4065" s="81" t="str">
        <f>HYPERLINK("https://youtube.com/watch?v=h4RYOgVa2WQ", "『誠實食評』尖沙咀隱世西式早餐店！平靚正平民之選！【 Big John 】「食大個胃第10步」（請打開CC 中文字幕）")</f>
        <v>『誠實食評』尖沙咀隱世西式早餐店！平靚正平民之選！【 Big John 】「食大個胃第10步」（請打開CC 中文字幕）</v>
      </c>
      <c r="E4065" s="82">
        <v>43972.0</v>
      </c>
      <c r="F4065" s="80">
        <v>200.0</v>
      </c>
      <c r="G4065" s="80" t="s">
        <v>63</v>
      </c>
      <c r="I4065" s="80" t="s">
        <v>63</v>
      </c>
      <c r="J4065" s="80">
        <v>673.0</v>
      </c>
      <c r="K4065" s="80">
        <v>0.918144611186903</v>
      </c>
      <c r="L4065" s="80" t="s">
        <v>64</v>
      </c>
    </row>
    <row r="4066">
      <c r="A4066" s="80" t="s">
        <v>293</v>
      </c>
      <c r="B4066" s="81" t="str">
        <f>HYPERLINK("https://www.youtube.com/channel/UCXRcbXqjORdIvl63I7MtOLQ", "趁熱 Kerry 's kitchen")</f>
        <v>趁熱 Kerry 's kitchen</v>
      </c>
      <c r="C4066" s="80" t="s">
        <v>4479</v>
      </c>
      <c r="D4066" s="81" t="str">
        <f>HYPERLINK("https://youtube.com/watch?v=h5sAKuJ3JJc", "咖哩 雞/香港 咖哩雞/茶記 風味/香濃  竅門/免 炸/低 成本/好 下飯/簡單 家做/重點 講解/好 juice/廣東話/中字/新手 入門")</f>
        <v>咖哩 雞/香港 咖哩雞/茶記 風味/香濃  竅門/免 炸/低 成本/好 下飯/簡單 家做/重點 講解/好 juice/廣東話/中字/新手 入門</v>
      </c>
      <c r="E4066" s="82">
        <v>44494.0</v>
      </c>
      <c r="F4066" s="80">
        <v>627.0</v>
      </c>
      <c r="G4066" s="80" t="s">
        <v>63</v>
      </c>
      <c r="I4066" s="80" t="s">
        <v>63</v>
      </c>
      <c r="J4066" s="80">
        <v>750.0</v>
      </c>
      <c r="K4066" s="80">
        <v>0.975292587776332</v>
      </c>
      <c r="L4066" s="80" t="s">
        <v>64</v>
      </c>
    </row>
    <row r="4067">
      <c r="A4067" s="80" t="s">
        <v>127</v>
      </c>
      <c r="B4067" s="81" t="str">
        <f>HYPERLINK("https://www.youtube.com/channel/UC97oYK3XMf9RLtkc0lO8C-Q", "健康旦 HiEggo")</f>
        <v>健康旦 HiEggo</v>
      </c>
      <c r="C4067" s="80" t="s">
        <v>4480</v>
      </c>
      <c r="D4067" s="81" t="str">
        <f>HYPERLINK("https://youtube.com/watch?v=h64OKw1UETg", "口罩結構如筲箕 K Kwong 鄺士山博士教聽聲揀好口罩 PFE靜電過濾歐盟唔認可 - 鄭丹瑞《健康旦》#鄺士山 博士 (CC中文字幕)")</f>
        <v>口罩結構如筲箕 K Kwong 鄺士山博士教聽聲揀好口罩 PFE靜電過濾歐盟唔認可 - 鄭丹瑞《健康旦》#鄺士山 博士 (CC中文字幕)</v>
      </c>
      <c r="E4067" s="82">
        <v>44063.0</v>
      </c>
      <c r="F4067" s="80">
        <v>774.0</v>
      </c>
      <c r="G4067" s="80" t="s">
        <v>63</v>
      </c>
      <c r="I4067" s="80" t="s">
        <v>63</v>
      </c>
      <c r="J4067" s="80">
        <v>3396.0</v>
      </c>
      <c r="K4067" s="80">
        <v>0.953932584269662</v>
      </c>
      <c r="L4067" s="80" t="s">
        <v>91</v>
      </c>
    </row>
    <row r="4068">
      <c r="A4068" s="80" t="s">
        <v>2041</v>
      </c>
      <c r="B4068" s="81" t="str">
        <f>HYPERLINK("https://www.youtube.com/channel/UCO6pB-ZN4XJ6MVkibvuEe0A", "SingSingTracker 星昇財經指標")</f>
        <v>SingSingTracker 星昇財經指標</v>
      </c>
      <c r="C4068" s="80" t="s">
        <v>4481</v>
      </c>
      <c r="D4068" s="81" t="str">
        <f>HYPERLINK("https://youtube.com/watch?v=h7OcbGNXz8A", "【Sell in May, Go Away, 7月翻身冇難度】如何一星期賺30%❓(點CC中文字幕)#短線投資 #五窮六絕七翻身 #tradingview")</f>
        <v>【Sell in May, Go Away, 7月翻身冇難度】如何一星期賺30%❓(點CC中文字幕)#短線投資 #五窮六絕七翻身 #tradingview</v>
      </c>
      <c r="E4068" s="82">
        <v>44341.0</v>
      </c>
      <c r="F4068" s="80">
        <v>370.0</v>
      </c>
      <c r="G4068" s="80" t="s">
        <v>63</v>
      </c>
      <c r="I4068" s="80" t="s">
        <v>63</v>
      </c>
      <c r="J4068" s="80">
        <v>1420.0</v>
      </c>
      <c r="K4068" s="80">
        <v>0.951742627345844</v>
      </c>
      <c r="L4068" s="80" t="s">
        <v>64</v>
      </c>
    </row>
    <row r="4069">
      <c r="A4069" s="80" t="s">
        <v>2764</v>
      </c>
      <c r="B4069" s="81" t="str">
        <f>HYPERLINK("https://www.youtube.com/channel/UCejZUW4khvxoA4uL2Afz20g", "Housik Laanfei 好食懶飛")</f>
        <v>Housik Laanfei 好食懶飛</v>
      </c>
      <c r="C4069" s="80" t="s">
        <v>4482</v>
      </c>
      <c r="D4069" s="81" t="str">
        <f>HYPERLINK("https://youtube.com/watch?v=h8I-6OPei3Y", "[煙韌鹹香] 雪菜肉絲年糕 | CC: 廣東話/繁中/ENG SUB | COOKING VLOG")</f>
        <v>[煙韌鹹香] 雪菜肉絲年糕 | CC: 廣東話/繁中/ENG SUB | COOKING VLOG</v>
      </c>
      <c r="E4069" s="82">
        <v>44105.0</v>
      </c>
      <c r="F4069" s="80">
        <v>294.0</v>
      </c>
      <c r="G4069" s="80" t="s">
        <v>63</v>
      </c>
      <c r="H4069" s="80" t="s">
        <v>63</v>
      </c>
      <c r="I4069" s="80" t="s">
        <v>63</v>
      </c>
      <c r="J4069" s="80">
        <v>278.0</v>
      </c>
      <c r="K4069" s="80">
        <v>0.975438596491228</v>
      </c>
      <c r="L4069" s="80" t="s">
        <v>120</v>
      </c>
    </row>
    <row r="4070">
      <c r="A4070" s="80" t="s">
        <v>1260</v>
      </c>
      <c r="B4070" s="81" t="str">
        <f>HYPERLINK("https://www.youtube.com/channel/UCh1k4i86BpiXEO3nzJIYynw", "The Wave")</f>
        <v>The Wave</v>
      </c>
      <c r="C4070" s="80" t="s">
        <v>4483</v>
      </c>
      <c r="D4070" s="81" t="str">
        <f>HYPERLINK("https://youtube.com/watch?v=hAS1fcNOOSE", "TheWave | XZ2 Premium 預訂送咩好？")</f>
        <v>TheWave | XZ2 Premium 預訂送咩好？</v>
      </c>
      <c r="E4070" s="82">
        <v>43281.0</v>
      </c>
      <c r="F4070" s="80">
        <v>156.0</v>
      </c>
      <c r="G4070" s="80" t="s">
        <v>63</v>
      </c>
      <c r="H4070" s="80" t="s">
        <v>63</v>
      </c>
      <c r="I4070" s="80" t="s">
        <v>63</v>
      </c>
      <c r="J4070" s="80">
        <v>354.0</v>
      </c>
      <c r="K4070" s="80">
        <v>0.719512195121951</v>
      </c>
      <c r="L4070" s="80" t="s">
        <v>120</v>
      </c>
    </row>
    <row r="4071">
      <c r="A4071" s="80" t="s">
        <v>124</v>
      </c>
      <c r="B4071" s="81" t="str">
        <f>HYPERLINK("https://www.youtube.com/channel/UCg0vuSE0fBF_NvodyYhMcWg", "Wallace Studio HK")</f>
        <v>Wallace Studio HK</v>
      </c>
      <c r="C4071" s="80" t="s">
        <v>4484</v>
      </c>
      <c r="D4071" s="81" t="str">
        <f>HYPERLINK("https://youtube.com/watch?v=hDXwa25ljd8", "[NAS安全] 醒喇!!!同我鎖番好你個QNAP NAS! 唔好再比人當做公廁! | 點先叫做好備份?")</f>
        <v>[NAS安全] 醒喇!!!同我鎖番好你個QNAP NAS! 唔好再比人當做公廁! | 點先叫做好備份?</v>
      </c>
      <c r="E4071" s="82">
        <v>44311.0</v>
      </c>
      <c r="F4071" s="80">
        <v>526.0</v>
      </c>
      <c r="G4071" s="80" t="s">
        <v>63</v>
      </c>
      <c r="H4071" s="80" t="s">
        <v>63</v>
      </c>
      <c r="I4071" s="80" t="s">
        <v>63</v>
      </c>
      <c r="J4071" s="80">
        <v>1922.0</v>
      </c>
      <c r="K4071" s="80">
        <v>0.765737051792828</v>
      </c>
      <c r="L4071" s="80" t="s">
        <v>86</v>
      </c>
    </row>
    <row r="4072">
      <c r="A4072" s="80" t="s">
        <v>127</v>
      </c>
      <c r="B4072" s="81" t="str">
        <f>HYPERLINK("https://www.youtube.com/channel/UC97oYK3XMf9RLtkc0lO8C-Q", "健康旦 HiEggo")</f>
        <v>健康旦 HiEggo</v>
      </c>
      <c r="C4072" s="80" t="s">
        <v>4485</v>
      </c>
      <c r="D4072" s="81" t="str">
        <f>HYPERLINK("https://youtube.com/watch?v=hG92ycwLBZk", "周秀娜大讚好味腸胃健康變好 紐西蘭麥蘆卡蜂蜜分級數 蜂蜜營養取決於蜜蜂健康 - 鄭丹瑞《健康旦》 #周秀娜 麥蘆卡蜂蜜達人 #Henry Part 2 (CC中文字幕)")</f>
        <v>周秀娜大讚好味腸胃健康變好 紐西蘭麥蘆卡蜂蜜分級數 蜂蜜營養取決於蜜蜂健康 - 鄭丹瑞《健康旦》 #周秀娜 麥蘆卡蜂蜜達人 #Henry Part 2 (CC中文字幕)</v>
      </c>
      <c r="E4072" s="82">
        <v>44113.0</v>
      </c>
      <c r="F4072" s="80">
        <v>853.0</v>
      </c>
      <c r="G4072" s="80" t="s">
        <v>63</v>
      </c>
      <c r="I4072" s="80" t="s">
        <v>63</v>
      </c>
      <c r="J4072" s="80">
        <v>3605.0</v>
      </c>
      <c r="K4072" s="80">
        <v>0.920582226762002</v>
      </c>
      <c r="L4072" s="80" t="s">
        <v>2771</v>
      </c>
    </row>
    <row r="4073">
      <c r="A4073" s="80" t="s">
        <v>2780</v>
      </c>
      <c r="B4073" s="81" t="str">
        <f>HYPERLINK("https://www.youtube.com/channel/UC0CojhLcc0VESgaG633m5kA", "RainErs")</f>
        <v>RainErs</v>
      </c>
      <c r="C4073" s="80" t="s">
        <v>4486</v>
      </c>
      <c r="D4073" s="81" t="str">
        <f>HYPERLINK("https://youtube.com/watch?v=hGH_15M9CS8", "[VLOG]放狗Day🐶🐕--天水圍最正放狗公園🐾🐾 ! ! //剛剛養的新寵物🐶⁉️[有CC字幕]")</f>
        <v>[VLOG]放狗Day🐶🐕--天水圍最正放狗公園🐾🐾 ! ! //剛剛養的新寵物🐶⁉️[有CC字幕]</v>
      </c>
      <c r="E4073" s="82">
        <v>44502.0</v>
      </c>
      <c r="F4073" s="80">
        <v>201.0</v>
      </c>
      <c r="G4073" s="80" t="s">
        <v>63</v>
      </c>
      <c r="I4073" s="80" t="s">
        <v>63</v>
      </c>
      <c r="J4073" s="80">
        <v>574.0</v>
      </c>
      <c r="K4073" s="80">
        <v>0.911111111111111</v>
      </c>
      <c r="L4073" s="80" t="s">
        <v>64</v>
      </c>
    </row>
    <row r="4074">
      <c r="A4074" s="80" t="s">
        <v>1139</v>
      </c>
      <c r="B4074" s="81" t="str">
        <f>HYPERLINK("https://www.youtube.com/channel/UCw51gVFijIewmXH4tIR0ufw", "Crystal Zen")</f>
        <v>Crystal Zen</v>
      </c>
      <c r="C4074" s="80" t="s">
        <v>4487</v>
      </c>
      <c r="D4074" s="81" t="str">
        <f>HYPERLINK("https://youtube.com/watch?v=hJeRfb04xf0", "[水晶知多D 第十八集] 可能係最好嘅去負能量石 銀線石/金運石")</f>
        <v>[水晶知多D 第十八集] 可能係最好嘅去負能量石 銀線石/金運石</v>
      </c>
      <c r="E4074" s="82">
        <v>44141.0</v>
      </c>
      <c r="F4074" s="80">
        <v>404.0</v>
      </c>
      <c r="G4074" s="80" t="s">
        <v>63</v>
      </c>
      <c r="I4074" s="80" t="s">
        <v>63</v>
      </c>
      <c r="J4074" s="80">
        <v>1631.0</v>
      </c>
      <c r="K4074" s="80">
        <v>0.925127623369256</v>
      </c>
      <c r="L4074" s="80" t="s">
        <v>64</v>
      </c>
    </row>
    <row r="4075">
      <c r="A4075" s="80" t="s">
        <v>4131</v>
      </c>
      <c r="B4075" s="81" t="str">
        <f>HYPERLINK("https://www.youtube.com/channel/UCEf8tnbLkl2bLZwxGigSvSw", "癲嗱 DINNER")</f>
        <v>癲嗱 DINNER</v>
      </c>
      <c r="C4075" s="80" t="s">
        <v>4488</v>
      </c>
      <c r="D4075" s="81" t="str">
        <f>HYPERLINK("https://youtube.com/watch?v=hMAl2QEQrBk", "2020你還好嗎？｜36E的震撼現場｜當陳慧珊遇見林峯 嚇親JJ｜居家抗疫 慘叫買飛機｜阿姨 我不想努力了｜必睇2021生肖運程 勁準！｜齊唱齊樂")</f>
        <v>2020你還好嗎？｜36E的震撼現場｜當陳慧珊遇見林峯 嚇親JJ｜居家抗疫 慘叫買飛機｜阿姨 我不想努力了｜必睇2021生肖運程 勁準！｜齊唱齊樂</v>
      </c>
      <c r="E4075" s="82">
        <v>44225.0</v>
      </c>
      <c r="F4075" s="80">
        <v>791.0</v>
      </c>
      <c r="G4075" s="80" t="s">
        <v>63</v>
      </c>
      <c r="I4075" s="80" t="s">
        <v>63</v>
      </c>
      <c r="J4075" s="80">
        <v>2365.0</v>
      </c>
      <c r="K4075" s="80">
        <v>0.8968524838832</v>
      </c>
      <c r="L4075" s="80" t="s">
        <v>64</v>
      </c>
    </row>
    <row r="4076">
      <c r="A4076" s="80" t="s">
        <v>248</v>
      </c>
      <c r="B4076" s="81" t="str">
        <f>HYPERLINK("https://www.youtube.com/channel/UCUEJok-GiWaGlv5nIPwk-GQ", "Price.com.hk 香港格價網")</f>
        <v>Price.com.hk 香港格價網</v>
      </c>
      <c r="C4076" s="80" t="s">
        <v>4489</v>
      </c>
      <c r="D4076" s="81" t="str">
        <f>HYPERLINK("https://youtube.com/watch?v=hMN2-aU6LPg", "CES 2022 焦點新品速報 全球科技盛會｜Samsung · LG · Sony · NVIDIA · AMD · Intel｜廣東話【Price.com.hk產品快訊】")</f>
        <v>CES 2022 焦點新品速報 全球科技盛會｜Samsung · LG · Sony · NVIDIA · AMD · Intel｜廣東話【Price.com.hk產品快訊】</v>
      </c>
      <c r="E4076" s="82">
        <v>44567.0</v>
      </c>
      <c r="F4076" s="80">
        <v>692.0</v>
      </c>
      <c r="G4076" s="80" t="s">
        <v>63</v>
      </c>
      <c r="I4076" s="80" t="s">
        <v>63</v>
      </c>
      <c r="J4076" s="80">
        <v>2215.0</v>
      </c>
      <c r="K4076" s="80">
        <v>0.648039789350497</v>
      </c>
      <c r="L4076" s="80" t="s">
        <v>64</v>
      </c>
    </row>
    <row r="4077">
      <c r="A4077" s="80" t="s">
        <v>127</v>
      </c>
      <c r="B4077" s="81" t="str">
        <f>HYPERLINK("https://www.youtube.com/channel/UC97oYK3XMf9RLtkc0lO8C-Q", "健康旦 HiEggo")</f>
        <v>健康旦 HiEggo</v>
      </c>
      <c r="C4077" s="80" t="s">
        <v>4490</v>
      </c>
      <c r="D4077" s="81" t="str">
        <f>HYPERLINK("https://youtube.com/watch?v=hM_hoYwRqus", "天文台前助理台長梁榮武 預測未來八十年有兩次旱災 疫情舒緩空氣污染但加劇環保問題 - 鄭丹瑞《健康旦》#梁榮武 Part 3 (CC中文字幕)")</f>
        <v>天文台前助理台長梁榮武 預測未來八十年有兩次旱災 疫情舒緩空氣污染但加劇環保問題 - 鄭丹瑞《健康旦》#梁榮武 Part 3 (CC中文字幕)</v>
      </c>
      <c r="E4077" s="82">
        <v>44022.0</v>
      </c>
      <c r="F4077" s="80">
        <v>759.0</v>
      </c>
      <c r="G4077" s="80" t="s">
        <v>63</v>
      </c>
      <c r="I4077" s="80" t="s">
        <v>63</v>
      </c>
      <c r="J4077" s="80">
        <v>3185.0</v>
      </c>
      <c r="K4077" s="80">
        <v>0.987596899224806</v>
      </c>
      <c r="L4077" s="80" t="s">
        <v>2771</v>
      </c>
    </row>
    <row r="4078">
      <c r="A4078" s="80" t="s">
        <v>2780</v>
      </c>
      <c r="B4078" s="81" t="str">
        <f>HYPERLINK("https://www.youtube.com/channel/UC0CojhLcc0VESgaG633m5kA", "RainErs")</f>
        <v>RainErs</v>
      </c>
      <c r="C4078" s="80" t="s">
        <v>4491</v>
      </c>
      <c r="D4078" s="81" t="str">
        <f>HYPERLINK("https://youtube.com/watch?v=hPUXZjDZRuQ", "手持起飛降落教學[航拍教學]--- 極容易!!新手必學技巧!!![有CC字幕]")</f>
        <v>手持起飛降落教學[航拍教學]--- 極容易!!新手必學技巧!!![有CC字幕]</v>
      </c>
      <c r="E4078" s="82">
        <v>44280.0</v>
      </c>
      <c r="F4078" s="80">
        <v>177.0</v>
      </c>
      <c r="G4078" s="80" t="s">
        <v>63</v>
      </c>
      <c r="I4078" s="80" t="s">
        <v>63</v>
      </c>
      <c r="J4078" s="80">
        <v>576.0</v>
      </c>
      <c r="K4078" s="80">
        <v>0.897196261682243</v>
      </c>
      <c r="L4078" s="80" t="s">
        <v>64</v>
      </c>
    </row>
    <row r="4079">
      <c r="A4079" s="80" t="s">
        <v>288</v>
      </c>
      <c r="B4079" s="81" t="str">
        <f>HYPERLINK("https://www.youtube.com/channel/UCDWOYEhVnyD4IHZGVAMLc0g", "Brendan 毛爸")</f>
        <v>Brendan 毛爸</v>
      </c>
      <c r="C4079" s="80" t="s">
        <v>4492</v>
      </c>
      <c r="D4079" s="81" t="str">
        <f>HYPERLINK("https://youtube.com/watch?v=hPwkp2hITPs", "『誠實食評』深水埗《番茄師兄》良心小店｜香濃番茄湯麵、軟腍牛腩｜牛迷、茄迷必試！餐廳推介！「食大個胃第7步」[請打開CC 查看中文字幕]")</f>
        <v>『誠實食評』深水埗《番茄師兄》良心小店｜香濃番茄湯麵、軟腍牛腩｜牛迷、茄迷必試！餐廳推介！「食大個胃第7步」[請打開CC 查看中文字幕]</v>
      </c>
      <c r="E4079" s="82">
        <v>43904.0</v>
      </c>
      <c r="F4079" s="80">
        <v>310.0</v>
      </c>
      <c r="G4079" s="80" t="s">
        <v>63</v>
      </c>
      <c r="I4079" s="80" t="s">
        <v>63</v>
      </c>
      <c r="J4079" s="80">
        <v>1055.0</v>
      </c>
      <c r="K4079" s="80">
        <v>0.959090909090909</v>
      </c>
      <c r="L4079" s="80" t="s">
        <v>64</v>
      </c>
    </row>
    <row r="4080">
      <c r="A4080" s="80" t="s">
        <v>3021</v>
      </c>
      <c r="B4080" s="81" t="str">
        <f>HYPERLINK("https://www.youtube.com/channel/UCEZ8fnigqno2a1z2_JSYjxQ", "9up Youtuber")</f>
        <v>9up Youtuber</v>
      </c>
      <c r="C4080" s="80" t="s">
        <v>4493</v>
      </c>
      <c r="D4080" s="81" t="str">
        <f>HYPERLINK("https://youtube.com/watch?v=hTYolmWjyTk", "[女權主義打臉] IKEA豆腐雪糕廣告-食我豆腐|9up講經")</f>
        <v>[女權主義打臉] IKEA豆腐雪糕廣告-食我豆腐|9up講經</v>
      </c>
      <c r="E4080" s="82">
        <v>43592.0</v>
      </c>
      <c r="F4080" s="80">
        <v>248.0</v>
      </c>
      <c r="G4080" s="80" t="s">
        <v>63</v>
      </c>
      <c r="I4080" s="80" t="s">
        <v>63</v>
      </c>
      <c r="J4080" s="80">
        <v>1132.0</v>
      </c>
      <c r="K4080" s="80">
        <v>0.850488354620586</v>
      </c>
      <c r="L4080" s="80" t="s">
        <v>64</v>
      </c>
    </row>
    <row r="4081">
      <c r="A4081" s="80" t="s">
        <v>98</v>
      </c>
      <c r="B4081" s="81" t="str">
        <f t="shared" ref="B4081:B4082" si="214">HYPERLINK("https://www.youtube.com/channel/UCrquuQB6v1Ued2xyRKZreGQ", "Stephen Leung ")</f>
        <v>Stephen Leung </v>
      </c>
      <c r="C4081" s="80" t="s">
        <v>4494</v>
      </c>
      <c r="D4081" s="81" t="str">
        <f>HYPERLINK("https://youtube.com/watch?v=hUCfFTmj-P4", "【香港美食】任食文昌雞煲放題 $158 黃金炒蟹 游水海蝦 多款海鮮 火鍋放題 配料 林洪記水產  | 吃喝玩樂  放題 2021 香港好去處  消費券")</f>
        <v>【香港美食】任食文昌雞煲放題 $158 黃金炒蟹 游水海蝦 多款海鮮 火鍋放題 配料 林洪記水產  | 吃喝玩樂  放題 2021 香港好去處  消費券</v>
      </c>
      <c r="E4081" s="82">
        <v>44424.0</v>
      </c>
      <c r="F4081" s="80">
        <v>487.0</v>
      </c>
      <c r="G4081" s="80" t="s">
        <v>63</v>
      </c>
      <c r="I4081" s="80" t="s">
        <v>63</v>
      </c>
      <c r="J4081" s="80">
        <v>1335.0</v>
      </c>
      <c r="K4081" s="80">
        <v>0.965991316931982</v>
      </c>
      <c r="L4081" s="80" t="s">
        <v>64</v>
      </c>
    </row>
    <row r="4082">
      <c r="A4082" s="80" t="s">
        <v>98</v>
      </c>
      <c r="B4082" s="81" t="str">
        <f t="shared" si="214"/>
        <v>Stephen Leung </v>
      </c>
      <c r="C4082" s="80" t="s">
        <v>4495</v>
      </c>
      <c r="D4082" s="81" t="str">
        <f>HYPERLINK("https://youtube.com/watch?v=hUp8NtPijjQ", "【香港自助餐】香港最好自助餐？港麗酒店 週末早午自助餐! 仍然是我的最愛嗎? 豪華版週末自助餐 港麗酒店 brasserie 自助餐 Sunday Brunch Conrad | 吃喝玩樂  自助午餐")</f>
        <v>【香港自助餐】香港最好自助餐？港麗酒店 週末早午自助餐! 仍然是我的最愛嗎? 豪華版週末自助餐 港麗酒店 brasserie 自助餐 Sunday Brunch Conrad | 吃喝玩樂  自助午餐</v>
      </c>
      <c r="E4082" s="82">
        <v>44513.0</v>
      </c>
      <c r="F4082" s="80">
        <v>1028.0</v>
      </c>
      <c r="G4082" s="80" t="s">
        <v>63</v>
      </c>
      <c r="I4082" s="80" t="s">
        <v>63</v>
      </c>
      <c r="J4082" s="80">
        <v>2367.0</v>
      </c>
      <c r="K4082" s="80">
        <v>0.954050785973397</v>
      </c>
      <c r="L4082" s="80" t="s">
        <v>64</v>
      </c>
    </row>
    <row r="4083">
      <c r="A4083" s="80" t="s">
        <v>2829</v>
      </c>
      <c r="B4083" s="81" t="str">
        <f>HYPERLINK("https://www.youtube.com/channel/UC7GnES6AEQlDzaP04UqtyjA", "SOLID IDEA")</f>
        <v>SOLID IDEA</v>
      </c>
      <c r="C4083" s="80" t="s">
        <v>4496</v>
      </c>
      <c r="D4083" s="81" t="str">
        <f>HYPERLINK("https://youtube.com/watch?v=hWbhqx73W2g", "[#設計概念] #天鑽 #輕奢風  | 室內設計 | 空間擺位 | SOLID IDEA |  (CC中文字幕)")</f>
        <v>[#設計概念] #天鑽 #輕奢風  | 室內設計 | 空間擺位 | SOLID IDEA |  (CC中文字幕)</v>
      </c>
      <c r="E4083" s="82">
        <v>44212.0</v>
      </c>
      <c r="F4083" s="80">
        <v>251.0</v>
      </c>
      <c r="G4083" s="80" t="s">
        <v>63</v>
      </c>
      <c r="I4083" s="80" t="s">
        <v>63</v>
      </c>
      <c r="J4083" s="80">
        <v>787.0</v>
      </c>
      <c r="K4083" s="80">
        <v>0.94251497005988</v>
      </c>
      <c r="L4083" s="80" t="s">
        <v>64</v>
      </c>
    </row>
    <row r="4084">
      <c r="A4084" s="80" t="s">
        <v>288</v>
      </c>
      <c r="B4084" s="81" t="str">
        <f>HYPERLINK("https://www.youtube.com/channel/UCDWOYEhVnyD4IHZGVAMLc0g", "Brendan 毛爸")</f>
        <v>Brendan 毛爸</v>
      </c>
      <c r="C4084" s="80" t="s">
        <v>4497</v>
      </c>
      <c r="D4084" s="81" t="str">
        <f>HYPERLINK("https://youtube.com/watch?v=hXQcVry2qSw", "【泰國前哨戰】去泰國上網卡wifi蛋全攻略！性價比最高上網卡！HKD20可用七日！")</f>
        <v>【泰國前哨戰】去泰國上網卡wifi蛋全攻略！性價比最高上網卡！HKD20可用七日！</v>
      </c>
      <c r="E4084" s="82">
        <v>43767.0</v>
      </c>
      <c r="F4084" s="80">
        <v>178.0</v>
      </c>
      <c r="G4084" s="80" t="s">
        <v>63</v>
      </c>
      <c r="I4084" s="80" t="s">
        <v>63</v>
      </c>
      <c r="J4084" s="80">
        <v>449.0</v>
      </c>
      <c r="K4084" s="80">
        <v>0.833024118738404</v>
      </c>
      <c r="L4084" s="80" t="s">
        <v>64</v>
      </c>
    </row>
    <row r="4085">
      <c r="A4085" s="80" t="s">
        <v>1390</v>
      </c>
      <c r="B4085" s="81" t="str">
        <f>HYPERLINK("https://www.youtube.com/channel/UCgwEJflQi4WnZ8PU0xdibZQ", "Kinson Ho")</f>
        <v>Kinson Ho</v>
      </c>
      <c r="C4085" s="80" t="s">
        <v>4498</v>
      </c>
      <c r="D4085" s="81" t="str">
        <f>HYPERLINK("https://youtube.com/watch?v=hYqLw4_RIIY", "K神任我行 -  [CC字幕4K] 塔門露營｜冇帶帳幕支撐杆點算好｜疊石｜龍頸筋｜日落日出｜柴火爐｜幾時開返啲營地呀｜航拍")</f>
        <v>K神任我行 -  [CC字幕4K] 塔門露營｜冇帶帳幕支撐杆點算好｜疊石｜龍頸筋｜日落日出｜柴火爐｜幾時開返啲營地呀｜航拍</v>
      </c>
      <c r="E4085" s="82">
        <v>44507.0</v>
      </c>
      <c r="F4085" s="80">
        <v>1230.0</v>
      </c>
      <c r="G4085" s="80" t="s">
        <v>63</v>
      </c>
      <c r="I4085" s="80" t="s">
        <v>63</v>
      </c>
      <c r="J4085" s="80">
        <v>794.0</v>
      </c>
      <c r="K4085" s="80">
        <v>0.976629766297663</v>
      </c>
      <c r="L4085" s="80" t="s">
        <v>64</v>
      </c>
    </row>
    <row r="4086">
      <c r="A4086" s="80" t="s">
        <v>98</v>
      </c>
      <c r="B4086" s="81" t="str">
        <f>HYPERLINK("https://www.youtube.com/channel/UCrquuQB6v1Ued2xyRKZreGQ", "Stephen Leung ")</f>
        <v>Stephen Leung </v>
      </c>
      <c r="C4086" s="80" t="s">
        <v>4499</v>
      </c>
      <c r="D4086" s="81" t="str">
        <f>HYPERLINK("https://youtube.com/watch?v=haAPKbU42DE", "【香港美食】香港最好食牛扒？ 前洲際酒店扒房團隊 重出江湖 打造香港頂級扒房  Fwd house 1881  The Steak Room  | 電子消費券 吃喝玩樂 4k 播放 香港好去處")</f>
        <v>【香港美食】香港最好食牛扒？ 前洲際酒店扒房團隊 重出江湖 打造香港頂級扒房  Fwd house 1881  The Steak Room  | 電子消費券 吃喝玩樂 4k 播放 香港好去處</v>
      </c>
      <c r="E4086" s="82">
        <v>44384.0</v>
      </c>
      <c r="F4086" s="80">
        <v>856.0</v>
      </c>
      <c r="G4086" s="80" t="s">
        <v>63</v>
      </c>
      <c r="I4086" s="80" t="s">
        <v>63</v>
      </c>
      <c r="J4086" s="80">
        <v>2069.0</v>
      </c>
      <c r="K4086" s="80">
        <v>0.91427308882015</v>
      </c>
      <c r="L4086" s="80" t="s">
        <v>521</v>
      </c>
    </row>
    <row r="4087">
      <c r="A4087" s="80" t="s">
        <v>288</v>
      </c>
      <c r="B4087" s="81" t="str">
        <f>HYPERLINK("https://www.youtube.com/channel/UCDWOYEhVnyD4IHZGVAMLc0g", "Brendan 毛爸")</f>
        <v>Brendan 毛爸</v>
      </c>
      <c r="C4087" s="80" t="s">
        <v>4500</v>
      </c>
      <c r="D4087" s="81" t="str">
        <f>HYPERLINK("https://youtube.com/watch?v=hdUH0K50tZ0", "[又來嚴重Bug] 不只是兩團之爭的軍團戰 | 新三國志手機版")</f>
        <v>[又來嚴重Bug] 不只是兩團之爭的軍團戰 | 新三國志手機版</v>
      </c>
      <c r="E4087" s="82">
        <v>43659.0</v>
      </c>
      <c r="F4087" s="80">
        <v>76.0</v>
      </c>
      <c r="G4087" s="80" t="s">
        <v>63</v>
      </c>
      <c r="I4087" s="80" t="s">
        <v>63</v>
      </c>
      <c r="J4087" s="80">
        <v>231.0</v>
      </c>
      <c r="K4087" s="80">
        <v>0.878326996197718</v>
      </c>
      <c r="L4087" s="80" t="s">
        <v>64</v>
      </c>
    </row>
    <row r="4088">
      <c r="A4088" s="80" t="s">
        <v>124</v>
      </c>
      <c r="B4088" s="81" t="str">
        <f>HYPERLINK("https://www.youtube.com/channel/UCg0vuSE0fBF_NvodyYhMcWg", "Wallace Studio HK")</f>
        <v>Wallace Studio HK</v>
      </c>
      <c r="C4088" s="80" t="s">
        <v>4501</v>
      </c>
      <c r="D4088" s="81" t="str">
        <f>HYPERLINK("https://youtube.com/watch?v=hfFL9aEXPsc", "[詳細評測] Asus ROG Zephyrus G14 詳細評測 | 輕便與效能並重!!")</f>
        <v>[詳細評測] Asus ROG Zephyrus G14 詳細評測 | 輕便與效能並重!!</v>
      </c>
      <c r="E4088" s="82">
        <v>44437.0</v>
      </c>
      <c r="F4088" s="80">
        <v>442.0</v>
      </c>
      <c r="G4088" s="80" t="s">
        <v>63</v>
      </c>
      <c r="I4088" s="80" t="s">
        <v>63</v>
      </c>
      <c r="J4088" s="80">
        <v>1427.0</v>
      </c>
      <c r="K4088" s="80">
        <v>0.738995339202485</v>
      </c>
      <c r="L4088" s="80" t="s">
        <v>64</v>
      </c>
    </row>
    <row r="4089">
      <c r="A4089" s="80" t="s">
        <v>127</v>
      </c>
      <c r="B4089" s="81" t="str">
        <f>HYPERLINK("https://www.youtube.com/channel/UC97oYK3XMf9RLtkc0lO8C-Q", "健康旦 HiEggo")</f>
        <v>健康旦 HiEggo</v>
      </c>
      <c r="C4089" s="80" t="s">
        <v>4502</v>
      </c>
      <c r="D4089" s="81" t="str">
        <f>HYPERLINK("https://youtube.com/watch?v=hiHkV4SnE1o", "糖尿病人減少食碳水化合物 果仁類食物放雪櫃保鮮 食物水份低細菌感染風險低 - 鄭丹瑞《健康旦》養和醫院高級營養師 #陳勁芝 Part 1 (CC中文字幕)")</f>
        <v>糖尿病人減少食碳水化合物 果仁類食物放雪櫃保鮮 食物水份低細菌感染風險低 - 鄭丹瑞《健康旦》養和醫院高級營養師 #陳勁芝 Part 1 (CC中文字幕)</v>
      </c>
      <c r="E4089" s="82">
        <v>44069.0</v>
      </c>
      <c r="F4089" s="80">
        <v>649.0</v>
      </c>
      <c r="G4089" s="80" t="s">
        <v>63</v>
      </c>
      <c r="I4089" s="80" t="s">
        <v>63</v>
      </c>
      <c r="J4089" s="80">
        <v>2711.0</v>
      </c>
      <c r="K4089" s="80">
        <v>0.993404177354342</v>
      </c>
      <c r="L4089" s="80" t="s">
        <v>2771</v>
      </c>
    </row>
    <row r="4090">
      <c r="A4090" s="80" t="s">
        <v>3170</v>
      </c>
      <c r="B4090" s="81" t="str">
        <f>HYPERLINK("https://www.youtube.com/channel/UC4sYIzNtzgaJudHQcDGtuJA", "CC漫遊")</f>
        <v>CC漫遊</v>
      </c>
      <c r="C4090" s="80" t="s">
        <v>4503</v>
      </c>
      <c r="D4090" s="81" t="str">
        <f>HYPERLINK("https://youtube.com/watch?v=hj1h9uxrghQ", "Ocean Park海洋公園一日遊｜依家去海洋公園有咩玩🦭🦦🦜｜預約咗先呀｜海洋公園門票優惠🎟")</f>
        <v>Ocean Park海洋公園一日遊｜依家去海洋公園有咩玩🦭🦦🦜｜預約咗先呀｜海洋公園門票優惠🎟</v>
      </c>
      <c r="E4090" s="82">
        <v>44433.0</v>
      </c>
      <c r="F4090" s="80">
        <v>194.0</v>
      </c>
      <c r="G4090" s="80" t="s">
        <v>63</v>
      </c>
      <c r="I4090" s="80" t="s">
        <v>63</v>
      </c>
      <c r="J4090" s="80">
        <v>166.0</v>
      </c>
      <c r="K4090" s="80">
        <v>1.0</v>
      </c>
      <c r="L4090" s="80" t="s">
        <v>102</v>
      </c>
    </row>
    <row r="4091">
      <c r="A4091" s="80" t="s">
        <v>1987</v>
      </c>
      <c r="B4091" s="81" t="str">
        <f>HYPERLINK("https://www.youtube.com/channel/UCgGUmm04nVyj-ftaCxVcyBg", "MangoHK大馬獅家")</f>
        <v>MangoHK大馬獅家</v>
      </c>
      <c r="C4091" s="80" t="s">
        <v>4504</v>
      </c>
      <c r="D4091" s="81" t="str">
        <f>HYPERLINK("https://youtube.com/watch?v=hk4EY-_s3Xk", "【68】台灣篇🤓香港地讀書📚可以幾辛苦？{中英字幕}  Subtitled | Malaysia HK Education | Malaysia Vlog | mm2h")</f>
        <v>【68】台灣篇🤓香港地讀書📚可以幾辛苦？{中英字幕}  Subtitled | Malaysia HK Education | Malaysia Vlog | mm2h</v>
      </c>
      <c r="E4091" s="82">
        <v>44495.0</v>
      </c>
      <c r="F4091" s="80">
        <v>803.0</v>
      </c>
      <c r="G4091" s="80" t="s">
        <v>63</v>
      </c>
      <c r="I4091" s="80" t="s">
        <v>63</v>
      </c>
      <c r="J4091" s="80">
        <v>2027.0</v>
      </c>
      <c r="K4091" s="80">
        <v>0.974987974987975</v>
      </c>
      <c r="L4091" s="80" t="s">
        <v>896</v>
      </c>
    </row>
    <row r="4092">
      <c r="A4092" s="80" t="s">
        <v>2862</v>
      </c>
      <c r="B4092" s="81" t="str">
        <f>HYPERLINK("https://www.youtube.com/channel/UCi6CqLjdoCN_ijofoCJFpCw", "Anton 安冬晴 ")</f>
        <v>Anton 安冬晴 </v>
      </c>
      <c r="C4092" s="80" t="s">
        <v>4505</v>
      </c>
      <c r="D4092" s="81" t="str">
        <f>HYPERLINK("https://youtube.com/watch?v=hlTAQB6Lpds", "真・元朗人食盡元朗 | 嚴選元朗高質小店| 小鍋米線 / New York Cafe / 嘉兵衛")</f>
        <v>真・元朗人食盡元朗 | 嚴選元朗高質小店| 小鍋米線 / New York Cafe / 嘉兵衛</v>
      </c>
      <c r="E4092" s="82">
        <v>43330.0</v>
      </c>
      <c r="F4092" s="80">
        <v>300.0</v>
      </c>
      <c r="G4092" s="80" t="s">
        <v>63</v>
      </c>
      <c r="I4092" s="80" t="s">
        <v>63</v>
      </c>
      <c r="J4092" s="80">
        <v>1083.0</v>
      </c>
      <c r="K4092" s="80">
        <v>0.917796610169491</v>
      </c>
      <c r="L4092" s="80" t="s">
        <v>64</v>
      </c>
    </row>
    <row r="4093">
      <c r="A4093" s="80" t="s">
        <v>124</v>
      </c>
      <c r="B4093" s="81" t="str">
        <f>HYPERLINK("https://www.youtube.com/channel/UCg0vuSE0fBF_NvodyYhMcWg", "Wallace Studio HK")</f>
        <v>Wallace Studio HK</v>
      </c>
      <c r="C4093" s="80" t="s">
        <v>4506</v>
      </c>
      <c r="D4093" s="81" t="str">
        <f>HYPERLINK("https://youtube.com/watch?v=hmJXPkbYIVs", "[比較]Surface Go 2 4425Y VS iPad Air 3 VS Galaxy Tab S6 之終極比較 （體驗比較及購買建議）")</f>
        <v>[比較]Surface Go 2 4425Y VS iPad Air 3 VS Galaxy Tab S6 之終極比較 （體驗比較及購買建議）</v>
      </c>
      <c r="E4093" s="82">
        <v>44062.0</v>
      </c>
      <c r="F4093" s="80">
        <v>610.0</v>
      </c>
      <c r="G4093" s="80" t="s">
        <v>63</v>
      </c>
      <c r="I4093" s="80" t="s">
        <v>63</v>
      </c>
      <c r="J4093" s="80">
        <v>2070.0</v>
      </c>
      <c r="K4093" s="80">
        <v>0.563265306122449</v>
      </c>
      <c r="L4093" s="80" t="s">
        <v>64</v>
      </c>
    </row>
    <row r="4094">
      <c r="A4094" s="80" t="s">
        <v>3930</v>
      </c>
      <c r="B4094" s="81" t="str">
        <f>HYPERLINK("https://www.youtube.com/channel/UCGO_BBmwEXblglcSmr5Zcpg", "Danny Summer 夏韶聲")</f>
        <v>Danny Summer 夏韶聲</v>
      </c>
      <c r="C4094" s="80" t="s">
        <v>4507</v>
      </c>
      <c r="D4094" s="81" t="str">
        <f>HYPERLINK("https://youtube.com/watch?v=hp6hfnpOwUY", "我係細路 KOL...張保仔洞")</f>
        <v>我係細路 KOL...張保仔洞</v>
      </c>
      <c r="E4094" s="82">
        <v>44478.0</v>
      </c>
      <c r="F4094" s="80">
        <v>607.0</v>
      </c>
      <c r="G4094" s="80" t="s">
        <v>63</v>
      </c>
      <c r="I4094" s="80" t="s">
        <v>63</v>
      </c>
      <c r="J4094" s="80">
        <v>599.0</v>
      </c>
      <c r="K4094" s="80">
        <v>0.985197368421052</v>
      </c>
      <c r="L4094" s="80" t="s">
        <v>64</v>
      </c>
    </row>
    <row r="4095">
      <c r="A4095" s="80" t="s">
        <v>1260</v>
      </c>
      <c r="B4095" s="81" t="str">
        <f>HYPERLINK("https://www.youtube.com/channel/UCh1k4i86BpiXEO3nzJIYynw", "The Wave")</f>
        <v>The Wave</v>
      </c>
      <c r="C4095" s="80" t="s">
        <v>4508</v>
      </c>
      <c r="D4095" s="81" t="str">
        <f>HYPERLINK("https://youtube.com/watch?v=hq872h756iE", "TheWave | Xperia XZ3 | 開咩價好 | 送咩好 | 買唔買好 | Xperia 845旗艦比較")</f>
        <v>TheWave | Xperia XZ3 | 開咩價好 | 送咩好 | 買唔買好 | Xperia 845旗艦比較</v>
      </c>
      <c r="E4095" s="82">
        <v>43362.0</v>
      </c>
      <c r="F4095" s="80">
        <v>213.0</v>
      </c>
      <c r="G4095" s="80" t="s">
        <v>63</v>
      </c>
      <c r="H4095" s="80" t="s">
        <v>63</v>
      </c>
      <c r="I4095" s="80" t="s">
        <v>63</v>
      </c>
      <c r="J4095" s="80">
        <v>604.0</v>
      </c>
      <c r="K4095" s="80">
        <v>0.760705289672544</v>
      </c>
      <c r="L4095" s="80" t="s">
        <v>80</v>
      </c>
    </row>
    <row r="4096">
      <c r="A4096" s="80" t="s">
        <v>295</v>
      </c>
      <c r="B4096" s="81" t="str">
        <f>HYPERLINK("https://www.youtube.com/channel/UCIotQRUz6c4H-BRsouLt4YQ", "Captain and his squad")</f>
        <v>Captain and his squad</v>
      </c>
      <c r="C4096" s="80" t="s">
        <v>4509</v>
      </c>
      <c r="D4096" s="81" t="str">
        <f>HYPERLINK("https://youtube.com/watch?v=hqpacWc4tIg", "【 教學 ep.03 : 教狗狗唔好亂執嘢食 🐶🍫💊☠️ 】隨地亂食足以致命｜點樣矯正亂食嘢嘅壞習慣?｜防止貪食狗狗誤食致死｜養狗禁忌《Captain 狗隻訓練📍將軍澳海濱長廊一日遊》(cc中英字幕)")</f>
        <v>【 教學 ep.03 : 教狗狗唔好亂執嘢食 🐶🍫💊☠️ 】隨地亂食足以致命｜點樣矯正亂食嘢嘅壞習慣?｜防止貪食狗狗誤食致死｜養狗禁忌《Captain 狗隻訓練📍將軍澳海濱長廊一日遊》(cc中英字幕)</v>
      </c>
      <c r="E4096" s="82">
        <v>44042.0</v>
      </c>
      <c r="F4096" s="80">
        <v>683.0</v>
      </c>
      <c r="G4096" s="80" t="s">
        <v>63</v>
      </c>
      <c r="I4096" s="80" t="s">
        <v>63</v>
      </c>
      <c r="J4096" s="80">
        <v>2560.0</v>
      </c>
      <c r="K4096" s="80">
        <v>0.792569659442724</v>
      </c>
      <c r="L4096" s="80" t="s">
        <v>102</v>
      </c>
    </row>
    <row r="4097">
      <c r="A4097" s="80" t="s">
        <v>1260</v>
      </c>
      <c r="B4097" s="81" t="str">
        <f>HYPERLINK("https://www.youtube.com/channel/UCh1k4i86BpiXEO3nzJIYynw", "The Wave")</f>
        <v>The Wave</v>
      </c>
      <c r="C4097" s="80" t="s">
        <v>4510</v>
      </c>
      <c r="D4097" s="81" t="str">
        <f>HYPERLINK("https://youtube.com/watch?v=hztIqEHXd0g", "TheWave ∣ Sony Xperia XZ3 疑似流出 ∣ 單鏡頭？")</f>
        <v>TheWave ∣ Sony Xperia XZ3 疑似流出 ∣ 單鏡頭？</v>
      </c>
      <c r="E4097" s="82">
        <v>43306.0</v>
      </c>
      <c r="F4097" s="80">
        <v>80.0</v>
      </c>
      <c r="G4097" s="80" t="s">
        <v>63</v>
      </c>
      <c r="I4097" s="80" t="s">
        <v>63</v>
      </c>
      <c r="J4097" s="80">
        <v>267.0</v>
      </c>
      <c r="K4097" s="80">
        <v>0.719676549865229</v>
      </c>
      <c r="L4097" s="80" t="s">
        <v>521</v>
      </c>
    </row>
    <row r="4098">
      <c r="A4098" s="80" t="s">
        <v>127</v>
      </c>
      <c r="B4098" s="81" t="str">
        <f>HYPERLINK("https://www.youtube.com/channel/UC97oYK3XMf9RLtkc0lO8C-Q", "健康旦 HiEggo")</f>
        <v>健康旦 HiEggo</v>
      </c>
      <c r="C4098" s="80" t="s">
        <v>4511</v>
      </c>
      <c r="D4098" s="81" t="str">
        <f>HYPERLINK("https://youtube.com/watch?v=i-zd34iqeFE", "穴位按摩對付濕疹、紅班狼瘡 咖啡豆浸浴排毒兼美肌 快速測試肝脾腎健康 - 鄭丹瑞《健康旦》#李維恩 教授 Part 18 (CC中文字幕)")</f>
        <v>穴位按摩對付濕疹、紅班狼瘡 咖啡豆浸浴排毒兼美肌 快速測試肝脾腎健康 - 鄭丹瑞《健康旦》#李維恩 教授 Part 18 (CC中文字幕)</v>
      </c>
      <c r="E4098" s="82">
        <v>44066.0</v>
      </c>
      <c r="F4098" s="80">
        <v>728.0</v>
      </c>
      <c r="G4098" s="80" t="s">
        <v>63</v>
      </c>
      <c r="I4098" s="80" t="s">
        <v>63</v>
      </c>
      <c r="J4098" s="80">
        <v>2646.0</v>
      </c>
      <c r="K4098" s="80">
        <v>0.977104874446085</v>
      </c>
      <c r="L4098" s="80" t="s">
        <v>2771</v>
      </c>
    </row>
    <row r="4099">
      <c r="A4099" s="80" t="s">
        <v>1987</v>
      </c>
      <c r="B4099" s="81" t="str">
        <f>HYPERLINK("https://www.youtube.com/channel/UCgGUmm04nVyj-ftaCxVcyBg", "MangoHK大馬獅家")</f>
        <v>MangoHK大馬獅家</v>
      </c>
      <c r="C4099" s="80" t="s">
        <v>4512</v>
      </c>
      <c r="D4099" s="81" t="str">
        <f>HYPERLINK("https://youtube.com/watch?v=i0pYeinWIGA", "【28】🏠我的揀樓日記🚛點樣搬屋去大馬？{中英字幕}  Subtitled | Malaysia land house &amp; Condo | Malaysia Vlog | mm2h")</f>
        <v>【28】🏠我的揀樓日記🚛點樣搬屋去大馬？{中英字幕}  Subtitled | Malaysia land house &amp; Condo | Malaysia Vlog | mm2h</v>
      </c>
      <c r="E4099" s="82">
        <v>44459.0</v>
      </c>
      <c r="F4099" s="80">
        <v>560.0</v>
      </c>
      <c r="G4099" s="80" t="s">
        <v>63</v>
      </c>
      <c r="I4099" s="80" t="s">
        <v>63</v>
      </c>
      <c r="J4099" s="80">
        <v>1150.0</v>
      </c>
      <c r="K4099" s="80">
        <v>0.864661654135338</v>
      </c>
      <c r="L4099" s="80" t="s">
        <v>896</v>
      </c>
    </row>
    <row r="4100">
      <c r="A4100" s="80" t="s">
        <v>2764</v>
      </c>
      <c r="B4100" s="81" t="str">
        <f>HYPERLINK("https://www.youtube.com/channel/UCejZUW4khvxoA4uL2Afz20g", "Housik Laanfei 好食懶飛")</f>
        <v>Housik Laanfei 好食懶飛</v>
      </c>
      <c r="C4100" s="80" t="s">
        <v>4513</v>
      </c>
      <c r="D4100" s="81" t="str">
        <f>HYPERLINK("https://youtube.com/watch?v=i1WG3Od1NRY", "[限聚又有咩好怕喎] 一人聖誕大餐 | CC: 廣東話/繁中/ENG SUB | COOKING VLOG")</f>
        <v>[限聚又有咩好怕喎] 一人聖誕大餐 | CC: 廣東話/繁中/ENG SUB | COOKING VLOG</v>
      </c>
      <c r="E4100" s="82">
        <v>44188.0</v>
      </c>
      <c r="F4100" s="80">
        <v>417.0</v>
      </c>
      <c r="G4100" s="80" t="s">
        <v>63</v>
      </c>
      <c r="H4100" s="80" t="s">
        <v>63</v>
      </c>
      <c r="I4100" s="80" t="s">
        <v>63</v>
      </c>
      <c r="J4100" s="80">
        <v>319.0</v>
      </c>
      <c r="K4100" s="80">
        <v>0.90625</v>
      </c>
      <c r="L4100" s="80" t="s">
        <v>80</v>
      </c>
    </row>
    <row r="4101">
      <c r="A4101" s="80" t="s">
        <v>238</v>
      </c>
      <c r="B4101" s="81" t="str">
        <f>HYPERLINK("https://www.youtube.com/channel/UCSBkm4LwpgBmcA3MCtO8vqg", "Post76影音玩樂")</f>
        <v>Post76影音玩樂</v>
      </c>
      <c r="C4101" s="80" t="s">
        <v>4514</v>
      </c>
      <c r="D4101" s="81" t="str">
        <f>HYPERLINK("https://youtube.com/watch?v=i4V56hdUano", "B&amp;W 尖沙咀 + 中環旗艦專門店專訪 : 100%滿意目標，任睇任聽永無黑面！| 粵語 | 中文字幕【 毒氣室推介 | Post76.hk 】")</f>
        <v>B&amp;W 尖沙咀 + 中環旗艦專門店專訪 : 100%滿意目標，任睇任聽永無黑面！| 粵語 | 中文字幕【 毒氣室推介 | Post76.hk 】</v>
      </c>
      <c r="E4101" s="82">
        <v>44213.0</v>
      </c>
      <c r="F4101" s="80">
        <v>676.0</v>
      </c>
      <c r="G4101" s="80" t="s">
        <v>63</v>
      </c>
      <c r="H4101" s="80" t="s">
        <v>63</v>
      </c>
      <c r="I4101" s="80" t="s">
        <v>63</v>
      </c>
      <c r="J4101" s="80">
        <v>2468.0</v>
      </c>
      <c r="K4101" s="80">
        <v>0.832430480317804</v>
      </c>
      <c r="L4101" s="80" t="s">
        <v>66</v>
      </c>
    </row>
    <row r="4102">
      <c r="A4102" s="80" t="s">
        <v>127</v>
      </c>
      <c r="B4102" s="81" t="str">
        <f>HYPERLINK("https://www.youtube.com/channel/UC97oYK3XMf9RLtkc0lO8C-Q", "健康旦 HiEggo")</f>
        <v>健康旦 HiEggo</v>
      </c>
      <c r="C4102" s="80" t="s">
        <v>4515</v>
      </c>
      <c r="D4102" s="81" t="str">
        <f>HYPERLINK("https://youtube.com/watch?v=i8vcIjr2xCA", "臭狐成因：腋下變細菌飯堂！拆解老人古怪體味真相！真菌感染香港腳腳臭如同咸魚味！ - 鄭丹瑞《健康旦》#李維恩 教授 Part 16 (CC中文字幕)")</f>
        <v>臭狐成因：腋下變細菌飯堂！拆解老人古怪體味真相！真菌感染香港腳腳臭如同咸魚味！ - 鄭丹瑞《健康旦》#李維恩 教授 Part 16 (CC中文字幕)</v>
      </c>
      <c r="E4102" s="82">
        <v>44006.0</v>
      </c>
      <c r="F4102" s="80">
        <v>910.0</v>
      </c>
      <c r="G4102" s="80" t="s">
        <v>63</v>
      </c>
      <c r="I4102" s="80" t="s">
        <v>63</v>
      </c>
      <c r="J4102" s="80">
        <v>3594.0</v>
      </c>
      <c r="K4102" s="80">
        <v>0.954835281615302</v>
      </c>
      <c r="L4102" s="80" t="s">
        <v>64</v>
      </c>
    </row>
    <row r="4103">
      <c r="A4103" s="80" t="s">
        <v>3757</v>
      </c>
      <c r="B4103" s="81" t="str">
        <f>HYPERLINK("https://www.youtube.com/channel/UCjJcc0em0PqOtUUQr9KxBuQ", "Fat’n’Skinny一肥一瘦")</f>
        <v>Fat’n’Skinny一肥一瘦</v>
      </c>
      <c r="C4103" s="80" t="s">
        <v>4516</v>
      </c>
      <c r="D4103" s="81" t="str">
        <f>HYPERLINK("https://youtube.com/watch?v=iDA2h6aPnUo", "【打卡熱點】錦田半日遊｜花田 風鈴 壁畫村 （CC字幕）")</f>
        <v>【打卡熱點】錦田半日遊｜花田 風鈴 壁畫村 （CC字幕）</v>
      </c>
      <c r="E4103" s="82">
        <v>44223.0</v>
      </c>
      <c r="F4103" s="80">
        <v>386.0</v>
      </c>
      <c r="G4103" s="80" t="s">
        <v>63</v>
      </c>
      <c r="I4103" s="80" t="s">
        <v>63</v>
      </c>
      <c r="J4103" s="80">
        <v>669.0</v>
      </c>
      <c r="K4103" s="80">
        <v>0.989644970414201</v>
      </c>
      <c r="L4103" s="80" t="s">
        <v>64</v>
      </c>
    </row>
    <row r="4104">
      <c r="A4104" s="80" t="s">
        <v>293</v>
      </c>
      <c r="B4104" s="81" t="str">
        <f>HYPERLINK("https://www.youtube.com/channel/UCXRcbXqjORdIvl63I7MtOLQ", "趁熱 Kerry 's kitchen")</f>
        <v>趁熱 Kerry 's kitchen</v>
      </c>
      <c r="C4104" s="80" t="s">
        <v>4517</v>
      </c>
      <c r="D4104" s="81" t="str">
        <f>HYPERLINK("https://youtube.com/watch?v=iEFRkMVNVj4", "鮑魚 雞煲/沙薑鮮鮑魚雞煲//好快腍收工煮都得/極惹味/零失敗/簡單 家做/新手入門")</f>
        <v>鮑魚 雞煲/沙薑鮮鮑魚雞煲//好快腍收工煮都得/極惹味/零失敗/簡單 家做/新手入門</v>
      </c>
      <c r="E4104" s="82">
        <v>44531.0</v>
      </c>
      <c r="F4104" s="80">
        <v>608.0</v>
      </c>
      <c r="G4104" s="80" t="s">
        <v>63</v>
      </c>
      <c r="I4104" s="80" t="s">
        <v>63</v>
      </c>
      <c r="J4104" s="80">
        <v>535.0</v>
      </c>
      <c r="K4104" s="80">
        <v>0.969202898550724</v>
      </c>
      <c r="L4104" s="80" t="s">
        <v>64</v>
      </c>
    </row>
    <row r="4105">
      <c r="A4105" s="80" t="s">
        <v>2800</v>
      </c>
      <c r="B4105" s="81" t="str">
        <f>HYPERLINK("https://www.youtube.com/channel/UCMqrlsr-AECPc6_3oDr8m9w", "Unicorn 獸哥")</f>
        <v>Unicorn 獸哥</v>
      </c>
      <c r="C4105" s="80" t="s">
        <v>4518</v>
      </c>
      <c r="D4105" s="81" t="str">
        <f>HYPERLINK("https://youtube.com/watch?v=iEfqEJw-l3E", "史上最唔Marvel嘅Marvel電影？永恆族劇透影評")</f>
        <v>史上最唔Marvel嘅Marvel電影？永恆族劇透影評</v>
      </c>
      <c r="E4105" s="82">
        <v>44506.0</v>
      </c>
      <c r="F4105" s="80">
        <v>595.0</v>
      </c>
      <c r="G4105" s="80" t="s">
        <v>63</v>
      </c>
      <c r="I4105" s="80" t="s">
        <v>63</v>
      </c>
      <c r="J4105" s="80">
        <v>2852.0</v>
      </c>
      <c r="K4105" s="80">
        <v>0.861891810214566</v>
      </c>
      <c r="L4105" s="80" t="s">
        <v>64</v>
      </c>
    </row>
    <row r="4106">
      <c r="A4106" s="80" t="s">
        <v>293</v>
      </c>
      <c r="B4106" s="81" t="str">
        <f>HYPERLINK("https://www.youtube.com/channel/UCXRcbXqjORdIvl63I7MtOLQ", "趁熱 Kerry 's kitchen")</f>
        <v>趁熱 Kerry 's kitchen</v>
      </c>
      <c r="C4106" s="80" t="s">
        <v>4519</v>
      </c>
      <c r="D4106" s="81" t="str">
        <f>HYPERLINK("https://youtube.com/watch?v=iFHGeNM8DI8", "姜燒 雞翼/堅好食/雞翼 煮法/超簡單/超好餸飯/燒 雞翼/超滑/廣東話/中字")</f>
        <v>姜燒 雞翼/堅好食/雞翼 煮法/超簡單/超好餸飯/燒 雞翼/超滑/廣東話/中字</v>
      </c>
      <c r="E4106" s="82">
        <v>44475.0</v>
      </c>
      <c r="F4106" s="80">
        <v>509.0</v>
      </c>
      <c r="G4106" s="80" t="s">
        <v>63</v>
      </c>
      <c r="I4106" s="80" t="s">
        <v>63</v>
      </c>
      <c r="J4106" s="80">
        <v>755.0</v>
      </c>
      <c r="K4106" s="80">
        <v>0.976714100905562</v>
      </c>
      <c r="L4106" s="80" t="s">
        <v>64</v>
      </c>
    </row>
    <row r="4107">
      <c r="A4107" s="80" t="s">
        <v>238</v>
      </c>
      <c r="B4107" s="81" t="str">
        <f>HYPERLINK("https://www.youtube.com/channel/UCSBkm4LwpgBmcA3MCtO8vqg", "Post76影音玩樂")</f>
        <v>Post76影音玩樂</v>
      </c>
      <c r="C4107" s="80" t="s">
        <v>4520</v>
      </c>
      <c r="D4107" s="81" t="str">
        <f>HYPERLINK("https://youtube.com/watch?v=iHIoTxmX3Wk", "Shure AONIC 215 真無線耳機大進化 : 招牌靚聲 + 多變的可玩性耳機  | 粵語 | 自選雙中文字幕【 真無線耳機評測 | Post76.hk】")</f>
        <v>Shure AONIC 215 真無線耳機大進化 : 招牌靚聲 + 多變的可玩性耳機  | 粵語 | 自選雙中文字幕【 真無線耳機評測 | Post76.hk】</v>
      </c>
      <c r="E4107" s="82">
        <v>44165.0</v>
      </c>
      <c r="F4107" s="80">
        <v>715.0</v>
      </c>
      <c r="G4107" s="80" t="s">
        <v>63</v>
      </c>
      <c r="H4107" s="80" t="s">
        <v>63</v>
      </c>
      <c r="I4107" s="80" t="s">
        <v>63</v>
      </c>
      <c r="J4107" s="80">
        <v>2716.0</v>
      </c>
      <c r="K4107" s="80">
        <v>0.766149506346967</v>
      </c>
      <c r="L4107" s="80" t="s">
        <v>66</v>
      </c>
    </row>
    <row r="4108">
      <c r="A4108" s="80" t="s">
        <v>127</v>
      </c>
      <c r="B4108" s="81" t="str">
        <f>HYPERLINK("https://www.youtube.com/channel/UC97oYK3XMf9RLtkc0lO8C-Q", "健康旦 HiEggo")</f>
        <v>健康旦 HiEggo</v>
      </c>
      <c r="C4108" s="80" t="s">
        <v>4521</v>
      </c>
      <c r="D4108" s="81" t="str">
        <f>HYPERLINK("https://youtube.com/watch?v=iI-32rhNwVU", "李維恩教授高溫係殺手鐧 新冠肺炎關澳洲山火事？ - 鄭丹瑞《健康旦》 Part 5  (優惠碼: 健康旦 Gaia Group) (CC中文字幕)")</f>
        <v>李維恩教授高溫係殺手鐧 新冠肺炎關澳洲山火事？ - 鄭丹瑞《健康旦》 Part 5  (優惠碼: 健康旦 Gaia Group) (CC中文字幕)</v>
      </c>
      <c r="E4108" s="82">
        <v>43924.0</v>
      </c>
      <c r="F4108" s="80">
        <v>812.0</v>
      </c>
      <c r="G4108" s="80" t="s">
        <v>63</v>
      </c>
      <c r="I4108" s="80" t="s">
        <v>63</v>
      </c>
      <c r="J4108" s="80">
        <v>2662.0</v>
      </c>
      <c r="K4108" s="80">
        <v>0.966945150744642</v>
      </c>
      <c r="L4108" s="80" t="s">
        <v>64</v>
      </c>
    </row>
    <row r="4109">
      <c r="A4109" s="80" t="s">
        <v>3757</v>
      </c>
      <c r="B4109" s="81" t="str">
        <f>HYPERLINK("https://www.youtube.com/channel/UCjJcc0em0PqOtUUQr9KxBuQ", "Fat’n’Skinny一肥一瘦")</f>
        <v>Fat’n’Skinny一肥一瘦</v>
      </c>
      <c r="C4109" s="80" t="s">
        <v>4522</v>
      </c>
      <c r="D4109" s="81" t="str">
        <f>HYPERLINK("https://youtube.com/watch?v=iM6ul-jJtA0", "[飲飲食食] 旺角茶餐廳飲茶 | 平民點心 | 蝦餃燒賣 | 炸鮮奶 | [CC字幕]")</f>
        <v>[飲飲食食] 旺角茶餐廳飲茶 | 平民點心 | 蝦餃燒賣 | 炸鮮奶 | [CC字幕]</v>
      </c>
      <c r="E4109" s="82">
        <v>44279.0</v>
      </c>
      <c r="F4109" s="80">
        <v>250.0</v>
      </c>
      <c r="G4109" s="80" t="s">
        <v>63</v>
      </c>
      <c r="I4109" s="80" t="s">
        <v>63</v>
      </c>
      <c r="J4109" s="80">
        <v>844.0</v>
      </c>
      <c r="K4109" s="80">
        <v>0.956916099773242</v>
      </c>
      <c r="L4109" s="80" t="s">
        <v>64</v>
      </c>
    </row>
    <row r="4110">
      <c r="A4110" s="80" t="s">
        <v>2972</v>
      </c>
      <c r="B4110" s="81" t="str">
        <f>HYPERLINK("https://www.youtube.com/channel/UCVMEQdIDLjHcKAsEwhVXEoQ", "Danny W.")</f>
        <v>Danny W.</v>
      </c>
      <c r="C4110" s="80" t="s">
        <v>4523</v>
      </c>
      <c r="D4110" s="81" t="str">
        <f>HYPERLINK("https://youtube.com/watch?v=iMhdnXULTa0", "A到Z 港法文 EP 1")</f>
        <v>A到Z 港法文 EP 1</v>
      </c>
      <c r="E4110" s="82">
        <v>44348.0</v>
      </c>
      <c r="F4110" s="80">
        <v>135.0</v>
      </c>
      <c r="G4110" s="80" t="s">
        <v>63</v>
      </c>
      <c r="I4110" s="80" t="s">
        <v>63</v>
      </c>
      <c r="J4110" s="80">
        <v>164.0</v>
      </c>
      <c r="K4110" s="80">
        <v>0.732142857142857</v>
      </c>
      <c r="L4110" s="80" t="s">
        <v>102</v>
      </c>
    </row>
    <row r="4111">
      <c r="A4111" s="80" t="s">
        <v>2753</v>
      </c>
      <c r="B4111" s="81" t="str">
        <f>HYPERLINK("https://www.youtube.com/channel/UCxRXNy5P6fLtHYpawxoiqJQ", "焦點視頻")</f>
        <v>焦點視頻</v>
      </c>
      <c r="C4111" s="80" t="s">
        <v>4524</v>
      </c>
      <c r="D4111" s="81" t="str">
        <f>HYPERLINK("https://youtube.com/watch?v=iVyLjN5GAm8", "最壞的事來臨了！ 12月疫情失控？ 印度神童預言中國短時間內要面對極端天氣、能源危機？ 《施敏玲玄學應用》 EP66 20211127（CC中文字幕）")</f>
        <v>最壞的事來臨了！ 12月疫情失控？ 印度神童預言中國短時間內要面對極端天氣、能源危機？ 《施敏玲玄學應用》 EP66 20211127（CC中文字幕）</v>
      </c>
      <c r="E4111" s="82">
        <v>44526.0</v>
      </c>
      <c r="F4111" s="80">
        <v>860.0</v>
      </c>
      <c r="G4111" s="80" t="s">
        <v>63</v>
      </c>
      <c r="I4111" s="80" t="s">
        <v>63</v>
      </c>
      <c r="J4111" s="80">
        <v>3926.0</v>
      </c>
      <c r="K4111" s="80">
        <v>0.993421052631579</v>
      </c>
      <c r="L4111" s="80" t="s">
        <v>3012</v>
      </c>
    </row>
    <row r="4112">
      <c r="A4112" s="80" t="s">
        <v>2972</v>
      </c>
      <c r="B4112" s="81" t="str">
        <f>HYPERLINK("https://www.youtube.com/channel/UCVMEQdIDLjHcKAsEwhVXEoQ", "Danny W.")</f>
        <v>Danny W.</v>
      </c>
      <c r="C4112" s="80" t="s">
        <v>4525</v>
      </c>
      <c r="D4112" s="81" t="str">
        <f>HYPERLINK("https://youtube.com/watch?v=iWIBvudJ5_Y", "Pronoun 人稱 港法文 EP 4")</f>
        <v>Pronoun 人稱 港法文 EP 4</v>
      </c>
      <c r="E4112" s="82">
        <v>44360.0</v>
      </c>
      <c r="F4112" s="80">
        <v>196.0</v>
      </c>
      <c r="G4112" s="80" t="s">
        <v>63</v>
      </c>
      <c r="I4112" s="80" t="s">
        <v>63</v>
      </c>
      <c r="J4112" s="80">
        <v>379.0</v>
      </c>
      <c r="K4112" s="80">
        <v>0.68659420289855</v>
      </c>
      <c r="L4112" s="80" t="s">
        <v>102</v>
      </c>
    </row>
    <row r="4113">
      <c r="A4113" s="80" t="s">
        <v>127</v>
      </c>
      <c r="B4113" s="81" t="str">
        <f t="shared" ref="B4113:B4114" si="215">HYPERLINK("https://www.youtube.com/channel/UC97oYK3XMf9RLtkc0lO8C-Q", "健康旦 HiEggo")</f>
        <v>健康旦 HiEggo</v>
      </c>
      <c r="C4113" s="80" t="s">
        <v>4526</v>
      </c>
      <c r="D4113" s="81" t="str">
        <f>HYPERLINK("https://youtube.com/watch?v=iZU7eOZot3E", "患白內障愈趨年輕化 林順潮醫生：手術最重要令病人安心 乾眼病人不宜做手術 - 鄭丹瑞《健康旦》 眼科專科醫生 #林順潮 Part 2  (CC中文字幕)")</f>
        <v>患白內障愈趨年輕化 林順潮醫生：手術最重要令病人安心 乾眼病人不宜做手術 - 鄭丹瑞《健康旦》 眼科專科醫生 #林順潮 Part 2  (CC中文字幕)</v>
      </c>
      <c r="E4113" s="82">
        <v>44042.0</v>
      </c>
      <c r="F4113" s="80">
        <v>794.0</v>
      </c>
      <c r="G4113" s="80" t="s">
        <v>63</v>
      </c>
      <c r="I4113" s="80" t="s">
        <v>63</v>
      </c>
      <c r="J4113" s="80">
        <v>3547.0</v>
      </c>
      <c r="K4113" s="80">
        <v>0.989952553725927</v>
      </c>
      <c r="L4113" s="80" t="s">
        <v>2771</v>
      </c>
    </row>
    <row r="4114">
      <c r="A4114" s="80" t="s">
        <v>127</v>
      </c>
      <c r="B4114" s="81" t="str">
        <f t="shared" si="215"/>
        <v>健康旦 HiEggo</v>
      </c>
      <c r="C4114" s="80" t="s">
        <v>4527</v>
      </c>
      <c r="D4114" s="81" t="str">
        <f>HYPERLINK("https://youtube.com/watch?v=icIf-Fnzizk", "周秀娜拍戲捱夜食蜂蜜助深層睡眠 紐西蘭麥蘆卡蜂蜜増強免疫力 起身空肚食修復腸道健康 - 鄭丹瑞《健康旦》 #周秀娜 麥蘆卡蜂蜜達人 #Henry Part 1 (CC中文字幕)")</f>
        <v>周秀娜拍戲捱夜食蜂蜜助深層睡眠 紐西蘭麥蘆卡蜂蜜増強免疫力 起身空肚食修復腸道健康 - 鄭丹瑞《健康旦》 #周秀娜 麥蘆卡蜂蜜達人 #Henry Part 1 (CC中文字幕)</v>
      </c>
      <c r="E4114" s="82">
        <v>44112.0</v>
      </c>
      <c r="F4114" s="80">
        <v>787.0</v>
      </c>
      <c r="G4114" s="80" t="s">
        <v>63</v>
      </c>
      <c r="I4114" s="80" t="s">
        <v>63</v>
      </c>
      <c r="J4114" s="80">
        <v>3183.0</v>
      </c>
      <c r="K4114" s="80">
        <v>0.975482684646031</v>
      </c>
      <c r="L4114" s="80" t="s">
        <v>2771</v>
      </c>
    </row>
    <row r="4115">
      <c r="A4115" s="80" t="s">
        <v>293</v>
      </c>
      <c r="B4115" s="81" t="str">
        <f>HYPERLINK("https://www.youtube.com/channel/UCXRcbXqjORdIvl63I7MtOLQ", "趁熱 Kerry 's kitchen")</f>
        <v>趁熱 Kerry 's kitchen</v>
      </c>
      <c r="C4115" s="80" t="s">
        <v>4528</v>
      </c>
      <c r="D4115" s="81" t="str">
        <f>HYPERLINK("https://youtube.com/watch?v=ie3Bkcbe0-8", "蒸 排骨/豉汁蒸排骨/酒樓點心/不用梳打粉/天然醃料醃腍/簡單 家做/廣東話/中字")</f>
        <v>蒸 排骨/豉汁蒸排骨/酒樓點心/不用梳打粉/天然醃料醃腍/簡單 家做/廣東話/中字</v>
      </c>
      <c r="E4115" s="82">
        <v>44447.0</v>
      </c>
      <c r="F4115" s="80">
        <v>500.0</v>
      </c>
      <c r="G4115" s="80" t="s">
        <v>63</v>
      </c>
      <c r="I4115" s="80" t="s">
        <v>63</v>
      </c>
      <c r="J4115" s="80">
        <v>1374.0</v>
      </c>
      <c r="K4115" s="80">
        <v>0.984240687679083</v>
      </c>
      <c r="L4115" s="80" t="s">
        <v>64</v>
      </c>
    </row>
    <row r="4116">
      <c r="A4116" s="80" t="s">
        <v>288</v>
      </c>
      <c r="B4116" s="81" t="str">
        <f>HYPERLINK("https://www.youtube.com/channel/UCDWOYEhVnyD4IHZGVAMLc0g", "Brendan 毛爸")</f>
        <v>Brendan 毛爸</v>
      </c>
      <c r="C4116" s="80" t="s">
        <v>4529</v>
      </c>
      <c r="D4116" s="81" t="str">
        <f>HYPERLINK("https://youtube.com/watch?v=if8D_jHb3k8", "【杯麵炒飯】清雪櫃最好的方法！零失敗、零技巧！15分鐘就完成！親子活動！懶人食譜！【毛飯家庭 EP11】")</f>
        <v>【杯麵炒飯】清雪櫃最好的方法！零失敗、零技巧！15分鐘就完成！親子活動！懶人食譜！【毛飯家庭 EP11】</v>
      </c>
      <c r="E4116" s="82">
        <v>43921.0</v>
      </c>
      <c r="F4116" s="80">
        <v>341.0</v>
      </c>
      <c r="G4116" s="80" t="s">
        <v>63</v>
      </c>
      <c r="I4116" s="80" t="s">
        <v>63</v>
      </c>
      <c r="J4116" s="80">
        <v>1147.0</v>
      </c>
      <c r="K4116" s="80">
        <v>0.977834612105711</v>
      </c>
      <c r="L4116" s="80" t="s">
        <v>64</v>
      </c>
    </row>
    <row r="4117">
      <c r="A4117" s="80" t="s">
        <v>293</v>
      </c>
      <c r="B4117" s="81" t="str">
        <f>HYPERLINK("https://www.youtube.com/channel/UCXRcbXqjORdIvl63I7MtOLQ", "趁熱 Kerry 's kitchen")</f>
        <v>趁熱 Kerry 's kitchen</v>
      </c>
      <c r="C4117" s="80" t="s">
        <v>4530</v>
      </c>
      <c r="D4117" s="81" t="str">
        <f>HYPERLINK("https://youtube.com/watch?v=imFQ11e1cSA", "南乳 豬手/軟而不爛竅門/簡單 家做/新手 入門/#粵語/中字/#廣東話/")</f>
        <v>南乳 豬手/軟而不爛竅門/簡單 家做/新手 入門/#粵語/中字/#廣東話/</v>
      </c>
      <c r="E4117" s="82">
        <v>44375.0</v>
      </c>
      <c r="F4117" s="80">
        <v>599.0</v>
      </c>
      <c r="G4117" s="80" t="s">
        <v>63</v>
      </c>
      <c r="I4117" s="80" t="s">
        <v>63</v>
      </c>
      <c r="J4117" s="80">
        <v>1416.0</v>
      </c>
      <c r="K4117" s="80">
        <v>0.988136775994417</v>
      </c>
      <c r="L4117" s="80" t="s">
        <v>64</v>
      </c>
    </row>
    <row r="4118">
      <c r="A4118" s="80" t="s">
        <v>127</v>
      </c>
      <c r="B4118" s="81" t="str">
        <f t="shared" ref="B4118:B4119" si="216">HYPERLINK("https://www.youtube.com/channel/UC97oYK3XMf9RLtkc0lO8C-Q", "健康旦 HiEggo")</f>
        <v>健康旦 HiEggo</v>
      </c>
      <c r="C4118" s="80" t="s">
        <v>4531</v>
      </c>
      <c r="D4118" s="81" t="str">
        <f>HYPERLINK("https://youtube.com/watch?v=ip_tMVty2zk", "香港疫情再爆發 重溫專家醫生抗疫貼士！- 鄭丹瑞 旦Vlog (CC中文字幕)")</f>
        <v>香港疫情再爆發 重溫專家醫生抗疫貼士！- 鄭丹瑞 旦Vlog (CC中文字幕)</v>
      </c>
      <c r="E4118" s="82">
        <v>44024.0</v>
      </c>
      <c r="F4118" s="80">
        <v>541.0</v>
      </c>
      <c r="G4118" s="80" t="s">
        <v>63</v>
      </c>
      <c r="I4118" s="80" t="s">
        <v>63</v>
      </c>
      <c r="J4118" s="80">
        <v>1917.0</v>
      </c>
      <c r="K4118" s="80">
        <v>0.883410138248848</v>
      </c>
      <c r="L4118" s="80" t="s">
        <v>3067</v>
      </c>
    </row>
    <row r="4119">
      <c r="A4119" s="80" t="s">
        <v>127</v>
      </c>
      <c r="B4119" s="81" t="str">
        <f t="shared" si="216"/>
        <v>健康旦 HiEggo</v>
      </c>
      <c r="C4119" s="80" t="s">
        <v>4532</v>
      </c>
      <c r="D4119" s="81" t="str">
        <f>HYPERLINK("https://youtube.com/watch?v=iwFOFHlySDk", "高山咖啡最啱夜晚飲 一日四杯咖啡豆品種要識揀 文桂芳：切忌劈咖啡及飲多過5杯 - 鄭丹瑞《健康旦》 #文桂芳 博士 Part 3 (CC中文字幕)")</f>
        <v>高山咖啡最啱夜晚飲 一日四杯咖啡豆品種要識揀 文桂芳：切忌劈咖啡及飲多過5杯 - 鄭丹瑞《健康旦》 #文桂芳 博士 Part 3 (CC中文字幕)</v>
      </c>
      <c r="E4119" s="82">
        <v>44089.0</v>
      </c>
      <c r="F4119" s="80">
        <v>578.0</v>
      </c>
      <c r="G4119" s="80" t="s">
        <v>63</v>
      </c>
      <c r="I4119" s="80" t="s">
        <v>63</v>
      </c>
      <c r="J4119" s="80">
        <v>2045.0</v>
      </c>
      <c r="K4119" s="80">
        <v>0.969653864390706</v>
      </c>
      <c r="L4119" s="80" t="s">
        <v>2771</v>
      </c>
    </row>
    <row r="4120">
      <c r="A4120" s="80" t="s">
        <v>238</v>
      </c>
      <c r="B4120" s="81" t="str">
        <f>HYPERLINK("https://www.youtube.com/channel/UCSBkm4LwpgBmcA3MCtO8vqg", "Post76影音玩樂")</f>
        <v>Post76影音玩樂</v>
      </c>
      <c r="C4120" s="80" t="s">
        <v>4533</v>
      </c>
      <c r="D4120" s="81" t="str">
        <f>HYPERLINK("https://youtube.com/watch?v=ixrlkGpR16M", "ANC主動降噪再加強？！Samsung Galaxy Earbuds Pro音質、通話、Apps功能、360聲效、試足一星期用家分享（附設中文字幕）| 粵語 【耳機評測 | Post76.hk】")</f>
        <v>ANC主動降噪再加強？！Samsung Galaxy Earbuds Pro音質、通話、Apps功能、360聲效、試足一星期用家分享（附設中文字幕）| 粵語 【耳機評測 | Post76.hk】</v>
      </c>
      <c r="E4120" s="82">
        <v>44263.0</v>
      </c>
      <c r="F4120" s="80">
        <v>511.0</v>
      </c>
      <c r="G4120" s="80" t="s">
        <v>63</v>
      </c>
      <c r="H4120" s="80" t="s">
        <v>63</v>
      </c>
      <c r="I4120" s="80" t="s">
        <v>63</v>
      </c>
      <c r="J4120" s="80">
        <v>2082.0</v>
      </c>
      <c r="K4120" s="80">
        <v>0.859408486926703</v>
      </c>
      <c r="L4120" s="80" t="s">
        <v>66</v>
      </c>
    </row>
    <row r="4121">
      <c r="A4121" s="80" t="s">
        <v>257</v>
      </c>
      <c r="B4121" s="81" t="str">
        <f>HYPERLINK("https://www.youtube.com/channel/UC1u7XM2b3QCHcGOhD6nDypg", "Poopstirrer")</f>
        <v>Poopstirrer</v>
      </c>
      <c r="C4121" s="80" t="s">
        <v>4534</v>
      </c>
      <c r="D4121" s="81" t="str">
        <f>HYPERLINK("https://youtube.com/watch?v=iy9maN-PbvE", "密失逃脫！！冚家產！")</f>
        <v>密失逃脫！！冚家產！</v>
      </c>
      <c r="E4121" s="82">
        <v>42701.0</v>
      </c>
      <c r="F4121" s="80">
        <v>438.0</v>
      </c>
      <c r="G4121" s="80" t="s">
        <v>63</v>
      </c>
      <c r="I4121" s="80" t="s">
        <v>63</v>
      </c>
      <c r="J4121" s="80">
        <v>1130.0</v>
      </c>
      <c r="K4121" s="80">
        <v>0.976663785652549</v>
      </c>
      <c r="L4121" s="80" t="s">
        <v>64</v>
      </c>
    </row>
    <row r="4122">
      <c r="A4122" s="80" t="s">
        <v>127</v>
      </c>
      <c r="B4122" s="81" t="str">
        <f>HYPERLINK("https://www.youtube.com/channel/UC97oYK3XMf9RLtkc0lO8C-Q", "健康旦 HiEggo")</f>
        <v>健康旦 HiEggo</v>
      </c>
      <c r="C4122" s="80" t="s">
        <v>4535</v>
      </c>
      <c r="D4122" s="81" t="str">
        <f>HYPERLINK("https://youtube.com/watch?v=iz_QFgHzOVc", "最緊要好玩！香港眾Dancer嘅舞蹈心忍唔住要爆 集合世上全人類跳森巴舞 - 鄭丹瑞《健康旦》")</f>
        <v>最緊要好玩！香港眾Dancer嘅舞蹈心忍唔住要爆 集合世上全人類跳森巴舞 - 鄭丹瑞《健康旦》</v>
      </c>
      <c r="E4122" s="82">
        <v>43951.0</v>
      </c>
      <c r="F4122" s="80">
        <v>424.0</v>
      </c>
      <c r="G4122" s="80" t="s">
        <v>63</v>
      </c>
      <c r="I4122" s="80" t="s">
        <v>63</v>
      </c>
      <c r="J4122" s="80">
        <v>958.0</v>
      </c>
      <c r="K4122" s="80">
        <v>0.925603864734299</v>
      </c>
      <c r="L4122" s="80" t="s">
        <v>64</v>
      </c>
    </row>
    <row r="4123">
      <c r="A4123" s="80" t="s">
        <v>106</v>
      </c>
      <c r="B4123" s="81" t="str">
        <f>HYPERLINK("https://www.youtube.com/channel/UC9jW6WpsAPgh-9HqDTvkFzg", "ValorGears")</f>
        <v>ValorGears</v>
      </c>
      <c r="C4123" s="80" t="s">
        <v>4536</v>
      </c>
      <c r="D4123" s="81" t="str">
        <f>HYPERLINK("https://youtube.com/watch?v=j-LHEFnj13o", "【VG開箱】又升級 USB 充電，雙 PD 係好用既")</f>
        <v>【VG開箱】又升級 USB 充電，雙 PD 係好用既</v>
      </c>
      <c r="E4123" s="82">
        <v>43631.0</v>
      </c>
      <c r="F4123" s="80">
        <v>699.0</v>
      </c>
      <c r="G4123" s="80" t="s">
        <v>63</v>
      </c>
      <c r="I4123" s="80" t="s">
        <v>63</v>
      </c>
      <c r="J4123" s="80">
        <v>2778.0</v>
      </c>
      <c r="K4123" s="80">
        <v>0.789428815004262</v>
      </c>
      <c r="L4123" s="80" t="s">
        <v>64</v>
      </c>
    </row>
    <row r="4124">
      <c r="A4124" s="80" t="s">
        <v>1139</v>
      </c>
      <c r="B4124" s="81" t="str">
        <f>HYPERLINK("https://www.youtube.com/channel/UCw51gVFijIewmXH4tIR0ufw", "Crystal Zen")</f>
        <v>Crystal Zen</v>
      </c>
      <c r="C4124" s="80" t="s">
        <v>4537</v>
      </c>
      <c r="D4124" s="81" t="str">
        <f>HYPERLINK("https://youtube.com/watch?v=j-grYDG89EM", "[水晶知多D 第十五集] 關係問題嘅最佳小幫手 五行球")</f>
        <v>[水晶知多D 第十五集] 關係問題嘅最佳小幫手 五行球</v>
      </c>
      <c r="E4124" s="82">
        <v>44106.0</v>
      </c>
      <c r="F4124" s="80">
        <v>440.0</v>
      </c>
      <c r="G4124" s="80" t="s">
        <v>63</v>
      </c>
      <c r="I4124" s="80" t="s">
        <v>63</v>
      </c>
      <c r="J4124" s="80">
        <v>1907.0</v>
      </c>
      <c r="K4124" s="80">
        <v>0.914189837008629</v>
      </c>
      <c r="L4124" s="80" t="s">
        <v>64</v>
      </c>
    </row>
    <row r="4125">
      <c r="A4125" s="80" t="s">
        <v>1987</v>
      </c>
      <c r="B4125" s="81" t="str">
        <f>HYPERLINK("https://www.youtube.com/channel/UCgGUmm04nVyj-ftaCxVcyBg", "MangoHK大馬獅家")</f>
        <v>MangoHK大馬獅家</v>
      </c>
      <c r="C4125" s="80" t="s">
        <v>4538</v>
      </c>
      <c r="D4125" s="81" t="str">
        <f>HYPERLINK("https://youtube.com/watch?v=j3u53mHePwY", "【42】香港人🙇🏻‍♀️衷心感謝大馬✅如何一個月完成五千訂閲！{中英字幕}  Subtitled |  5000 Subscribe | Malaysia Vlog | mm2h")</f>
        <v>【42】香港人🙇🏻‍♀️衷心感謝大馬✅如何一個月完成五千訂閲！{中英字幕}  Subtitled |  5000 Subscribe | Malaysia Vlog | mm2h</v>
      </c>
      <c r="E4125" s="82">
        <v>44470.0</v>
      </c>
      <c r="F4125" s="80">
        <v>398.0</v>
      </c>
      <c r="G4125" s="80" t="s">
        <v>63</v>
      </c>
      <c r="I4125" s="80" t="s">
        <v>63</v>
      </c>
      <c r="J4125" s="80">
        <v>868.0</v>
      </c>
      <c r="K4125" s="80">
        <v>0.96551724137931</v>
      </c>
      <c r="L4125" s="80" t="s">
        <v>896</v>
      </c>
    </row>
    <row r="4126">
      <c r="A4126" s="80" t="s">
        <v>248</v>
      </c>
      <c r="B4126" s="81" t="str">
        <f>HYPERLINK("https://www.youtube.com/channel/UCUEJok-GiWaGlv5nIPwk-GQ", "Price.com.hk 香港格價網")</f>
        <v>Price.com.hk 香港格價網</v>
      </c>
      <c r="C4126" s="80" t="s">
        <v>4539</v>
      </c>
      <c r="D4126" s="81" t="str">
        <f>HYPERLINK("https://youtube.com/watch?v=j433E3kDdNw", "Lenovo Legion 7詳細測試 高功率RTX 3080打Cyberpunk 2077表現係點？｜16吋QHD 165Hz熒幕｜Ryzen 9 5900HX｜【Pice.com.hk產品評測】")</f>
        <v>Lenovo Legion 7詳細測試 高功率RTX 3080打Cyberpunk 2077表現係點？｜16吋QHD 165Hz熒幕｜Ryzen 9 5900HX｜【Pice.com.hk產品評測】</v>
      </c>
      <c r="E4126" s="82">
        <v>44420.0</v>
      </c>
      <c r="F4126" s="80">
        <v>521.0</v>
      </c>
      <c r="G4126" s="80" t="s">
        <v>63</v>
      </c>
      <c r="I4126" s="80" t="s">
        <v>63</v>
      </c>
      <c r="J4126" s="80">
        <v>1596.0</v>
      </c>
      <c r="K4126" s="80">
        <v>0.640192539109506</v>
      </c>
      <c r="L4126" s="80" t="s">
        <v>64</v>
      </c>
    </row>
    <row r="4127">
      <c r="A4127" s="80" t="s">
        <v>1987</v>
      </c>
      <c r="B4127" s="81" t="str">
        <f t="shared" ref="B4127:B4128" si="217">HYPERLINK("https://www.youtube.com/channel/UCgGUmm04nVyj-ftaCxVcyBg", "MangoHK大馬獅家")</f>
        <v>MangoHK大馬獅家</v>
      </c>
      <c r="C4127" s="80" t="s">
        <v>4540</v>
      </c>
      <c r="D4127" s="81" t="str">
        <f>HYPERLINK("https://youtube.com/watch?v=j5YaW7RCktE", "【33】💪慈善出分力🧕🏻熱情大馬朋友！{中英字幕}  Subtitled | Malaysia Charity | Malaysia Vlog | mm2h")</f>
        <v>【33】💪慈善出分力🧕🏻熱情大馬朋友！{中英字幕}  Subtitled | Malaysia Charity | Malaysia Vlog | mm2h</v>
      </c>
      <c r="E4127" s="82">
        <v>44464.0</v>
      </c>
      <c r="F4127" s="80">
        <v>397.0</v>
      </c>
      <c r="G4127" s="80" t="s">
        <v>63</v>
      </c>
      <c r="I4127" s="80" t="s">
        <v>63</v>
      </c>
      <c r="J4127" s="80">
        <v>792.0</v>
      </c>
      <c r="K4127" s="80">
        <v>0.905142857142857</v>
      </c>
      <c r="L4127" s="80" t="s">
        <v>896</v>
      </c>
    </row>
    <row r="4128">
      <c r="A4128" s="80" t="s">
        <v>1987</v>
      </c>
      <c r="B4128" s="81" t="str">
        <f t="shared" si="217"/>
        <v>MangoHK大馬獅家</v>
      </c>
      <c r="C4128" s="80" t="s">
        <v>4541</v>
      </c>
      <c r="D4128" s="81" t="str">
        <f>HYPERLINK("https://youtube.com/watch?v=j8yXuKezn5I", "【66】🍏超巨型超市💵到底平唔平？{中英字幕}  Subtitled | Malaysia Giant Aeon Mall | Malaysia Vlog | mm2h")</f>
        <v>【66】🍏超巨型超市💵到底平唔平？{中英字幕}  Subtitled | Malaysia Giant Aeon Mall | Malaysia Vlog | mm2h</v>
      </c>
      <c r="E4128" s="82">
        <v>44493.0</v>
      </c>
      <c r="F4128" s="80">
        <v>537.0</v>
      </c>
      <c r="G4128" s="80" t="s">
        <v>63</v>
      </c>
      <c r="I4128" s="80" t="s">
        <v>63</v>
      </c>
      <c r="J4128" s="80">
        <v>1344.0</v>
      </c>
      <c r="K4128" s="80">
        <v>0.962750716332378</v>
      </c>
      <c r="L4128" s="80" t="s">
        <v>896</v>
      </c>
    </row>
    <row r="4129">
      <c r="A4129" s="80" t="s">
        <v>2764</v>
      </c>
      <c r="B4129" s="81" t="str">
        <f>HYPERLINK("https://www.youtube.com/channel/UCejZUW4khvxoA4uL2Afz20g", "Housik Laanfei 好食懶飛")</f>
        <v>Housik Laanfei 好食懶飛</v>
      </c>
      <c r="C4129" s="80" t="s">
        <v>4542</v>
      </c>
      <c r="D4129" s="81" t="str">
        <f>HYPERLINK("https://youtube.com/watch?v=jAdK5SmfmKg", "[黃金飯焦] 臘腸滑雞煲仔飯 | CC: 廣東話/繁中/ENG SUB | COOKING VLOG")</f>
        <v>[黃金飯焦] 臘腸滑雞煲仔飯 | CC: 廣東話/繁中/ENG SUB | COOKING VLOG</v>
      </c>
      <c r="E4129" s="82">
        <v>44175.0</v>
      </c>
      <c r="F4129" s="80">
        <v>264.0</v>
      </c>
      <c r="G4129" s="80" t="s">
        <v>63</v>
      </c>
      <c r="H4129" s="80" t="s">
        <v>63</v>
      </c>
      <c r="I4129" s="80" t="s">
        <v>63</v>
      </c>
      <c r="J4129" s="80">
        <v>317.0</v>
      </c>
      <c r="K4129" s="80">
        <v>0.99047619047619</v>
      </c>
      <c r="L4129" s="80" t="s">
        <v>80</v>
      </c>
    </row>
    <row r="4130">
      <c r="A4130" s="80" t="s">
        <v>127</v>
      </c>
      <c r="B4130" s="81" t="str">
        <f t="shared" ref="B4130:B4131" si="218">HYPERLINK("https://www.youtube.com/channel/UC97oYK3XMf9RLtkc0lO8C-Q", "健康旦 HiEggo")</f>
        <v>健康旦 HiEggo</v>
      </c>
      <c r="C4130" s="80" t="s">
        <v>4543</v>
      </c>
      <c r="D4130" s="81" t="str">
        <f>HYPERLINK("https://youtube.com/watch?v=jCn0T4WO7no", "黃淑儀GiGi姐教煲保健春養湯（附食譜）教煮蒸水蛋、炆肉重點秘訣 簡單做法人人都識 - 鄭丹瑞《健康旦》黃淑儀 Part 2 (CC中文字幕)")</f>
        <v>黃淑儀GiGi姐教煲保健春養湯（附食譜）教煮蒸水蛋、炆肉重點秘訣 簡單做法人人都識 - 鄭丹瑞《健康旦》黃淑儀 Part 2 (CC中文字幕)</v>
      </c>
      <c r="E4130" s="82">
        <v>43920.0</v>
      </c>
      <c r="F4130" s="80">
        <v>669.0</v>
      </c>
      <c r="G4130" s="80" t="s">
        <v>63</v>
      </c>
      <c r="I4130" s="80" t="s">
        <v>63</v>
      </c>
      <c r="J4130" s="80">
        <v>2425.0</v>
      </c>
      <c r="K4130" s="80">
        <v>0.985371800081267</v>
      </c>
      <c r="L4130" s="80" t="s">
        <v>102</v>
      </c>
    </row>
    <row r="4131">
      <c r="A4131" s="80" t="s">
        <v>127</v>
      </c>
      <c r="B4131" s="81" t="str">
        <f t="shared" si="218"/>
        <v>健康旦 HiEggo</v>
      </c>
      <c r="C4131" s="80" t="s">
        <v>4544</v>
      </c>
      <c r="D4131" s="81" t="str">
        <f>HYPERLINK("https://youtube.com/watch?v=jDB-dV8B3eg", "盧冠廷快樂老實人重新編曲靠馬頭琴 屋企木傢俬成靚聲秘密 自彈自唱新版果子 - 鄭丹瑞《健康旦》 #盧冠廷 Part 3 (CC中文字幕)")</f>
        <v>盧冠廷快樂老實人重新編曲靠馬頭琴 屋企木傢俬成靚聲秘密 自彈自唱新版果子 - 鄭丹瑞《健康旦》 #盧冠廷 Part 3 (CC中文字幕)</v>
      </c>
      <c r="E4131" s="82">
        <v>44087.0</v>
      </c>
      <c r="F4131" s="80">
        <v>614.0</v>
      </c>
      <c r="G4131" s="80" t="s">
        <v>63</v>
      </c>
      <c r="I4131" s="80" t="s">
        <v>63</v>
      </c>
      <c r="J4131" s="80">
        <v>1573.0</v>
      </c>
      <c r="K4131" s="80">
        <v>0.974597273853779</v>
      </c>
      <c r="L4131" s="80" t="s">
        <v>2771</v>
      </c>
    </row>
    <row r="4132">
      <c r="A4132" s="80" t="s">
        <v>2825</v>
      </c>
      <c r="B4132" s="81" t="str">
        <f>HYPERLINK("https://www.youtube.com/channel/UCP7XhYDgUbvjvaHxIhjTd_g", "Maviskuku 雞蛋妹")</f>
        <v>Maviskuku 雞蛋妹</v>
      </c>
      <c r="C4132" s="80" t="s">
        <v>4545</v>
      </c>
      <c r="D4132" s="81" t="str">
        <f>HYPERLINK("https://youtube.com/watch?v=jDMxeToplgU", "【優惠】Jabra 優惠大曬冷！Jabra PanaCast 50、Evolve2 65 貼耳式耳機、 Evolve2 85 全罩式耳機、Speak 750 開箱！")</f>
        <v>【優惠】Jabra 優惠大曬冷！Jabra PanaCast 50、Evolve2 65 貼耳式耳機、 Evolve2 85 全罩式耳機、Speak 750 開箱！</v>
      </c>
      <c r="E4132" s="82">
        <v>44448.0</v>
      </c>
      <c r="F4132" s="80">
        <v>381.0</v>
      </c>
      <c r="G4132" s="80" t="s">
        <v>63</v>
      </c>
      <c r="I4132" s="80" t="s">
        <v>63</v>
      </c>
      <c r="J4132" s="80">
        <v>1281.0</v>
      </c>
      <c r="K4132" s="80">
        <v>0.743470690655832</v>
      </c>
      <c r="L4132" s="80" t="s">
        <v>64</v>
      </c>
    </row>
    <row r="4133">
      <c r="A4133" s="80" t="s">
        <v>124</v>
      </c>
      <c r="B4133" s="81" t="str">
        <f>HYPERLINK("https://www.youtube.com/channel/UCg0vuSE0fBF_NvodyYhMcWg", "Wallace Studio HK")</f>
        <v>Wallace Studio HK</v>
      </c>
      <c r="C4133" s="80" t="s">
        <v>4546</v>
      </c>
      <c r="D4133" s="81" t="str">
        <f>HYPERLINK("https://youtube.com/watch?v=jFwnlaBzZfw", "[比較] iPad Pro 2020 VS Surface Pro 7 VS Surface Pro X 終極比較3/3   週邊配件體驗及售後服務")</f>
        <v>[比較] iPad Pro 2020 VS Surface Pro 7 VS Surface Pro X 終極比較3/3   週邊配件體驗及售後服務</v>
      </c>
      <c r="E4133" s="82">
        <v>44046.0</v>
      </c>
      <c r="F4133" s="80">
        <v>572.0</v>
      </c>
      <c r="G4133" s="80" t="s">
        <v>63</v>
      </c>
      <c r="H4133" s="80" t="s">
        <v>63</v>
      </c>
      <c r="I4133" s="80" t="s">
        <v>63</v>
      </c>
      <c r="J4133" s="80">
        <v>1881.0</v>
      </c>
      <c r="K4133" s="80">
        <v>0.74020202020202</v>
      </c>
      <c r="L4133" s="80" t="s">
        <v>86</v>
      </c>
    </row>
    <row r="4134">
      <c r="A4134" s="80" t="s">
        <v>288</v>
      </c>
      <c r="B4134" s="81" t="str">
        <f>HYPERLINK("https://www.youtube.com/channel/UCDWOYEhVnyD4IHZGVAMLc0g", "Brendan 毛爸")</f>
        <v>Brendan 毛爸</v>
      </c>
      <c r="C4134" s="80" t="s">
        <v>4547</v>
      </c>
      <c r="D4134" s="81" t="str">
        <f>HYPERLINK("https://youtube.com/watch?v=jW4wirpD9WQ", "新手開局建議｜可以強灌38分｜必用兩名球員分析｜手機遊戲（請打開CC 中文字幕）【灌籃高手 Slam Dunk 】")</f>
        <v>新手開局建議｜可以強灌38分｜必用兩名球員分析｜手機遊戲（請打開CC 中文字幕）【灌籃高手 Slam Dunk 】</v>
      </c>
      <c r="E4134" s="82">
        <v>43980.0</v>
      </c>
      <c r="F4134" s="80">
        <v>604.0</v>
      </c>
      <c r="G4134" s="80" t="s">
        <v>63</v>
      </c>
      <c r="I4134" s="80" t="s">
        <v>63</v>
      </c>
      <c r="J4134" s="80">
        <v>2011.0</v>
      </c>
      <c r="K4134" s="80">
        <v>0.971028488652824</v>
      </c>
      <c r="L4134" s="80" t="s">
        <v>64</v>
      </c>
    </row>
    <row r="4135">
      <c r="A4135" s="80" t="s">
        <v>293</v>
      </c>
      <c r="B4135" s="81" t="str">
        <f>HYPERLINK("https://www.youtube.com/channel/UCXRcbXqjORdIvl63I7MtOLQ", "趁熱 Kerry 's kitchen")</f>
        <v>趁熱 Kerry 's kitchen</v>
      </c>
      <c r="C4135" s="80" t="s">
        <v>4548</v>
      </c>
      <c r="D4135" s="81" t="str">
        <f>HYPERLINK("https://youtube.com/watch?v=jWMlwQCvDuw", "酸梅 鴨肶/好送飯/好食過燒鴨/超低成本/不用炸/少油/簡單 家做/廣東話/中字")</f>
        <v>酸梅 鴨肶/好送飯/好食過燒鴨/超低成本/不用炸/少油/簡單 家做/廣東話/中字</v>
      </c>
      <c r="E4135" s="82">
        <v>44440.0</v>
      </c>
      <c r="F4135" s="80">
        <v>573.0</v>
      </c>
      <c r="G4135" s="80" t="s">
        <v>63</v>
      </c>
      <c r="I4135" s="80" t="s">
        <v>63</v>
      </c>
      <c r="J4135" s="80">
        <v>1469.0</v>
      </c>
      <c r="K4135" s="80">
        <v>0.98064085447263</v>
      </c>
      <c r="L4135" s="80" t="s">
        <v>64</v>
      </c>
    </row>
    <row r="4136">
      <c r="A4136" s="80" t="s">
        <v>127</v>
      </c>
      <c r="B4136" s="81" t="str">
        <f>HYPERLINK("https://www.youtube.com/channel/UC97oYK3XMf9RLtkc0lO8C-Q", "健康旦 HiEggo")</f>
        <v>健康旦 HiEggo</v>
      </c>
      <c r="C4136" s="80" t="s">
        <v>4549</v>
      </c>
      <c r="D4136" s="81" t="str">
        <f>HYPERLINK("https://youtube.com/watch?v=j_elejTrWAU", "郭富城疫情號外 避免去人多地方 保重身體！ - 鄭丹瑞《健康旦》#郭富城 (CC中文字幕)")</f>
        <v>郭富城疫情號外 避免去人多地方 保重身體！ - 鄭丹瑞《健康旦》#郭富城 (CC中文字幕)</v>
      </c>
      <c r="E4136" s="82">
        <v>44026.0</v>
      </c>
      <c r="F4136" s="80">
        <v>31.0</v>
      </c>
      <c r="G4136" s="80" t="s">
        <v>63</v>
      </c>
      <c r="I4136" s="80" t="s">
        <v>63</v>
      </c>
      <c r="J4136" s="80">
        <v>95.0</v>
      </c>
      <c r="K4136" s="80">
        <v>0.664335664335664</v>
      </c>
      <c r="L4136" s="80" t="s">
        <v>2771</v>
      </c>
    </row>
    <row r="4137">
      <c r="A4137" s="80" t="s">
        <v>2972</v>
      </c>
      <c r="B4137" s="81" t="str">
        <f>HYPERLINK("https://www.youtube.com/channel/UCVMEQdIDLjHcKAsEwhVXEoQ", "Danny W.")</f>
        <v>Danny W.</v>
      </c>
      <c r="C4137" s="80" t="s">
        <v>4550</v>
      </c>
      <c r="D4137" s="81" t="str">
        <f>HYPERLINK("https://youtube.com/watch?v=jd4SG50-Rjk", "Accent 拼寫符號 港法文 EP 3")</f>
        <v>Accent 拼寫符號 港法文 EP 3</v>
      </c>
      <c r="E4137" s="82">
        <v>44357.0</v>
      </c>
      <c r="F4137" s="80">
        <v>151.0</v>
      </c>
      <c r="G4137" s="80" t="s">
        <v>63</v>
      </c>
      <c r="I4137" s="80" t="s">
        <v>63</v>
      </c>
      <c r="J4137" s="80">
        <v>222.0</v>
      </c>
      <c r="K4137" s="80">
        <v>0.505694760820045</v>
      </c>
      <c r="L4137" s="80" t="s">
        <v>102</v>
      </c>
    </row>
    <row r="4138">
      <c r="A4138" s="80" t="s">
        <v>108</v>
      </c>
      <c r="B4138" s="81" t="str">
        <f>HYPERLINK("https://www.youtube.com/channel/UCZL6QN6Xs-ZrKY3y6Pv6Emg", "廢青 - 日賺3000")</f>
        <v>廢青 - 日賺3000</v>
      </c>
      <c r="C4138" s="80" t="s">
        <v>4551</v>
      </c>
      <c r="D4138" s="81" t="str">
        <f>HYPERLINK("https://youtube.com/watch?v=jfKqA67ls9I", "美股入門│2招極速揀選倍升美股 !! 公開2隻倍升股!!  (中文字幕 ) EP10【廢青 日賺3000】")</f>
        <v>美股入門│2招極速揀選倍升美股 !! 公開2隻倍升股!!  (中文字幕 ) EP10【廢青 日賺3000】</v>
      </c>
      <c r="E4138" s="82">
        <v>44189.0</v>
      </c>
      <c r="F4138" s="80">
        <v>641.0</v>
      </c>
      <c r="G4138" s="80" t="s">
        <v>63</v>
      </c>
      <c r="I4138" s="80" t="s">
        <v>63</v>
      </c>
      <c r="J4138" s="80">
        <v>3032.0</v>
      </c>
      <c r="K4138" s="80">
        <v>0.901307966706302</v>
      </c>
      <c r="L4138" s="80" t="s">
        <v>64</v>
      </c>
    </row>
    <row r="4139">
      <c r="A4139" s="80" t="s">
        <v>2793</v>
      </c>
      <c r="B4139" s="81" t="str">
        <f>HYPERLINK("https://www.youtube.com/channel/UC03mRlT2h1B4LohYaIj9lHg", "Messiah2048")</f>
        <v>Messiah2048</v>
      </c>
      <c r="C4139" s="80" t="s">
        <v>4552</v>
      </c>
      <c r="D4139" s="81" t="str">
        <f>HYPERLINK("https://youtube.com/watch?v=jkVBSjlY0Mo", "久違了的元秋：屍殺列車")</f>
        <v>久違了的元秋：屍殺列車</v>
      </c>
      <c r="E4139" s="82">
        <v>43609.0</v>
      </c>
      <c r="F4139" s="80">
        <v>134.0</v>
      </c>
      <c r="G4139" s="80" t="s">
        <v>63</v>
      </c>
      <c r="I4139" s="80" t="s">
        <v>63</v>
      </c>
      <c r="J4139" s="80">
        <v>263.0</v>
      </c>
      <c r="K4139" s="80">
        <v>0.952898550724637</v>
      </c>
      <c r="L4139" s="80" t="s">
        <v>745</v>
      </c>
    </row>
    <row r="4140">
      <c r="A4140" s="80" t="s">
        <v>248</v>
      </c>
      <c r="B4140" s="81" t="str">
        <f>HYPERLINK("https://www.youtube.com/channel/UCUEJok-GiWaGlv5nIPwk-GQ", "Price.com.hk 香港格價網")</f>
        <v>Price.com.hk 香港格價網</v>
      </c>
      <c r="C4140" s="80" t="s">
        <v>4553</v>
      </c>
      <c r="D4140" s="81" t="str">
        <f>HYPERLINK("https://youtube.com/watch?v=jl8zQWrgH6A", "的骰平價抵玩﹗LINKSYS Atlas Pro WiFi6 Mesh 路由器評測｜Linksys特約【Price.com.hk產品評測】")</f>
        <v>的骰平價抵玩﹗LINKSYS Atlas Pro WiFi6 Mesh 路由器評測｜Linksys特約【Price.com.hk產品評測】</v>
      </c>
      <c r="E4140" s="82">
        <v>44544.0</v>
      </c>
      <c r="F4140" s="80">
        <v>395.0</v>
      </c>
      <c r="G4140" s="80" t="s">
        <v>63</v>
      </c>
      <c r="I4140" s="80" t="s">
        <v>63</v>
      </c>
      <c r="J4140" s="80">
        <v>1132.0</v>
      </c>
      <c r="K4140" s="80">
        <v>0.627146814404432</v>
      </c>
      <c r="L4140" s="80" t="s">
        <v>64</v>
      </c>
    </row>
    <row r="4141">
      <c r="A4141" s="80" t="s">
        <v>127</v>
      </c>
      <c r="B4141" s="81" t="str">
        <f t="shared" ref="B4141:B4142" si="219">HYPERLINK("https://www.youtube.com/channel/UC97oYK3XMf9RLtkc0lO8C-Q", "健康旦 HiEggo")</f>
        <v>健康旦 HiEggo</v>
      </c>
      <c r="C4141" s="80" t="s">
        <v>4554</v>
      </c>
      <c r="D4141" s="81" t="str">
        <f>HYPERLINK("https://youtube.com/watch?v=jq1fodJp1wg", "健脾袪濕粉葛赤小豆南扁豆鯪魚湯 豆湯竅門：豆要浸泡清水三小時 - 鄭丹瑞《健康旦》#方曉嵐 Part 5 （CC中文字幕）")</f>
        <v>健脾袪濕粉葛赤小豆南扁豆鯪魚湯 豆湯竅門：豆要浸泡清水三小時 - 鄭丹瑞《健康旦》#方曉嵐 Part 5 （CC中文字幕）</v>
      </c>
      <c r="E4141" s="82">
        <v>43938.0</v>
      </c>
      <c r="F4141" s="80">
        <v>761.0</v>
      </c>
      <c r="G4141" s="80" t="s">
        <v>63</v>
      </c>
      <c r="I4141" s="80" t="s">
        <v>63</v>
      </c>
      <c r="J4141" s="80">
        <v>2704.0</v>
      </c>
      <c r="K4141" s="80">
        <v>0.995948434622467</v>
      </c>
      <c r="L4141" s="80" t="s">
        <v>102</v>
      </c>
    </row>
    <row r="4142">
      <c r="A4142" s="80" t="s">
        <v>127</v>
      </c>
      <c r="B4142" s="81" t="str">
        <f t="shared" si="219"/>
        <v>健康旦 HiEggo</v>
      </c>
      <c r="C4142" s="80" t="s">
        <v>4555</v>
      </c>
      <c r="D4142" s="81" t="str">
        <f>HYPERLINK("https://youtube.com/watch?v=jq8ZYXZpOOA", "阿旦第一次沖變心急咖啡 手沖咖啡過程減壓 控制情緒一流 - 鄭丹瑞《健康旦》文桂芳 Part 2（CC中文字幕）")</f>
        <v>阿旦第一次沖變心急咖啡 手沖咖啡過程減壓 控制情緒一流 - 鄭丹瑞《健康旦》文桂芳 Part 2（CC中文字幕）</v>
      </c>
      <c r="E4142" s="82">
        <v>43983.0</v>
      </c>
      <c r="F4142" s="80">
        <v>732.0</v>
      </c>
      <c r="G4142" s="80" t="s">
        <v>63</v>
      </c>
      <c r="I4142" s="80" t="s">
        <v>63</v>
      </c>
      <c r="J4142" s="80">
        <v>2758.0</v>
      </c>
      <c r="K4142" s="80">
        <v>0.977667493796526</v>
      </c>
      <c r="L4142" s="80" t="s">
        <v>64</v>
      </c>
    </row>
    <row r="4143">
      <c r="A4143" s="80" t="s">
        <v>1260</v>
      </c>
      <c r="B4143" s="81" t="str">
        <f>HYPERLINK("https://www.youtube.com/channel/UCh1k4i86BpiXEO3nzJIYynw", "The Wave")</f>
        <v>The Wave</v>
      </c>
      <c r="C4143" s="80" t="s">
        <v>4556</v>
      </c>
      <c r="D4143" s="81" t="str">
        <f>HYPERLINK("https://youtube.com/watch?v=jqyjOmY5OgE", "TheWave | 點解寧願揀 iPhone 11 唔揀 iPhone 11 Pro？")</f>
        <v>TheWave | 點解寧願揀 iPhone 11 唔揀 iPhone 11 Pro？</v>
      </c>
      <c r="E4143" s="82">
        <v>43726.0</v>
      </c>
      <c r="F4143" s="80">
        <v>156.0</v>
      </c>
      <c r="G4143" s="80" t="s">
        <v>63</v>
      </c>
      <c r="H4143" s="80" t="s">
        <v>63</v>
      </c>
      <c r="I4143" s="80" t="s">
        <v>63</v>
      </c>
      <c r="J4143" s="80">
        <v>478.0</v>
      </c>
      <c r="K4143" s="80">
        <v>0.674188998589562</v>
      </c>
      <c r="L4143" s="80" t="s">
        <v>1634</v>
      </c>
    </row>
    <row r="4144">
      <c r="A4144" s="80" t="s">
        <v>1553</v>
      </c>
      <c r="B4144" s="81" t="str">
        <f>HYPERLINK("https://www.youtube.com/channel/UC5gQ01ai9nF2x43fYmO1vow", "Ck釣魚冒險")</f>
        <v>Ck釣魚冒險</v>
      </c>
      <c r="C4144" s="80" t="s">
        <v>4557</v>
      </c>
      <c r="D4144" s="81" t="str">
        <f>HYPERLINK("https://youtube.com/watch?v=jsF1quoNDfw", "【FIT魷】 北水獨木舟釣行 魷魷我黎啦 📣CC字幕")</f>
        <v>【FIT魷】 北水獨木舟釣行 魷魷我黎啦 📣CC字幕</v>
      </c>
      <c r="E4144" s="82">
        <v>44064.0</v>
      </c>
      <c r="F4144" s="80">
        <v>448.0</v>
      </c>
      <c r="G4144" s="80" t="s">
        <v>63</v>
      </c>
      <c r="I4144" s="80" t="s">
        <v>63</v>
      </c>
      <c r="J4144" s="80">
        <v>738.0</v>
      </c>
      <c r="K4144" s="80">
        <v>0.906633906633906</v>
      </c>
      <c r="L4144" s="80" t="s">
        <v>64</v>
      </c>
    </row>
    <row r="4145">
      <c r="A4145" s="80" t="s">
        <v>238</v>
      </c>
      <c r="B4145" s="81" t="str">
        <f>HYPERLINK("https://www.youtube.com/channel/UCSBkm4LwpgBmcA3MCtO8vqg", "Post76影音玩樂")</f>
        <v>Post76影音玩樂</v>
      </c>
      <c r="C4145" s="80" t="s">
        <v>4558</v>
      </c>
      <c r="D4145" s="81" t="str">
        <f>HYPERLINK("https://youtube.com/watch?v=jtUNQa6IxIo", "Demo歌后...... Phoenix Yeung （楊凱晴）全新個人專輯《 Healing 》開箱（CC字幕）【音樂專訪】")</f>
        <v>Demo歌后...... Phoenix Yeung （楊凱晴）全新個人專輯《 Healing 》開箱（CC字幕）【音樂專訪】</v>
      </c>
      <c r="E4145" s="82">
        <v>44554.0</v>
      </c>
      <c r="F4145" s="80">
        <v>749.0</v>
      </c>
      <c r="G4145" s="80" t="s">
        <v>63</v>
      </c>
      <c r="H4145" s="80" t="s">
        <v>63</v>
      </c>
      <c r="I4145" s="80" t="s">
        <v>63</v>
      </c>
      <c r="J4145" s="80">
        <v>2603.0</v>
      </c>
      <c r="K4145" s="80">
        <v>0.904761904761904</v>
      </c>
      <c r="L4145" s="80" t="s">
        <v>240</v>
      </c>
    </row>
    <row r="4146">
      <c r="A4146" s="80" t="s">
        <v>1260</v>
      </c>
      <c r="B4146" s="81" t="str">
        <f>HYPERLINK("https://www.youtube.com/channel/UCh1k4i86BpiXEO3nzJIYynw", "The Wave")</f>
        <v>The Wave</v>
      </c>
      <c r="C4146" s="80" t="s">
        <v>4559</v>
      </c>
      <c r="D4146" s="81" t="str">
        <f>HYPERLINK("https://youtube.com/watch?v=juhuCjnrRDY", "TheWave | Sony Xperia 10 Plus 開箱 簡單測試")</f>
        <v>TheWave | Sony Xperia 10 Plus 開箱 簡單測試</v>
      </c>
      <c r="E4146" s="82">
        <v>43525.0</v>
      </c>
      <c r="F4146" s="80">
        <v>157.0</v>
      </c>
      <c r="G4146" s="80" t="s">
        <v>63</v>
      </c>
      <c r="H4146" s="80" t="s">
        <v>63</v>
      </c>
      <c r="I4146" s="80" t="s">
        <v>63</v>
      </c>
      <c r="J4146" s="80">
        <v>428.0</v>
      </c>
      <c r="K4146" s="80">
        <v>0.649468892261001</v>
      </c>
      <c r="L4146" s="80" t="s">
        <v>120</v>
      </c>
    </row>
    <row r="4147">
      <c r="A4147" s="80" t="s">
        <v>248</v>
      </c>
      <c r="B4147" s="81" t="str">
        <f>HYPERLINK("https://www.youtube.com/channel/UCUEJok-GiWaGlv5nIPwk-GQ", "Price.com.hk 香港格價網")</f>
        <v>Price.com.hk 香港格價網</v>
      </c>
      <c r="C4147" s="80" t="s">
        <v>4560</v>
      </c>
      <c r="D4147" s="81" t="str">
        <f>HYPERLINK("https://youtube.com/watch?v=jv4Rfmrv1_M", "係時候換摺Mon手機嗎？Samsung Galaxy Z Fold 3、Z Flip 3 重點功能上手試｜外形、熒幕、相機、效能、操作評價｜浸水測試｜廣東話【Price.com.hk產品評測】")</f>
        <v>係時候換摺Mon手機嗎？Samsung Galaxy Z Fold 3、Z Flip 3 重點功能上手試｜外形、熒幕、相機、效能、操作評價｜浸水測試｜廣東話【Price.com.hk產品評測】</v>
      </c>
      <c r="E4147" s="82">
        <v>44438.0</v>
      </c>
      <c r="F4147" s="80">
        <v>558.0</v>
      </c>
      <c r="G4147" s="80" t="s">
        <v>63</v>
      </c>
      <c r="I4147" s="80" t="s">
        <v>63</v>
      </c>
      <c r="J4147" s="80">
        <v>1660.0</v>
      </c>
      <c r="K4147" s="80">
        <v>0.702496826068556</v>
      </c>
      <c r="L4147" s="80" t="s">
        <v>64</v>
      </c>
    </row>
    <row r="4148">
      <c r="A4148" s="80" t="s">
        <v>124</v>
      </c>
      <c r="B4148" s="81" t="str">
        <f>HYPERLINK("https://www.youtube.com/channel/UCg0vuSE0fBF_NvodyYhMcWg", "Wallace Studio HK")</f>
        <v>Wallace Studio HK</v>
      </c>
      <c r="C4148" s="80" t="s">
        <v>4561</v>
      </c>
      <c r="D4148" s="81" t="str">
        <f>HYPERLINK("https://youtube.com/watch?v=jwRcLLmpgac", "[評測] Galaxy Tab A7 詳細評測，2千有找性價比唔錯既平板電腦! (CC中文字幕)")</f>
        <v>[評測] Galaxy Tab A7 詳細評測，2千有找性價比唔錯既平板電腦! (CC中文字幕)</v>
      </c>
      <c r="E4148" s="82">
        <v>44304.0</v>
      </c>
      <c r="F4148" s="80">
        <v>353.0</v>
      </c>
      <c r="G4148" s="80" t="s">
        <v>63</v>
      </c>
      <c r="H4148" s="80" t="s">
        <v>63</v>
      </c>
      <c r="I4148" s="80" t="s">
        <v>63</v>
      </c>
      <c r="J4148" s="80">
        <v>1307.0</v>
      </c>
      <c r="K4148" s="80">
        <v>0.853133159268929</v>
      </c>
      <c r="L4148" s="80" t="s">
        <v>86</v>
      </c>
    </row>
    <row r="4149">
      <c r="A4149" s="80" t="s">
        <v>127</v>
      </c>
      <c r="B4149" s="81" t="str">
        <f>HYPERLINK("https://www.youtube.com/channel/UC97oYK3XMf9RLtkc0lO8C-Q", "健康旦 HiEggo")</f>
        <v>健康旦 HiEggo</v>
      </c>
      <c r="C4149" s="80" t="s">
        <v>4562</v>
      </c>
      <c r="D4149" s="81" t="str">
        <f>HYPERLINK("https://youtube.com/watch?v=jyiIrNmhfOY", "李龍基旺角地下餐廳一曲成名 結他加聲線變各酒廊搶手貨 帶起音樂餐廳熱潮 - 鄭丹瑞《健康旦》 #李龍基 Part 2 (CC中文字幕)")</f>
        <v>李龍基旺角地下餐廳一曲成名 結他加聲線變各酒廊搶手貨 帶起音樂餐廳熱潮 - 鄭丹瑞《健康旦》 #李龍基 Part 2 (CC中文字幕)</v>
      </c>
      <c r="E4149" s="82">
        <v>44134.0</v>
      </c>
      <c r="F4149" s="80">
        <v>545.0</v>
      </c>
      <c r="G4149" s="80" t="s">
        <v>63</v>
      </c>
      <c r="I4149" s="80" t="s">
        <v>63</v>
      </c>
      <c r="J4149" s="80">
        <v>1700.0</v>
      </c>
      <c r="K4149" s="80">
        <v>0.939226519337016</v>
      </c>
      <c r="L4149" s="80" t="s">
        <v>2771</v>
      </c>
    </row>
    <row r="4150">
      <c r="A4150" s="80" t="s">
        <v>1139</v>
      </c>
      <c r="B4150" s="81" t="str">
        <f>HYPERLINK("https://www.youtube.com/channel/UCw51gVFijIewmXH4tIR0ufw", "Crystal Zen")</f>
        <v>Crystal Zen</v>
      </c>
      <c r="C4150" s="80" t="s">
        <v>4563</v>
      </c>
      <c r="D4150" s="81" t="str">
        <f>HYPERLINK("https://youtube.com/watch?v=jyqeLD68_JA", "[有以上情況嘅朋友就一定要留意] 彼得石Case studies?用過嘅人究竟覺得點？諗緊買嘅你應唔應該用？ 藍彼得啡彼得應該點樣揀？一條片過話晒你聽！")</f>
        <v>[有以上情況嘅朋友就一定要留意] 彼得石Case studies?用過嘅人究竟覺得點？諗緊買嘅你應唔應該用？ 藍彼得啡彼得應該點樣揀？一條片過話晒你聽！</v>
      </c>
      <c r="E4150" s="82">
        <v>44376.0</v>
      </c>
      <c r="F4150" s="80">
        <v>982.0</v>
      </c>
      <c r="G4150" s="80" t="s">
        <v>63</v>
      </c>
      <c r="I4150" s="80" t="s">
        <v>63</v>
      </c>
      <c r="J4150" s="80">
        <v>4243.0</v>
      </c>
      <c r="K4150" s="80">
        <v>0.965415244596131</v>
      </c>
      <c r="L4150" s="80" t="s">
        <v>64</v>
      </c>
    </row>
    <row r="4151">
      <c r="A4151" s="80" t="s">
        <v>248</v>
      </c>
      <c r="B4151" s="81" t="str">
        <f>HYPERLINK("https://www.youtube.com/channel/UCUEJok-GiWaGlv5nIPwk-GQ", "Price.com.hk 香港格價網")</f>
        <v>Price.com.hk 香港格價網</v>
      </c>
      <c r="C4151" s="80" t="s">
        <v>4564</v>
      </c>
      <c r="D4151" s="81" t="str">
        <f>HYPERLINK("https://youtube.com/watch?v=k0jyTOx5N5s", "路痴恩物！Google Maps 唔只識搵路?! 手機用家不可不知的5個功能｜iOS、Android都適用｜廣東話【Price.com.hk軟件教學】")</f>
        <v>路痴恩物！Google Maps 唔只識搵路?! 手機用家不可不知的5個功能｜iOS、Android都適用｜廣東話【Price.com.hk軟件教學】</v>
      </c>
      <c r="E4151" s="82">
        <v>44271.0</v>
      </c>
      <c r="F4151" s="80">
        <v>259.0</v>
      </c>
      <c r="G4151" s="80" t="s">
        <v>63</v>
      </c>
      <c r="I4151" s="80" t="s">
        <v>63</v>
      </c>
      <c r="J4151" s="80">
        <v>1035.0</v>
      </c>
      <c r="K4151" s="80">
        <v>0.804195804195804</v>
      </c>
      <c r="L4151" s="80" t="s">
        <v>64</v>
      </c>
    </row>
    <row r="4152">
      <c r="A4152" s="80" t="s">
        <v>1260</v>
      </c>
      <c r="B4152" s="81" t="str">
        <f>HYPERLINK("https://www.youtube.com/channel/UCh1k4i86BpiXEO3nzJIYynw", "The Wave")</f>
        <v>The Wave</v>
      </c>
      <c r="C4152" s="80" t="s">
        <v>4565</v>
      </c>
      <c r="D4152" s="81" t="str">
        <f>HYPERLINK("https://youtube.com/watch?v=k1G6T8Ei8K8", "TheWave | Sony Xperia XZ2 Compact 開箱 | 極簡開箱")</f>
        <v>TheWave | Sony Xperia XZ2 Compact 開箱 | 極簡開箱</v>
      </c>
      <c r="E4152" s="82">
        <v>43187.0</v>
      </c>
      <c r="F4152" s="80">
        <v>77.0</v>
      </c>
      <c r="G4152" s="80" t="s">
        <v>63</v>
      </c>
      <c r="H4152" s="80" t="s">
        <v>63</v>
      </c>
      <c r="I4152" s="80" t="s">
        <v>63</v>
      </c>
      <c r="J4152" s="80">
        <v>208.0</v>
      </c>
      <c r="K4152" s="80">
        <v>0.729357798165137</v>
      </c>
      <c r="L4152" s="80" t="s">
        <v>120</v>
      </c>
    </row>
    <row r="4153">
      <c r="A4153" s="80" t="s">
        <v>127</v>
      </c>
      <c r="B4153" s="81" t="str">
        <f t="shared" ref="B4153:B4154" si="220">HYPERLINK("https://www.youtube.com/channel/UC97oYK3XMf9RLtkc0lO8C-Q", "健康旦 HiEggo")</f>
        <v>健康旦 HiEggo</v>
      </c>
      <c r="C4153" s="80" t="s">
        <v>4566</v>
      </c>
      <c r="D4153" s="81" t="str">
        <f>HYPERLINK("https://youtube.com/watch?v=k285kWt5imo", "李龍基養生餐單注重簡單 夜總會唱歌習慣食宵夜 體重近200磅著唔落登台衫 - 鄭丹瑞《健康旦》 #李龍基 Part 1 (CC中文字幕)")</f>
        <v>李龍基養生餐單注重簡單 夜總會唱歌習慣食宵夜 體重近200磅著唔落登台衫 - 鄭丹瑞《健康旦》 #李龍基 Part 1 (CC中文字幕)</v>
      </c>
      <c r="E4153" s="82">
        <v>44134.0</v>
      </c>
      <c r="F4153" s="80">
        <v>602.0</v>
      </c>
      <c r="G4153" s="80" t="s">
        <v>63</v>
      </c>
      <c r="I4153" s="80" t="s">
        <v>63</v>
      </c>
      <c r="J4153" s="80">
        <v>1760.0</v>
      </c>
      <c r="K4153" s="80">
        <v>0.98050139275766</v>
      </c>
      <c r="L4153" s="80" t="s">
        <v>2771</v>
      </c>
    </row>
    <row r="4154">
      <c r="A4154" s="80" t="s">
        <v>127</v>
      </c>
      <c r="B4154" s="81" t="str">
        <f t="shared" si="220"/>
        <v>健康旦 HiEggo</v>
      </c>
      <c r="C4154" s="80" t="s">
        <v>4567</v>
      </c>
      <c r="D4154" s="81" t="str">
        <f>HYPERLINK("https://youtube.com/watch?v=k2uBpeRuDKU", "薛家燕旗下藝術中心停課 小朋友們留喺屋企勁悶 - 鄭丹瑞《健康旦》薜家燕 Part3 (CC中文字幕)")</f>
        <v>薛家燕旗下藝術中心停課 小朋友們留喺屋企勁悶 - 鄭丹瑞《健康旦》薜家燕 Part3 (CC中文字幕)</v>
      </c>
      <c r="E4154" s="82">
        <v>43890.0</v>
      </c>
      <c r="F4154" s="80">
        <v>666.0</v>
      </c>
      <c r="G4154" s="80" t="s">
        <v>63</v>
      </c>
      <c r="I4154" s="80" t="s">
        <v>63</v>
      </c>
      <c r="J4154" s="80">
        <v>2381.0</v>
      </c>
      <c r="K4154" s="80">
        <v>0.977422003284072</v>
      </c>
      <c r="L4154" s="80" t="s">
        <v>102</v>
      </c>
    </row>
    <row r="4155">
      <c r="A4155" s="80" t="s">
        <v>124</v>
      </c>
      <c r="B4155" s="81" t="str">
        <f>HYPERLINK("https://www.youtube.com/channel/UCg0vuSE0fBF_NvodyYhMcWg", "Wallace Studio HK")</f>
        <v>Wallace Studio HK</v>
      </c>
      <c r="C4155" s="80" t="s">
        <v>4568</v>
      </c>
      <c r="D4155" s="81" t="str">
        <f>HYPERLINK("https://youtube.com/watch?v=k9f_8AuSHNE", "[評細評測] Sony Xperai 1 III 終極評測! 集黑科技之大成就好好用?")</f>
        <v>[評細評測] Sony Xperai 1 III 終極評測! 集黑科技之大成就好好用?</v>
      </c>
      <c r="E4155" s="82">
        <v>44458.0</v>
      </c>
      <c r="F4155" s="80">
        <v>800.0</v>
      </c>
      <c r="G4155" s="80" t="s">
        <v>63</v>
      </c>
      <c r="H4155" s="80" t="s">
        <v>63</v>
      </c>
      <c r="I4155" s="80" t="s">
        <v>63</v>
      </c>
      <c r="J4155" s="80">
        <v>2952.0</v>
      </c>
      <c r="K4155" s="80">
        <v>0.792270531400966</v>
      </c>
      <c r="L4155" s="80" t="s">
        <v>86</v>
      </c>
    </row>
    <row r="4156">
      <c r="A4156" s="80" t="s">
        <v>127</v>
      </c>
      <c r="B4156" s="81" t="str">
        <f>HYPERLINK("https://www.youtube.com/channel/UC97oYK3XMf9RLtkc0lO8C-Q", "健康旦 HiEggo")</f>
        <v>健康旦 HiEggo</v>
      </c>
      <c r="C4156" s="80" t="s">
        <v>4569</v>
      </c>
      <c r="D4156" s="81" t="str">
        <f>HYPERLINK("https://youtube.com/watch?v=kARhyjpNGKw", "盧冠廷讀寫障礙 逃學威龍變環保專家 時間限制逼出音樂創意 - 鄭丹瑞《健康旦》 #盧冠廷 Part 1 (CC中文字幕)")</f>
        <v>盧冠廷讀寫障礙 逃學威龍變環保專家 時間限制逼出音樂創意 - 鄭丹瑞《健康旦》 #盧冠廷 Part 1 (CC中文字幕)</v>
      </c>
      <c r="E4156" s="82">
        <v>44085.0</v>
      </c>
      <c r="F4156" s="80">
        <v>648.0</v>
      </c>
      <c r="G4156" s="80" t="s">
        <v>63</v>
      </c>
      <c r="I4156" s="80" t="s">
        <v>63</v>
      </c>
      <c r="J4156" s="80">
        <v>2273.0</v>
      </c>
      <c r="K4156" s="80">
        <v>0.951842546063651</v>
      </c>
      <c r="L4156" s="80" t="s">
        <v>2771</v>
      </c>
    </row>
    <row r="4157">
      <c r="A4157" s="80" t="s">
        <v>4321</v>
      </c>
      <c r="B4157" s="81" t="str">
        <f>HYPERLINK("https://www.youtube.com/channel/UCe4WrIB00UzAcU9EWDcxQ8Q", "lik wai tang")</f>
        <v>lik wai tang</v>
      </c>
      <c r="C4157" s="80" t="s">
        <v>4570</v>
      </c>
      <c r="D4157" s="81" t="str">
        <f>HYPERLINK("https://youtube.com/watch?v=kEx_pzzuQqc", "[開箱] 時代嘅眼淚!? 談論時下遊戲忽略嘅嘢 - HORI fighting stick mini [cc繁中字幕]")</f>
        <v>[開箱] 時代嘅眼淚!? 談論時下遊戲忽略嘅嘢 - HORI fighting stick mini [cc繁中字幕]</v>
      </c>
      <c r="E4157" s="82">
        <v>43848.0</v>
      </c>
      <c r="F4157" s="80">
        <v>313.0</v>
      </c>
      <c r="G4157" s="80" t="s">
        <v>63</v>
      </c>
      <c r="I4157" s="80" t="s">
        <v>63</v>
      </c>
      <c r="J4157" s="80">
        <v>1276.0</v>
      </c>
      <c r="K4157" s="80">
        <v>0.904323175053153</v>
      </c>
      <c r="L4157" s="80" t="s">
        <v>91</v>
      </c>
    </row>
    <row r="4158">
      <c r="A4158" s="80" t="s">
        <v>2764</v>
      </c>
      <c r="B4158" s="81" t="str">
        <f>HYPERLINK("https://www.youtube.com/channel/UCejZUW4khvxoA4uL2Afz20g", "Housik Laanfei 好食懶飛")</f>
        <v>Housik Laanfei 好食懶飛</v>
      </c>
      <c r="C4158" s="80" t="s">
        <v>4571</v>
      </c>
      <c r="D4158" s="81" t="str">
        <f>HYPERLINK("https://youtube.com/watch?v=kG1Vjb_WxHc", "[清涼消暑] 韓式豆漿麵 | CC: 廣東話/繁中/ENG SUB | COOKING VLOG")</f>
        <v>[清涼消暑] 韓式豆漿麵 | CC: 廣東話/繁中/ENG SUB | COOKING VLOG</v>
      </c>
      <c r="E4158" s="82">
        <v>44364.0</v>
      </c>
      <c r="F4158" s="80">
        <v>241.0</v>
      </c>
      <c r="G4158" s="80" t="s">
        <v>63</v>
      </c>
      <c r="H4158" s="80" t="s">
        <v>63</v>
      </c>
      <c r="I4158" s="80" t="s">
        <v>63</v>
      </c>
      <c r="J4158" s="80">
        <v>295.0</v>
      </c>
      <c r="K4158" s="80">
        <v>0.972602739726027</v>
      </c>
      <c r="L4158" s="80" t="s">
        <v>80</v>
      </c>
    </row>
    <row r="4159">
      <c r="A4159" s="80" t="s">
        <v>127</v>
      </c>
      <c r="B4159" s="81" t="str">
        <f>HYPERLINK("https://www.youtube.com/channel/UC97oYK3XMf9RLtkc0lO8C-Q", "健康旦 HiEggo")</f>
        <v>健康旦 HiEggo</v>
      </c>
      <c r="C4159" s="80" t="s">
        <v>4572</v>
      </c>
      <c r="D4159" s="81" t="str">
        <f>HYPERLINK("https://youtube.com/watch?v=kIBGnJLbucQ", "藥劑師協調各專科藥物 核實醫生處方減低藥物風險 執藥時間長因要睇病歷 - 鄭丹瑞《健康旦》香港醫院藥劑師學會會長 #崔俊明 Part 2 (CC中文字幕)")</f>
        <v>藥劑師協調各專科藥物 核實醫生處方減低藥物風險 執藥時間長因要睇病歷 - 鄭丹瑞《健康旦》香港醫院藥劑師學會會長 #崔俊明 Part 2 (CC中文字幕)</v>
      </c>
      <c r="E4159" s="82">
        <v>44112.0</v>
      </c>
      <c r="F4159" s="80">
        <v>659.0</v>
      </c>
      <c r="G4159" s="80" t="s">
        <v>63</v>
      </c>
      <c r="I4159" s="80" t="s">
        <v>63</v>
      </c>
      <c r="J4159" s="80">
        <v>2851.0</v>
      </c>
      <c r="K4159" s="80">
        <v>0.989586948976049</v>
      </c>
      <c r="L4159" s="80" t="s">
        <v>2771</v>
      </c>
    </row>
    <row r="4160">
      <c r="A4160" s="80" t="s">
        <v>2898</v>
      </c>
      <c r="B4160" s="81" t="str">
        <f>HYPERLINK("https://www.youtube.com/channel/UCy5bjMXbFPglSBNDXfivtOA", "消費者委員會")</f>
        <v>消費者委員會</v>
      </c>
      <c r="C4160" s="80" t="s">
        <v>4573</v>
      </c>
      <c r="D4160" s="81" t="str">
        <f>HYPERLINK("https://youtube.com/watch?v=kIWnwt4XcX0", "卷裝衞生紙品質大檢閱")</f>
        <v>卷裝衞生紙品質大檢閱</v>
      </c>
      <c r="E4160" s="82">
        <v>43264.0</v>
      </c>
      <c r="F4160" s="80">
        <v>176.0</v>
      </c>
      <c r="G4160" s="80" t="s">
        <v>63</v>
      </c>
      <c r="I4160" s="80" t="s">
        <v>63</v>
      </c>
      <c r="J4160" s="80">
        <v>538.0</v>
      </c>
      <c r="K4160" s="80">
        <v>0.988970588235294</v>
      </c>
      <c r="L4160" s="80" t="s">
        <v>64</v>
      </c>
    </row>
    <row r="4161">
      <c r="A4161" s="80" t="s">
        <v>2780</v>
      </c>
      <c r="B4161" s="81" t="str">
        <f>HYPERLINK("https://www.youtube.com/channel/UC0CojhLcc0VESgaG633m5kA", "RainErs")</f>
        <v>RainErs</v>
      </c>
      <c r="C4161" s="80" t="s">
        <v>4574</v>
      </c>
      <c r="D4161" s="81" t="str">
        <f>HYPERLINK("https://youtube.com/watch?v=kIeiMwXXwnc", "XROUND ForgeNC[開箱]--今年最高cp值嘅藍牙耳機之一??//同場加映[VS]AirportPro3!![有CC字幕]")</f>
        <v>XROUND ForgeNC[開箱]--今年最高cp值嘅藍牙耳機之一??//同場加映[VS]AirportPro3!![有CC字幕]</v>
      </c>
      <c r="E4161" s="82">
        <v>44551.0</v>
      </c>
      <c r="F4161" s="80">
        <v>545.0</v>
      </c>
      <c r="G4161" s="80" t="s">
        <v>63</v>
      </c>
      <c r="I4161" s="80" t="s">
        <v>63</v>
      </c>
      <c r="J4161" s="80">
        <v>2109.0</v>
      </c>
      <c r="K4161" s="80">
        <v>0.807118254879448</v>
      </c>
      <c r="L4161" s="80" t="s">
        <v>64</v>
      </c>
    </row>
    <row r="4162">
      <c r="A4162" s="80" t="s">
        <v>127</v>
      </c>
      <c r="B4162" s="81" t="str">
        <f>HYPERLINK("https://www.youtube.com/channel/UC97oYK3XMf9RLtkc0lO8C-Q", "健康旦 HiEggo")</f>
        <v>健康旦 HiEggo</v>
      </c>
      <c r="C4162" s="80" t="s">
        <v>4575</v>
      </c>
      <c r="D4162" s="81" t="str">
        <f>HYPERLINK("https://youtube.com/watch?v=kJroUJ_ho_o", "沙士醫生變病人險要插喉 隔離病房窗邊遙望老婆灑淚 坐起喺床尾拎飯都無力要靠腳 瀕死時刻升職買樓當浮雲 - 鄭丹瑞《健康旦》盧浩然醫生 PART 2 (CC中文字幕)")</f>
        <v>沙士醫生變病人險要插喉 隔離病房窗邊遙望老婆灑淚 坐起喺床尾拎飯都無力要靠腳 瀕死時刻升職買樓當浮雲 - 鄭丹瑞《健康旦》盧浩然醫生 PART 2 (CC中文字幕)</v>
      </c>
      <c r="E4162" s="82">
        <v>43872.0</v>
      </c>
      <c r="F4162" s="80">
        <v>839.0</v>
      </c>
      <c r="G4162" s="80" t="s">
        <v>63</v>
      </c>
      <c r="I4162" s="80" t="s">
        <v>63</v>
      </c>
      <c r="J4162" s="80">
        <v>3387.0</v>
      </c>
      <c r="K4162" s="80">
        <v>0.986313337216074</v>
      </c>
      <c r="L4162" s="80" t="s">
        <v>64</v>
      </c>
    </row>
    <row r="4163">
      <c r="A4163" s="80" t="s">
        <v>124</v>
      </c>
      <c r="B4163" s="81" t="str">
        <f>HYPERLINK("https://www.youtube.com/channel/UCg0vuSE0fBF_NvodyYhMcWg", "Wallace Studio HK")</f>
        <v>Wallace Studio HK</v>
      </c>
      <c r="C4163" s="80" t="s">
        <v>4576</v>
      </c>
      <c r="D4163" s="81" t="str">
        <f>HYPERLINK("https://youtube.com/watch?v=kMEBkVjaU6U", "[效能實測] Apple M1 MacBook Air VS MacBook Pro (8gb RAM VS 16gb RAM) 效能比較，幾多RAM「夠用？」，點「揀」好？")</f>
        <v>[效能實測] Apple M1 MacBook Air VS MacBook Pro (8gb RAM VS 16gb RAM) 效能比較，幾多RAM「夠用？」，點「揀」好？</v>
      </c>
      <c r="E4163" s="82">
        <v>44196.0</v>
      </c>
      <c r="F4163" s="80">
        <v>569.0</v>
      </c>
      <c r="G4163" s="80" t="s">
        <v>63</v>
      </c>
      <c r="I4163" s="80" t="s">
        <v>63</v>
      </c>
      <c r="J4163" s="80">
        <v>1699.0</v>
      </c>
      <c r="K4163" s="80">
        <v>0.533270558694287</v>
      </c>
      <c r="L4163" s="80" t="s">
        <v>102</v>
      </c>
    </row>
    <row r="4164">
      <c r="A4164" s="80" t="s">
        <v>1606</v>
      </c>
      <c r="B4164" s="81" t="str">
        <f>HYPERLINK("https://www.youtube.com/channel/UCk25FUc8pLiP3A6Zniknxbg", "希治閣【遊戲情報科】")</f>
        <v>希治閣【遊戲情報科】</v>
      </c>
      <c r="C4164" s="80" t="s">
        <v>4577</v>
      </c>
      <c r="D4164" s="81" t="str">
        <f>HYPERLINK("https://youtube.com/watch?v=kPDY4OfpgtA", "遊戲情報科 - EP14 - 2015/4/17 -《哥斯拉 GODZILLA VS》《The Witcher 3: Wild Hunt》《Hearthstone》《GTA 5》")</f>
        <v>遊戲情報科 - EP14 - 2015/4/17 -《哥斯拉 GODZILLA VS》《The Witcher 3: Wild Hunt》《Hearthstone》《GTA 5》</v>
      </c>
      <c r="E4164" s="82">
        <v>42111.0</v>
      </c>
      <c r="F4164" s="80">
        <v>449.0</v>
      </c>
      <c r="G4164" s="80" t="s">
        <v>63</v>
      </c>
      <c r="I4164" s="80" t="s">
        <v>63</v>
      </c>
      <c r="J4164" s="80">
        <v>1681.0</v>
      </c>
      <c r="K4164" s="80">
        <v>0.781496978149697</v>
      </c>
      <c r="L4164" s="80" t="s">
        <v>64</v>
      </c>
    </row>
    <row r="4165">
      <c r="A4165" s="80" t="s">
        <v>98</v>
      </c>
      <c r="B4165" s="81" t="str">
        <f>HYPERLINK("https://www.youtube.com/channel/UCrquuQB6v1Ued2xyRKZreGQ", "Stephen Leung ")</f>
        <v>Stephen Leung </v>
      </c>
      <c r="C4165" s="80" t="s">
        <v>4578</v>
      </c>
      <c r="D4165" s="81" t="str">
        <f>HYPERLINK("https://youtube.com/watch?v=kPqxrRJ3kgE", "【香港美食】尖沙咀 Omakase 高質平食 廚師發辦 日本 壽司 刺身 海膽 活帆立貝 大拖羅 鮨樂 | 電子消費券 新聞 香港好去處 吃喝玩樂")</f>
        <v>【香港美食】尖沙咀 Omakase 高質平食 廚師發辦 日本 壽司 刺身 海膽 活帆立貝 大拖羅 鮨樂 | 電子消費券 新聞 香港好去處 吃喝玩樂</v>
      </c>
      <c r="E4165" s="82">
        <v>44390.0</v>
      </c>
      <c r="F4165" s="80">
        <v>752.0</v>
      </c>
      <c r="G4165" s="80" t="s">
        <v>63</v>
      </c>
      <c r="I4165" s="80" t="s">
        <v>63</v>
      </c>
      <c r="J4165" s="80">
        <v>1719.0</v>
      </c>
      <c r="K4165" s="80">
        <v>0.959263392857142</v>
      </c>
      <c r="L4165" s="80" t="s">
        <v>64</v>
      </c>
    </row>
    <row r="4166">
      <c r="A4166" s="80" t="s">
        <v>293</v>
      </c>
      <c r="B4166" s="81" t="str">
        <f>HYPERLINK("https://www.youtube.com/channel/UCXRcbXqjORdIvl63I7MtOLQ", "趁熱 Kerry 's kitchen")</f>
        <v>趁熱 Kerry 's kitchen</v>
      </c>
      <c r="C4166" s="80" t="s">
        <v>4579</v>
      </c>
      <c r="D4166" s="81" t="str">
        <f>HYPERLINK("https://youtube.com/watch?v=kSEK5GDxIk4", "粉絲 煲/蒜香鮮蝦粉絲煲/不黏口/超 惹味/好 下飯/簡單 家做/重點 講解//廣東話/中字/新手 入門recipe")</f>
        <v>粉絲 煲/蒜香鮮蝦粉絲煲/不黏口/超 惹味/好 下飯/簡單 家做/重點 講解//廣東話/中字/新手 入門recipe</v>
      </c>
      <c r="E4166" s="82">
        <v>44501.0</v>
      </c>
      <c r="F4166" s="80">
        <v>564.0</v>
      </c>
      <c r="G4166" s="80" t="s">
        <v>63</v>
      </c>
      <c r="I4166" s="80" t="s">
        <v>63</v>
      </c>
      <c r="J4166" s="80">
        <v>853.0</v>
      </c>
      <c r="K4166" s="80">
        <v>0.980459770114942</v>
      </c>
      <c r="L4166" s="80" t="s">
        <v>64</v>
      </c>
    </row>
    <row r="4167">
      <c r="A4167" s="80" t="s">
        <v>108</v>
      </c>
      <c r="B4167" s="81" t="str">
        <f>HYPERLINK("https://www.youtube.com/channel/UCZL6QN6Xs-ZrKY3y6Pv6Emg", "廢青 - 日賺3000")</f>
        <v>廢青 - 日賺3000</v>
      </c>
      <c r="C4167" s="80" t="s">
        <v>4580</v>
      </c>
      <c r="D4167" s="81" t="str">
        <f>HYPERLINK("https://youtube.com/watch?v=kaZbPDhXVSI", "【熊市  投資】倍增財富！7大準備！💰💰 2020 財務自由靠股票EP24【廢青 日賺3000】【點CC看中文字幕】")</f>
        <v>【熊市  投資】倍增財富！7大準備！💰💰 2020 財務自由靠股票EP24【廢青 日賺3000】【點CC看中文字幕】</v>
      </c>
      <c r="E4167" s="82">
        <v>43930.0</v>
      </c>
      <c r="F4167" s="80">
        <v>784.0</v>
      </c>
      <c r="G4167" s="80" t="s">
        <v>63</v>
      </c>
      <c r="I4167" s="80" t="s">
        <v>63</v>
      </c>
      <c r="J4167" s="80">
        <v>3238.0</v>
      </c>
      <c r="K4167" s="80">
        <v>0.87066415703146</v>
      </c>
      <c r="L4167" s="80" t="s">
        <v>64</v>
      </c>
    </row>
    <row r="4168">
      <c r="A4168" s="80" t="s">
        <v>1987</v>
      </c>
      <c r="B4168" s="81" t="str">
        <f>HYPERLINK("https://www.youtube.com/channel/UCgGUmm04nVyj-ftaCxVcyBg", "MangoHK大馬獅家")</f>
        <v>MangoHK大馬獅家</v>
      </c>
      <c r="C4168" s="80" t="s">
        <v>4581</v>
      </c>
      <c r="D4168" s="81" t="str">
        <f>HYPERLINK("https://youtube.com/watch?v=kiI8CkVG8Oc", "【40】💇🏻‍♀️獅媽被剪髮🚴🏻‍♂️破風停不了！{字幕}  Subtitled | Malaysia Desa Parkcity cycling | Malaysia Vlog | mm2h")</f>
        <v>【40】💇🏻‍♀️獅媽被剪髮🚴🏻‍♂️破風停不了！{字幕}  Subtitled | Malaysia Desa Parkcity cycling | Malaysia Vlog | mm2h</v>
      </c>
      <c r="E4168" s="82">
        <v>44469.0</v>
      </c>
      <c r="F4168" s="80">
        <v>456.0</v>
      </c>
      <c r="G4168" s="80" t="s">
        <v>63</v>
      </c>
      <c r="I4168" s="80" t="s">
        <v>63</v>
      </c>
      <c r="J4168" s="80">
        <v>1044.0</v>
      </c>
      <c r="K4168" s="80">
        <v>0.964879852125693</v>
      </c>
      <c r="L4168" s="80" t="s">
        <v>896</v>
      </c>
    </row>
    <row r="4169">
      <c r="A4169" s="80" t="s">
        <v>1390</v>
      </c>
      <c r="B4169" s="81" t="str">
        <f>HYPERLINK("https://www.youtube.com/channel/UCgwEJflQi4WnZ8PU0xdibZQ", "Kinson Ho")</f>
        <v>Kinson Ho</v>
      </c>
      <c r="C4169" s="80" t="s">
        <v>4582</v>
      </c>
      <c r="D4169" s="81" t="str">
        <f>HYPERLINK("https://youtube.com/watch?v=kkLm3TAkOW8", "K神任我行 -  [CC字幕4K] ｜蓮花山｜大東山｜打卡賞芒日落路線｜天書壁｜上帝之床｜跳板石｜航拍")</f>
        <v>K神任我行 -  [CC字幕4K] ｜蓮花山｜大東山｜打卡賞芒日落路線｜天書壁｜上帝之床｜跳板石｜航拍</v>
      </c>
      <c r="E4169" s="82">
        <v>44526.0</v>
      </c>
      <c r="F4169" s="80">
        <v>824.0</v>
      </c>
      <c r="G4169" s="80" t="s">
        <v>63</v>
      </c>
      <c r="I4169" s="80" t="s">
        <v>63</v>
      </c>
      <c r="J4169" s="80">
        <v>828.0</v>
      </c>
      <c r="K4169" s="80">
        <v>0.986889153754469</v>
      </c>
      <c r="L4169" s="80" t="s">
        <v>64</v>
      </c>
    </row>
    <row r="4170">
      <c r="A4170" s="80" t="s">
        <v>2481</v>
      </c>
      <c r="B4170" s="81" t="str">
        <f>HYPERLINK("https://www.youtube.com/channel/UCFT-PtLfmdMIShkQMynOEMQ", "一男一旅 HowFarGo")</f>
        <v>一男一旅 HowFarGo</v>
      </c>
      <c r="C4170" s="80" t="s">
        <v>4583</v>
      </c>
      <c r="D4170" s="81" t="str">
        <f>HYPERLINK("https://youtube.com/watch?v=klyITssocgw", "洪都拉斯羅丹島, 堆砌出來的旅遊區(粤語/有字幕) Honduras Isla Roatan on Carnival Glory, with English subtitles.")</f>
        <v>洪都拉斯羅丹島, 堆砌出來的旅遊區(粤語/有字幕) Honduras Isla Roatan on Carnival Glory, with English subtitles.</v>
      </c>
      <c r="E4170" s="82">
        <v>44506.0</v>
      </c>
      <c r="F4170" s="80">
        <v>282.0</v>
      </c>
      <c r="G4170" s="80" t="s">
        <v>63</v>
      </c>
      <c r="I4170" s="80" t="s">
        <v>63</v>
      </c>
      <c r="J4170" s="80">
        <v>656.0</v>
      </c>
      <c r="K4170" s="80">
        <v>0.941176470588235</v>
      </c>
      <c r="L4170" s="80" t="s">
        <v>102</v>
      </c>
    </row>
    <row r="4171">
      <c r="A4171" s="80" t="s">
        <v>1260</v>
      </c>
      <c r="B4171" s="81" t="str">
        <f>HYPERLINK("https://www.youtube.com/channel/UCh1k4i86BpiXEO3nzJIYynw", "The Wave")</f>
        <v>The Wave</v>
      </c>
      <c r="C4171" s="80" t="s">
        <v>4584</v>
      </c>
      <c r="D4171" s="81" t="str">
        <f>HYPERLINK("https://youtube.com/watch?v=kqUn6KSpJAs", "TheWave | Xperia XZ3 觀看藍光電影 電量測試 | 直接結果@40秒")</f>
        <v>TheWave | Xperia XZ3 觀看藍光電影 電量測試 | 直接結果@40秒</v>
      </c>
      <c r="E4171" s="82">
        <v>43407.0</v>
      </c>
      <c r="F4171" s="80">
        <v>69.0</v>
      </c>
      <c r="G4171" s="80" t="s">
        <v>63</v>
      </c>
      <c r="H4171" s="80" t="s">
        <v>63</v>
      </c>
      <c r="I4171" s="80" t="s">
        <v>63</v>
      </c>
      <c r="J4171" s="80">
        <v>150.0</v>
      </c>
      <c r="K4171" s="80">
        <v>0.793650793650793</v>
      </c>
      <c r="L4171" s="80" t="s">
        <v>120</v>
      </c>
    </row>
    <row r="4172">
      <c r="A4172" s="80" t="s">
        <v>127</v>
      </c>
      <c r="B4172" s="81" t="str">
        <f>HYPERLINK("https://www.youtube.com/channel/UC97oYK3XMf9RLtkc0lO8C-Q", "健康旦 HiEggo")</f>
        <v>健康旦 HiEggo</v>
      </c>
      <c r="C4172" s="80" t="s">
        <v>4585</v>
      </c>
      <c r="D4172" s="81" t="str">
        <f>HYPERLINK("https://youtube.com/watch?v=ksLVN8A-LRA", "素食者難攝取蛋白質及鐵質等營養 益菌増長助腸道健康 養和陳勁芝：享受新鮮食物已足夠 - 鄭丹瑞《健康旦》 養和醫院高級營養師 #陳勁芝 Part 4 (CC中文字幕)")</f>
        <v>素食者難攝取蛋白質及鐵質等營養 益菌増長助腸道健康 養和陳勁芝：享受新鮮食物已足夠 - 鄭丹瑞《健康旦》 養和醫院高級營養師 #陳勁芝 Part 4 (CC中文字幕)</v>
      </c>
      <c r="E4172" s="82">
        <v>44080.0</v>
      </c>
      <c r="F4172" s="80">
        <v>703.0</v>
      </c>
      <c r="G4172" s="80" t="s">
        <v>63</v>
      </c>
      <c r="I4172" s="80" t="s">
        <v>63</v>
      </c>
      <c r="J4172" s="80">
        <v>3126.0</v>
      </c>
      <c r="K4172" s="80">
        <v>0.982709839673058</v>
      </c>
      <c r="L4172" s="80" t="s">
        <v>64</v>
      </c>
    </row>
    <row r="4173">
      <c r="A4173" s="80" t="s">
        <v>2374</v>
      </c>
      <c r="B4173" s="81" t="str">
        <f>HYPERLINK("https://www.youtube.com/channel/UC0lbhIloP3pcKJT07YosZlQ", "講豬hi speakchuhi")</f>
        <v>講豬hi speakchuhi</v>
      </c>
      <c r="C4173" s="80" t="s">
        <v>4586</v>
      </c>
      <c r="D4173" s="81" t="str">
        <f>HYPERLINK("https://youtube.com/watch?v=ku0UCmgjd3I", "旺角大門橫町 🧻 [廁評]❗️📝| 好似隔離公廁仲好啲❗️")</f>
        <v>旺角大門橫町 🧻 [廁評]❗️📝| 好似隔離公廁仲好啲❗️</v>
      </c>
      <c r="E4173" s="82">
        <v>43784.0</v>
      </c>
      <c r="F4173" s="80">
        <v>118.0</v>
      </c>
      <c r="G4173" s="80" t="s">
        <v>63</v>
      </c>
      <c r="I4173" s="80" t="s">
        <v>63</v>
      </c>
      <c r="J4173" s="80">
        <v>389.0</v>
      </c>
      <c r="K4173" s="80">
        <v>0.953431372549019</v>
      </c>
      <c r="L4173" s="80" t="s">
        <v>102</v>
      </c>
    </row>
    <row r="4174">
      <c r="A4174" s="80" t="s">
        <v>127</v>
      </c>
      <c r="B4174" s="81" t="str">
        <f>HYPERLINK("https://www.youtube.com/channel/UC97oYK3XMf9RLtkc0lO8C-Q", "健康旦 HiEggo")</f>
        <v>健康旦 HiEggo</v>
      </c>
      <c r="C4174" s="80" t="s">
        <v>4587</v>
      </c>
      <c r="D4174" s="81" t="str">
        <f>HYPERLINK("https://youtube.com/watch?v=kvljfJU7CL8", "濕疹易因口罩焗促誘發 皮膚科醫生：濕疹患者戴口罩前先搽潤膚霜   唇瘡易復發唔會消失 - 鄭丹瑞《健康旦》 皮膚科專科醫生 #胡惠福 Part 1 (CC中文字幕)")</f>
        <v>濕疹易因口罩焗促誘發 皮膚科醫生：濕疹患者戴口罩前先搽潤膚霜   唇瘡易復發唔會消失 - 鄭丹瑞《健康旦》 皮膚科專科醫生 #胡惠福 Part 1 (CC中文字幕)</v>
      </c>
      <c r="E4174" s="82">
        <v>44072.0</v>
      </c>
      <c r="F4174" s="80">
        <v>600.0</v>
      </c>
      <c r="G4174" s="80" t="s">
        <v>63</v>
      </c>
      <c r="I4174" s="80" t="s">
        <v>63</v>
      </c>
      <c r="J4174" s="80">
        <v>2757.0</v>
      </c>
      <c r="K4174" s="80">
        <v>0.996385977593061</v>
      </c>
      <c r="L4174" s="80" t="s">
        <v>2771</v>
      </c>
    </row>
    <row r="4175">
      <c r="A4175" s="80" t="s">
        <v>2829</v>
      </c>
      <c r="B4175" s="81" t="str">
        <f>HYPERLINK("https://www.youtube.com/channel/UC7GnES6AEQlDzaP04UqtyjA", "SOLID IDEA")</f>
        <v>SOLID IDEA</v>
      </c>
      <c r="C4175" s="80" t="s">
        <v>4588</v>
      </c>
      <c r="D4175" s="81" t="str">
        <f>HYPERLINK("https://youtube.com/watch?v=kz4zbd5ldpI", "[#設計概念] #天鑽 大自然帶出簡約清新!  | 室內設計 | 空間擺位 | SOLID IDEA | (CC中文字幕)")</f>
        <v>[#設計概念] #天鑽 大自然帶出簡約清新!  | 室內設計 | 空間擺位 | SOLID IDEA | (CC中文字幕)</v>
      </c>
      <c r="E4175" s="82">
        <v>44152.0</v>
      </c>
      <c r="F4175" s="80">
        <v>223.0</v>
      </c>
      <c r="G4175" s="80" t="s">
        <v>63</v>
      </c>
      <c r="I4175" s="80" t="s">
        <v>63</v>
      </c>
      <c r="J4175" s="80">
        <v>761.0</v>
      </c>
      <c r="K4175" s="80">
        <v>0.95483061480552</v>
      </c>
      <c r="L4175" s="80" t="s">
        <v>64</v>
      </c>
    </row>
    <row r="4176">
      <c r="A4176" s="80" t="s">
        <v>127</v>
      </c>
      <c r="B4176" s="81" t="str">
        <f>HYPERLINK("https://www.youtube.com/channel/UC97oYK3XMf9RLtkc0lO8C-Q", "健康旦 HiEggo")</f>
        <v>健康旦 HiEggo</v>
      </c>
      <c r="C4176" s="80" t="s">
        <v>4589</v>
      </c>
      <c r="D4176" s="81" t="str">
        <f>HYPERLINK("https://youtube.com/watch?v=kzucMBtPrB8", "家庭主婦易患網球肘、高爾夫球肘 簡易湯羹刮沙舒緩網球肘 腰椎間盤突出舒緩運動 - 鄭丹瑞《健康旦》健身教練 #Philip 脊骨神經科醫生 #陳若瑩 Part 3 (CC中文字幕)")</f>
        <v>家庭主婦易患網球肘、高爾夫球肘 簡易湯羹刮沙舒緩網球肘 腰椎間盤突出舒緩運動 - 鄭丹瑞《健康旦》健身教練 #Philip 脊骨神經科醫生 #陳若瑩 Part 3 (CC中文字幕)</v>
      </c>
      <c r="E4176" s="82">
        <v>44110.0</v>
      </c>
      <c r="F4176" s="80">
        <v>592.0</v>
      </c>
      <c r="G4176" s="80" t="s">
        <v>63</v>
      </c>
      <c r="I4176" s="80" t="s">
        <v>63</v>
      </c>
      <c r="J4176" s="80">
        <v>1854.0</v>
      </c>
      <c r="K4176" s="80">
        <v>0.921013412816691</v>
      </c>
      <c r="L4176" s="80" t="s">
        <v>2771</v>
      </c>
    </row>
    <row r="4177">
      <c r="A4177" s="80" t="s">
        <v>293</v>
      </c>
      <c r="B4177" s="81" t="str">
        <f>HYPERLINK("https://www.youtube.com/channel/UCXRcbXqjORdIvl63I7MtOLQ", "趁熱 Kerry 's kitchen")</f>
        <v>趁熱 Kerry 's kitchen</v>
      </c>
      <c r="C4177" s="80" t="s">
        <v>4590</v>
      </c>
      <c r="D4177" s="81" t="str">
        <f>HYPERLINK("https://youtube.com/watch?v=l61wiDppgLc", "煎 雞翼/黃金 雞翼/新手入門/粵語/中字/下酒菜 料理/fried chicken wing chinese/cc subtitle")</f>
        <v>煎 雞翼/黃金 雞翼/新手入門/粵語/中字/下酒菜 料理/fried chicken wing chinese/cc subtitle</v>
      </c>
      <c r="E4177" s="82">
        <v>44302.0</v>
      </c>
      <c r="F4177" s="80">
        <v>482.0</v>
      </c>
      <c r="G4177" s="80" t="s">
        <v>63</v>
      </c>
      <c r="I4177" s="80" t="s">
        <v>63</v>
      </c>
      <c r="J4177" s="80">
        <v>1249.0</v>
      </c>
      <c r="K4177" s="80">
        <v>0.966718266253869</v>
      </c>
      <c r="L4177" s="80" t="s">
        <v>64</v>
      </c>
    </row>
    <row r="4178">
      <c r="A4178" s="80" t="s">
        <v>4591</v>
      </c>
      <c r="B4178" s="81" t="str">
        <f>HYPERLINK("https://www.youtube.com/channel/UCeU642KPDehjsxLtyjdi2ww", "香港健身小老闆 Zoe 李芷慧")</f>
        <v>香港健身小老闆 Zoe 李芷慧</v>
      </c>
      <c r="C4178" s="80" t="s">
        <v>4592</v>
      </c>
      <c r="D4178" s="81" t="str">
        <f>HYPERLINK("https://youtube.com/watch?v=l6jEotEmnqs", "練臀訓練流程 I 女生必看蜜桃臀不腿粗 I 健身器材篇【粵語】")</f>
        <v>練臀訓練流程 I 女生必看蜜桃臀不腿粗 I 健身器材篇【粵語】</v>
      </c>
      <c r="E4178" s="82">
        <v>43658.0</v>
      </c>
      <c r="F4178" s="80">
        <v>631.0</v>
      </c>
      <c r="G4178" s="80" t="s">
        <v>63</v>
      </c>
      <c r="I4178" s="80" t="s">
        <v>63</v>
      </c>
      <c r="J4178" s="80">
        <v>2000.0</v>
      </c>
      <c r="K4178" s="80">
        <v>0.906618313689936</v>
      </c>
      <c r="L4178" s="80" t="s">
        <v>64</v>
      </c>
    </row>
    <row r="4179">
      <c r="A4179" s="80" t="s">
        <v>127</v>
      </c>
      <c r="B4179" s="81" t="str">
        <f>HYPERLINK("https://www.youtube.com/channel/UC97oYK3XMf9RLtkc0lO8C-Q", "健康旦 HiEggo")</f>
        <v>健康旦 HiEggo</v>
      </c>
      <c r="C4179" s="80" t="s">
        <v>4593</v>
      </c>
      <c r="D4179" s="81" t="str">
        <f>HYPERLINK("https://youtube.com/watch?v=l9rkulrH9qw", "胡志遠醫生：香港成抗疫防空洞 第三波肺炎社區感染風險高 家居抗疫貼士及用科技減輕抗疫疲勞  - 鄭丹瑞《健康旦》中文大學醫院營運總監 #胡志遠 醫生 Part 5 (CC中文字幕)")</f>
        <v>胡志遠醫生：香港成抗疫防空洞 第三波肺炎社區感染風險高 家居抗疫貼士及用科技減輕抗疫疲勞  - 鄭丹瑞《健康旦》中文大學醫院營運總監 #胡志遠 醫生 Part 5 (CC中文字幕)</v>
      </c>
      <c r="E4179" s="82">
        <v>44032.0</v>
      </c>
      <c r="F4179" s="80">
        <v>685.0</v>
      </c>
      <c r="G4179" s="80" t="s">
        <v>63</v>
      </c>
      <c r="I4179" s="80" t="s">
        <v>63</v>
      </c>
      <c r="J4179" s="80">
        <v>2944.0</v>
      </c>
      <c r="K4179" s="80">
        <v>0.97677504976775</v>
      </c>
      <c r="L4179" s="80" t="s">
        <v>64</v>
      </c>
    </row>
    <row r="4180">
      <c r="A4180" s="80" t="s">
        <v>1670</v>
      </c>
      <c r="B4180" s="81" t="str">
        <f>HYPERLINK("https://www.youtube.com/channel/UC-PIt5m-WOg8UVBkt2RnN0g", "阿JACK睇樓團")</f>
        <v>阿JACK睇樓團</v>
      </c>
      <c r="C4180" s="80" t="s">
        <v>4594</v>
      </c>
      <c r="D4180" s="81" t="str">
        <f>HYPERLINK("https://youtube.com/watch?v=lDlKzhPmz-8", "阿JACK睇樓團 👑 洋房先住後付!?唔洗比管理費?!? 樓底4.15米 ︳睇樓︳洋房 HOUSE 別墅 ︳我的夢想🤤")</f>
        <v>阿JACK睇樓團 👑 洋房先住後付!?唔洗比管理費?!? 樓底4.15米 ︳睇樓︳洋房 HOUSE 別墅 ︳我的夢想🤤</v>
      </c>
      <c r="E4180" s="82">
        <v>44048.0</v>
      </c>
      <c r="F4180" s="80">
        <v>504.0</v>
      </c>
      <c r="G4180" s="80" t="s">
        <v>63</v>
      </c>
      <c r="I4180" s="80" t="s">
        <v>63</v>
      </c>
      <c r="J4180" s="80">
        <v>136.0</v>
      </c>
      <c r="K4180" s="80">
        <v>0.900662251655629</v>
      </c>
      <c r="L4180" s="80" t="s">
        <v>64</v>
      </c>
    </row>
    <row r="4181">
      <c r="A4181" s="80" t="s">
        <v>1260</v>
      </c>
      <c r="B4181" s="81" t="str">
        <f t="shared" ref="B4181:B4182" si="221">HYPERLINK("https://www.youtube.com/channel/UCh1k4i86BpiXEO3nzJIYynw", "The Wave")</f>
        <v>The Wave</v>
      </c>
      <c r="C4181" s="80" t="s">
        <v>4595</v>
      </c>
      <c r="D4181" s="81" t="str">
        <f>HYPERLINK("https://youtube.com/watch?v=lHFMHqkQr38", "TheWave 廢片 | 94.87%嘅人都唔知點解電腦速度變慢 ！！竟然係咁解")</f>
        <v>TheWave 廢片 | 94.87%嘅人都唔知點解電腦速度變慢 ！！竟然係咁解</v>
      </c>
      <c r="E4181" s="82">
        <v>43684.0</v>
      </c>
      <c r="F4181" s="80">
        <v>92.0</v>
      </c>
      <c r="G4181" s="80" t="s">
        <v>63</v>
      </c>
      <c r="H4181" s="80" t="s">
        <v>63</v>
      </c>
      <c r="I4181" s="80" t="s">
        <v>63</v>
      </c>
      <c r="J4181" s="80">
        <v>377.0</v>
      </c>
      <c r="K4181" s="80">
        <v>0.937810945273631</v>
      </c>
      <c r="L4181" s="80" t="s">
        <v>1634</v>
      </c>
    </row>
    <row r="4182">
      <c r="A4182" s="80" t="s">
        <v>1260</v>
      </c>
      <c r="B4182" s="81" t="str">
        <f t="shared" si="221"/>
        <v>The Wave</v>
      </c>
      <c r="C4182" s="80" t="s">
        <v>4596</v>
      </c>
      <c r="D4182" s="81" t="str">
        <f>HYPERLINK("https://youtube.com/watch?v=lIY2msh6q94", "TheWave | Sony a7s3 開箱 | 初體驗 | 個人感覺")</f>
        <v>TheWave | Sony a7s3 開箱 | 初體驗 | 個人感覺</v>
      </c>
      <c r="E4182" s="82">
        <v>44124.0</v>
      </c>
      <c r="F4182" s="80">
        <v>283.0</v>
      </c>
      <c r="G4182" s="80" t="s">
        <v>63</v>
      </c>
      <c r="H4182" s="80" t="s">
        <v>63</v>
      </c>
      <c r="I4182" s="80" t="s">
        <v>63</v>
      </c>
      <c r="J4182" s="80">
        <v>916.0</v>
      </c>
      <c r="K4182" s="80">
        <v>0.757024793388429</v>
      </c>
      <c r="L4182" s="80" t="s">
        <v>1634</v>
      </c>
    </row>
    <row r="4183">
      <c r="A4183" s="80" t="s">
        <v>3611</v>
      </c>
      <c r="B4183" s="81" t="str">
        <f>HYPERLINK("https://www.youtube.com/channel/UCcetU9127QglBECLbGfRofQ", "鄧卓殷 Amber Tang")</f>
        <v>鄧卓殷 Amber Tang</v>
      </c>
      <c r="C4183" s="80" t="s">
        <v>4597</v>
      </c>
      <c r="D4183" s="81" t="str">
        <f>HYPERLINK("https://youtube.com/watch?v=lK96iiTkrxY", "點解選港姐？真係有整容？參選趣事 | MissHongKong | 鄧卓殷Amber [CC中字]")</f>
        <v>點解選港姐？真係有整容？參選趣事 | MissHongKong | 鄧卓殷Amber [CC中字]</v>
      </c>
      <c r="E4183" s="82">
        <v>43852.0</v>
      </c>
      <c r="F4183" s="80">
        <v>755.0</v>
      </c>
      <c r="G4183" s="80" t="s">
        <v>63</v>
      </c>
      <c r="I4183" s="80" t="s">
        <v>63</v>
      </c>
      <c r="J4183" s="80">
        <v>2686.0</v>
      </c>
      <c r="K4183" s="80">
        <v>0.898929049531459</v>
      </c>
      <c r="L4183" s="80" t="s">
        <v>91</v>
      </c>
    </row>
    <row r="4184">
      <c r="A4184" s="80" t="s">
        <v>1139</v>
      </c>
      <c r="B4184" s="81" t="str">
        <f>HYPERLINK("https://www.youtube.com/channel/UCw51gVFijIewmXH4tIR0ufw", "Crystal Zen")</f>
        <v>Crystal Zen</v>
      </c>
      <c r="C4184" s="80" t="s">
        <v>4598</v>
      </c>
      <c r="D4184" s="81" t="str">
        <f>HYPERLINK("https://youtube.com/watch?v=lKe6JETbPRE", "[實用系列] 有濕疹同敏感嘅你 就唔可以錯過呢條片啦")</f>
        <v>[實用系列] 有濕疹同敏感嘅你 就唔可以錯過呢條片啦</v>
      </c>
      <c r="E4184" s="82">
        <v>44239.0</v>
      </c>
      <c r="F4184" s="80">
        <v>408.0</v>
      </c>
      <c r="G4184" s="80" t="s">
        <v>63</v>
      </c>
      <c r="I4184" s="80" t="s">
        <v>63</v>
      </c>
      <c r="J4184" s="80">
        <v>1669.0</v>
      </c>
      <c r="K4184" s="80">
        <v>0.938695163104611</v>
      </c>
      <c r="L4184" s="80" t="s">
        <v>64</v>
      </c>
    </row>
    <row r="4185">
      <c r="A4185" s="80" t="s">
        <v>257</v>
      </c>
      <c r="B4185" s="81" t="str">
        <f>HYPERLINK("https://www.youtube.com/channel/UC1u7XM2b3QCHcGOhD6nDypg", "Poopstirrer")</f>
        <v>Poopstirrer</v>
      </c>
      <c r="C4185" s="80" t="s">
        <v>4599</v>
      </c>
      <c r="D4185" s="81" t="str">
        <f>HYPERLINK("https://youtube.com/watch?v=lL1_75WyeL8", "斷片酒測試!!Auman瀨屎危機?【攪屎棍 Poop Stirrer】")</f>
        <v>斷片酒測試!!Auman瀨屎危機?【攪屎棍 Poop Stirrer】</v>
      </c>
      <c r="E4185" s="82">
        <v>42629.0</v>
      </c>
      <c r="F4185" s="80">
        <v>275.0</v>
      </c>
      <c r="G4185" s="80" t="s">
        <v>63</v>
      </c>
      <c r="I4185" s="80" t="s">
        <v>63</v>
      </c>
      <c r="J4185" s="80">
        <v>828.0</v>
      </c>
      <c r="K4185" s="80">
        <v>0.935593220338983</v>
      </c>
      <c r="L4185" s="80" t="s">
        <v>64</v>
      </c>
    </row>
    <row r="4186">
      <c r="A4186" s="80" t="s">
        <v>3869</v>
      </c>
      <c r="B4186" s="81" t="str">
        <f>HYPERLINK("https://www.youtube.com/channel/UCxG_Sl8LTqDJyzurpOSKW0Q", "papa")</f>
        <v>papa</v>
      </c>
      <c r="C4186" s="80" t="s">
        <v>4600</v>
      </c>
      <c r="D4186" s="81" t="str">
        <f>HYPERLINK("https://youtube.com/watch?v=lMoM3FlAq4Q", "［粵語］papa嘅刺客教條 #2 | 疑似遊戲解說 | 超過一萬二千字內容🤧 | 從未見過嘅觀點 ［CC 字幕］")</f>
        <v>［粵語］papa嘅刺客教條 #2 | 疑似遊戲解說 | 超過一萬二千字內容🤧 | 從未見過嘅觀點 ［CC 字幕］</v>
      </c>
      <c r="E4186" s="82">
        <v>44462.0</v>
      </c>
      <c r="F4186" s="80">
        <v>3271.0</v>
      </c>
      <c r="G4186" s="80" t="s">
        <v>63</v>
      </c>
      <c r="I4186" s="80" t="s">
        <v>63</v>
      </c>
      <c r="J4186" s="80">
        <v>12533.0</v>
      </c>
      <c r="K4186" s="80">
        <v>0.958473539308657</v>
      </c>
      <c r="L4186" s="80" t="s">
        <v>64</v>
      </c>
    </row>
    <row r="4187">
      <c r="A4187" s="80" t="s">
        <v>108</v>
      </c>
      <c r="B4187" s="81" t="str">
        <f>HYPERLINK("https://www.youtube.com/channel/UCZL6QN6Xs-ZrKY3y6Pv6Emg", "廢青 - 日賺3000")</f>
        <v>廢青 - 日賺3000</v>
      </c>
      <c r="C4187" s="80" t="s">
        <v>4601</v>
      </c>
      <c r="D4187" s="81" t="str">
        <f>HYPERLINK("https://youtube.com/watch?v=lQg0ZgjST0k", "美股急跌超過30%！⚠️10年難得一遇的機會！💰💰【點CC看中文字幕】")</f>
        <v>美股急跌超過30%！⚠️10年難得一遇的機會！💰💰【點CC看中文字幕】</v>
      </c>
      <c r="E4187" s="82">
        <v>43923.0</v>
      </c>
      <c r="F4187" s="80">
        <v>336.0</v>
      </c>
      <c r="G4187" s="80" t="s">
        <v>63</v>
      </c>
      <c r="I4187" s="80" t="s">
        <v>63</v>
      </c>
      <c r="J4187" s="80">
        <v>1348.0</v>
      </c>
      <c r="K4187" s="80">
        <v>0.904697986577181</v>
      </c>
      <c r="L4187" s="80" t="s">
        <v>64</v>
      </c>
    </row>
    <row r="4188">
      <c r="A4188" s="80" t="s">
        <v>3008</v>
      </c>
      <c r="B4188" s="81" t="str">
        <f>HYPERLINK("https://www.youtube.com/channel/UC_kQIuKI5cZjV3OZsSuaj_Q", "Kofgym")</f>
        <v>Kofgym</v>
      </c>
      <c r="C4188" s="80" t="s">
        <v>4602</v>
      </c>
      <c r="D4188" s="81" t="str">
        <f>HYPERLINK("https://youtube.com/watch?v=lRYsA8Yba-A", "[爆石時間]你有無遇過一個咁嘅健身痴漢??")</f>
        <v>[爆石時間]你有無遇過一個咁嘅健身痴漢??</v>
      </c>
      <c r="E4188" s="82">
        <v>44526.0</v>
      </c>
      <c r="F4188" s="80">
        <v>143.0</v>
      </c>
      <c r="G4188" s="80" t="s">
        <v>63</v>
      </c>
      <c r="I4188" s="80" t="s">
        <v>63</v>
      </c>
      <c r="J4188" s="80">
        <v>111.0</v>
      </c>
      <c r="K4188" s="80">
        <v>0.956896551724137</v>
      </c>
      <c r="L4188" s="80" t="s">
        <v>64</v>
      </c>
    </row>
    <row r="4189">
      <c r="A4189" s="80" t="s">
        <v>238</v>
      </c>
      <c r="B4189" s="81" t="str">
        <f>HYPERLINK("https://www.youtube.com/channel/UCSBkm4LwpgBmcA3MCtO8vqg", "Post76影音玩樂")</f>
        <v>Post76影音玩樂</v>
      </c>
      <c r="C4189" s="80" t="s">
        <v>4603</v>
      </c>
      <c r="D4189" s="81" t="str">
        <f>HYPERLINK("https://youtube.com/watch?v=lUDLGRyJB4I", "平玩蝸居 43 吋電視 Android 10.0 系統 : Skyworth 43SUC7500 4K HDR LED電視實試 | 粵語 | 雙中文字幕【電視評測 | Post76.hk】")</f>
        <v>平玩蝸居 43 吋電視 Android 10.0 系統 : Skyworth 43SUC7500 4K HDR LED電視實試 | 粵語 | 雙中文字幕【電視評測 | Post76.hk】</v>
      </c>
      <c r="E4189" s="82">
        <v>44185.0</v>
      </c>
      <c r="F4189" s="80">
        <v>481.0</v>
      </c>
      <c r="G4189" s="80" t="s">
        <v>63</v>
      </c>
      <c r="H4189" s="80" t="s">
        <v>63</v>
      </c>
      <c r="I4189" s="80" t="s">
        <v>63</v>
      </c>
      <c r="J4189" s="80">
        <v>2068.0</v>
      </c>
      <c r="K4189" s="80">
        <v>0.782740348221044</v>
      </c>
      <c r="L4189" s="80" t="s">
        <v>66</v>
      </c>
    </row>
    <row r="4190">
      <c r="A4190" s="80" t="s">
        <v>293</v>
      </c>
      <c r="B4190" s="81" t="str">
        <f t="shared" ref="B4190:B4191" si="222">HYPERLINK("https://www.youtube.com/channel/UCXRcbXqjORdIvl63I7MtOLQ", "趁熱 Kerry 's kitchen")</f>
        <v>趁熱 Kerry 's kitchen</v>
      </c>
      <c r="C4190" s="80" t="s">
        <v>4604</v>
      </c>
      <c r="D4190" s="81" t="str">
        <f>HYPERLINK("https://youtube.com/watch?v=lY3qqRVgiHg", "椒鹽 豬扒/不用炸/大牌檔風味/必食/急凍豬扒低成本/廣東話/中字")</f>
        <v>椒鹽 豬扒/不用炸/大牌檔風味/必食/急凍豬扒低成本/廣東話/中字</v>
      </c>
      <c r="E4190" s="82">
        <v>44400.0</v>
      </c>
      <c r="F4190" s="80">
        <v>651.0</v>
      </c>
      <c r="G4190" s="80" t="s">
        <v>63</v>
      </c>
      <c r="I4190" s="80" t="s">
        <v>63</v>
      </c>
      <c r="J4190" s="80">
        <v>1406.0</v>
      </c>
      <c r="K4190" s="80">
        <v>0.983216783216783</v>
      </c>
      <c r="L4190" s="80" t="s">
        <v>64</v>
      </c>
    </row>
    <row r="4191">
      <c r="A4191" s="80" t="s">
        <v>293</v>
      </c>
      <c r="B4191" s="81" t="str">
        <f t="shared" si="222"/>
        <v>趁熱 Kerry 's kitchen</v>
      </c>
      <c r="C4191" s="80" t="s">
        <v>4605</v>
      </c>
      <c r="D4191" s="81" t="str">
        <f>HYPERLINK("https://youtube.com/watch?v=le04vSGPbH4", "手撕 雞/粵語 中字/手撕沙姜雞/急凍雞肶做超簡單/低成本又一餐/好下飯/簡單 手做")</f>
        <v>手撕 雞/粵語 中字/手撕沙姜雞/急凍雞肶做超簡單/低成本又一餐/好下飯/簡單 手做</v>
      </c>
      <c r="E4191" s="82">
        <v>44452.0</v>
      </c>
      <c r="F4191" s="80">
        <v>507.0</v>
      </c>
      <c r="G4191" s="80" t="s">
        <v>63</v>
      </c>
      <c r="I4191" s="80" t="s">
        <v>63</v>
      </c>
      <c r="J4191" s="80">
        <v>635.0</v>
      </c>
      <c r="K4191" s="80">
        <v>0.959214501510574</v>
      </c>
      <c r="L4191" s="80" t="s">
        <v>64</v>
      </c>
    </row>
    <row r="4192">
      <c r="A4192" s="80" t="s">
        <v>288</v>
      </c>
      <c r="B4192" s="81" t="str">
        <f>HYPERLINK("https://www.youtube.com/channel/UCDWOYEhVnyD4IHZGVAMLc0g", "Brendan 毛爸")</f>
        <v>Brendan 毛爸</v>
      </c>
      <c r="C4192" s="80" t="s">
        <v>4606</v>
      </c>
      <c r="D4192" s="81" t="str">
        <f>HYPERLINK("https://youtube.com/watch?v=lhiwEl4diZ0", "【新三國 漢室復興 #5】 提升戰力最快途徑！越級挑戰最佳對策！（請打開CC 中文字幕）")</f>
        <v>【新三國 漢室復興 #5】 提升戰力最快途徑！越級挑戰最佳對策！（請打開CC 中文字幕）</v>
      </c>
      <c r="E4192" s="82">
        <v>43960.0</v>
      </c>
      <c r="F4192" s="80">
        <v>651.0</v>
      </c>
      <c r="G4192" s="80" t="s">
        <v>63</v>
      </c>
      <c r="I4192" s="80" t="s">
        <v>63</v>
      </c>
      <c r="J4192" s="80">
        <v>1850.0</v>
      </c>
      <c r="K4192" s="80">
        <v>0.990894483128012</v>
      </c>
      <c r="L4192" s="80" t="s">
        <v>64</v>
      </c>
    </row>
    <row r="4193">
      <c r="A4193" s="80" t="s">
        <v>1987</v>
      </c>
      <c r="B4193" s="81" t="str">
        <f>HYPERLINK("https://www.youtube.com/channel/UCgGUmm04nVyj-ftaCxVcyBg", "MangoHK大馬獅家")</f>
        <v>MangoHK大馬獅家</v>
      </c>
      <c r="C4193" s="80" t="s">
        <v>4607</v>
      </c>
      <c r="D4193" s="81" t="str">
        <f>HYPERLINK("https://youtube.com/watch?v=ljd2jjnhybI", "【56】台灣篇🦁究竟香港人🏬點至買到樓？ {中英字幕}  Subtitled | Malaysia HK property market | Malaysia Vlog | mm2h")</f>
        <v>【56】台灣篇🦁究竟香港人🏬點至買到樓？ {中英字幕}  Subtitled | Malaysia HK property market | Malaysia Vlog | mm2h</v>
      </c>
      <c r="E4193" s="82">
        <v>44484.0</v>
      </c>
      <c r="F4193" s="80">
        <v>657.0</v>
      </c>
      <c r="G4193" s="80" t="s">
        <v>63</v>
      </c>
      <c r="I4193" s="80" t="s">
        <v>63</v>
      </c>
      <c r="J4193" s="80">
        <v>2075.0</v>
      </c>
      <c r="K4193" s="80">
        <v>0.994726749760306</v>
      </c>
      <c r="L4193" s="80" t="s">
        <v>896</v>
      </c>
    </row>
    <row r="4194">
      <c r="A4194" s="80" t="s">
        <v>2942</v>
      </c>
      <c r="B4194" s="81" t="str">
        <f t="shared" ref="B4194:B4195" si="223">HYPERLINK("https://www.youtube.com/channel/UCFOFvhsNWMPHwvbfHl7K6qw", "司徒文進 CROSSBONE")</f>
        <v>司徒文進 CROSSBONE</v>
      </c>
      <c r="C4194" s="80" t="s">
        <v>4608</v>
      </c>
      <c r="D4194" s="81" t="str">
        <f>HYPERLINK("https://youtube.com/watch?v=loqdYbPTRWs", "（真·醉新燒析）福爾摩進用Critical Thinking同你分析放火事件(中文字幕)")</f>
        <v>（真·醉新燒析）福爾摩進用Critical Thinking同你分析放火事件(中文字幕)</v>
      </c>
      <c r="E4194" s="82">
        <v>44561.0</v>
      </c>
      <c r="F4194" s="80">
        <v>989.0</v>
      </c>
      <c r="G4194" s="80" t="s">
        <v>63</v>
      </c>
      <c r="I4194" s="80" t="s">
        <v>63</v>
      </c>
      <c r="J4194" s="80">
        <v>3844.0</v>
      </c>
      <c r="K4194" s="80">
        <v>0.968505920886873</v>
      </c>
      <c r="L4194" s="80" t="s">
        <v>820</v>
      </c>
    </row>
    <row r="4195">
      <c r="A4195" s="80" t="s">
        <v>2942</v>
      </c>
      <c r="B4195" s="81" t="str">
        <f t="shared" si="223"/>
        <v>司徒文進 CROSSBONE</v>
      </c>
      <c r="C4195" s="80" t="s">
        <v>4609</v>
      </c>
      <c r="D4195" s="81" t="str">
        <f>HYPERLINK("https://youtube.com/watch?v=luMuAjvOG5o", "(中字)賭場係咪有風水局？！贏錢是否一定關風水事？")</f>
        <v>(中字)賭場係咪有風水局？！贏錢是否一定關風水事？</v>
      </c>
      <c r="E4195" s="82">
        <v>44561.0</v>
      </c>
      <c r="F4195" s="80">
        <v>905.0</v>
      </c>
      <c r="G4195" s="80" t="s">
        <v>63</v>
      </c>
      <c r="I4195" s="80" t="s">
        <v>63</v>
      </c>
      <c r="J4195" s="80">
        <v>3637.0</v>
      </c>
      <c r="K4195" s="80">
        <v>0.990198747617751</v>
      </c>
      <c r="L4195" s="80" t="s">
        <v>820</v>
      </c>
    </row>
    <row r="4196">
      <c r="A4196" s="80" t="s">
        <v>2793</v>
      </c>
      <c r="B4196" s="81" t="str">
        <f>HYPERLINK("https://www.youtube.com/channel/UC03mRlT2h1B4LohYaIj9lHg", "Messiah2048")</f>
        <v>Messiah2048</v>
      </c>
      <c r="C4196" s="80" t="s">
        <v>4610</v>
      </c>
      <c r="D4196" s="81" t="str">
        <f>HYPERLINK("https://youtube.com/watch?v=lxE9S4IeZhk", "2014-10-23 立法會會議 《流會》")</f>
        <v>2014-10-23 立法會會議 《流會》</v>
      </c>
      <c r="E4196" s="82">
        <v>41934.0</v>
      </c>
      <c r="F4196" s="80">
        <v>88.0</v>
      </c>
      <c r="G4196" s="80" t="s">
        <v>63</v>
      </c>
      <c r="I4196" s="80" t="s">
        <v>63</v>
      </c>
      <c r="J4196" s="80">
        <v>68.0</v>
      </c>
      <c r="K4196" s="80">
        <v>0.931506849315068</v>
      </c>
      <c r="L4196" s="80" t="s">
        <v>64</v>
      </c>
    </row>
    <row r="4197">
      <c r="A4197" s="80" t="s">
        <v>2829</v>
      </c>
      <c r="B4197" s="81" t="str">
        <f>HYPERLINK("https://www.youtube.com/channel/UC7GnES6AEQlDzaP04UqtyjA", "SOLID IDEA")</f>
        <v>SOLID IDEA</v>
      </c>
      <c r="C4197" s="80" t="s">
        <v>4611</v>
      </c>
      <c r="D4197" s="81" t="str">
        <f>HYPERLINK("https://youtube.com/watch?v=m-xI1G9vNiI", "[#設計概念] #山水盈 #700呎 自然與簡約的平衡  (CC中文字幕)")</f>
        <v>[#設計概念] #山水盈 #700呎 自然與簡約的平衡  (CC中文字幕)</v>
      </c>
      <c r="E4197" s="82">
        <v>44096.0</v>
      </c>
      <c r="F4197" s="80">
        <v>184.0</v>
      </c>
      <c r="G4197" s="80" t="s">
        <v>63</v>
      </c>
      <c r="I4197" s="80" t="s">
        <v>63</v>
      </c>
      <c r="J4197" s="80">
        <v>556.0</v>
      </c>
      <c r="K4197" s="80">
        <v>0.93760539629005</v>
      </c>
      <c r="L4197" s="80" t="s">
        <v>64</v>
      </c>
    </row>
    <row r="4198">
      <c r="A4198" s="80" t="s">
        <v>2041</v>
      </c>
      <c r="B4198" s="81" t="str">
        <f>HYPERLINK("https://www.youtube.com/channel/UCO6pB-ZN4XJ6MVkibvuEe0A", "SingSingTracker 星昇財經指標")</f>
        <v>SingSingTracker 星昇財經指標</v>
      </c>
      <c r="C4198" s="80" t="s">
        <v>4612</v>
      </c>
      <c r="D4198" s="81" t="str">
        <f>HYPERLINK("https://youtube.com/watch?v=m2YdrYXHDMQ", "【消費券優惠】消費券 八達通優惠｜消費券優惠懶人包｜消費券優惠8月最新update｜5000變10000｜海港城優惠｜時代廣場優惠｜Alipay 支付寶 WeChat Tap &amp; Go｜領展商場優惠｜")</f>
        <v>【消費券優惠】消費券 八達通優惠｜消費券優惠懶人包｜消費券優惠8月最新update｜5000變10000｜海港城優惠｜時代廣場優惠｜Alipay 支付寶 WeChat Tap &amp; Go｜領展商場優惠｜</v>
      </c>
      <c r="E4198" s="82">
        <v>44412.0</v>
      </c>
      <c r="F4198" s="80">
        <v>434.0</v>
      </c>
      <c r="G4198" s="80" t="s">
        <v>63</v>
      </c>
      <c r="I4198" s="80" t="s">
        <v>63</v>
      </c>
      <c r="J4198" s="80">
        <v>1620.0</v>
      </c>
      <c r="K4198" s="80">
        <v>0.796851942941465</v>
      </c>
      <c r="L4198" s="80" t="s">
        <v>64</v>
      </c>
    </row>
    <row r="4199">
      <c r="A4199" s="80" t="s">
        <v>124</v>
      </c>
      <c r="B4199" s="81" t="str">
        <f>HYPERLINK("https://www.youtube.com/channel/UCg0vuSE0fBF_NvodyYhMcWg", "Wallace Studio HK")</f>
        <v>Wallace Studio HK</v>
      </c>
      <c r="C4199" s="80" t="s">
        <v>4613</v>
      </c>
      <c r="D4199" s="81" t="str">
        <f>HYPERLINK("https://youtube.com/watch?v=m3xmaMeF37w", "RTX3070 RTX3080 Laptop完整效能測試(VS RTX2070SuperMQ, 2060, GTX1650, 1660Ti) | AORUS 15P | AERO 17")</f>
        <v>RTX3070 RTX3080 Laptop完整效能測試(VS RTX2070SuperMQ, 2060, GTX1650, 1660Ti) | AORUS 15P | AERO 17</v>
      </c>
      <c r="E4199" s="82">
        <v>44225.0</v>
      </c>
      <c r="F4199" s="80">
        <v>597.0</v>
      </c>
      <c r="G4199" s="80" t="s">
        <v>63</v>
      </c>
      <c r="I4199" s="80" t="s">
        <v>63</v>
      </c>
      <c r="J4199" s="80">
        <v>1943.0</v>
      </c>
      <c r="K4199" s="80">
        <v>0.64487222037836</v>
      </c>
      <c r="L4199" s="80" t="s">
        <v>64</v>
      </c>
    </row>
    <row r="4200">
      <c r="A4200" s="80" t="s">
        <v>248</v>
      </c>
      <c r="B4200" s="81" t="str">
        <f>HYPERLINK("https://www.youtube.com/channel/UCUEJok-GiWaGlv5nIPwk-GQ", "Price.com.hk 香港格價網")</f>
        <v>Price.com.hk 香港格價網</v>
      </c>
      <c r="C4200" s="80" t="s">
        <v>4614</v>
      </c>
      <c r="D4200" s="81" t="str">
        <f>HYPERLINK("https://youtube.com/watch?v=m5DEtTtRoDw", "Windows 11 升級教學、新功能介紹、效能對比｜Microsoft Surface Laptop 4｜廣東話｜中文字幕【Price.com.hk產品評測】")</f>
        <v>Windows 11 升級教學、新功能介紹、效能對比｜Microsoft Surface Laptop 4｜廣東話｜中文字幕【Price.com.hk產品評測】</v>
      </c>
      <c r="E4200" s="82">
        <v>44508.0</v>
      </c>
      <c r="F4200" s="80">
        <v>323.0</v>
      </c>
      <c r="G4200" s="80" t="s">
        <v>63</v>
      </c>
      <c r="I4200" s="80" t="s">
        <v>63</v>
      </c>
      <c r="J4200" s="80">
        <v>1154.0</v>
      </c>
      <c r="K4200" s="80">
        <v>0.681227863046044</v>
      </c>
      <c r="L4200" s="80" t="s">
        <v>64</v>
      </c>
    </row>
    <row r="4201">
      <c r="A4201" s="80" t="s">
        <v>2041</v>
      </c>
      <c r="B4201" s="81" t="str">
        <f>HYPERLINK("https://www.youtube.com/channel/UCO6pB-ZN4XJ6MVkibvuEe0A", "SingSingTracker 星昇財經指標")</f>
        <v>SingSingTracker 星昇財經指標</v>
      </c>
      <c r="C4201" s="80" t="s">
        <v>4615</v>
      </c>
      <c r="D4201" s="81" t="str">
        <f>HYPERLINK("https://youtube.com/watch?v=m5jjIFbCDxY", "【價值投資策略】3招選股策略，入市必學‼️｜新手投資入門｜巴菲特護城河｜揀出潛力股｜選股基本面｜市盈率是什麼 學睇財務報表｜選股法則懶人包 ｜ #股神選股 #如何揀股票 #Moat")</f>
        <v>【價值投資策略】3招選股策略，入市必學‼️｜新手投資入門｜巴菲特護城河｜揀出潛力股｜選股基本面｜市盈率是什麼 學睇財務報表｜選股法則懶人包 ｜ #股神選股 #如何揀股票 #Moat</v>
      </c>
      <c r="E4201" s="82">
        <v>44407.0</v>
      </c>
      <c r="F4201" s="80">
        <v>405.0</v>
      </c>
      <c r="G4201" s="80" t="s">
        <v>63</v>
      </c>
      <c r="I4201" s="80" t="s">
        <v>63</v>
      </c>
      <c r="J4201" s="80">
        <v>1543.0</v>
      </c>
      <c r="K4201" s="80">
        <v>0.884747706422018</v>
      </c>
      <c r="L4201" s="80" t="s">
        <v>64</v>
      </c>
    </row>
    <row r="4202">
      <c r="A4202" s="80" t="s">
        <v>3170</v>
      </c>
      <c r="B4202" s="81" t="str">
        <f>HYPERLINK("https://www.youtube.com/channel/UC4sYIzNtzgaJudHQcDGtuJA", "CC漫遊")</f>
        <v>CC漫遊</v>
      </c>
      <c r="C4202" s="80" t="s">
        <v>4616</v>
      </c>
      <c r="D4202" s="81" t="str">
        <f>HYPERLINK("https://youtube.com/watch?v=m6vC1jucdf4", "【香港離島好去處】梅窩一日遊/除咗行山仲有咩做/行下平路都可以欣賞到古蹟同大自然/抗日戰爭把守梅窩嘅袁氏大屋更樓/Watchtowers in Mui Woo/HK Histortical Sites")</f>
        <v>【香港離島好去處】梅窩一日遊/除咗行山仲有咩做/行下平路都可以欣賞到古蹟同大自然/抗日戰爭把守梅窩嘅袁氏大屋更樓/Watchtowers in Mui Woo/HK Histortical Sites</v>
      </c>
      <c r="E4202" s="82">
        <v>44140.0</v>
      </c>
      <c r="F4202" s="80">
        <v>480.0</v>
      </c>
      <c r="G4202" s="80" t="s">
        <v>63</v>
      </c>
      <c r="I4202" s="80" t="s">
        <v>63</v>
      </c>
      <c r="J4202" s="80">
        <v>821.0</v>
      </c>
      <c r="K4202" s="80">
        <v>0.926636568848758</v>
      </c>
      <c r="L4202" s="80" t="s">
        <v>287</v>
      </c>
    </row>
    <row r="4203">
      <c r="A4203" s="80" t="s">
        <v>1553</v>
      </c>
      <c r="B4203" s="81" t="str">
        <f>HYPERLINK("https://www.youtube.com/channel/UC5gQ01ai9nF2x43fYmO1vow", "Ck釣魚冒險")</f>
        <v>Ck釣魚冒險</v>
      </c>
      <c r="C4203" s="80" t="s">
        <v>4617</v>
      </c>
      <c r="D4203" s="81" t="str">
        <f>HYPERLINK("https://youtube.com/watch?v=mHIRlo6ch8c", "【Jig】石仔排 爆釣 Jigging 鐵板! 點解今次咁多魚 #1 / 香港の近海ジギング #1 📣CC字幕")</f>
        <v>【Jig】石仔排 爆釣 Jigging 鐵板! 點解今次咁多魚 #1 / 香港の近海ジギング #1 📣CC字幕</v>
      </c>
      <c r="E4203" s="82">
        <v>44178.0</v>
      </c>
      <c r="F4203" s="80">
        <v>675.0</v>
      </c>
      <c r="G4203" s="80" t="s">
        <v>63</v>
      </c>
      <c r="I4203" s="80" t="s">
        <v>63</v>
      </c>
      <c r="J4203" s="80">
        <v>940.0</v>
      </c>
      <c r="K4203" s="80">
        <v>0.849909584086799</v>
      </c>
      <c r="L4203" s="80" t="s">
        <v>64</v>
      </c>
    </row>
    <row r="4204">
      <c r="A4204" s="80" t="s">
        <v>127</v>
      </c>
      <c r="B4204" s="81" t="str">
        <f>HYPERLINK("https://www.youtube.com/channel/UC97oYK3XMf9RLtkc0lO8C-Q", "健康旦 HiEggo")</f>
        <v>健康旦 HiEggo</v>
      </c>
      <c r="C4204" s="80" t="s">
        <v>4618</v>
      </c>
      <c r="D4204" s="81" t="str">
        <f>HYPERLINK("https://youtube.com/watch?v=mMhVOToRbY0", "馬時亨預料失業率將破2003沙士紀錄 疫情改變各行各業生態 - 鄭丹瑞《健康旦》馬時亨 Part 2")</f>
        <v>馬時亨預料失業率將破2003沙士紀錄 疫情改變各行各業生態 - 鄭丹瑞《健康旦》馬時亨 Part 2</v>
      </c>
      <c r="E4204" s="82">
        <v>43943.0</v>
      </c>
      <c r="F4204" s="80">
        <v>735.0</v>
      </c>
      <c r="G4204" s="80" t="s">
        <v>63</v>
      </c>
      <c r="I4204" s="80" t="s">
        <v>63</v>
      </c>
      <c r="J4204" s="80">
        <v>2354.0</v>
      </c>
      <c r="K4204" s="80">
        <v>0.997457627118644</v>
      </c>
      <c r="L4204" s="80" t="s">
        <v>64</v>
      </c>
    </row>
    <row r="4205">
      <c r="A4205" s="80" t="s">
        <v>2041</v>
      </c>
      <c r="B4205" s="81" t="str">
        <f>HYPERLINK("https://www.youtube.com/channel/UCO6pB-ZN4XJ6MVkibvuEe0A", "SingSingTracker 星昇財經指標")</f>
        <v>SingSingTracker 星昇財經指標</v>
      </c>
      <c r="C4205" s="80" t="s">
        <v>4619</v>
      </c>
      <c r="D4205" s="81" t="str">
        <f>HYPERLINK("https://youtube.com/watch?v=mNdKtIg7LK0", "【15美金進軍貨運大亨】低成本股票‼️｜15以下的實力之選｜航運界包租公｜美股日日有心水 #ZIM #CMRE #新手入市")</f>
        <v>【15美金進軍貨運大亨】低成本股票‼️｜15以下的實力之選｜航運界包租公｜美股日日有心水 #ZIM #CMRE #新手入市</v>
      </c>
      <c r="E4205" s="82">
        <v>44384.0</v>
      </c>
      <c r="F4205" s="80">
        <v>234.0</v>
      </c>
      <c r="G4205" s="80" t="s">
        <v>63</v>
      </c>
      <c r="I4205" s="80" t="s">
        <v>63</v>
      </c>
      <c r="J4205" s="80">
        <v>727.0</v>
      </c>
      <c r="K4205" s="80">
        <v>0.690408357075023</v>
      </c>
      <c r="L4205" s="80" t="s">
        <v>64</v>
      </c>
    </row>
    <row r="4206">
      <c r="A4206" s="80" t="s">
        <v>238</v>
      </c>
      <c r="B4206" s="81" t="str">
        <f>HYPERLINK("https://www.youtube.com/channel/UCSBkm4LwpgBmcA3MCtO8vqg", "Post76影音玩樂")</f>
        <v>Post76影音玩樂</v>
      </c>
      <c r="C4206" s="80" t="s">
        <v>4620</v>
      </c>
      <c r="D4206" s="81" t="str">
        <f>HYPERLINK("https://youtube.com/watch?v=mOSC2boUgSI", "KOJO Technology Crystal E ( 光城精工 ) 日製地盒 ： 人人都話有料到咁就試下係 ""AV家庭影院"" 上有幾勁先！？😜（附設cc字幕）【地盒評測】")</f>
        <v>KOJO Technology Crystal E ( 光城精工 ) 日製地盒 ： 人人都話有料到咁就試下係 "AV家庭影院" 上有幾勁先！？😜（附設cc字幕）【地盒評測】</v>
      </c>
      <c r="E4206" s="82">
        <v>44536.0</v>
      </c>
      <c r="F4206" s="80">
        <v>1087.0</v>
      </c>
      <c r="G4206" s="80" t="s">
        <v>63</v>
      </c>
      <c r="H4206" s="80" t="s">
        <v>63</v>
      </c>
      <c r="I4206" s="80" t="s">
        <v>63</v>
      </c>
      <c r="J4206" s="80">
        <v>3815.0</v>
      </c>
      <c r="K4206" s="80">
        <v>0.890772584160813</v>
      </c>
      <c r="L4206" s="80" t="s">
        <v>240</v>
      </c>
    </row>
    <row r="4207">
      <c r="A4207" s="80" t="s">
        <v>84</v>
      </c>
      <c r="B4207" s="81" t="str">
        <f>HYPERLINK("https://www.youtube.com/channel/UCs6fW24aVjefTsognevmDnA", "PakTil 拍跳")</f>
        <v>PakTil 拍跳</v>
      </c>
      <c r="C4207" s="80" t="s">
        <v>4621</v>
      </c>
      <c r="D4207" s="81" t="str">
        <f>HYPERLINK("https://youtube.com/watch?v=mOSix2P57E8", "【拍跳短跑】打工仔必學：想落腦細面？「點」一點攪掂！")</f>
        <v>【拍跳短跑】打工仔必學：想落腦細面？「點」一點攪掂！</v>
      </c>
      <c r="E4207" s="82">
        <v>44039.0</v>
      </c>
      <c r="F4207" s="80">
        <v>95.0</v>
      </c>
      <c r="G4207" s="80" t="s">
        <v>63</v>
      </c>
      <c r="I4207" s="80" t="s">
        <v>63</v>
      </c>
      <c r="J4207" s="80">
        <v>148.0</v>
      </c>
      <c r="K4207" s="80">
        <v>0.967320261437908</v>
      </c>
      <c r="L4207" s="80" t="s">
        <v>86</v>
      </c>
    </row>
    <row r="4208">
      <c r="A4208" s="80" t="s">
        <v>98</v>
      </c>
      <c r="B4208" s="81" t="str">
        <f>HYPERLINK("https://www.youtube.com/channel/UCrquuQB6v1Ued2xyRKZreGQ", "Stephen Leung ")</f>
        <v>Stephen Leung </v>
      </c>
      <c r="C4208" s="80" t="s">
        <v>4622</v>
      </c>
      <c r="D4208" s="81" t="str">
        <f>HYPERLINK("https://youtube.com/watch?v=mRtMiMksQI0", "【香港美食】 $188 點心放題 全日供應 小童長者優惠 尖沙咀 點一龍 | 吃喝玩樂")</f>
        <v>【香港美食】 $188 點心放題 全日供應 小童長者優惠 尖沙咀 點一龍 | 吃喝玩樂</v>
      </c>
      <c r="E4208" s="82">
        <v>44264.0</v>
      </c>
      <c r="F4208" s="80">
        <v>676.0</v>
      </c>
      <c r="G4208" s="80" t="s">
        <v>63</v>
      </c>
      <c r="I4208" s="80" t="s">
        <v>63</v>
      </c>
      <c r="J4208" s="80">
        <v>1779.0</v>
      </c>
      <c r="K4208" s="80">
        <v>0.975328947368421</v>
      </c>
      <c r="L4208" s="80" t="s">
        <v>64</v>
      </c>
    </row>
    <row r="4209">
      <c r="A4209" s="80" t="s">
        <v>127</v>
      </c>
      <c r="B4209" s="81" t="str">
        <f>HYPERLINK("https://www.youtube.com/channel/UC97oYK3XMf9RLtkc0lO8C-Q", "健康旦 HiEggo")</f>
        <v>健康旦 HiEggo</v>
      </c>
      <c r="C4209" s="80" t="s">
        <v>4623</v>
      </c>
      <c r="D4209" s="81" t="str">
        <f>HYPERLINK("https://youtube.com/watch?v=mZW5XgglncM", "浸大體育系鍾伯光教授 提醒長者做運動要量力而為 年紀大更應均衡飲食 - 鄭丹瑞《健康旦》鍾伯光 Part 1 (CC中文字幕)")</f>
        <v>浸大體育系鍾伯光教授 提醒長者做運動要量力而為 年紀大更應均衡飲食 - 鄭丹瑞《健康旦》鍾伯光 Part 1 (CC中文字幕)</v>
      </c>
      <c r="E4209" s="82">
        <v>43913.0</v>
      </c>
      <c r="F4209" s="80">
        <v>804.0</v>
      </c>
      <c r="G4209" s="80" t="s">
        <v>63</v>
      </c>
      <c r="I4209" s="80" t="s">
        <v>63</v>
      </c>
      <c r="J4209" s="80">
        <v>3794.0</v>
      </c>
      <c r="K4209" s="80">
        <v>0.994756161510225</v>
      </c>
      <c r="L4209" s="80" t="s">
        <v>102</v>
      </c>
    </row>
    <row r="4210">
      <c r="A4210" s="80" t="s">
        <v>98</v>
      </c>
      <c r="B4210" s="81" t="str">
        <f>HYPERLINK("https://www.youtube.com/channel/UCrquuQB6v1Ued2xyRKZreGQ", "Stephen Leung ")</f>
        <v>Stephen Leung </v>
      </c>
      <c r="C4210" s="80" t="s">
        <v>4624</v>
      </c>
      <c r="D4210" s="81" t="str">
        <f>HYPERLINK("https://youtube.com/watch?v=mcvgT9ICI4Y", "【電子消費券 美食指南】一路任食 香港 日式火鍋 放題 無限時 再包鱆紅魚 赤貝 帶子 刺身 串燒 吉列蠔 任食 神樂屋 日式放題  | 吃喝玩樂 放題 2021 mongkok")</f>
        <v>【電子消費券 美食指南】一路任食 香港 日式火鍋 放題 無限時 再包鱆紅魚 赤貝 帶子 刺身 串燒 吉列蠔 任食 神樂屋 日式放題  | 吃喝玩樂 放題 2021 mongkok</v>
      </c>
      <c r="E4210" s="82">
        <v>44370.0</v>
      </c>
      <c r="F4210" s="80">
        <v>763.0</v>
      </c>
      <c r="G4210" s="80" t="s">
        <v>63</v>
      </c>
      <c r="I4210" s="80" t="s">
        <v>63</v>
      </c>
      <c r="J4210" s="80">
        <v>1821.0</v>
      </c>
      <c r="K4210" s="80">
        <v>0.97016515716569</v>
      </c>
      <c r="L4210" s="80" t="s">
        <v>64</v>
      </c>
    </row>
    <row r="4211">
      <c r="A4211" s="80" t="s">
        <v>2041</v>
      </c>
      <c r="B4211" s="81" t="str">
        <f>HYPERLINK("https://www.youtube.com/channel/UCO6pB-ZN4XJ6MVkibvuEe0A", "SingSingTracker 星昇財經指標")</f>
        <v>SingSingTracker 星昇財經指標</v>
      </c>
      <c r="C4211" s="80" t="s">
        <v>4625</v>
      </c>
      <c r="D4211" s="81" t="str">
        <f>HYPERLINK("https://youtube.com/watch?v=mgh77yiLRiw", "【一隻低調但穩健增長的股票？】穩中求勝的賺錢機會｜Home Depot 爆升？｜疫情期間的漲升股【點CC中文字幕】")</f>
        <v>【一隻低調但穩健增長的股票？】穩中求勝的賺錢機會｜Home Depot 爆升？｜疫情期間的漲升股【點CC中文字幕】</v>
      </c>
      <c r="E4211" s="82">
        <v>44285.0</v>
      </c>
      <c r="F4211" s="80">
        <v>537.0</v>
      </c>
      <c r="G4211" s="80" t="s">
        <v>63</v>
      </c>
      <c r="I4211" s="80" t="s">
        <v>63</v>
      </c>
      <c r="J4211" s="80">
        <v>1979.0</v>
      </c>
      <c r="K4211" s="80">
        <v>0.859313938341294</v>
      </c>
      <c r="L4211" s="80" t="s">
        <v>64</v>
      </c>
    </row>
    <row r="4212">
      <c r="A4212" s="80" t="s">
        <v>248</v>
      </c>
      <c r="B4212" s="81" t="str">
        <f>HYPERLINK("https://www.youtube.com/channel/UCUEJok-GiWaGlv5nIPwk-GQ", "Price.com.hk 香港格價網")</f>
        <v>Price.com.hk 香港格價網</v>
      </c>
      <c r="C4212" s="80" t="s">
        <v>4626</v>
      </c>
      <c r="D4212" s="81" t="str">
        <f>HYPERLINK("https://youtube.com/watch?v=miDHc06eyfs", "小機身 多功能 ASUS Mini PC PB62｜慳位文書機、豐富擴充介面、支援Windows 11升級｜廣東話｜特約專題 【Price.com.hk產品介紹】")</f>
        <v>小機身 多功能 ASUS Mini PC PB62｜慳位文書機、豐富擴充介面、支援Windows 11升級｜廣東話｜特約專題 【Price.com.hk產品介紹】</v>
      </c>
      <c r="E4212" s="82">
        <v>44529.0</v>
      </c>
      <c r="F4212" s="80">
        <v>301.0</v>
      </c>
      <c r="G4212" s="80" t="s">
        <v>63</v>
      </c>
      <c r="I4212" s="80" t="s">
        <v>63</v>
      </c>
      <c r="J4212" s="80">
        <v>1018.0</v>
      </c>
      <c r="K4212" s="80">
        <v>0.7782874617737</v>
      </c>
      <c r="L4212" s="80" t="s">
        <v>64</v>
      </c>
    </row>
    <row r="4213">
      <c r="A4213" s="80" t="s">
        <v>2829</v>
      </c>
      <c r="B4213" s="81" t="str">
        <f>HYPERLINK("https://www.youtube.com/channel/UC7GnES6AEQlDzaP04UqtyjA", "SOLID IDEA")</f>
        <v>SOLID IDEA</v>
      </c>
      <c r="C4213" s="80" t="s">
        <v>4627</v>
      </c>
      <c r="D4213" s="81" t="str">
        <f>HYPERLINK("https://youtube.com/watch?v=miIev_LcEeM", "[#設計概念] #天鑽 #3房2廳  #現代風 簡約帶出高貴感 (CC中文字幕)")</f>
        <v>[#設計概念] #天鑽 #3房2廳  #現代風 簡約帶出高貴感 (CC中文字幕)</v>
      </c>
      <c r="E4213" s="82">
        <v>44061.0</v>
      </c>
      <c r="F4213" s="80">
        <v>174.0</v>
      </c>
      <c r="G4213" s="80" t="s">
        <v>63</v>
      </c>
      <c r="I4213" s="80" t="s">
        <v>63</v>
      </c>
      <c r="J4213" s="80">
        <v>539.0</v>
      </c>
      <c r="K4213" s="80">
        <v>0.915110356536502</v>
      </c>
      <c r="L4213" s="80" t="s">
        <v>64</v>
      </c>
    </row>
    <row r="4214">
      <c r="A4214" s="80" t="s">
        <v>2479</v>
      </c>
      <c r="B4214" s="81" t="str">
        <f>HYPERLINK("https://www.youtube.com/channel/UC0Da4Jp5vYSPa6hCI6MOrCQ", "Cussion Reve")</f>
        <v>Cussion Reve</v>
      </c>
      <c r="C4214" s="80" t="s">
        <v>4628</v>
      </c>
      <c r="D4214" s="81" t="str">
        <f>HYPERLINK("https://youtube.com/watch?v=mjo8OhnWdnk", "女生都愛吃的甜品？ | 朱古力 毛巾捲 韓國 超火的甜品 一定要學會 | 簡單易做 不用焗爐💁‍♂️")</f>
        <v>女生都愛吃的甜品？ | 朱古力 毛巾捲 韓國 超火的甜品 一定要學會 | 簡單易做 不用焗爐💁‍♂️</v>
      </c>
      <c r="E4214" s="82">
        <v>44290.0</v>
      </c>
      <c r="F4214" s="80">
        <v>635.0</v>
      </c>
      <c r="G4214" s="80" t="s">
        <v>63</v>
      </c>
      <c r="I4214" s="80" t="s">
        <v>63</v>
      </c>
      <c r="J4214" s="80">
        <v>1957.0</v>
      </c>
      <c r="K4214" s="80">
        <v>0.931018078020932</v>
      </c>
      <c r="L4214" s="80" t="s">
        <v>64</v>
      </c>
    </row>
    <row r="4215">
      <c r="A4215" s="80" t="s">
        <v>293</v>
      </c>
      <c r="B4215" s="81" t="str">
        <f>HYPERLINK("https://www.youtube.com/channel/UCXRcbXqjORdIvl63I7MtOLQ", "趁熱 Kerry 's kitchen")</f>
        <v>趁熱 Kerry 's kitchen</v>
      </c>
      <c r="C4215" s="80" t="s">
        <v>4629</v>
      </c>
      <c r="D4215" s="81" t="str">
        <f>HYPERLINK("https://youtube.com/watch?v=mpE3yTuGmAk", "豉油王 炒麵/簡單 家做/不會斷/有鑊氣/大牌檔做法/鑊仔炒一樣掂/粵語/中字/cc subtitle")</f>
        <v>豉油王 炒麵/簡單 家做/不會斷/有鑊氣/大牌檔做法/鑊仔炒一樣掂/粵語/中字/cc subtitle</v>
      </c>
      <c r="E4215" s="82">
        <v>44321.0</v>
      </c>
      <c r="F4215" s="80">
        <v>498.0</v>
      </c>
      <c r="G4215" s="80" t="s">
        <v>63</v>
      </c>
      <c r="I4215" s="80" t="s">
        <v>63</v>
      </c>
      <c r="J4215" s="80">
        <v>1326.0</v>
      </c>
      <c r="K4215" s="80">
        <v>0.984409799554565</v>
      </c>
      <c r="L4215" s="80" t="s">
        <v>64</v>
      </c>
    </row>
    <row r="4216">
      <c r="A4216" s="80" t="s">
        <v>3339</v>
      </c>
      <c r="B4216" s="81" t="str">
        <f>HYPERLINK("https://www.youtube.com/channel/UCo0lvDJ5ikc3hhD30ttGznw", "gingerlemoncola")</f>
        <v>gingerlemoncola</v>
      </c>
      <c r="C4216" s="80" t="s">
        <v>4630</v>
      </c>
      <c r="D4216" s="81" t="str">
        <f>HYPERLINK("https://youtube.com/watch?v=mq6ZJLUgDT8", "【開包】宜家傢俬送咩畀我呢？新年佈置房間")</f>
        <v>【開包】宜家傢俬送咩畀我呢？新年佈置房間</v>
      </c>
      <c r="E4216" s="82">
        <v>43490.0</v>
      </c>
      <c r="F4216" s="80">
        <v>346.0</v>
      </c>
      <c r="G4216" s="80" t="s">
        <v>63</v>
      </c>
      <c r="I4216" s="80" t="s">
        <v>63</v>
      </c>
      <c r="J4216" s="80">
        <v>1125.0</v>
      </c>
      <c r="K4216" s="80">
        <v>0.907258064516129</v>
      </c>
      <c r="L4216" s="80" t="s">
        <v>64</v>
      </c>
    </row>
    <row r="4217">
      <c r="A4217" s="80" t="s">
        <v>293</v>
      </c>
      <c r="B4217" s="81" t="str">
        <f>HYPERLINK("https://www.youtube.com/channel/UCXRcbXqjORdIvl63I7MtOLQ", "趁熱 Kerry 's kitchen")</f>
        <v>趁熱 Kerry 's kitchen</v>
      </c>
      <c r="C4217" s="80" t="s">
        <v>4631</v>
      </c>
      <c r="D4217" s="81" t="str">
        <f>HYPERLINK("https://youtube.com/watch?v=msLskDp5pG0", "港式煎脆蠔餅/簡單 家做/大牌檔味道/洗蠔仔竅門/新手 入門/粵語/中字/pan-fried baby oyster omeltte/cc subtitle")</f>
        <v>港式煎脆蠔餅/簡單 家做/大牌檔味道/洗蠔仔竅門/新手 入門/粵語/中字/pan-fried baby oyster omeltte/cc subtitle</v>
      </c>
      <c r="E4217" s="82">
        <v>44323.0</v>
      </c>
      <c r="F4217" s="80">
        <v>535.0</v>
      </c>
      <c r="G4217" s="80" t="s">
        <v>63</v>
      </c>
      <c r="I4217" s="80" t="s">
        <v>63</v>
      </c>
      <c r="J4217" s="80">
        <v>1368.0</v>
      </c>
      <c r="K4217" s="80">
        <v>0.97644539614561</v>
      </c>
      <c r="L4217" s="80" t="s">
        <v>64</v>
      </c>
    </row>
    <row r="4218">
      <c r="A4218" s="80" t="s">
        <v>98</v>
      </c>
      <c r="B4218" s="81" t="str">
        <f>HYPERLINK("https://www.youtube.com/channel/UCrquuQB6v1Ued2xyRKZreGQ", "Stephen Leung ")</f>
        <v>Stephen Leung </v>
      </c>
      <c r="C4218" s="80" t="s">
        <v>4632</v>
      </c>
      <c r="D4218" s="81" t="str">
        <f>HYPERLINK("https://youtube.com/watch?v=msPM4OM1fUI", "【香港美食】九州日式燒肉連鎖店 平價食稀少部位 牛橫膈膜 黑毛和牛燒肉  | 牛舌 最平$88/ 碟 YAKINIKU KAKURA | 吃喝玩樂")</f>
        <v>【香港美食】九州日式燒肉連鎖店 平價食稀少部位 牛橫膈膜 黑毛和牛燒肉  | 牛舌 最平$88/ 碟 YAKINIKU KAKURA | 吃喝玩樂</v>
      </c>
      <c r="E4218" s="82">
        <v>44351.0</v>
      </c>
      <c r="F4218" s="80">
        <v>505.0</v>
      </c>
      <c r="G4218" s="80" t="s">
        <v>63</v>
      </c>
      <c r="I4218" s="80" t="s">
        <v>63</v>
      </c>
      <c r="J4218" s="80">
        <v>1274.0</v>
      </c>
      <c r="K4218" s="80">
        <v>0.976245210727969</v>
      </c>
      <c r="L4218" s="80" t="s">
        <v>521</v>
      </c>
    </row>
    <row r="4219">
      <c r="A4219" s="80" t="s">
        <v>127</v>
      </c>
      <c r="B4219" s="81" t="str">
        <f>HYPERLINK("https://www.youtube.com/channel/UC97oYK3XMf9RLtkc0lO8C-Q", "健康旦 HiEggo")</f>
        <v>健康旦 HiEggo</v>
      </c>
      <c r="C4219" s="80" t="s">
        <v>4633</v>
      </c>
      <c r="D4219" s="81" t="str">
        <f>HYPERLINK("https://youtube.com/watch?v=mvsHkYc1bek", "長戴口罩影響皮膚 搽潤膚膏記得用手背 減少食蔥蒜黃荳咖啡因  - 鄭丹瑞《健康旦》趙汝威 Part 8")</f>
        <v>長戴口罩影響皮膚 搽潤膚膏記得用手背 減少食蔥蒜黃荳咖啡因  - 鄭丹瑞《健康旦》趙汝威 Part 8</v>
      </c>
      <c r="E4219" s="82">
        <v>43971.0</v>
      </c>
      <c r="F4219" s="80">
        <v>726.0</v>
      </c>
      <c r="G4219" s="80" t="s">
        <v>63</v>
      </c>
      <c r="I4219" s="80" t="s">
        <v>63</v>
      </c>
      <c r="J4219" s="80">
        <v>2524.0</v>
      </c>
      <c r="K4219" s="80">
        <v>0.953892668178382</v>
      </c>
      <c r="L4219" s="80" t="s">
        <v>102</v>
      </c>
    </row>
    <row r="4220">
      <c r="A4220" s="80" t="s">
        <v>2825</v>
      </c>
      <c r="B4220" s="81" t="str">
        <f>HYPERLINK("https://www.youtube.com/channel/UCP7XhYDgUbvjvaHxIhjTd_g", "Maviskuku 雞蛋妹")</f>
        <v>Maviskuku 雞蛋妹</v>
      </c>
      <c r="C4220" s="80" t="s">
        <v>4634</v>
      </c>
      <c r="D4220" s="81" t="str">
        <f>HYPERLINK("https://youtube.com/watch?v=mweeZcWQzHQ", "螢幕可以當電視用？超多用途！Samsung 4K 智能顯示器 M7 開箱評測")</f>
        <v>螢幕可以當電視用？超多用途！Samsung 4K 智能顯示器 M7 開箱評測</v>
      </c>
      <c r="E4220" s="82">
        <v>44312.0</v>
      </c>
      <c r="F4220" s="80">
        <v>342.0</v>
      </c>
      <c r="G4220" s="80" t="s">
        <v>63</v>
      </c>
      <c r="H4220" s="80" t="s">
        <v>63</v>
      </c>
      <c r="I4220" s="80" t="s">
        <v>63</v>
      </c>
      <c r="J4220" s="80">
        <v>1067.0</v>
      </c>
      <c r="K4220" s="80">
        <v>0.807110438729198</v>
      </c>
      <c r="L4220" s="80" t="s">
        <v>66</v>
      </c>
    </row>
    <row r="4221">
      <c r="A4221" s="80" t="s">
        <v>127</v>
      </c>
      <c r="B4221" s="81" t="str">
        <f>HYPERLINK("https://www.youtube.com/channel/UC97oYK3XMf9RLtkc0lO8C-Q", "健康旦 HiEggo")</f>
        <v>健康旦 HiEggo</v>
      </c>
      <c r="C4221" s="80" t="s">
        <v>4635</v>
      </c>
      <c r="D4221" s="81" t="str">
        <f>HYPERLINK("https://youtube.com/watch?v=mwkN9ZQ1KHY", "肚餓全因大腦提你血糖低 李維恩教授講解亂用食油影響  - 鄭丹瑞《健康旦》李維恩教授 Part 8 (CC中文字幕)")</f>
        <v>肚餓全因大腦提你血糖低 李維恩教授講解亂用食油影響  - 鄭丹瑞《健康旦》李維恩教授 Part 8 (CC中文字幕)</v>
      </c>
      <c r="E4221" s="82">
        <v>43909.0</v>
      </c>
      <c r="F4221" s="80">
        <v>834.0</v>
      </c>
      <c r="G4221" s="80" t="s">
        <v>63</v>
      </c>
      <c r="I4221" s="80" t="s">
        <v>63</v>
      </c>
      <c r="J4221" s="80">
        <v>2946.0</v>
      </c>
      <c r="K4221" s="80">
        <v>0.975819807883405</v>
      </c>
      <c r="L4221" s="80" t="s">
        <v>102</v>
      </c>
    </row>
    <row r="4222">
      <c r="A4222" s="80" t="s">
        <v>3238</v>
      </c>
      <c r="B4222" s="81" t="str">
        <f>HYPERLINK("https://www.youtube.com/channel/UCZ_hzCBwc6ATeXfyQYUk5WQ", "CHINCHIN C")</f>
        <v>CHINCHIN C</v>
      </c>
      <c r="C4222" s="80" t="s">
        <v>4636</v>
      </c>
      <c r="D4222" s="81" t="str">
        <f>HYPERLINK("https://youtube.com/watch?v=mxsk9g3yln8", "新的MAC 氣墊粉餅和 MAKEUP FOREVER 氣墊粉餅用後感分享！|Chinchinc")</f>
        <v>新的MAC 氣墊粉餅和 MAKEUP FOREVER 氣墊粉餅用後感分享！|Chinchinc</v>
      </c>
      <c r="E4222" s="82">
        <v>43191.0</v>
      </c>
      <c r="F4222" s="80">
        <v>537.0</v>
      </c>
      <c r="G4222" s="80" t="s">
        <v>63</v>
      </c>
      <c r="I4222" s="80" t="s">
        <v>63</v>
      </c>
      <c r="J4222" s="80">
        <v>2639.0</v>
      </c>
      <c r="K4222" s="80">
        <v>0.917593880389429</v>
      </c>
      <c r="L4222" s="80" t="s">
        <v>64</v>
      </c>
    </row>
    <row r="4223">
      <c r="A4223" s="80" t="s">
        <v>108</v>
      </c>
      <c r="B4223" s="81" t="str">
        <f>HYPERLINK("https://www.youtube.com/channel/UCZL6QN6Xs-ZrKY3y6Pv6Emg", "廢青 - 日賺3000")</f>
        <v>廢青 - 日賺3000</v>
      </c>
      <c r="C4223" s="80" t="s">
        <v>4637</v>
      </c>
      <c r="D4223" s="81" t="str">
        <f>HYPERLINK("https://youtube.com/watch?v=n3WAxFcaORM", "12月股災部署 ( 最後機會 !! )📣📣 | 11月 2只美股大賺+20% +40% , 😍💰12月你不可過錯的一只係 . . . . . .  | EP55【廢青 日賺3000】（新增中文字幕！)")</f>
        <v>12月股災部署 ( 最後機會 !! )📣📣 | 11月 2只美股大賺+20% +40% , 😍💰12月你不可過錯的一只係 . . . . . .  | EP55【廢青 日賺3000】（新增中文字幕！)</v>
      </c>
      <c r="E4223" s="82">
        <v>44170.0</v>
      </c>
      <c r="F4223" s="80">
        <v>200.0</v>
      </c>
      <c r="G4223" s="80" t="s">
        <v>63</v>
      </c>
      <c r="I4223" s="80" t="s">
        <v>63</v>
      </c>
      <c r="J4223" s="80">
        <v>831.0</v>
      </c>
      <c r="K4223" s="80">
        <v>0.807580174927113</v>
      </c>
      <c r="L4223" s="80" t="s">
        <v>64</v>
      </c>
    </row>
    <row r="4224">
      <c r="A4224" s="80" t="s">
        <v>127</v>
      </c>
      <c r="B4224" s="81" t="str">
        <f>HYPERLINK("https://www.youtube.com/channel/UC97oYK3XMf9RLtkc0lO8C-Q", "健康旦 HiEggo")</f>
        <v>健康旦 HiEggo</v>
      </c>
      <c r="C4224" s="80" t="s">
        <v>4638</v>
      </c>
      <c r="D4224" s="81" t="str">
        <f>HYPERLINK("https://youtube.com/watch?v=n5eNZR-yb8Q", "長用電腦肩頸易變形 鄭瑤鄭珉家居瑜珈拉筋 拉鬆脊骨舒緩頸部肌肉繃緊")</f>
        <v>長用電腦肩頸易變形 鄭瑤鄭珉家居瑜珈拉筋 拉鬆脊骨舒緩頸部肌肉繃緊</v>
      </c>
      <c r="E4224" s="82">
        <v>44058.0</v>
      </c>
      <c r="F4224" s="80">
        <v>668.0</v>
      </c>
      <c r="G4224" s="80" t="s">
        <v>63</v>
      </c>
      <c r="I4224" s="80" t="s">
        <v>63</v>
      </c>
      <c r="J4224" s="80">
        <v>2457.0</v>
      </c>
      <c r="K4224" s="80">
        <v>0.979665071770334</v>
      </c>
      <c r="L4224" s="80" t="s">
        <v>2771</v>
      </c>
    </row>
    <row r="4225">
      <c r="A4225" s="80" t="s">
        <v>124</v>
      </c>
      <c r="B4225" s="81" t="str">
        <f>HYPERLINK("https://www.youtube.com/channel/UCg0vuSE0fBF_NvodyYhMcWg", "Wallace Studio HK")</f>
        <v>Wallace Studio HK</v>
      </c>
      <c r="C4225" s="80" t="s">
        <v>4639</v>
      </c>
      <c r="D4225" s="81" t="str">
        <f>HYPERLINK("https://youtube.com/watch?v=n72AisbHuXY", "[評測] Surface Laptop Go 香港人評測! 降級，卻仍然很好。")</f>
        <v>[評測] Surface Laptop Go 香港人評測! 降級，卻仍然很好。</v>
      </c>
      <c r="E4225" s="82">
        <v>44181.0</v>
      </c>
      <c r="F4225" s="80">
        <v>341.0</v>
      </c>
      <c r="G4225" s="80" t="s">
        <v>63</v>
      </c>
      <c r="I4225" s="80" t="s">
        <v>63</v>
      </c>
      <c r="J4225" s="80">
        <v>1071.0</v>
      </c>
      <c r="K4225" s="80">
        <v>0.748427672955974</v>
      </c>
      <c r="L4225" s="80" t="s">
        <v>64</v>
      </c>
    </row>
    <row r="4226">
      <c r="A4226" s="80" t="s">
        <v>127</v>
      </c>
      <c r="B4226" s="81" t="str">
        <f>HYPERLINK("https://www.youtube.com/channel/UC97oYK3XMf9RLtkc0lO8C-Q", "健康旦 HiEggo")</f>
        <v>健康旦 HiEggo</v>
      </c>
      <c r="C4226" s="80" t="s">
        <v>4640</v>
      </c>
      <c r="D4226" s="81" t="str">
        <f>HYPERLINK("https://youtube.com/watch?v=nA8sg5zM_90", "浸竹笙記得落醋 記得唔好嘥冬菇蒂 教煲腰果竹笙北菇素湯 - 鄭丹瑞《健康旦》#方曉嵐 Part 11（CC中文字幕）")</f>
        <v>浸竹笙記得落醋 記得唔好嘥冬菇蒂 教煲腰果竹笙北菇素湯 - 鄭丹瑞《健康旦》#方曉嵐 Part 11（CC中文字幕）</v>
      </c>
      <c r="E4226" s="82">
        <v>43964.0</v>
      </c>
      <c r="F4226" s="80">
        <v>667.0</v>
      </c>
      <c r="G4226" s="80" t="s">
        <v>63</v>
      </c>
      <c r="I4226" s="80" t="s">
        <v>63</v>
      </c>
      <c r="J4226" s="80">
        <v>2115.0</v>
      </c>
      <c r="K4226" s="80">
        <v>0.985095482068001</v>
      </c>
      <c r="L4226" s="80" t="s">
        <v>64</v>
      </c>
    </row>
    <row r="4227">
      <c r="A4227" s="80" t="s">
        <v>2793</v>
      </c>
      <c r="B4227" s="81" t="str">
        <f>HYPERLINK("https://www.youtube.com/channel/UC03mRlT2h1B4LohYaIj9lHg", "Messiah2048")</f>
        <v>Messiah2048</v>
      </c>
      <c r="C4227" s="80" t="s">
        <v>4641</v>
      </c>
      <c r="D4227" s="81" t="str">
        <f>HYPERLINK("https://youtube.com/watch?v=nCc-iDCNCyI", "市民關穎怡：呢個世界有一樣嘢叫：『報應』")</f>
        <v>市民關穎怡：呢個世界有一樣嘢叫：『報應』</v>
      </c>
      <c r="E4227" s="82">
        <v>42421.0</v>
      </c>
      <c r="F4227" s="80">
        <v>192.0</v>
      </c>
      <c r="G4227" s="80" t="s">
        <v>63</v>
      </c>
      <c r="H4227" s="80" t="s">
        <v>63</v>
      </c>
      <c r="I4227" s="80" t="s">
        <v>63</v>
      </c>
      <c r="J4227" s="80">
        <v>944.0</v>
      </c>
      <c r="K4227" s="80">
        <v>0.978238341968911</v>
      </c>
      <c r="L4227" s="80" t="s">
        <v>120</v>
      </c>
    </row>
    <row r="4228">
      <c r="A4228" s="80" t="s">
        <v>2764</v>
      </c>
      <c r="B4228" s="81" t="str">
        <f>HYPERLINK("https://www.youtube.com/channel/UCejZUW4khvxoA4uL2Afz20g", "Housik Laanfei 好食懶飛")</f>
        <v>Housik Laanfei 好食懶飛</v>
      </c>
      <c r="C4228" s="80" t="s">
        <v>4642</v>
      </c>
      <c r="D4228" s="81" t="str">
        <f>HYPERLINK("https://youtube.com/watch?v=nDCEmPEHyFk", "[免焗甜品] 西班牙油條 | CC: 廣東話/繁中/ENG SUB | COOKING VLOG")</f>
        <v>[免焗甜品] 西班牙油條 | CC: 廣東話/繁中/ENG SUB | COOKING VLOG</v>
      </c>
      <c r="E4228" s="82">
        <v>44315.0</v>
      </c>
      <c r="F4228" s="80">
        <v>404.0</v>
      </c>
      <c r="G4228" s="80" t="s">
        <v>63</v>
      </c>
      <c r="H4228" s="80" t="s">
        <v>63</v>
      </c>
      <c r="I4228" s="80" t="s">
        <v>63</v>
      </c>
      <c r="J4228" s="80">
        <v>153.0</v>
      </c>
      <c r="K4228" s="80">
        <v>0.924528301886792</v>
      </c>
      <c r="L4228" s="80" t="s">
        <v>80</v>
      </c>
    </row>
    <row r="4229">
      <c r="A4229" s="80" t="s">
        <v>98</v>
      </c>
      <c r="B4229" s="81" t="str">
        <f>HYPERLINK("https://www.youtube.com/channel/UCrquuQB6v1Ued2xyRKZreGQ", "Stephen Leung ")</f>
        <v>Stephen Leung </v>
      </c>
      <c r="C4229" s="80" t="s">
        <v>4643</v>
      </c>
      <c r="D4229" s="81" t="str">
        <f>HYPERLINK("https://youtube.com/watch?v=nN-OCWg_ax0", "【香港自助餐】白松露 pizza 西日式早午自助餐 Weekend Brunch 尖沙咀 Aqua 頂級維港景色 任飲法國香檳 最新打卡位 hzentre | 吃喝玩樂  美食 2022 香港好去處")</f>
        <v>【香港自助餐】白松露 pizza 西日式早午自助餐 Weekend Brunch 尖沙咀 Aqua 頂級維港景色 任飲法國香檳 最新打卡位 hzentre | 吃喝玩樂  美食 2022 香港好去處</v>
      </c>
      <c r="E4229" s="82">
        <v>44565.0</v>
      </c>
      <c r="F4229" s="80">
        <v>898.0</v>
      </c>
      <c r="G4229" s="80" t="s">
        <v>63</v>
      </c>
      <c r="I4229" s="80" t="s">
        <v>63</v>
      </c>
      <c r="J4229" s="80">
        <v>2058.0</v>
      </c>
      <c r="K4229" s="80">
        <v>0.946206896551724</v>
      </c>
      <c r="L4229" s="80" t="s">
        <v>521</v>
      </c>
    </row>
    <row r="4230">
      <c r="A4230" s="80" t="s">
        <v>293</v>
      </c>
      <c r="B4230" s="81" t="str">
        <f>HYPERLINK("https://www.youtube.com/channel/UCXRcbXqjORdIvl63I7MtOLQ", "趁熱 Kerry 's kitchen")</f>
        <v>趁熱 Kerry 's kitchen</v>
      </c>
      <c r="C4230" s="80" t="s">
        <v>4644</v>
      </c>
      <c r="D4230" s="81" t="str">
        <f>HYPERLINK("https://youtube.com/watch?v=nNZ0QKP3rHM", "黑椒 牛肉粒/廣東話/中字/大大粒一樣腍/節日剩餘肉做法/冇難度/簡單 家做/收工做都得/好餸飯")</f>
        <v>黑椒 牛肉粒/廣東話/中字/大大粒一樣腍/節日剩餘肉做法/冇難度/簡單 家做/收工做都得/好餸飯</v>
      </c>
      <c r="E4230" s="82">
        <v>44557.0</v>
      </c>
      <c r="F4230" s="80">
        <v>554.0</v>
      </c>
      <c r="G4230" s="80" t="s">
        <v>63</v>
      </c>
      <c r="I4230" s="80" t="s">
        <v>63</v>
      </c>
      <c r="J4230" s="80">
        <v>800.0</v>
      </c>
      <c r="K4230" s="80">
        <v>0.982800982800982</v>
      </c>
      <c r="L4230" s="80" t="s">
        <v>64</v>
      </c>
    </row>
    <row r="4231">
      <c r="A4231" s="80" t="s">
        <v>1260</v>
      </c>
      <c r="B4231" s="81" t="str">
        <f>HYPERLINK("https://www.youtube.com/channel/UCh1k4i86BpiXEO3nzJIYynw", "The Wave")</f>
        <v>The Wave</v>
      </c>
      <c r="C4231" s="80" t="s">
        <v>4645</v>
      </c>
      <c r="D4231" s="81" t="str">
        <f>HYPERLINK("https://youtube.com/watch?v=nPREpxZUMjM", "TheWave | 桃園機場貴賓室 The Infinity | Plaza Premium | 波音787 體驗")</f>
        <v>TheWave | 桃園機場貴賓室 The Infinity | Plaza Premium | 波音787 體驗</v>
      </c>
      <c r="E4231" s="82">
        <v>43621.0</v>
      </c>
      <c r="F4231" s="80">
        <v>240.0</v>
      </c>
      <c r="G4231" s="80" t="s">
        <v>63</v>
      </c>
      <c r="H4231" s="80" t="s">
        <v>63</v>
      </c>
      <c r="I4231" s="80" t="s">
        <v>63</v>
      </c>
      <c r="J4231" s="80">
        <v>1030.0</v>
      </c>
      <c r="K4231" s="80">
        <v>0.888408304498269</v>
      </c>
      <c r="L4231" s="80" t="s">
        <v>1132</v>
      </c>
    </row>
    <row r="4232">
      <c r="A4232" s="80" t="s">
        <v>4131</v>
      </c>
      <c r="B4232" s="81" t="str">
        <f>HYPERLINK("https://www.youtube.com/channel/UCEf8tnbLkl2bLZwxGigSvSw", "癲嗱 DINNER")</f>
        <v>癲嗱 DINNER</v>
      </c>
      <c r="C4232" s="80" t="s">
        <v>4646</v>
      </c>
      <c r="D4232" s="81" t="str">
        <f>HYPERLINK("https://youtube.com/watch?v=nSJ-QD-5Rio", "慘叫廚房EP1｜人人都係廚神｜簡單食材｜簡單煮法｜你又煮｜我又煮｜慘叫雞出沒注意｜蔥油餅")</f>
        <v>慘叫廚房EP1｜人人都係廚神｜簡單食材｜簡單煮法｜你又煮｜我又煮｜慘叫雞出沒注意｜蔥油餅</v>
      </c>
      <c r="E4232" s="82">
        <v>44237.0</v>
      </c>
      <c r="F4232" s="80">
        <v>310.0</v>
      </c>
      <c r="G4232" s="80" t="s">
        <v>63</v>
      </c>
      <c r="I4232" s="80" t="s">
        <v>63</v>
      </c>
      <c r="J4232" s="80">
        <v>676.0</v>
      </c>
      <c r="K4232" s="80">
        <v>0.94019471488178</v>
      </c>
      <c r="L4232" s="80" t="s">
        <v>64</v>
      </c>
    </row>
    <row r="4233">
      <c r="A4233" s="80" t="s">
        <v>248</v>
      </c>
      <c r="B4233" s="81" t="str">
        <f t="shared" ref="B4233:B4235" si="224">HYPERLINK("https://www.youtube.com/channel/UCUEJok-GiWaGlv5nIPwk-GQ", "Price.com.hk 香港格價網")</f>
        <v>Price.com.hk 香港格價網</v>
      </c>
      <c r="C4233" s="80" t="s">
        <v>4647</v>
      </c>
      <c r="D4233" s="81" t="str">
        <f>HYPERLINK("https://youtube.com/watch?v=nTeAq8UZh4w", "竟然好過原廠!? GaN氮化鎵充電器 體積細 叉得快｜內附速度、溫度、多充、輸出功率實測  | Momax 、MagicPro、Verbatim | 廣東話【Price.com.hk產品比較】")</f>
        <v>竟然好過原廠!? GaN氮化鎵充電器 體積細 叉得快｜內附速度、溫度、多充、輸出功率實測  | Momax 、MagicPro、Verbatim | 廣東話【Price.com.hk產品比較】</v>
      </c>
      <c r="E4233" s="82">
        <v>44321.0</v>
      </c>
      <c r="F4233" s="80">
        <v>492.0</v>
      </c>
      <c r="G4233" s="80" t="s">
        <v>63</v>
      </c>
      <c r="I4233" s="80" t="s">
        <v>63</v>
      </c>
      <c r="J4233" s="80">
        <v>1692.0</v>
      </c>
      <c r="K4233" s="80">
        <v>0.733738074588031</v>
      </c>
      <c r="L4233" s="80" t="s">
        <v>64</v>
      </c>
    </row>
    <row r="4234">
      <c r="A4234" s="80" t="s">
        <v>248</v>
      </c>
      <c r="B4234" s="81" t="str">
        <f t="shared" si="224"/>
        <v>Price.com.hk 香港格價網</v>
      </c>
      <c r="C4234" s="80" t="s">
        <v>4648</v>
      </c>
      <c r="D4234" s="81" t="str">
        <f>HYPERLINK("https://youtube.com/watch?v=nUErTd90J2k", "日本製+日系調音 Acoustune升級入門耳機HS1300SS｜全新外殼設計｜3.5代Myrinx動圈單元｜Pentaconn Ear｜耳機評測｜特約專題【Price.com.hk產品介紹】")</f>
        <v>日本製+日系調音 Acoustune升級入門耳機HS1300SS｜全新外殼設計｜3.5代Myrinx動圈單元｜Pentaconn Ear｜耳機評測｜特約專題【Price.com.hk產品介紹】</v>
      </c>
      <c r="E4234" s="82">
        <v>44215.0</v>
      </c>
      <c r="F4234" s="80">
        <v>329.0</v>
      </c>
      <c r="G4234" s="80" t="s">
        <v>63</v>
      </c>
      <c r="I4234" s="80" t="s">
        <v>63</v>
      </c>
      <c r="J4234" s="80">
        <v>1233.0</v>
      </c>
      <c r="K4234" s="80">
        <v>0.788363171355498</v>
      </c>
      <c r="L4234" s="80" t="s">
        <v>64</v>
      </c>
    </row>
    <row r="4235">
      <c r="A4235" s="80" t="s">
        <v>248</v>
      </c>
      <c r="B4235" s="81" t="str">
        <f t="shared" si="224"/>
        <v>Price.com.hk 香港格價網</v>
      </c>
      <c r="C4235" s="80" t="s">
        <v>4649</v>
      </c>
      <c r="D4235" s="81" t="str">
        <f>HYPERLINK("https://youtube.com/watch?v=nVejQTBUmnw", "DJI Mavic 3 Cine 值唔值4萬？資深用家評價｜操控、避障、畫質、續航、AI功能試用｜feat. ＠山人物近｜廣東話【Price.com.hk產品評測】")</f>
        <v>DJI Mavic 3 Cine 值唔值4萬？資深用家評價｜操控、避障、畫質、續航、AI功能試用｜feat. ＠山人物近｜廣東話【Price.com.hk產品評測】</v>
      </c>
      <c r="E4235" s="82">
        <v>44564.0</v>
      </c>
      <c r="F4235" s="80">
        <v>683.0</v>
      </c>
      <c r="G4235" s="80" t="s">
        <v>63</v>
      </c>
      <c r="I4235" s="80" t="s">
        <v>63</v>
      </c>
      <c r="J4235" s="80">
        <v>1786.0</v>
      </c>
      <c r="K4235" s="80">
        <v>0.833022388059701</v>
      </c>
      <c r="L4235" s="80" t="s">
        <v>64</v>
      </c>
    </row>
    <row r="4236">
      <c r="A4236" s="80" t="s">
        <v>1606</v>
      </c>
      <c r="B4236" s="81" t="str">
        <f>HYPERLINK("https://www.youtube.com/channel/UCk25FUc8pLiP3A6Zniknxbg", "希治閣【遊戲情報科】")</f>
        <v>希治閣【遊戲情報科】</v>
      </c>
      <c r="C4236" s="80" t="s">
        <v>4650</v>
      </c>
      <c r="D4236" s="81" t="str">
        <f>HYPERLINK("https://youtube.com/watch?v=nYr97zg5AKE", "【特別推介】 機會黎喇飛雲！Premium Bandai 免運費活動又黎喇！")</f>
        <v>【特別推介】 機會黎喇飛雲！Premium Bandai 免運費活動又黎喇！</v>
      </c>
      <c r="E4236" s="82">
        <v>44035.0</v>
      </c>
      <c r="F4236" s="80">
        <v>195.0</v>
      </c>
      <c r="G4236" s="80" t="s">
        <v>63</v>
      </c>
      <c r="I4236" s="80" t="s">
        <v>63</v>
      </c>
      <c r="J4236" s="80">
        <v>922.0</v>
      </c>
      <c r="K4236" s="80">
        <v>0.815207780725022</v>
      </c>
      <c r="L4236" s="80" t="s">
        <v>64</v>
      </c>
    </row>
    <row r="4237">
      <c r="A4237" s="80" t="s">
        <v>4651</v>
      </c>
      <c r="B4237" s="81" t="str">
        <f>HYPERLINK("https://www.youtube.com/channel/UC_QC82uUObu9fk1-k3vx5rQ", "Wooper ! - Everything Europe")</f>
        <v>Wooper ! - Everything Europe</v>
      </c>
      <c r="C4237" s="80" t="s">
        <v>4652</v>
      </c>
      <c r="D4237" s="81" t="str">
        <f>HYPERLINK("https://youtube.com/watch?v=najbtmH3WoY", "『遊論歐洲』瑞士人殘酷二選一 第一次約會應該男人請還是AA制? (德語廣東話字幕)")</f>
        <v>『遊論歐洲』瑞士人殘酷二選一 第一次約會應該男人請還是AA制? (德語廣東話字幕)</v>
      </c>
      <c r="E4237" s="82">
        <v>44136.0</v>
      </c>
      <c r="F4237" s="80">
        <v>628.0</v>
      </c>
      <c r="G4237" s="80" t="s">
        <v>63</v>
      </c>
      <c r="I4237" s="80" t="s">
        <v>63</v>
      </c>
      <c r="J4237" s="80">
        <v>2041.0</v>
      </c>
      <c r="K4237" s="80">
        <v>0.975621414913957</v>
      </c>
      <c r="L4237" s="80" t="s">
        <v>4653</v>
      </c>
    </row>
    <row r="4238">
      <c r="A4238" s="80" t="s">
        <v>291</v>
      </c>
      <c r="B4238" s="81" t="str">
        <f>HYPERLINK("https://www.youtube.com/channel/UClSNJbCUCp_W4yrS3DlCmjw", "飛馬 PEGASUS")</f>
        <v>飛馬 PEGASUS</v>
      </c>
      <c r="C4238" s="80" t="s">
        <v>4654</v>
      </c>
      <c r="D4238" s="81" t="str">
        <f>HYPERLINK("https://youtube.com/watch?v=nchkEcgkULI", "[FLYHORSE.HK 2021] 2077 窮砌大賽 賽前宣言")</f>
        <v>[FLYHORSE.HK 2021] 2077 窮砌大賽 賽前宣言</v>
      </c>
      <c r="E4238" s="82">
        <v>44203.0</v>
      </c>
      <c r="F4238" s="80">
        <v>160.0</v>
      </c>
      <c r="G4238" s="80" t="s">
        <v>63</v>
      </c>
      <c r="H4238" s="80" t="s">
        <v>63</v>
      </c>
      <c r="I4238" s="80" t="s">
        <v>63</v>
      </c>
      <c r="J4238" s="80">
        <v>499.0</v>
      </c>
      <c r="K4238" s="80">
        <v>0.822147651006711</v>
      </c>
      <c r="L4238" s="80" t="s">
        <v>434</v>
      </c>
    </row>
    <row r="4239">
      <c r="A4239" s="80" t="s">
        <v>2041</v>
      </c>
      <c r="B4239" s="81" t="str">
        <f>HYPERLINK("https://www.youtube.com/channel/UCO6pB-ZN4XJ6MVkibvuEe0A", "SingSingTracker 星昇財經指標")</f>
        <v>SingSingTracker 星昇財經指標</v>
      </c>
      <c r="C4239" s="80" t="s">
        <v>4655</v>
      </c>
      <c r="D4239" s="81" t="str">
        <f>HYPERLINK("https://youtube.com/watch?v=ndATRkkfmCk", "【🔋🚙 新能源汽車股值得關注❓】 除TESLA以外，有實力的汽車品牌【點CC中文字幕】#FWCChannel​ #新能源汽車​ #小米​ #雷軍")</f>
        <v>【🔋🚙 新能源汽車股值得關注❓】 除TESLA以外，有實力的汽車品牌【點CC中文字幕】#FWCChannel​ #新能源汽車​ #小米​ #雷軍</v>
      </c>
      <c r="E4239" s="82">
        <v>44301.0</v>
      </c>
      <c r="F4239" s="80">
        <v>528.0</v>
      </c>
      <c r="G4239" s="80" t="s">
        <v>63</v>
      </c>
      <c r="I4239" s="80" t="s">
        <v>63</v>
      </c>
      <c r="J4239" s="80">
        <v>1652.0</v>
      </c>
      <c r="K4239" s="80">
        <v>0.928089887640449</v>
      </c>
      <c r="L4239" s="80" t="s">
        <v>64</v>
      </c>
    </row>
    <row r="4240">
      <c r="A4240" s="80" t="s">
        <v>291</v>
      </c>
      <c r="B4240" s="81" t="str">
        <f>HYPERLINK("https://www.youtube.com/channel/UClSNJbCUCp_W4yrS3DlCmjw", "飛馬 PEGASUS")</f>
        <v>飛馬 PEGASUS</v>
      </c>
      <c r="C4240" s="80" t="s">
        <v>4656</v>
      </c>
      <c r="D4240" s="81" t="str">
        <f>HYPERLINK("https://youtube.com/watch?v=ndE43D7f8G0", "[砌機] AMD Yes! 3700x + 2080 組合 - Fractal Design Vector RS - Dark TG 簡評 (CC中文字幕)")</f>
        <v>[砌機] AMD Yes! 3700x + 2080 組合 - Fractal Design Vector RS - Dark TG 簡評 (CC中文字幕)</v>
      </c>
      <c r="E4240" s="82">
        <v>43732.0</v>
      </c>
      <c r="F4240" s="80">
        <v>317.0</v>
      </c>
      <c r="G4240" s="80" t="s">
        <v>63</v>
      </c>
      <c r="I4240" s="80" t="s">
        <v>63</v>
      </c>
      <c r="J4240" s="80">
        <v>1174.0</v>
      </c>
      <c r="K4240" s="80">
        <v>0.699225729600953</v>
      </c>
      <c r="L4240" s="80" t="s">
        <v>64</v>
      </c>
    </row>
    <row r="4241">
      <c r="A4241" s="80" t="s">
        <v>295</v>
      </c>
      <c r="B4241" s="81" t="str">
        <f>HYPERLINK("https://www.youtube.com/channel/UCIotQRUz6c4H-BRsouLt4YQ", "Captain and his squad")</f>
        <v>Captain and his squad</v>
      </c>
      <c r="C4241" s="80" t="s">
        <v>4657</v>
      </c>
      <c r="D4241" s="81" t="str">
        <f>HYPERLINK("https://youtube.com/watch?v=nhyqzTIqs8E", "【 教學 ep.07 : 解決狗狗暴衝拉扯牽繩 🐕💨🏃🏻‍♂️ 】點樣輕鬆矯正搶繩壞習慣?｜鬆繩散步秘訣大公開｜同狗狗散步原來係咁容易《Captain 狗隻訓練📍城門水塘一日遊》(cc中英字幕)")</f>
        <v>【 教學 ep.07 : 解決狗狗暴衝拉扯牽繩 🐕💨🏃🏻‍♂️ 】點樣輕鬆矯正搶繩壞習慣?｜鬆繩散步秘訣大公開｜同狗狗散步原來係咁容易《Captain 狗隻訓練📍城門水塘一日遊》(cc中英字幕)</v>
      </c>
      <c r="E4241" s="82">
        <v>44084.0</v>
      </c>
      <c r="F4241" s="80">
        <v>650.0</v>
      </c>
      <c r="G4241" s="80" t="s">
        <v>63</v>
      </c>
      <c r="H4241" s="80" t="s">
        <v>63</v>
      </c>
      <c r="I4241" s="80" t="s">
        <v>63</v>
      </c>
      <c r="J4241" s="80">
        <v>3025.0</v>
      </c>
      <c r="K4241" s="80">
        <v>0.950765136393878</v>
      </c>
      <c r="L4241" s="80" t="s">
        <v>1155</v>
      </c>
    </row>
    <row r="4242">
      <c r="A4242" s="80" t="s">
        <v>1670</v>
      </c>
      <c r="B4242" s="81" t="str">
        <f t="shared" ref="B4242:B4243" si="225">HYPERLINK("https://www.youtube.com/channel/UC-PIt5m-WOg8UVBkt2RnN0g", "阿JACK睇樓團")</f>
        <v>阿JACK睇樓團</v>
      </c>
      <c r="C4242" s="80" t="s">
        <v>4658</v>
      </c>
      <c r="D4242" s="81" t="str">
        <f>HYPERLINK("https://youtube.com/watch?v=nm6oiRDxjRc", "🆕上車新手必睇 炒家老手不要睇買樓流程由頭到尾講解你聽 ︳嘔心瀝血🩸制作阿JACK睇樓團 #上車盤 #村屋")</f>
        <v>🆕上車新手必睇 炒家老手不要睇買樓流程由頭到尾講解你聽 ︳嘔心瀝血🩸制作阿JACK睇樓團 #上車盤 #村屋</v>
      </c>
      <c r="E4242" s="82">
        <v>44124.0</v>
      </c>
      <c r="F4242" s="80">
        <v>554.0</v>
      </c>
      <c r="G4242" s="80" t="s">
        <v>63</v>
      </c>
      <c r="I4242" s="80" t="s">
        <v>63</v>
      </c>
      <c r="J4242" s="80">
        <v>2012.0</v>
      </c>
      <c r="K4242" s="80">
        <v>0.974334140435835</v>
      </c>
      <c r="L4242" s="80" t="s">
        <v>64</v>
      </c>
    </row>
    <row r="4243">
      <c r="A4243" s="80" t="s">
        <v>1670</v>
      </c>
      <c r="B4243" s="81" t="str">
        <f t="shared" si="225"/>
        <v>阿JACK睇樓團</v>
      </c>
      <c r="C4243" s="80" t="s">
        <v>4659</v>
      </c>
      <c r="D4243" s="81" t="str">
        <f>HYPERLINK("https://youtube.com/watch?v=nq8Wq3tRaJc", "阿JACK睇樓團 👑元朗勁正洋房!!超靚屋苑環境!!四房四套雙車位 ((租售都有))")</f>
        <v>阿JACK睇樓團 👑元朗勁正洋房!!超靚屋苑環境!!四房四套雙車位 ((租售都有))</v>
      </c>
      <c r="E4243" s="82">
        <v>44084.0</v>
      </c>
      <c r="F4243" s="80">
        <v>331.0</v>
      </c>
      <c r="G4243" s="80" t="s">
        <v>63</v>
      </c>
      <c r="I4243" s="80" t="s">
        <v>63</v>
      </c>
      <c r="J4243" s="80">
        <v>462.0</v>
      </c>
      <c r="K4243" s="80">
        <v>0.970588235294117</v>
      </c>
      <c r="L4243" s="80" t="s">
        <v>64</v>
      </c>
    </row>
    <row r="4244">
      <c r="A4244" s="80" t="s">
        <v>127</v>
      </c>
      <c r="B4244" s="81" t="str">
        <f>HYPERLINK("https://www.youtube.com/channel/UC97oYK3XMf9RLtkc0lO8C-Q", "健康旦 HiEggo")</f>
        <v>健康旦 HiEggo</v>
      </c>
      <c r="C4244" s="80" t="s">
        <v>4660</v>
      </c>
      <c r="D4244" s="81" t="str">
        <f>HYPERLINK("https://youtube.com/watch?v=nqaXVgshG44", "微波爐叮蔬菜營養更佳 食蒲公英助消走體內毒素 紫椰菜洋蔥清肝養生湯譜 - 鄭丹瑞《健康旦》#趙汝威 Part 18 (CC中文字幕)")</f>
        <v>微波爐叮蔬菜營養更佳 食蒲公英助消走體內毒素 紫椰菜洋蔥清肝養生湯譜 - 鄭丹瑞《健康旦》#趙汝威 Part 18 (CC中文字幕)</v>
      </c>
      <c r="E4244" s="82">
        <v>44106.0</v>
      </c>
      <c r="F4244" s="80">
        <v>694.0</v>
      </c>
      <c r="G4244" s="80" t="s">
        <v>63</v>
      </c>
      <c r="I4244" s="80" t="s">
        <v>63</v>
      </c>
      <c r="J4244" s="80">
        <v>2550.0</v>
      </c>
      <c r="K4244" s="80">
        <v>0.972169271826153</v>
      </c>
      <c r="L4244" s="80" t="s">
        <v>2771</v>
      </c>
    </row>
    <row r="4245">
      <c r="A4245" s="80" t="s">
        <v>1260</v>
      </c>
      <c r="B4245" s="81" t="str">
        <f>HYPERLINK("https://www.youtube.com/channel/UCh1k4i86BpiXEO3nzJIYynw", "The Wave")</f>
        <v>The Wave</v>
      </c>
      <c r="C4245" s="80" t="s">
        <v>4661</v>
      </c>
      <c r="D4245" s="81" t="str">
        <f>HYPERLINK("https://youtube.com/watch?v=nrbO4XUYxIA", "TheWave |  攝影師福音？  UHS-II SD卡讀卡器 開箱測試 | SanDisk Extreme PRO")</f>
        <v>TheWave |  攝影師福音？  UHS-II SD卡讀卡器 開箱測試 | SanDisk Extreme PRO</v>
      </c>
      <c r="E4245" s="82">
        <v>43649.0</v>
      </c>
      <c r="F4245" s="80">
        <v>176.0</v>
      </c>
      <c r="G4245" s="80" t="s">
        <v>63</v>
      </c>
      <c r="H4245" s="80" t="s">
        <v>63</v>
      </c>
      <c r="I4245" s="80" t="s">
        <v>63</v>
      </c>
      <c r="J4245" s="80">
        <v>518.0</v>
      </c>
      <c r="K4245" s="80">
        <v>0.84090909090909</v>
      </c>
      <c r="L4245" s="80" t="s">
        <v>1634</v>
      </c>
    </row>
    <row r="4246">
      <c r="A4246" s="80" t="s">
        <v>238</v>
      </c>
      <c r="B4246" s="81" t="str">
        <f>HYPERLINK("https://www.youtube.com/channel/UCSBkm4LwpgBmcA3MCtO8vqg", "Post76影音玩樂")</f>
        <v>Post76影音玩樂</v>
      </c>
      <c r="C4246" s="80" t="s">
        <v>4662</v>
      </c>
      <c r="D4246" s="81" t="str">
        <f>HYPERLINK("https://youtube.com/watch?v=nsSvTrcpn48", "B&amp;W 體驗月呈獻 : 好戲連場【星】級私房匯活動精華｜ft. Marantz 8015 + B&amp;W 702(S2) （附設cc字幕）【試玩會】")</f>
        <v>B&amp;W 體驗月呈獻 : 好戲連場【星】級私房匯活動精華｜ft. Marantz 8015 + B&amp;W 702(S2) （附設cc字幕）【試玩會】</v>
      </c>
      <c r="E4246" s="82">
        <v>44524.0</v>
      </c>
      <c r="F4246" s="80">
        <v>343.0</v>
      </c>
      <c r="G4246" s="80" t="s">
        <v>63</v>
      </c>
      <c r="H4246" s="80" t="s">
        <v>63</v>
      </c>
      <c r="I4246" s="80" t="s">
        <v>63</v>
      </c>
      <c r="J4246" s="80">
        <v>961.0</v>
      </c>
      <c r="K4246" s="80">
        <v>0.802170283806343</v>
      </c>
      <c r="L4246" s="80" t="s">
        <v>240</v>
      </c>
    </row>
    <row r="4247">
      <c r="A4247" s="80" t="s">
        <v>3568</v>
      </c>
      <c r="B4247" s="81" t="str">
        <f>HYPERLINK("https://www.youtube.com/channel/UCjn1kWmv_eC0Fzkx5gmjnVA", "Snow E")</f>
        <v>Snow E</v>
      </c>
      <c r="C4247" s="80" t="s">
        <v>4663</v>
      </c>
      <c r="D4247" s="81" t="str">
        <f>HYPERLINK("https://youtube.com/watch?v=ntx919et69I", "同事玩老闆系列🔥雪姨大學入學迎新營初體驗🤣3個最經典兼最猛烈之Ocamp遊戲🔥全港唯一Ocamp on the boat要來了😂")</f>
        <v>同事玩老闆系列🔥雪姨大學入學迎新營初體驗🤣3個最經典兼最猛烈之Ocamp遊戲🔥全港唯一Ocamp on the boat要來了😂</v>
      </c>
      <c r="E4247" s="82">
        <v>44103.0</v>
      </c>
      <c r="F4247" s="80">
        <v>608.0</v>
      </c>
      <c r="G4247" s="80" t="s">
        <v>63</v>
      </c>
      <c r="I4247" s="80" t="s">
        <v>63</v>
      </c>
      <c r="J4247" s="80">
        <v>1151.0</v>
      </c>
      <c r="K4247" s="80">
        <v>0.950454170107349</v>
      </c>
      <c r="L4247" s="80" t="s">
        <v>64</v>
      </c>
    </row>
    <row r="4248">
      <c r="A4248" s="80" t="s">
        <v>1139</v>
      </c>
      <c r="B4248" s="81" t="str">
        <f>HYPERLINK("https://www.youtube.com/channel/UCw51gVFijIewmXH4tIR0ufw", "Crystal Zen")</f>
        <v>Crystal Zen</v>
      </c>
      <c r="C4248" s="80" t="s">
        <v>4664</v>
      </c>
      <c r="D4248" s="81" t="str">
        <f>HYPERLINK("https://youtube.com/watch?v=nwwjnDhNVD8", "[實用系列] 六大高能量水晶你應該點揀？ 一條片話晒俾你聽 超級七。極光23。綠幽靈。翡翠綠幽靈。捷克隕石。天鐵！！")</f>
        <v>[實用系列] 六大高能量水晶你應該點揀？ 一條片話晒俾你聽 超級七。極光23。綠幽靈。翡翠綠幽靈。捷克隕石。天鐵！！</v>
      </c>
      <c r="E4248" s="82">
        <v>44245.0</v>
      </c>
      <c r="F4248" s="80">
        <v>800.0</v>
      </c>
      <c r="G4248" s="80" t="s">
        <v>63</v>
      </c>
      <c r="I4248" s="80" t="s">
        <v>63</v>
      </c>
      <c r="J4248" s="80">
        <v>3190.0</v>
      </c>
      <c r="K4248" s="80">
        <v>0.979428922321154</v>
      </c>
      <c r="L4248" s="80" t="s">
        <v>64</v>
      </c>
    </row>
    <row r="4249">
      <c r="A4249" s="80" t="s">
        <v>127</v>
      </c>
      <c r="B4249" s="81" t="str">
        <f>HYPERLINK("https://www.youtube.com/channel/UC97oYK3XMf9RLtkc0lO8C-Q", "健康旦 HiEggo")</f>
        <v>健康旦 HiEggo</v>
      </c>
      <c r="C4249" s="80" t="s">
        <v>4665</v>
      </c>
      <c r="D4249" s="81" t="str">
        <f>HYPERLINK("https://youtube.com/watch?v=nyevejc3nO8", "李純恩品評陳慧儀健康月餅 從黎巴嫰菜鷹嘴豆頭盤獲啟發 加入藜麥莧菜籽黑小米取代傳統蓮蓉 - 鄭丹瑞《健康旦》#李純恩 月餅製作 (CC中文字幕)")</f>
        <v>李純恩品評陳慧儀健康月餅 從黎巴嫰菜鷹嘴豆頭盤獲啟發 加入藜麥莧菜籽黑小米取代傳統蓮蓉 - 鄭丹瑞《健康旦》#李純恩 月餅製作 (CC中文字幕)</v>
      </c>
      <c r="E4249" s="82">
        <v>44025.0</v>
      </c>
      <c r="F4249" s="80">
        <v>801.0</v>
      </c>
      <c r="G4249" s="80" t="s">
        <v>63</v>
      </c>
      <c r="I4249" s="80" t="s">
        <v>63</v>
      </c>
      <c r="J4249" s="80">
        <v>3403.0</v>
      </c>
      <c r="K4249" s="80">
        <v>0.966477272727272</v>
      </c>
      <c r="L4249" s="80" t="s">
        <v>3067</v>
      </c>
    </row>
    <row r="4250">
      <c r="A4250" s="80" t="s">
        <v>4131</v>
      </c>
      <c r="B4250" s="81" t="str">
        <f>HYPERLINK("https://www.youtube.com/channel/UCEf8tnbLkl2bLZwxGigSvSw", "癲嗱 DINNER")</f>
        <v>癲嗱 DINNER</v>
      </c>
      <c r="C4250" s="80" t="s">
        <v>4666</v>
      </c>
      <c r="D4250" s="81" t="str">
        <f>HYPERLINK("https://youtube.com/watch?v=nzGkkaDh0QA", "【地區小食】食豆腐花丨豆腐花都要BATTLE?!丨地區小店｜2020.12.08")</f>
        <v>【地區小食】食豆腐花丨豆腐花都要BATTLE?!丨地區小店｜2020.12.08</v>
      </c>
      <c r="E4250" s="82">
        <v>44173.0</v>
      </c>
      <c r="F4250" s="80">
        <v>384.0</v>
      </c>
      <c r="G4250" s="80" t="s">
        <v>63</v>
      </c>
      <c r="I4250" s="80" t="s">
        <v>63</v>
      </c>
      <c r="J4250" s="80">
        <v>1084.0</v>
      </c>
      <c r="K4250" s="80">
        <v>0.976576576576576</v>
      </c>
      <c r="L4250" s="80" t="s">
        <v>521</v>
      </c>
    </row>
    <row r="4251">
      <c r="A4251" s="80" t="s">
        <v>2800</v>
      </c>
      <c r="B4251" s="81" t="str">
        <f>HYPERLINK("https://www.youtube.com/channel/UCMqrlsr-AECPc6_3oDr8m9w", "Unicorn 獸哥")</f>
        <v>Unicorn 獸哥</v>
      </c>
      <c r="C4251" s="80" t="s">
        <v>4667</v>
      </c>
      <c r="D4251" s="81" t="str">
        <f>HYPERLINK("https://youtube.com/watch?v=o-b_du7E2no", "香港人在疫情下的don't look up 最適合現今香港的電影")</f>
        <v>香港人在疫情下的don't look up 最適合現今香港的電影</v>
      </c>
      <c r="E4251" s="82">
        <v>44567.0</v>
      </c>
      <c r="F4251" s="80">
        <v>337.0</v>
      </c>
      <c r="G4251" s="80" t="s">
        <v>63</v>
      </c>
      <c r="I4251" s="80" t="s">
        <v>63</v>
      </c>
      <c r="J4251" s="80">
        <v>1643.0</v>
      </c>
      <c r="K4251" s="80">
        <v>0.849974133471288</v>
      </c>
      <c r="L4251" s="80" t="s">
        <v>64</v>
      </c>
    </row>
    <row r="4252">
      <c r="A4252" s="80" t="s">
        <v>127</v>
      </c>
      <c r="B4252" s="81" t="str">
        <f>HYPERLINK("https://www.youtube.com/channel/UC97oYK3XMf9RLtkc0lO8C-Q", "健康旦 HiEggo")</f>
        <v>健康旦 HiEggo</v>
      </c>
      <c r="C4252" s="80" t="s">
        <v>4668</v>
      </c>
      <c r="D4252" s="81" t="str">
        <f>HYPERLINK("https://youtube.com/watch?v=o1V6O6Tb9SM", "退休後先學少林內養功 再學台灣平甩功 倪秉郎往澳洲珀斯學冥想 走遍各國尋訪名師學養生 - 鄭丹瑞《健康旦》 #倪秉郎 Part 1 (CC中文字幕)")</f>
        <v>退休後先學少林內養功 再學台灣平甩功 倪秉郎往澳洲珀斯學冥想 走遍各國尋訪名師學養生 - 鄭丹瑞《健康旦》 #倪秉郎 Part 1 (CC中文字幕)</v>
      </c>
      <c r="E4252" s="82">
        <v>44124.0</v>
      </c>
      <c r="F4252" s="80">
        <v>501.0</v>
      </c>
      <c r="G4252" s="80" t="s">
        <v>63</v>
      </c>
      <c r="I4252" s="80" t="s">
        <v>63</v>
      </c>
      <c r="J4252" s="80">
        <v>1989.0</v>
      </c>
      <c r="K4252" s="80">
        <v>0.990537848605577</v>
      </c>
      <c r="L4252" s="80" t="s">
        <v>2771</v>
      </c>
    </row>
    <row r="4253">
      <c r="A4253" s="80" t="s">
        <v>248</v>
      </c>
      <c r="B4253" s="81" t="str">
        <f>HYPERLINK("https://www.youtube.com/channel/UCUEJok-GiWaGlv5nIPwk-GQ", "Price.com.hk 香港格價網")</f>
        <v>Price.com.hk 香港格價網</v>
      </c>
      <c r="C4253" s="80" t="s">
        <v>4669</v>
      </c>
      <c r="D4253" s="81" t="str">
        <f>HYPERLINK("https://youtube.com/watch?v=o3NCsEqBZDs", "連Android機都有反偵測AirTag App？PS5 五種新色外殻登場！iOS 15.2新增3大功能 | 廣東話【Price Weekly #93 2021年12月 】")</f>
        <v>連Android機都有反偵測AirTag App？PS5 五種新色外殻登場！iOS 15.2新增3大功能 | 廣東話【Price Weekly #93 2021年12月 】</v>
      </c>
      <c r="E4253" s="82">
        <v>44548.0</v>
      </c>
      <c r="F4253" s="80">
        <v>522.0</v>
      </c>
      <c r="G4253" s="80" t="s">
        <v>63</v>
      </c>
      <c r="I4253" s="80" t="s">
        <v>63</v>
      </c>
      <c r="J4253" s="80">
        <v>1823.0</v>
      </c>
      <c r="K4253" s="80">
        <v>0.73066132264529</v>
      </c>
      <c r="L4253" s="80" t="s">
        <v>64</v>
      </c>
    </row>
    <row r="4254">
      <c r="A4254" s="80" t="s">
        <v>1987</v>
      </c>
      <c r="B4254" s="81" t="str">
        <f>HYPERLINK("https://www.youtube.com/channel/UCgGUmm04nVyj-ftaCxVcyBg", "MangoHK大馬獅家")</f>
        <v>MangoHK大馬獅家</v>
      </c>
      <c r="C4254" s="80" t="s">
        <v>4670</v>
      </c>
      <c r="D4254" s="81" t="str">
        <f>HYPERLINK("https://youtube.com/watch?v=o5Ku8Ciwip0", "【7】🌿自家有機香草意粉⏰真係三分鐘攪掂? {字幕}  Subtitled | [DIY]Spaghetti with Meat and Vanilla | Malaysia Vlog | mm2h")</f>
        <v>【7】🌿自家有機香草意粉⏰真係三分鐘攪掂? {字幕}  Subtitled | [DIY]Spaghetti with Meat and Vanilla | Malaysia Vlog | mm2h</v>
      </c>
      <c r="E4254" s="82">
        <v>44447.0</v>
      </c>
      <c r="F4254" s="80">
        <v>184.0</v>
      </c>
      <c r="G4254" s="80" t="s">
        <v>63</v>
      </c>
      <c r="I4254" s="80" t="s">
        <v>63</v>
      </c>
      <c r="J4254" s="80">
        <v>386.0</v>
      </c>
      <c r="K4254" s="80">
        <v>1.0</v>
      </c>
      <c r="L4254" s="80" t="s">
        <v>896</v>
      </c>
    </row>
    <row r="4255">
      <c r="A4255" s="80" t="s">
        <v>108</v>
      </c>
      <c r="B4255" s="81" t="str">
        <f>HYPERLINK("https://www.youtube.com/channel/UCZL6QN6Xs-ZrKY3y6Pv6Emg", "廢青 - 日賺3000")</f>
        <v>廢青 - 日賺3000</v>
      </c>
      <c r="C4255" s="80" t="s">
        <v>4671</v>
      </c>
      <c r="D4255" s="81" t="str">
        <f>HYPERLINK("https://youtube.com/watch?v=o9_ix3olGaI", "股票收息 | 秘密大公開 ㊙ 八厘息股票 ㊙ EP04【廢青 日賺3000】[點CC看中文字幕]")</f>
        <v>股票收息 | 秘密大公開 ㊙ 八厘息股票 ㊙ EP04【廢青 日賺3000】[點CC看中文字幕]</v>
      </c>
      <c r="E4255" s="82">
        <v>43860.0</v>
      </c>
      <c r="F4255" s="80">
        <v>612.0</v>
      </c>
      <c r="G4255" s="80" t="s">
        <v>63</v>
      </c>
      <c r="I4255" s="80" t="s">
        <v>63</v>
      </c>
      <c r="J4255" s="80">
        <v>2259.0</v>
      </c>
      <c r="K4255" s="80">
        <v>0.90722891566265</v>
      </c>
      <c r="L4255" s="80" t="s">
        <v>64</v>
      </c>
    </row>
    <row r="4256">
      <c r="A4256" s="80" t="s">
        <v>291</v>
      </c>
      <c r="B4256" s="81" t="str">
        <f>HYPERLINK("https://www.youtube.com/channel/UClSNJbCUCp_W4yrS3DlCmjw", "飛馬 PEGASUS")</f>
        <v>飛馬 PEGASUS</v>
      </c>
      <c r="C4256" s="80" t="s">
        <v>4672</v>
      </c>
      <c r="D4256" s="81" t="str">
        <f>HYPERLINK("https://youtube.com/watch?v=oEDdUMwPt8Y", "$300 入門級塔散入手攻略! 邊隻最抵玩? (CC中文字幕)")</f>
        <v>$300 入門級塔散入手攻略! 邊隻最抵玩? (CC中文字幕)</v>
      </c>
      <c r="E4256" s="82">
        <v>44008.0</v>
      </c>
      <c r="F4256" s="80">
        <v>644.0</v>
      </c>
      <c r="G4256" s="80" t="s">
        <v>63</v>
      </c>
      <c r="I4256" s="80" t="s">
        <v>63</v>
      </c>
      <c r="J4256" s="80">
        <v>2861.0</v>
      </c>
      <c r="K4256" s="80">
        <v>0.807052186177715</v>
      </c>
      <c r="L4256" s="80" t="s">
        <v>64</v>
      </c>
    </row>
    <row r="4257">
      <c r="A4257" s="80" t="s">
        <v>3339</v>
      </c>
      <c r="B4257" s="81" t="str">
        <f>HYPERLINK("https://www.youtube.com/channel/UCo0lvDJ5ikc3hhD30ttGznw", "gingerlemoncola")</f>
        <v>gingerlemoncola</v>
      </c>
      <c r="C4257" s="80" t="s">
        <v>4673</v>
      </c>
      <c r="D4257" s="81" t="str">
        <f>HYPERLINK("https://youtube.com/watch?v=oJNCIzRjIqU", "睇返七年前第一條影片！睇完忍唔住拍多一次？w/爛牆")</f>
        <v>睇返七年前第一條影片！睇完忍唔住拍多一次？w/爛牆</v>
      </c>
      <c r="E4257" s="82">
        <v>43525.0</v>
      </c>
      <c r="F4257" s="80">
        <v>658.0</v>
      </c>
      <c r="G4257" s="80" t="s">
        <v>63</v>
      </c>
      <c r="I4257" s="80" t="s">
        <v>63</v>
      </c>
      <c r="J4257" s="80">
        <v>2519.0</v>
      </c>
      <c r="K4257" s="80">
        <v>0.872834372834372</v>
      </c>
      <c r="L4257" s="80" t="s">
        <v>64</v>
      </c>
    </row>
    <row r="4258">
      <c r="A4258" s="80" t="s">
        <v>2829</v>
      </c>
      <c r="B4258" s="81" t="str">
        <f>HYPERLINK("https://www.youtube.com/channel/UC7GnES6AEQlDzaP04UqtyjA", "SOLID IDEA")</f>
        <v>SOLID IDEA</v>
      </c>
      <c r="C4258" s="80" t="s">
        <v>4674</v>
      </c>
      <c r="D4258" s="81" t="str">
        <f>HYPERLINK("https://youtube.com/watch?v=oNUsjUml_zY", "[#設計概念] #凱滙 一房 #傢俬擺位 #不打拆   | 室內設計 | 空間擺位 | SOLID IDEA |  (CC中文字幕)")</f>
        <v>[#設計概念] #凱滙 一房 #傢俬擺位 #不打拆   | 室內設計 | 空間擺位 | SOLID IDEA |  (CC中文字幕)</v>
      </c>
      <c r="E4258" s="82">
        <v>44306.0</v>
      </c>
      <c r="F4258" s="80">
        <v>167.0</v>
      </c>
      <c r="G4258" s="80" t="s">
        <v>63</v>
      </c>
      <c r="I4258" s="80" t="s">
        <v>63</v>
      </c>
      <c r="J4258" s="80">
        <v>469.0</v>
      </c>
      <c r="K4258" s="80">
        <v>0.900191938579654</v>
      </c>
      <c r="L4258" s="80" t="s">
        <v>64</v>
      </c>
    </row>
    <row r="4259">
      <c r="A4259" s="80" t="s">
        <v>127</v>
      </c>
      <c r="B4259" s="81" t="str">
        <f>HYPERLINK("https://www.youtube.com/channel/UC97oYK3XMf9RLtkc0lO8C-Q", "健康旦 HiEggo")</f>
        <v>健康旦 HiEggo</v>
      </c>
      <c r="C4259" s="80" t="s">
        <v>4675</v>
      </c>
      <c r="D4259" s="81" t="str">
        <f>HYPERLINK("https://youtube.com/watch?v=oQiQAQAJ5Cs", "長者撞傷頭 勿亂動頸部 腦神經科專科醫生提醒頭暈作嘔反應差屬腦出血嚴重警號 - 鄭丹瑞《健康旦》#蔡德康 腦神經科專科醫生 Part 1 (CC中文字幕)")</f>
        <v>長者撞傷頭 勿亂動頸部 腦神經科專科醫生提醒頭暈作嘔反應差屬腦出血嚴重警號 - 鄭丹瑞《健康旦》#蔡德康 腦神經科專科醫生 Part 1 (CC中文字幕)</v>
      </c>
      <c r="E4259" s="82">
        <v>44020.0</v>
      </c>
      <c r="F4259" s="80">
        <v>630.0</v>
      </c>
      <c r="G4259" s="80" t="s">
        <v>63</v>
      </c>
      <c r="I4259" s="80" t="s">
        <v>63</v>
      </c>
      <c r="J4259" s="80">
        <v>2626.0</v>
      </c>
      <c r="K4259" s="80">
        <v>0.98684704998121</v>
      </c>
      <c r="L4259" s="80" t="s">
        <v>2771</v>
      </c>
    </row>
    <row r="4260">
      <c r="A4260" s="80" t="s">
        <v>98</v>
      </c>
      <c r="B4260" s="81" t="str">
        <f>HYPERLINK("https://www.youtube.com/channel/UCrquuQB6v1Ued2xyRKZreGQ", "Stephen Leung ")</f>
        <v>Stephen Leung </v>
      </c>
      <c r="C4260" s="80" t="s">
        <v>4676</v>
      </c>
      <c r="D4260" s="81" t="str">
        <f>HYPERLINK("https://youtube.com/watch?v=oQyRsQIy9ik", "【民生關注組】法式小店超市 半價 芝士 凍肉 乳酪 有機健康飲品 啤酒 紅酒 法國進口 $1000 超市禮券掃貨 Giveaway L'AZUR Gourmet | 吃喝玩樂")</f>
        <v>【民生關注組】法式小店超市 半價 芝士 凍肉 乳酪 有機健康飲品 啤酒 紅酒 法國進口 $1000 超市禮券掃貨 Giveaway L'AZUR Gourmet | 吃喝玩樂</v>
      </c>
      <c r="E4260" s="82">
        <v>44348.0</v>
      </c>
      <c r="F4260" s="80">
        <v>570.0</v>
      </c>
      <c r="G4260" s="80" t="s">
        <v>63</v>
      </c>
      <c r="I4260" s="80" t="s">
        <v>63</v>
      </c>
      <c r="J4260" s="80">
        <v>1425.0</v>
      </c>
      <c r="K4260" s="80">
        <v>0.924124513618677</v>
      </c>
      <c r="L4260" s="80" t="s">
        <v>64</v>
      </c>
    </row>
    <row r="4261">
      <c r="A4261" s="80" t="s">
        <v>108</v>
      </c>
      <c r="B4261" s="81" t="str">
        <f>HYPERLINK("https://www.youtube.com/channel/UCZL6QN6Xs-ZrKY3y6Pv6Emg", "廢青 - 日賺3000")</f>
        <v>廢青 - 日賺3000</v>
      </c>
      <c r="C4261" s="80" t="s">
        <v>4677</v>
      </c>
      <c r="D4261" s="81" t="str">
        <f>HYPERLINK("https://youtube.com/watch?v=oWQ-okiPZbs", "👶🏻新手投資  開股票戶口前必先解決的問題X5💵‼2020 財務自由靠股票EP11【廢青 日賺3000】【點CC看中文字幕】")</f>
        <v>👶🏻新手投資  開股票戶口前必先解決的問題X5💵‼2020 財務自由靠股票EP11【廢青 日賺3000】【點CC看中文字幕】</v>
      </c>
      <c r="E4261" s="82">
        <v>43854.0</v>
      </c>
      <c r="F4261" s="80">
        <v>719.0</v>
      </c>
      <c r="G4261" s="80" t="s">
        <v>63</v>
      </c>
      <c r="I4261" s="80" t="s">
        <v>63</v>
      </c>
      <c r="J4261" s="80">
        <v>3087.0</v>
      </c>
      <c r="K4261" s="80">
        <v>0.931221719457013</v>
      </c>
      <c r="L4261" s="80" t="s">
        <v>64</v>
      </c>
    </row>
    <row r="4262">
      <c r="A4262" s="80" t="s">
        <v>127</v>
      </c>
      <c r="B4262" s="81" t="str">
        <f t="shared" ref="B4262:B4264" si="226">HYPERLINK("https://www.youtube.com/channel/UC97oYK3XMf9RLtkc0lO8C-Q", "健康旦 HiEggo")</f>
        <v>健康旦 HiEggo</v>
      </c>
      <c r="C4262" s="80" t="s">
        <v>4678</v>
      </c>
      <c r="D4262" s="81" t="str">
        <f>HYPERLINK("https://youtube.com/watch?v=ol7DLv-D2v4", "陶傑、李維恩教授食飯一定叫外賣 李純恩、阿旦理性分析糧食短缺傳聞 - 鄭丹瑞《健康旦》Part 3  (優惠碼: 健康旦 Gaia Group) (CC中文字幕)")</f>
        <v>陶傑、李維恩教授食飯一定叫外賣 李純恩、阿旦理性分析糧食短缺傳聞 - 鄭丹瑞《健康旦》Part 3  (優惠碼: 健康旦 Gaia Group) (CC中文字幕)</v>
      </c>
      <c r="E4262" s="82">
        <v>43923.0</v>
      </c>
      <c r="F4262" s="80">
        <v>623.0</v>
      </c>
      <c r="G4262" s="80" t="s">
        <v>63</v>
      </c>
      <c r="I4262" s="80" t="s">
        <v>63</v>
      </c>
      <c r="J4262" s="80">
        <v>2264.0</v>
      </c>
      <c r="K4262" s="80">
        <v>0.956081081081081</v>
      </c>
      <c r="L4262" s="80" t="s">
        <v>64</v>
      </c>
    </row>
    <row r="4263">
      <c r="A4263" s="80" t="s">
        <v>127</v>
      </c>
      <c r="B4263" s="81" t="str">
        <f t="shared" si="226"/>
        <v>健康旦 HiEggo</v>
      </c>
      <c r="C4263" s="80" t="s">
        <v>4679</v>
      </c>
      <c r="D4263" s="81" t="str">
        <f>HYPERLINK("https://youtube.com/watch?v=orT7Nb8nmpM", "肺弱致瞓覺半夜小腿抽筋 長者應學坐式徒手運動 彈震式運動咪亂試 - 鄭丹瑞《健康旦》坐式徒手運動導師 #PaulLau (CC中文字幕)")</f>
        <v>肺弱致瞓覺半夜小腿抽筋 長者應學坐式徒手運動 彈震式運動咪亂試 - 鄭丹瑞《健康旦》坐式徒手運動導師 #PaulLau (CC中文字幕)</v>
      </c>
      <c r="E4263" s="82">
        <v>44027.0</v>
      </c>
      <c r="F4263" s="80">
        <v>708.0</v>
      </c>
      <c r="G4263" s="80" t="s">
        <v>63</v>
      </c>
      <c r="I4263" s="80" t="s">
        <v>63</v>
      </c>
      <c r="J4263" s="80">
        <v>3443.0</v>
      </c>
      <c r="K4263" s="80">
        <v>0.984276729559748</v>
      </c>
      <c r="L4263" s="80" t="s">
        <v>2771</v>
      </c>
    </row>
    <row r="4264">
      <c r="A4264" s="80" t="s">
        <v>127</v>
      </c>
      <c r="B4264" s="81" t="str">
        <f t="shared" si="226"/>
        <v>健康旦 HiEggo</v>
      </c>
      <c r="C4264" s="80" t="s">
        <v>4680</v>
      </c>
      <c r="D4264" s="81" t="str">
        <f>HYPERLINK("https://youtube.com/watch?v=ossD39OKC-Q", "黃淑儀教煮特色臘腸鬆餅 阿旦大女鄭瑤變即興師徒  - 鄭丹瑞《健康旦》黃淑儀 Part 4 (CC中文字幕)")</f>
        <v>黃淑儀教煮特色臘腸鬆餅 阿旦大女鄭瑤變即興師徒  - 鄭丹瑞《健康旦》黃淑儀 Part 4 (CC中文字幕)</v>
      </c>
      <c r="E4264" s="82">
        <v>43988.0</v>
      </c>
      <c r="F4264" s="80">
        <v>816.0</v>
      </c>
      <c r="G4264" s="80" t="s">
        <v>63</v>
      </c>
      <c r="I4264" s="80" t="s">
        <v>63</v>
      </c>
      <c r="J4264" s="80">
        <v>3251.0</v>
      </c>
      <c r="K4264" s="80">
        <v>0.965547965547965</v>
      </c>
      <c r="L4264" s="80" t="s">
        <v>240</v>
      </c>
    </row>
    <row r="4265">
      <c r="A4265" s="80" t="s">
        <v>108</v>
      </c>
      <c r="B4265" s="81" t="str">
        <f>HYPERLINK("https://www.youtube.com/channel/UCZL6QN6Xs-ZrKY3y6Pv6Emg", "廢青 - 日賺3000")</f>
        <v>廢青 - 日賺3000</v>
      </c>
      <c r="C4265" s="80" t="s">
        <v>4681</v>
      </c>
      <c r="D4265" s="81" t="str">
        <f>HYPERLINK("https://youtube.com/watch?v=otKlLuDqkpc", "租屋全攻略 X 3 (必賺!!)🏡 新手租屋必備!㊙️  樓市教學 EP03【廢青 日賺3000】【點CC看中文字幕】")</f>
        <v>租屋全攻略 X 3 (必賺!!)🏡 新手租屋必備!㊙️  樓市教學 EP03【廢青 日賺3000】【點CC看中文字幕】</v>
      </c>
      <c r="E4265" s="82">
        <v>44071.0</v>
      </c>
      <c r="F4265" s="80">
        <v>738.0</v>
      </c>
      <c r="G4265" s="80" t="s">
        <v>63</v>
      </c>
      <c r="I4265" s="80" t="s">
        <v>63</v>
      </c>
      <c r="J4265" s="80">
        <v>3020.0</v>
      </c>
      <c r="K4265" s="80">
        <v>0.924678505817513</v>
      </c>
      <c r="L4265" s="80" t="s">
        <v>64</v>
      </c>
    </row>
    <row r="4266">
      <c r="A4266" s="80" t="s">
        <v>2041</v>
      </c>
      <c r="B4266" s="81" t="str">
        <f>HYPERLINK("https://www.youtube.com/channel/UCO6pB-ZN4XJ6MVkibvuEe0A", "SingSingTracker 星昇財經指標")</f>
        <v>SingSingTracker 星昇財經指標</v>
      </c>
      <c r="C4266" s="80" t="s">
        <v>4682</v>
      </c>
      <c r="D4266" s="81" t="str">
        <f>HYPERLINK("https://youtube.com/watch?v=othIP-_pOaQ", "【大跌市買咩？】股災近在眼前？｜股市爆煲買呢隻？｜如何對沖手上股票｜Vix恐慌指數是什麼？｜SQQQ｜股市暴跌都有方法賺錢｜入市策略｜反向ETF  #Vix #S&amp;P500 #美國債務")</f>
        <v>【大跌市買咩？】股災近在眼前？｜股市爆煲買呢隻？｜如何對沖手上股票｜Vix恐慌指數是什麼？｜SQQQ｜股市暴跌都有方法賺錢｜入市策略｜反向ETF  #Vix #S&amp;P500 #美國債務</v>
      </c>
      <c r="E4266" s="82">
        <v>44403.0</v>
      </c>
      <c r="F4266" s="80">
        <v>406.0</v>
      </c>
      <c r="G4266" s="80" t="s">
        <v>63</v>
      </c>
      <c r="I4266" s="80" t="s">
        <v>63</v>
      </c>
      <c r="J4266" s="80">
        <v>1314.0</v>
      </c>
      <c r="K4266" s="80">
        <v>0.842307692307692</v>
      </c>
      <c r="L4266" s="80" t="s">
        <v>64</v>
      </c>
    </row>
    <row r="4267">
      <c r="A4267" s="80" t="s">
        <v>1390</v>
      </c>
      <c r="B4267" s="81" t="str">
        <f>HYPERLINK("https://www.youtube.com/channel/UCgwEJflQi4WnZ8PU0xdibZQ", "Kinson Ho")</f>
        <v>Kinson Ho</v>
      </c>
      <c r="C4267" s="80" t="s">
        <v>4683</v>
      </c>
      <c r="D4267" s="81" t="str">
        <f>HYPERLINK("https://youtube.com/watch?v=ovEnyjdGb8g", "K神任我行 - [CC字幕4K] 南北果洲｜長岩大禮堂｜殼仔排｜大灶口洞｜200號燈塔｜銀瓶頸｜月球崖｜大炮石｜旋梯岩｜迴流洞｜三叉洞｜虎口大洞｜迷你天后廟｜長岩大禮堂｜破邊洲｜孖洞｜萬柱海岸")</f>
        <v>K神任我行 - [CC字幕4K] 南北果洲｜長岩大禮堂｜殼仔排｜大灶口洞｜200號燈塔｜銀瓶頸｜月球崖｜大炮石｜旋梯岩｜迴流洞｜三叉洞｜虎口大洞｜迷你天后廟｜長岩大禮堂｜破邊洲｜孖洞｜萬柱海岸</v>
      </c>
      <c r="E4267" s="82">
        <v>44453.0</v>
      </c>
      <c r="F4267" s="80">
        <v>1121.0</v>
      </c>
      <c r="G4267" s="80" t="s">
        <v>63</v>
      </c>
      <c r="I4267" s="80" t="s">
        <v>63</v>
      </c>
      <c r="J4267" s="80">
        <v>793.0</v>
      </c>
      <c r="K4267" s="80">
        <v>0.981435643564356</v>
      </c>
      <c r="L4267" s="80" t="s">
        <v>64</v>
      </c>
    </row>
    <row r="4268">
      <c r="A4268" s="80" t="s">
        <v>2793</v>
      </c>
      <c r="B4268" s="81" t="str">
        <f>HYPERLINK("https://www.youtube.com/channel/UC03mRlT2h1B4LohYaIj9lHg", "Messiah2048")</f>
        <v>Messiah2048</v>
      </c>
      <c r="C4268" s="80" t="s">
        <v>4684</v>
      </c>
      <c r="D4268" s="81" t="str">
        <f>HYPERLINK("https://youtube.com/watch?v=ovu96HpBUoE", "黃毓民不滿陳健波，衝向主席台遭保安攔截。")</f>
        <v>黃毓民不滿陳健波，衝向主席台遭保安攔截。</v>
      </c>
      <c r="E4268" s="82">
        <v>42399.0</v>
      </c>
      <c r="F4268" s="80">
        <v>339.0</v>
      </c>
      <c r="G4268" s="80" t="s">
        <v>63</v>
      </c>
      <c r="I4268" s="80" t="s">
        <v>63</v>
      </c>
      <c r="J4268" s="80">
        <v>595.0</v>
      </c>
      <c r="K4268" s="80">
        <v>0.996649916247906</v>
      </c>
      <c r="L4268" s="80" t="s">
        <v>64</v>
      </c>
    </row>
    <row r="4269">
      <c r="A4269" s="80" t="s">
        <v>293</v>
      </c>
      <c r="B4269" s="81" t="str">
        <f>HYPERLINK("https://www.youtube.com/channel/UCXRcbXqjORdIvl63I7MtOLQ", "趁熱 Kerry 's kitchen")</f>
        <v>趁熱 Kerry 's kitchen</v>
      </c>
      <c r="C4269" s="80" t="s">
        <v>4685</v>
      </c>
      <c r="D4269" s="81" t="str">
        <f>HYPERLINK("https://youtube.com/watch?v=oxRqRefKzHQ", "栗子 炆雞/廣東話/中字//暖笠笠/超惹味/低 成本/急凍雞做法/簡單 家做/重點 講解/")</f>
        <v>栗子 炆雞/廣東話/中字//暖笠笠/超惹味/低 成本/急凍雞做法/簡單 家做/重點 講解/</v>
      </c>
      <c r="E4269" s="82">
        <v>44564.0</v>
      </c>
      <c r="F4269" s="80">
        <v>516.0</v>
      </c>
      <c r="G4269" s="80" t="s">
        <v>63</v>
      </c>
      <c r="I4269" s="80" t="s">
        <v>63</v>
      </c>
      <c r="J4269" s="80">
        <v>607.0</v>
      </c>
      <c r="K4269" s="80">
        <v>0.9712</v>
      </c>
      <c r="L4269" s="80" t="s">
        <v>64</v>
      </c>
    </row>
    <row r="4270">
      <c r="A4270" s="80" t="s">
        <v>4686</v>
      </c>
      <c r="B4270" s="81" t="str">
        <f>HYPERLINK("https://www.youtube.com/channel/UC8h5Q0hXYtUExbA4dutQ1yw", "清邁之日常")</f>
        <v>清邁之日常</v>
      </c>
      <c r="C4270" s="80" t="s">
        <v>4687</v>
      </c>
      <c r="D4270" s="81" t="str">
        <f>HYPERLINK("https://youtube.com/watch?v=oxxjTsHxOWI", "【移居清邁實戰攻略】實測DIY 泰國簽證 延期居留一年 Thailand Elite 精英簽證 CC字幕")</f>
        <v>【移居清邁實戰攻略】實測DIY 泰國簽證 延期居留一年 Thailand Elite 精英簽證 CC字幕</v>
      </c>
      <c r="E4270" s="82">
        <v>44159.0</v>
      </c>
      <c r="F4270" s="80">
        <v>360.0</v>
      </c>
      <c r="G4270" s="80" t="s">
        <v>63</v>
      </c>
      <c r="I4270" s="80" t="s">
        <v>63</v>
      </c>
      <c r="J4270" s="80">
        <v>1175.0</v>
      </c>
      <c r="K4270" s="80">
        <v>0.800408719346049</v>
      </c>
      <c r="L4270" s="80" t="s">
        <v>102</v>
      </c>
    </row>
    <row r="4271">
      <c r="A4271" s="80" t="s">
        <v>108</v>
      </c>
      <c r="B4271" s="81" t="str">
        <f>HYPERLINK("https://www.youtube.com/channel/UCZL6QN6Xs-ZrKY3y6Pv6Emg", "廢青 - 日賺3000")</f>
        <v>廢青 - 日賺3000</v>
      </c>
      <c r="C4271" s="80" t="s">
        <v>4688</v>
      </c>
      <c r="D4271" s="81" t="str">
        <f>HYPERLINK("https://youtube.com/watch?v=ozCv8Tt-4ho", "股災要買高息股收息  🧐🧐 7% 股息一年 , 即買即收 ! EP07【廢青 日賺3000】【點CC看中文字幕】")</f>
        <v>股災要買高息股收息  🧐🧐 7% 股息一年 , 即買即收 ! EP07【廢青 日賺3000】【點CC看中文字幕】</v>
      </c>
      <c r="E4271" s="82">
        <v>44449.0</v>
      </c>
      <c r="F4271" s="80">
        <v>696.0</v>
      </c>
      <c r="G4271" s="80" t="s">
        <v>63</v>
      </c>
      <c r="I4271" s="80" t="s">
        <v>63</v>
      </c>
      <c r="J4271" s="80">
        <v>2939.0</v>
      </c>
      <c r="K4271" s="80">
        <v>0.939277724512623</v>
      </c>
      <c r="L4271" s="80" t="s">
        <v>64</v>
      </c>
    </row>
    <row r="4272">
      <c r="A4272" s="80" t="s">
        <v>127</v>
      </c>
      <c r="B4272" s="81" t="str">
        <f>HYPERLINK("https://www.youtube.com/channel/UC97oYK3XMf9RLtkc0lO8C-Q", "健康旦 HiEggo")</f>
        <v>健康旦 HiEggo</v>
      </c>
      <c r="C4272" s="80" t="s">
        <v>4689</v>
      </c>
      <c r="D4272" s="81" t="str">
        <f>HYPERLINK("https://youtube.com/watch?v=ozmwRI8HHtA", "類風濕骨節炎宜食益生菌 荷爾蒙不平衡暗瘡結實 穀胱甘肽肝臟排毒功能強大 - 鄭丹瑞《健康旦》 #李維恩 博士 Part 20 (CC中文字幕)")</f>
        <v>類風濕骨節炎宜食益生菌 荷爾蒙不平衡暗瘡結實 穀胱甘肽肝臟排毒功能強大 - 鄭丹瑞《健康旦》 #李維恩 博士 Part 20 (CC中文字幕)</v>
      </c>
      <c r="E4272" s="82">
        <v>44084.0</v>
      </c>
      <c r="F4272" s="80">
        <v>673.0</v>
      </c>
      <c r="G4272" s="80" t="s">
        <v>63</v>
      </c>
      <c r="I4272" s="80" t="s">
        <v>63</v>
      </c>
      <c r="J4272" s="80">
        <v>2504.0</v>
      </c>
      <c r="K4272" s="80">
        <v>0.963447479799923</v>
      </c>
      <c r="L4272" s="80" t="s">
        <v>64</v>
      </c>
    </row>
    <row r="4273">
      <c r="A4273" s="80" t="s">
        <v>293</v>
      </c>
      <c r="B4273" s="81" t="str">
        <f>HYPERLINK("https://www.youtube.com/channel/UCXRcbXqjORdIvl63I7MtOLQ", "趁熱 Kerry 's kitchen")</f>
        <v>趁熱 Kerry 's kitchen</v>
      </c>
      <c r="C4273" s="80" t="s">
        <v>4690</v>
      </c>
      <c r="D4273" s="81" t="str">
        <f>HYPERLINK("https://youtube.com/watch?v=p-TfUn-7TAA", "羅 宋湯/堅濃郁香濃 竅門/重點 講解/簡單 家做/好飲過外邊餐廳/廣東話/中字")</f>
        <v>羅 宋湯/堅濃郁香濃 竅門/重點 講解/簡單 家做/好飲過外邊餐廳/廣東話/中字</v>
      </c>
      <c r="E4273" s="82">
        <v>44489.0</v>
      </c>
      <c r="F4273" s="80">
        <v>518.0</v>
      </c>
      <c r="G4273" s="80" t="s">
        <v>63</v>
      </c>
      <c r="I4273" s="80" t="s">
        <v>63</v>
      </c>
      <c r="J4273" s="80">
        <v>769.0</v>
      </c>
      <c r="K4273" s="80">
        <v>0.96608040201005</v>
      </c>
      <c r="L4273" s="80" t="s">
        <v>64</v>
      </c>
    </row>
    <row r="4274">
      <c r="A4274" s="80" t="s">
        <v>2753</v>
      </c>
      <c r="B4274" s="81" t="str">
        <f>HYPERLINK("https://www.youtube.com/channel/UCxRXNy5P6fLtHYpawxoiqJQ", "焦點視頻")</f>
        <v>焦點視頻</v>
      </c>
      <c r="C4274" s="80" t="s">
        <v>4691</v>
      </c>
      <c r="D4274" s="81" t="str">
        <f>HYPERLINK("https://youtube.com/watch?v=p63TBZrMhSo", "CC中字︱拜習會乃反映未來九運趨勢？ 中美破冰之日不遠！《陳庚信玄途有理》EP78 20211202")</f>
        <v>CC中字︱拜習會乃反映未來九運趨勢？ 中美破冰之日不遠！《陳庚信玄途有理》EP78 20211202</v>
      </c>
      <c r="E4274" s="82">
        <v>44531.0</v>
      </c>
      <c r="F4274" s="80">
        <v>421.0</v>
      </c>
      <c r="G4274" s="80" t="s">
        <v>63</v>
      </c>
      <c r="I4274" s="80" t="s">
        <v>63</v>
      </c>
      <c r="J4274" s="80">
        <v>1343.0</v>
      </c>
      <c r="K4274" s="80">
        <v>0.98604992657856</v>
      </c>
      <c r="L4274" s="80" t="s">
        <v>3012</v>
      </c>
    </row>
    <row r="4275">
      <c r="A4275" s="80" t="s">
        <v>2041</v>
      </c>
      <c r="B4275" s="81" t="str">
        <f>HYPERLINK("https://www.youtube.com/channel/UCO6pB-ZN4XJ6MVkibvuEe0A", "SingSingTracker 星昇財經指標")</f>
        <v>SingSingTracker 星昇財經指標</v>
      </c>
      <c r="C4275" s="80" t="s">
        <v>4692</v>
      </c>
      <c r="D4275" s="81" t="str">
        <f>HYPERLINK("https://youtube.com/watch?v=pCQ9I9fQUu4", "【線上博彩業VS實體賭博】線上賭業無懼疫情另覓出路？#線上老虎機 #網賭 #casino")</f>
        <v>【線上博彩業VS實體賭博】線上賭業無懼疫情另覓出路？#線上老虎機 #網賭 #casino</v>
      </c>
      <c r="E4275" s="82">
        <v>44371.0</v>
      </c>
      <c r="F4275" s="80">
        <v>251.0</v>
      </c>
      <c r="G4275" s="80" t="s">
        <v>63</v>
      </c>
      <c r="I4275" s="80" t="s">
        <v>63</v>
      </c>
      <c r="J4275" s="80">
        <v>859.0</v>
      </c>
      <c r="K4275" s="80">
        <v>0.808851224105461</v>
      </c>
      <c r="L4275" s="80" t="s">
        <v>64</v>
      </c>
    </row>
    <row r="4276">
      <c r="A4276" s="80" t="s">
        <v>2479</v>
      </c>
      <c r="B4276" s="81" t="str">
        <f>HYPERLINK("https://www.youtube.com/channel/UC0Da4Jp5vYSPa6hCI6MOrCQ", "Cussion Reve")</f>
        <v>Cussion Reve</v>
      </c>
      <c r="C4276" s="80" t="s">
        <v>4693</v>
      </c>
      <c r="D4276" s="81" t="str">
        <f>HYPERLINK("https://youtube.com/watch?v=pKINarrKgZQ", "十分鐘就學會的 蒜香奶酪包 ( 六片蒜蓉包 ) | 你不知道會做 麵包 的男生很吸引嗎？ | 邪惡的 芝士")</f>
        <v>十分鐘就學會的 蒜香奶酪包 ( 六片蒜蓉包 ) | 你不知道會做 麵包 的男生很吸引嗎？ | 邪惡的 芝士</v>
      </c>
      <c r="E4276" s="82">
        <v>44297.0</v>
      </c>
      <c r="F4276" s="80">
        <v>580.0</v>
      </c>
      <c r="G4276" s="80" t="s">
        <v>63</v>
      </c>
      <c r="I4276" s="80" t="s">
        <v>63</v>
      </c>
      <c r="J4276" s="80">
        <v>1694.0</v>
      </c>
      <c r="K4276" s="80">
        <v>0.874097007223942</v>
      </c>
      <c r="L4276" s="80" t="s">
        <v>64</v>
      </c>
    </row>
    <row r="4277">
      <c r="A4277" s="80" t="s">
        <v>2942</v>
      </c>
      <c r="B4277" s="81" t="str">
        <f>HYPERLINK("https://www.youtube.com/channel/UCFOFvhsNWMPHwvbfHl7K6qw", "司徒文進 CROSSBONE")</f>
        <v>司徒文進 CROSSBONE</v>
      </c>
      <c r="C4277" s="80" t="s">
        <v>4694</v>
      </c>
      <c r="D4277" s="81" t="str">
        <f>HYPERLINK("https://youtube.com/watch?v=pL8FBG0DjCI", "（中字）（醉新燒析）從演發心理學看辱華事件")</f>
        <v>（中字）（醉新燒析）從演發心理學看辱華事件</v>
      </c>
      <c r="E4277" s="82">
        <v>44559.0</v>
      </c>
      <c r="F4277" s="80">
        <v>776.0</v>
      </c>
      <c r="G4277" s="80" t="s">
        <v>63</v>
      </c>
      <c r="I4277" s="80" t="s">
        <v>63</v>
      </c>
      <c r="J4277" s="80">
        <v>2913.0</v>
      </c>
      <c r="K4277" s="80">
        <v>0.951649787651094</v>
      </c>
      <c r="L4277" s="80" t="s">
        <v>820</v>
      </c>
    </row>
    <row r="4278">
      <c r="A4278" s="80" t="s">
        <v>4042</v>
      </c>
      <c r="B4278" s="81" t="str">
        <f>HYPERLINK("https://www.youtube.com/channel/UC71ezGBToBHIpb0nOSwCJyg", "Bokkey")</f>
        <v>Bokkey</v>
      </c>
      <c r="C4278" s="80" t="s">
        <v>4695</v>
      </c>
      <c r="D4278" s="81" t="str">
        <f>HYPERLINK("https://youtube.com/watch?v=pLG2lbkJglg", "[開箱] RNC Cable Unit-01 | EVA | 香港製造數據線 [CC廣東話字幕]")</f>
        <v>[開箱] RNC Cable Unit-01 | EVA | 香港製造數據線 [CC廣東話字幕]</v>
      </c>
      <c r="E4278" s="82">
        <v>44214.0</v>
      </c>
      <c r="F4278" s="80">
        <v>277.0</v>
      </c>
      <c r="G4278" s="80" t="s">
        <v>63</v>
      </c>
      <c r="I4278" s="80" t="s">
        <v>63</v>
      </c>
      <c r="J4278" s="80">
        <v>1068.0</v>
      </c>
      <c r="K4278" s="80">
        <v>0.792284866468842</v>
      </c>
      <c r="L4278" s="80" t="s">
        <v>287</v>
      </c>
    </row>
    <row r="4279">
      <c r="A4279" s="80" t="s">
        <v>124</v>
      </c>
      <c r="B4279" s="81" t="str">
        <f>HYPERLINK("https://www.youtube.com/channel/UCg0vuSE0fBF_NvodyYhMcWg", "Wallace Studio HK")</f>
        <v>Wallace Studio HK</v>
      </c>
      <c r="C4279" s="80" t="s">
        <v>4696</v>
      </c>
      <c r="D4279" s="81" t="str">
        <f>HYPERLINK("https://youtube.com/watch?v=pM5Ers_dGbk", "[詳細評測] Gigabyte AORUS 17X 終極評測 Part 2 | AORUS 電競電腦終極體驗! | 全球限量!")</f>
        <v>[詳細評測] Gigabyte AORUS 17X 終極評測 Part 2 | AORUS 電競電腦終極體驗! | 全球限量!</v>
      </c>
      <c r="E4279" s="82">
        <v>44479.0</v>
      </c>
      <c r="F4279" s="80">
        <v>589.0</v>
      </c>
      <c r="G4279" s="80" t="s">
        <v>63</v>
      </c>
      <c r="H4279" s="80" t="s">
        <v>63</v>
      </c>
      <c r="I4279" s="80" t="s">
        <v>63</v>
      </c>
      <c r="J4279" s="80">
        <v>1987.0</v>
      </c>
      <c r="K4279" s="80">
        <v>0.693542757417102</v>
      </c>
      <c r="L4279" s="80" t="s">
        <v>86</v>
      </c>
    </row>
    <row r="4280">
      <c r="A4280" s="80" t="s">
        <v>238</v>
      </c>
      <c r="B4280" s="81" t="str">
        <f>HYPERLINK("https://www.youtube.com/channel/UCSBkm4LwpgBmcA3MCtO8vqg", "Post76影音玩樂")</f>
        <v>Post76影音玩樂</v>
      </c>
      <c r="C4280" s="80" t="s">
        <v>4697</v>
      </c>
      <c r="D4280" s="81" t="str">
        <f>HYPERLINK("https://youtube.com/watch?v=pMM3SaSc1hY", "對白清晰........力水好勁 : 來自美國 Polk Audio MAGNIFI 2 Soundbar 評測 | 粵語 | 自選雙中文字幕【Soundbar 評測 | Post76.hk】")</f>
        <v>對白清晰........力水好勁 : 來自美國 Polk Audio MAGNIFI 2 Soundbar 評測 | 粵語 | 自選雙中文字幕【Soundbar 評測 | Post76.hk】</v>
      </c>
      <c r="E4280" s="82">
        <v>44155.0</v>
      </c>
      <c r="F4280" s="80">
        <v>347.0</v>
      </c>
      <c r="G4280" s="80" t="s">
        <v>63</v>
      </c>
      <c r="H4280" s="80" t="s">
        <v>63</v>
      </c>
      <c r="I4280" s="80" t="s">
        <v>63</v>
      </c>
      <c r="J4280" s="80">
        <v>1183.0</v>
      </c>
      <c r="K4280" s="80">
        <v>0.701923076923076</v>
      </c>
      <c r="L4280" s="80" t="s">
        <v>66</v>
      </c>
    </row>
    <row r="4281">
      <c r="A4281" s="80" t="s">
        <v>1390</v>
      </c>
      <c r="B4281" s="81" t="str">
        <f>HYPERLINK("https://www.youtube.com/channel/UCgwEJflQi4WnZ8PU0xdibZQ", "Kinson Ho")</f>
        <v>Kinson Ho</v>
      </c>
      <c r="C4281" s="80" t="s">
        <v>4698</v>
      </c>
      <c r="D4281" s="81" t="str">
        <f>HYPERLINK("https://youtube.com/watch?v=pOBazY4vY4A", "K神任我行 -  [CC字幕4K] 牛烏水塘｜輕鬆探遊｜華清池｜天空之鏡｜真正玻璃水｜湖光山色｜航拍")</f>
        <v>K神任我行 -  [CC字幕4K] 牛烏水塘｜輕鬆探遊｜華清池｜天空之鏡｜真正玻璃水｜湖光山色｜航拍</v>
      </c>
      <c r="E4281" s="82">
        <v>44502.0</v>
      </c>
      <c r="F4281" s="80">
        <v>871.0</v>
      </c>
      <c r="G4281" s="80" t="s">
        <v>63</v>
      </c>
      <c r="I4281" s="80" t="s">
        <v>63</v>
      </c>
      <c r="J4281" s="80">
        <v>824.0</v>
      </c>
      <c r="K4281" s="80">
        <v>0.983293556085918</v>
      </c>
      <c r="L4281" s="80" t="s">
        <v>64</v>
      </c>
    </row>
    <row r="4282">
      <c r="A4282" s="80" t="s">
        <v>2898</v>
      </c>
      <c r="B4282" s="81" t="str">
        <f>HYPERLINK("https://www.youtube.com/channel/UCy5bjMXbFPglSBNDXfivtOA", "消費者委員會")</f>
        <v>消費者委員會</v>
      </c>
      <c r="C4282" s="80" t="s">
        <v>4699</v>
      </c>
      <c r="D4282" s="81" t="str">
        <f>HYPERLINK("https://youtube.com/watch?v=pQY1lNm5LxA", "梁嘉琪 x 潤膚乳測試")</f>
        <v>梁嘉琪 x 潤膚乳測試</v>
      </c>
      <c r="E4282" s="82">
        <v>42780.0</v>
      </c>
      <c r="F4282" s="80">
        <v>202.0</v>
      </c>
      <c r="G4282" s="80" t="s">
        <v>63</v>
      </c>
      <c r="I4282" s="80" t="s">
        <v>63</v>
      </c>
      <c r="J4282" s="80">
        <v>679.0</v>
      </c>
      <c r="K4282" s="80">
        <v>0.991240875912408</v>
      </c>
      <c r="L4282" s="80" t="s">
        <v>64</v>
      </c>
    </row>
    <row r="4283">
      <c r="A4283" s="80" t="s">
        <v>124</v>
      </c>
      <c r="B4283" s="81" t="str">
        <f>HYPERLINK("https://www.youtube.com/channel/UCg0vuSE0fBF_NvodyYhMcWg", "Wallace Studio HK")</f>
        <v>Wallace Studio HK</v>
      </c>
      <c r="C4283" s="80" t="s">
        <v>4700</v>
      </c>
      <c r="D4283" s="81" t="str">
        <f>HYPERLINK("https://youtube.com/watch?v=pRYZI7yxMQk", "AORUS 15P AERO 17 RTX 30搶先體驗| RTX 30(Laptop)顯卡總覽| CES 2021 RTX 30系列電腦一覽|")</f>
        <v>AORUS 15P AERO 17 RTX 30搶先體驗| RTX 30(Laptop)顯卡總覽| CES 2021 RTX 30系列電腦一覽|</v>
      </c>
      <c r="E4283" s="82">
        <v>44216.0</v>
      </c>
      <c r="F4283" s="80">
        <v>314.0</v>
      </c>
      <c r="G4283" s="80" t="s">
        <v>63</v>
      </c>
      <c r="I4283" s="80" t="s">
        <v>63</v>
      </c>
      <c r="J4283" s="80">
        <v>947.0</v>
      </c>
      <c r="K4283" s="80">
        <v>0.648630136986301</v>
      </c>
      <c r="L4283" s="80" t="s">
        <v>64</v>
      </c>
    </row>
    <row r="4284">
      <c r="A4284" s="80" t="s">
        <v>1260</v>
      </c>
      <c r="B4284" s="81" t="str">
        <f>HYPERLINK("https://www.youtube.com/channel/UCh1k4i86BpiXEO3nzJIYynw", "The Wave")</f>
        <v>The Wave</v>
      </c>
      <c r="C4284" s="80" t="s">
        <v>4701</v>
      </c>
      <c r="D4284" s="81" t="str">
        <f>HYPERLINK("https://youtube.com/watch?v=pSPSTdsFWSM", "TheWave | USB C嘅種類 | 應該點揀？")</f>
        <v>TheWave | USB C嘅種類 | 應該點揀？</v>
      </c>
      <c r="E4284" s="82">
        <v>43445.0</v>
      </c>
      <c r="F4284" s="80">
        <v>199.0</v>
      </c>
      <c r="G4284" s="80" t="s">
        <v>63</v>
      </c>
      <c r="H4284" s="80" t="s">
        <v>63</v>
      </c>
      <c r="I4284" s="80" t="s">
        <v>63</v>
      </c>
      <c r="J4284" s="80">
        <v>650.0</v>
      </c>
      <c r="K4284" s="80">
        <v>0.720620842572062</v>
      </c>
      <c r="L4284" s="80" t="s">
        <v>120</v>
      </c>
    </row>
    <row r="4285">
      <c r="A4285" s="80" t="s">
        <v>245</v>
      </c>
      <c r="B4285" s="81" t="str">
        <f>HYPERLINK("https://www.youtube.com/channel/UCkZ3cOWgnhJheCK7Ywpiezw", "Eagen Kao")</f>
        <v>Eagen Kao</v>
      </c>
      <c r="C4285" s="80" t="s">
        <v>4702</v>
      </c>
      <c r="D4285" s="81" t="str">
        <f>HYPERLINK("https://youtube.com/watch?v=pSqRecRZVSw", "[講TECH] Marshall 的姐妹牌 URBANEARS 終於出真無線耳機 - ALBY | GADGETS評測")</f>
        <v>[講TECH] Marshall 的姐妹牌 URBANEARS 終於出真無線耳機 - ALBY | GADGETS評測</v>
      </c>
      <c r="E4285" s="82">
        <v>44034.0</v>
      </c>
      <c r="F4285" s="80">
        <v>208.0</v>
      </c>
      <c r="G4285" s="80" t="s">
        <v>63</v>
      </c>
      <c r="I4285" s="80" t="s">
        <v>63</v>
      </c>
      <c r="J4285" s="80">
        <v>589.0</v>
      </c>
      <c r="K4285" s="80">
        <v>0.631296891747052</v>
      </c>
      <c r="L4285" s="80" t="s">
        <v>521</v>
      </c>
    </row>
    <row r="4286">
      <c r="A4286" s="80" t="s">
        <v>2793</v>
      </c>
      <c r="B4286" s="81" t="str">
        <f>HYPERLINK("https://www.youtube.com/channel/UC03mRlT2h1B4LohYaIj9lHg", "Messiah2048")</f>
        <v>Messiah2048</v>
      </c>
      <c r="C4286" s="80" t="s">
        <v>4703</v>
      </c>
      <c r="D4286" s="81" t="str">
        <f>HYPERLINK("https://youtube.com/watch?v=pTmKnrQcZrU", "何君堯：買水砲車一定要勁，你估玩水槍咩！")</f>
        <v>何君堯：買水砲車一定要勁，你估玩水槍咩！</v>
      </c>
      <c r="E4286" s="82">
        <v>43118.0</v>
      </c>
      <c r="F4286" s="80">
        <v>337.0</v>
      </c>
      <c r="G4286" s="80" t="s">
        <v>63</v>
      </c>
      <c r="I4286" s="80" t="s">
        <v>63</v>
      </c>
      <c r="J4286" s="80">
        <v>1085.0</v>
      </c>
      <c r="K4286" s="80">
        <v>0.944299390774586</v>
      </c>
      <c r="L4286" s="80" t="s">
        <v>64</v>
      </c>
    </row>
    <row r="4287">
      <c r="A4287" s="80" t="s">
        <v>3611</v>
      </c>
      <c r="B4287" s="81" t="str">
        <f>HYPERLINK("https://www.youtube.com/channel/UCcetU9127QglBECLbGfRofQ", "鄧卓殷 Amber Tang")</f>
        <v>鄧卓殷 Amber Tang</v>
      </c>
      <c r="C4287" s="80" t="s">
        <v>4704</v>
      </c>
      <c r="D4287" s="81" t="str">
        <f>HYPERLINK("https://youtube.com/watch?v=pU66hT1iCek", "第一個生日會驚喜 Birthday Surprise - Vlog | 鄧卓殷Amber [CC中字]")</f>
        <v>第一個生日會驚喜 Birthday Surprise - Vlog | 鄧卓殷Amber [CC中字]</v>
      </c>
      <c r="E4287" s="82">
        <v>43852.0</v>
      </c>
      <c r="F4287" s="80">
        <v>256.0</v>
      </c>
      <c r="G4287" s="80" t="s">
        <v>63</v>
      </c>
      <c r="I4287" s="80" t="s">
        <v>63</v>
      </c>
      <c r="J4287" s="80">
        <v>418.0</v>
      </c>
      <c r="K4287" s="80">
        <v>0.876310272536687</v>
      </c>
      <c r="L4287" s="80" t="s">
        <v>91</v>
      </c>
    </row>
    <row r="4288">
      <c r="A4288" s="80" t="s">
        <v>248</v>
      </c>
      <c r="B4288" s="81" t="str">
        <f>HYPERLINK("https://www.youtube.com/channel/UCUEJok-GiWaGlv5nIPwk-GQ", "Price.com.hk 香港格價網")</f>
        <v>Price.com.hk 香港格價網</v>
      </c>
      <c r="C4288" s="80" t="s">
        <v>4705</v>
      </c>
      <c r="D4288" s="81" t="str">
        <f>HYPERLINK("https://youtube.com/watch?v=pUe_lHiXytU", "一機包辦Diecut、畫畫﹗Cricut Joy 多功能迷你裁切機｜親手整貼紙、賀卡、燙印T-Shirt｜輕巧便攜、DIY必備｜特約專題｜廣東話【Price.com.hk產品開箱】")</f>
        <v>一機包辦Diecut、畫畫﹗Cricut Joy 多功能迷你裁切機｜親手整貼紙、賀卡、燙印T-Shirt｜輕巧便攜、DIY必備｜特約專題｜廣東話【Price.com.hk產品開箱】</v>
      </c>
      <c r="E4288" s="82">
        <v>44510.0</v>
      </c>
      <c r="F4288" s="80">
        <v>338.0</v>
      </c>
      <c r="G4288" s="80" t="s">
        <v>63</v>
      </c>
      <c r="I4288" s="80" t="s">
        <v>63</v>
      </c>
      <c r="J4288" s="80">
        <v>1200.0</v>
      </c>
      <c r="K4288" s="80">
        <v>0.753295668549905</v>
      </c>
      <c r="L4288" s="80" t="s">
        <v>64</v>
      </c>
    </row>
    <row r="4289">
      <c r="A4289" s="80" t="s">
        <v>2800</v>
      </c>
      <c r="B4289" s="81" t="str">
        <f>HYPERLINK("https://www.youtube.com/channel/UCMqrlsr-AECPc6_3oDr8m9w", "Unicorn 獸哥")</f>
        <v>Unicorn 獸哥</v>
      </c>
      <c r="C4289" s="80" t="s">
        <v>4706</v>
      </c>
      <c r="D4289" s="81" t="str">
        <f>HYPERLINK("https://youtube.com/watch?v=pZ85CCfjocc", "spider man淪為通緝犯？梅姨醫藥費都比唔起？spider man no way home原作介紹")</f>
        <v>spider man淪為通緝犯？梅姨醫藥費都比唔起？spider man no way home原作介紹</v>
      </c>
      <c r="E4289" s="82">
        <v>44544.0</v>
      </c>
      <c r="F4289" s="80">
        <v>481.0</v>
      </c>
      <c r="G4289" s="80" t="s">
        <v>63</v>
      </c>
      <c r="I4289" s="80" t="s">
        <v>63</v>
      </c>
      <c r="J4289" s="80">
        <v>2144.0</v>
      </c>
      <c r="K4289" s="80">
        <v>0.730245231607629</v>
      </c>
      <c r="L4289" s="80" t="s">
        <v>64</v>
      </c>
    </row>
    <row r="4290">
      <c r="A4290" s="80" t="s">
        <v>2898</v>
      </c>
      <c r="B4290" s="81" t="str">
        <f>HYPERLINK("https://www.youtube.com/channel/UCy5bjMXbFPglSBNDXfivtOA", "消費者委員會")</f>
        <v>消費者委員會</v>
      </c>
      <c r="C4290" s="80" t="s">
        <v>4707</v>
      </c>
      <c r="D4290" s="81" t="str">
        <f>HYPERLINK("https://youtube.com/watch?v=pfE-NLqKfKM", "【選擇月刊 封面專題】◢自願醫保攻略◤")</f>
        <v>【選擇月刊 封面專題】◢自願醫保攻略◤</v>
      </c>
      <c r="E4290" s="82">
        <v>43844.0</v>
      </c>
      <c r="F4290" s="80">
        <v>183.0</v>
      </c>
      <c r="G4290" s="80" t="s">
        <v>63</v>
      </c>
      <c r="I4290" s="80" t="s">
        <v>63</v>
      </c>
      <c r="J4290" s="80">
        <v>655.0</v>
      </c>
      <c r="K4290" s="80">
        <v>0.964653902798232</v>
      </c>
      <c r="L4290" s="80" t="s">
        <v>64</v>
      </c>
    </row>
    <row r="4291">
      <c r="A4291" s="80" t="s">
        <v>127</v>
      </c>
      <c r="B4291" s="81" t="str">
        <f>HYPERLINK("https://www.youtube.com/channel/UC97oYK3XMf9RLtkc0lO8C-Q", "健康旦 HiEggo")</f>
        <v>健康旦 HiEggo</v>
      </c>
      <c r="C4291" s="80" t="s">
        <v>4708</v>
      </c>
      <c r="D4291" s="81" t="str">
        <f>HYPERLINK("https://youtube.com/watch?v=pgQ8c-6npiM", "喬寶寶教煮咖哩 《#高朋滿座》TVB 年代煮咖哩獲旦嫂大讚 - 鄭丹瑞《健康旦》@喬寶寶 Qbobo  Part 3 (CC中文字幕)")</f>
        <v>喬寶寶教煮咖哩 《#高朋滿座》TVB 年代煮咖哩獲旦嫂大讚 - 鄭丹瑞《健康旦》@喬寶寶 Qbobo  Part 3 (CC中文字幕)</v>
      </c>
      <c r="E4291" s="82">
        <v>43891.0</v>
      </c>
      <c r="F4291" s="80">
        <v>636.0</v>
      </c>
      <c r="G4291" s="80" t="s">
        <v>63</v>
      </c>
      <c r="I4291" s="80" t="s">
        <v>63</v>
      </c>
      <c r="J4291" s="80">
        <v>1965.0</v>
      </c>
      <c r="K4291" s="80">
        <v>0.940641455241742</v>
      </c>
      <c r="L4291" s="80" t="s">
        <v>102</v>
      </c>
    </row>
    <row r="4292">
      <c r="A4292" s="80" t="s">
        <v>2935</v>
      </c>
      <c r="B4292" s="81" t="str">
        <f>HYPERLINK("https://www.youtube.com/channel/UC4zLFvnyN0zLbeqV5Xqh0sQ", "腦控")</f>
        <v>腦控</v>
      </c>
      <c r="C4292" s="80" t="s">
        <v>4709</v>
      </c>
      <c r="D4292" s="81" t="str">
        <f>HYPERLINK("https://youtube.com/watch?v=phGRAQNavRU", "@ValorGears 要用價錢屌打@Lau Kin Lam - 林仔 ！！！—2077 窮砌大賽 EP4最終章(CC粵語中字)")</f>
        <v>@ValorGears 要用價錢屌打@Lau Kin Lam - 林仔 ！！！—2077 窮砌大賽 EP4最終章(CC粵語中字)</v>
      </c>
      <c r="E4292" s="82">
        <v>44213.0</v>
      </c>
      <c r="F4292" s="80">
        <v>1732.0</v>
      </c>
      <c r="G4292" s="80" t="s">
        <v>63</v>
      </c>
      <c r="I4292" s="80" t="s">
        <v>63</v>
      </c>
      <c r="J4292" s="80">
        <v>5446.0</v>
      </c>
      <c r="K4292" s="80">
        <v>0.802652910832719</v>
      </c>
      <c r="L4292" s="80" t="s">
        <v>64</v>
      </c>
    </row>
    <row r="4293">
      <c r="A4293" s="80" t="s">
        <v>108</v>
      </c>
      <c r="B4293" s="81" t="str">
        <f>HYPERLINK("https://www.youtube.com/channel/UCZL6QN6Xs-ZrKY3y6Pv6Emg", "廢青 - 日賺3000")</f>
        <v>廢青 - 日賺3000</v>
      </c>
      <c r="C4293" s="80" t="s">
        <v>4710</v>
      </c>
      <c r="D4293" s="81" t="str">
        <f>HYPERLINK("https://youtube.com/watch?v=pl6JDXXdEww", "廢青的交易風格  股票 , 期油 , 被動收入   EP11【廢青 日賺3000】【點CC看中文字幕】")</f>
        <v>廢青的交易風格  股票 , 期油 , 被動收入   EP11【廢青 日賺3000】【點CC看中文字幕】</v>
      </c>
      <c r="E4293" s="82">
        <v>44007.0</v>
      </c>
      <c r="F4293" s="80">
        <v>471.0</v>
      </c>
      <c r="G4293" s="80" t="s">
        <v>63</v>
      </c>
      <c r="I4293" s="80" t="s">
        <v>63</v>
      </c>
      <c r="J4293" s="80">
        <v>2137.0</v>
      </c>
      <c r="K4293" s="80">
        <v>0.960881294964028</v>
      </c>
      <c r="L4293" s="80" t="s">
        <v>64</v>
      </c>
    </row>
    <row r="4294">
      <c r="A4294" s="80" t="s">
        <v>124</v>
      </c>
      <c r="B4294" s="81" t="str">
        <f>HYPERLINK("https://www.youtube.com/channel/UCg0vuSE0fBF_NvodyYhMcWg", "Wallace Studio HK")</f>
        <v>Wallace Studio HK</v>
      </c>
      <c r="C4294" s="80" t="s">
        <v>4711</v>
      </c>
      <c r="D4294" s="81" t="str">
        <f>HYPERLINK("https://youtube.com/watch?v=pp2-NsevGDo", "MacBook Pro 14""/16"" M1 Pro M1 Max 選購指南!")</f>
        <v>MacBook Pro 14"/16" M1 Pro M1 Max 選購指南!</v>
      </c>
      <c r="E4294" s="82">
        <v>44570.0</v>
      </c>
      <c r="F4294" s="80">
        <v>477.0</v>
      </c>
      <c r="G4294" s="80" t="s">
        <v>63</v>
      </c>
      <c r="H4294" s="80" t="s">
        <v>63</v>
      </c>
      <c r="I4294" s="80" t="s">
        <v>63</v>
      </c>
      <c r="J4294" s="80">
        <v>1870.0</v>
      </c>
      <c r="K4294" s="80">
        <v>0.745614035087719</v>
      </c>
      <c r="L4294" s="80" t="s">
        <v>86</v>
      </c>
    </row>
    <row r="4295">
      <c r="A4295" s="80" t="s">
        <v>1987</v>
      </c>
      <c r="B4295" s="81" t="str">
        <f>HYPERLINK("https://www.youtube.com/channel/UCgGUmm04nVyj-ftaCxVcyBg", "MangoHK大馬獅家")</f>
        <v>MangoHK大馬獅家</v>
      </c>
      <c r="C4295" s="80" t="s">
        <v>4712</v>
      </c>
      <c r="D4295" s="81" t="str">
        <f>HYPERLINK("https://youtube.com/watch?v=pq3Ucjk_X-A", "【76】💗大馬千六平方尺🏠居然起到巨屋 {中英字幕} Subtitled | Malaysia Desa Parkcity Adiva | Malaysia Vlog | mm2h")</f>
        <v>【76】💗大馬千六平方尺🏠居然起到巨屋 {中英字幕} Subtitled | Malaysia Desa Parkcity Adiva | Malaysia Vlog | mm2h</v>
      </c>
      <c r="E4295" s="82">
        <v>44503.0</v>
      </c>
      <c r="F4295" s="80">
        <v>633.0</v>
      </c>
      <c r="G4295" s="80" t="s">
        <v>63</v>
      </c>
      <c r="I4295" s="80" t="s">
        <v>63</v>
      </c>
      <c r="J4295" s="80">
        <v>1445.0</v>
      </c>
      <c r="K4295" s="80">
        <v>0.945062132112491</v>
      </c>
      <c r="L4295" s="80" t="s">
        <v>896</v>
      </c>
    </row>
    <row r="4296">
      <c r="A4296" s="80" t="s">
        <v>293</v>
      </c>
      <c r="B4296" s="81" t="str">
        <f>HYPERLINK("https://www.youtube.com/channel/UCXRcbXqjORdIvl63I7MtOLQ", "趁熱 Kerry 's kitchen")</f>
        <v>趁熱 Kerry 's kitchen</v>
      </c>
      <c r="C4296" s="80" t="s">
        <v>4713</v>
      </c>
      <c r="D4296" s="81" t="str">
        <f>HYPERLINK("https://youtube.com/watch?v=psi2jqUcoP4", "山藥 排骨/鮮山藥 炆排骨/准山炆排骨/暖笠笠/超惹味/養生 美食/簡單 家做/重點 講解/廣東話/中字")</f>
        <v>山藥 排骨/鮮山藥 炆排骨/准山炆排骨/暖笠笠/超惹味/養生 美食/簡單 家做/重點 講解/廣東話/中字</v>
      </c>
      <c r="E4296" s="82">
        <v>44510.0</v>
      </c>
      <c r="F4296" s="80">
        <v>573.0</v>
      </c>
      <c r="G4296" s="80" t="s">
        <v>63</v>
      </c>
      <c r="I4296" s="80" t="s">
        <v>63</v>
      </c>
      <c r="J4296" s="80">
        <v>851.0</v>
      </c>
      <c r="K4296" s="80">
        <v>0.983815028901734</v>
      </c>
      <c r="L4296" s="80" t="s">
        <v>64</v>
      </c>
    </row>
    <row r="4297">
      <c r="A4297" s="80" t="s">
        <v>238</v>
      </c>
      <c r="B4297" s="81" t="str">
        <f>HYPERLINK("https://www.youtube.com/channel/UCSBkm4LwpgBmcA3MCtO8vqg", "Post76影音玩樂")</f>
        <v>Post76影音玩樂</v>
      </c>
      <c r="C4297" s="80" t="s">
        <v>4714</v>
      </c>
      <c r="D4297" s="81" t="str">
        <f>HYPERLINK("https://youtube.com/watch?v=ptonEpFVPoM", "Aurender A100 串流音樂伺服器 : 串流、MQA解碼、前級、忠實還原錄音本質 | 片尾有代理重磅優惠 | 粵語 | 自選雙繁體字幕【播放器評測 | Post76.hk】")</f>
        <v>Aurender A100 串流音樂伺服器 : 串流、MQA解碼、前級、忠實還原錄音本質 | 片尾有代理重磅優惠 | 粵語 | 自選雙繁體字幕【播放器評測 | Post76.hk】</v>
      </c>
      <c r="E4297" s="82">
        <v>44154.0</v>
      </c>
      <c r="F4297" s="80">
        <v>704.0</v>
      </c>
      <c r="G4297" s="80" t="s">
        <v>63</v>
      </c>
      <c r="H4297" s="80" t="s">
        <v>63</v>
      </c>
      <c r="I4297" s="80" t="s">
        <v>63</v>
      </c>
      <c r="J4297" s="80">
        <v>2638.0</v>
      </c>
      <c r="K4297" s="80">
        <v>0.798184568835098</v>
      </c>
      <c r="L4297" s="80" t="s">
        <v>66</v>
      </c>
    </row>
    <row r="4298">
      <c r="A4298" s="80" t="s">
        <v>4591</v>
      </c>
      <c r="B4298" s="81" t="str">
        <f>HYPERLINK("https://www.youtube.com/channel/UCeU642KPDehjsxLtyjdi2ww", "香港健身小老闆 Zoe 李芷慧")</f>
        <v>香港健身小老闆 Zoe 李芷慧</v>
      </c>
      <c r="C4298" s="80" t="s">
        <v>4715</v>
      </c>
      <c r="D4298" s="81" t="str">
        <f>HYPERLINK("https://youtube.com/watch?v=pv3fah2jKAg", "爆汗家中減肥運動 【7分鐘完整版】")</f>
        <v>爆汗家中減肥運動 【7分鐘完整版】</v>
      </c>
      <c r="E4298" s="82">
        <v>43669.0</v>
      </c>
      <c r="F4298" s="80">
        <v>643.0</v>
      </c>
      <c r="G4298" s="80" t="s">
        <v>63</v>
      </c>
      <c r="I4298" s="80" t="s">
        <v>63</v>
      </c>
      <c r="J4298" s="80">
        <v>1725.0</v>
      </c>
      <c r="K4298" s="80">
        <v>0.984027381631488</v>
      </c>
      <c r="L4298" s="80" t="s">
        <v>64</v>
      </c>
    </row>
    <row r="4299">
      <c r="A4299" s="80" t="s">
        <v>1987</v>
      </c>
      <c r="B4299" s="81" t="str">
        <f>HYPERLINK("https://www.youtube.com/channel/UCgGUmm04nVyj-ftaCxVcyBg", "MangoHK大馬獅家")</f>
        <v>MangoHK大馬獅家</v>
      </c>
      <c r="C4299" s="80" t="s">
        <v>4716</v>
      </c>
      <c r="D4299" s="81" t="str">
        <f>HYPERLINK("https://youtube.com/watch?v=pxD-5ct3POE", "【101】💵十蚊雞小籠包🧋嘔泡珍珠奶茶 {中英字幕} Subtitled | Malaysia bubble tea | Malaysia Vlog | mm2h")</f>
        <v>【101】💵十蚊雞小籠包🧋嘔泡珍珠奶茶 {中英字幕} Subtitled | Malaysia bubble tea | Malaysia Vlog | mm2h</v>
      </c>
      <c r="E4299" s="82">
        <v>44527.0</v>
      </c>
      <c r="F4299" s="80">
        <v>904.0</v>
      </c>
      <c r="G4299" s="80" t="s">
        <v>63</v>
      </c>
      <c r="I4299" s="80" t="s">
        <v>63</v>
      </c>
      <c r="J4299" s="80">
        <v>2872.0</v>
      </c>
      <c r="K4299" s="80">
        <v>0.905993690851735</v>
      </c>
      <c r="L4299" s="80" t="s">
        <v>896</v>
      </c>
    </row>
    <row r="4300">
      <c r="A4300" s="80" t="s">
        <v>127</v>
      </c>
      <c r="B4300" s="81" t="str">
        <f>HYPERLINK("https://www.youtube.com/channel/UC97oYK3XMf9RLtkc0lO8C-Q", "健康旦 HiEggo")</f>
        <v>健康旦 HiEggo</v>
      </c>
      <c r="C4300" s="80" t="s">
        <v>4717</v>
      </c>
      <c r="D4300" s="81" t="str">
        <f>HYPERLINK("https://youtube.com/watch?v=py7sDe5ynpc", "盧冠廷：輕敲心口増強抵抗力 味精最傷中樞神經 化學敏感症致雞心發熱 - 鄭丹瑞《健康旦》 #盧冠廷 Part 2 (CC中文字幕)")</f>
        <v>盧冠廷：輕敲心口増強抵抗力 味精最傷中樞神經 化學敏感症致雞心發熱 - 鄭丹瑞《健康旦》 #盧冠廷 Part 2 (CC中文字幕)</v>
      </c>
      <c r="E4300" s="82">
        <v>44086.0</v>
      </c>
      <c r="F4300" s="80">
        <v>762.0</v>
      </c>
      <c r="G4300" s="80" t="s">
        <v>63</v>
      </c>
      <c r="I4300" s="80" t="s">
        <v>63</v>
      </c>
      <c r="J4300" s="80">
        <v>2223.0</v>
      </c>
      <c r="K4300" s="80">
        <v>0.943548387096774</v>
      </c>
      <c r="L4300" s="80" t="s">
        <v>2771</v>
      </c>
    </row>
    <row r="4301">
      <c r="A4301" s="80" t="s">
        <v>295</v>
      </c>
      <c r="B4301" s="81" t="str">
        <f>HYPERLINK("https://www.youtube.com/channel/UCIotQRUz6c4H-BRsouLt4YQ", "Captain and his squad")</f>
        <v>Captain and his squad</v>
      </c>
      <c r="C4301" s="80" t="s">
        <v>4718</v>
      </c>
      <c r="D4301" s="81" t="str">
        <f>HYPERLINK("https://youtube.com/watch?v=pztgLWljSmI", "【 生活 ep.01 : 狗狗初次露營 🏕🐕 】浪茄灣兩日一夜之旅｜狗主行山必須注意嘅事｜沙灘煮飯仔《Captain 生活日常》(cc中英字幕)")</f>
        <v>【 生活 ep.01 : 狗狗初次露營 🏕🐕 】浪茄灣兩日一夜之旅｜狗主行山必須注意嘅事｜沙灘煮飯仔《Captain 生活日常》(cc中英字幕)</v>
      </c>
      <c r="E4301" s="82">
        <v>44034.0</v>
      </c>
      <c r="F4301" s="80">
        <v>850.0</v>
      </c>
      <c r="G4301" s="80" t="s">
        <v>63</v>
      </c>
      <c r="H4301" s="80" t="s">
        <v>63</v>
      </c>
      <c r="I4301" s="80" t="s">
        <v>63</v>
      </c>
      <c r="J4301" s="80">
        <v>2362.0</v>
      </c>
      <c r="K4301" s="80">
        <v>0.951268626661296</v>
      </c>
      <c r="L4301" s="80" t="s">
        <v>3350</v>
      </c>
    </row>
    <row r="4302">
      <c r="A4302" s="80" t="s">
        <v>124</v>
      </c>
      <c r="B4302" s="81" t="str">
        <f>HYPERLINK("https://www.youtube.com/channel/UCg0vuSE0fBF_NvodyYhMcWg", "Wallace Studio HK")</f>
        <v>Wallace Studio HK</v>
      </c>
      <c r="C4302" s="80" t="s">
        <v>4719</v>
      </c>
      <c r="D4302" s="81" t="str">
        <f>HYPERLINK("https://youtube.com/watch?v=q1JgJasYNVc", "[評細比較] MacBook Pro M1 VS MacBook Pro i5 2020 VS MacBook Pro 16 (i9) 完整效能比較")</f>
        <v>[評細比較] MacBook Pro M1 VS MacBook Pro i5 2020 VS MacBook Pro 16 (i9) 完整效能比較</v>
      </c>
      <c r="E4302" s="82">
        <v>44189.0</v>
      </c>
      <c r="F4302" s="80">
        <v>624.0</v>
      </c>
      <c r="G4302" s="80" t="s">
        <v>63</v>
      </c>
      <c r="I4302" s="80" t="s">
        <v>63</v>
      </c>
      <c r="J4302" s="80">
        <v>2045.0</v>
      </c>
      <c r="K4302" s="80">
        <v>0.515502898916057</v>
      </c>
      <c r="L4302" s="80" t="s">
        <v>102</v>
      </c>
    </row>
    <row r="4303">
      <c r="A4303" s="80" t="s">
        <v>293</v>
      </c>
      <c r="B4303" s="81" t="str">
        <f>HYPERLINK("https://www.youtube.com/channel/UCXRcbXqjORdIvl63I7MtOLQ", "趁熱 Kerry 's kitchen")</f>
        <v>趁熱 Kerry 's kitchen</v>
      </c>
      <c r="C4303" s="80" t="s">
        <v>4720</v>
      </c>
      <c r="D4303" s="81" t="str">
        <f>HYPERLINK("https://youtube.com/watch?v=q3C_dTlKXOY", "魚柳 做法/蒜子花菇炆魚柳/急凍無骨魚柳無得輸/免 炸/低 成本/好 下飯/簡單 家做/重點 講解/廣東話/中字/新手 入門")</f>
        <v>魚柳 做法/蒜子花菇炆魚柳/急凍無骨魚柳無得輸/免 炸/低 成本/好 下飯/簡單 家做/重點 講解/廣東話/中字/新手 入門</v>
      </c>
      <c r="E4303" s="82">
        <v>44498.0</v>
      </c>
      <c r="F4303" s="80">
        <v>680.0</v>
      </c>
      <c r="G4303" s="80" t="s">
        <v>63</v>
      </c>
      <c r="I4303" s="80" t="s">
        <v>63</v>
      </c>
      <c r="J4303" s="80">
        <v>651.0</v>
      </c>
      <c r="K4303" s="80">
        <v>0.964444444444444</v>
      </c>
      <c r="L4303" s="80" t="s">
        <v>64</v>
      </c>
    </row>
    <row r="4304">
      <c r="A4304" s="80" t="s">
        <v>98</v>
      </c>
      <c r="B4304" s="81" t="str">
        <f>HYPERLINK("https://www.youtube.com/channel/UCrquuQB6v1Ued2xyRKZreGQ", "Stephen Leung ")</f>
        <v>Stephen Leung </v>
      </c>
      <c r="C4304" s="80" t="s">
        <v>4721</v>
      </c>
      <c r="D4304" s="81" t="str">
        <f>HYPERLINK("https://youtube.com/watch?v=q3Q9necwJ9M", "【香港自助餐】海鮮半自助餐! 任食生蠔  鮑魚 刺身 青口 中環五星酒店 The Murray 美利酒店 Garden Lounge  |  5000消費券 香港好去處 吃喝玩樂 電子消費券")</f>
        <v>【香港自助餐】海鮮半自助餐! 任食生蠔  鮑魚 刺身 青口 中環五星酒店 The Murray 美利酒店 Garden Lounge  |  5000消費券 香港好去處 吃喝玩樂 電子消費券</v>
      </c>
      <c r="E4304" s="82">
        <v>44393.0</v>
      </c>
      <c r="F4304" s="80">
        <v>756.0</v>
      </c>
      <c r="G4304" s="80" t="s">
        <v>63</v>
      </c>
      <c r="I4304" s="80" t="s">
        <v>63</v>
      </c>
      <c r="J4304" s="80">
        <v>1705.0</v>
      </c>
      <c r="K4304" s="80">
        <v>0.940949227373068</v>
      </c>
      <c r="L4304" s="80" t="s">
        <v>64</v>
      </c>
    </row>
    <row r="4305">
      <c r="A4305" s="80" t="s">
        <v>293</v>
      </c>
      <c r="B4305" s="81" t="str">
        <f>HYPERLINK("https://www.youtube.com/channel/UCXRcbXqjORdIvl63I7MtOLQ", "趁熱 Kerry 's kitchen")</f>
        <v>趁熱 Kerry 's kitchen</v>
      </c>
      <c r="C4305" s="80" t="s">
        <v>4722</v>
      </c>
      <c r="D4305" s="81" t="str">
        <f>HYPERLINK("https://youtube.com/watch?v=q4Sc6Pl21wg", "椰汁芋頭臘味煲/冬天穩胆/芋頭堅香/無得輸/大牌檔味道/地道香港/簡單 家做/新手 入門/廣東話/中字")</f>
        <v>椰汁芋頭臘味煲/冬天穩胆/芋頭堅香/無得輸/大牌檔味道/地道香港/簡單 家做/新手 入門/廣東話/中字</v>
      </c>
      <c r="E4305" s="82">
        <v>44517.0</v>
      </c>
      <c r="F4305" s="80">
        <v>564.0</v>
      </c>
      <c r="G4305" s="80" t="s">
        <v>63</v>
      </c>
      <c r="I4305" s="80" t="s">
        <v>63</v>
      </c>
      <c r="J4305" s="80">
        <v>903.0</v>
      </c>
      <c r="K4305" s="80">
        <v>0.978331527627302</v>
      </c>
      <c r="L4305" s="80" t="s">
        <v>64</v>
      </c>
    </row>
    <row r="4306">
      <c r="A4306" s="80" t="s">
        <v>1670</v>
      </c>
      <c r="B4306" s="81" t="str">
        <f>HYPERLINK("https://www.youtube.com/channel/UC-PIt5m-WOg8UVBkt2RnN0g", "阿JACK睇樓團")</f>
        <v>阿JACK睇樓團</v>
      </c>
      <c r="C4306" s="80" t="s">
        <v>4723</v>
      </c>
      <c r="D4306" s="81" t="str">
        <f>HYPERLINK("https://youtube.com/watch?v=q5SXmVLE66k", "終於嚟啦 三房套房連天台車位  呎價唔過萬系列🤩 交通仲要唔錯添 「阿Jack睇樓團￼ 低密度住宅 北部都會發展」((((按CC開字幕))))10/01/22")</f>
        <v>終於嚟啦 三房套房連天台車位  呎價唔過萬系列🤩 交通仲要唔錯添 「阿Jack睇樓團￼ 低密度住宅 北部都會發展」((((按CC開字幕))))10/01/22</v>
      </c>
      <c r="E4306" s="82">
        <v>44571.0</v>
      </c>
      <c r="F4306" s="80">
        <v>398.0</v>
      </c>
      <c r="G4306" s="80" t="s">
        <v>63</v>
      </c>
      <c r="I4306" s="80" t="s">
        <v>63</v>
      </c>
      <c r="J4306" s="80">
        <v>1656.0</v>
      </c>
      <c r="K4306" s="80">
        <v>0.989247311827957</v>
      </c>
      <c r="L4306" s="80" t="s">
        <v>64</v>
      </c>
    </row>
    <row r="4307">
      <c r="A4307" s="80" t="s">
        <v>285</v>
      </c>
      <c r="B4307" s="81" t="str">
        <f>HYPERLINK("https://www.youtube.com/channel/UCW76wvF8SpMMPS4XD0hGQcg", "Sisters Lab")</f>
        <v>Sisters Lab</v>
      </c>
      <c r="C4307" s="80" t="s">
        <v>4724</v>
      </c>
      <c r="D4307" s="81" t="str">
        <f>HYPERLINK("https://youtube.com/watch?v=qCJkB7jC89Q", "【家姐隔離日記】Quarantine in Korea｜ENG＋CANTO SUB/CC")</f>
        <v>【家姐隔離日記】Quarantine in Korea｜ENG＋CANTO SUB/CC</v>
      </c>
      <c r="E4307" s="82">
        <v>44255.0</v>
      </c>
      <c r="F4307" s="80">
        <v>120.0</v>
      </c>
      <c r="G4307" s="80" t="s">
        <v>63</v>
      </c>
      <c r="I4307" s="80" t="s">
        <v>63</v>
      </c>
      <c r="J4307" s="80">
        <v>364.0</v>
      </c>
      <c r="K4307" s="80">
        <v>0.889975550122249</v>
      </c>
      <c r="L4307" s="80" t="s">
        <v>287</v>
      </c>
    </row>
    <row r="4308">
      <c r="A4308" s="80" t="s">
        <v>108</v>
      </c>
      <c r="B4308" s="81" t="str">
        <f>HYPERLINK("https://www.youtube.com/channel/UCZL6QN6Xs-ZrKY3y6Pv6Emg", "廢青 - 日賺3000")</f>
        <v>廢青 - 日賺3000</v>
      </c>
      <c r="C4308" s="80" t="s">
        <v>4725</v>
      </c>
      <c r="D4308" s="81" t="str">
        <f>HYPERLINK("https://youtube.com/watch?v=qLaKpdYDWAQ", "IPO 如何日賺$3,000 ( 必看! )  |  EP56【廢青 日賺3000】【點CC看中文字幕】")</f>
        <v>IPO 如何日賺$3,000 ( 必看! )  |  EP56【廢青 日賺3000】【點CC看中文字幕】</v>
      </c>
      <c r="E4308" s="82">
        <v>44183.0</v>
      </c>
      <c r="F4308" s="80">
        <v>420.0</v>
      </c>
      <c r="G4308" s="80" t="s">
        <v>63</v>
      </c>
      <c r="I4308" s="80" t="s">
        <v>63</v>
      </c>
      <c r="J4308" s="80">
        <v>1887.0</v>
      </c>
      <c r="K4308" s="80">
        <v>0.891355692017005</v>
      </c>
      <c r="L4308" s="80" t="s">
        <v>64</v>
      </c>
    </row>
    <row r="4309">
      <c r="A4309" s="80" t="s">
        <v>3869</v>
      </c>
      <c r="B4309" s="81" t="str">
        <f>HYPERLINK("https://www.youtube.com/channel/UCxG_Sl8LTqDJyzurpOSKW0Q", "papa")</f>
        <v>papa</v>
      </c>
      <c r="C4309" s="80" t="s">
        <v>4726</v>
      </c>
      <c r="D4309" s="81" t="str">
        <f>HYPERLINK("https://youtube.com/watch?v=qQikggkiFgc", "［粵語］papa嘅刺客教條 #1｜緣起 劇情簡介 第一幕 極邪惡隱世標題 自我認同 教條與教條主義 結果主義 ［CC 字幕］")</f>
        <v>［粵語］papa嘅刺客教條 #1｜緣起 劇情簡介 第一幕 極邪惡隱世標題 自我認同 教條與教條主義 結果主義 ［CC 字幕］</v>
      </c>
      <c r="E4309" s="82">
        <v>44433.0</v>
      </c>
      <c r="F4309" s="80">
        <v>1977.0</v>
      </c>
      <c r="G4309" s="80" t="s">
        <v>63</v>
      </c>
      <c r="I4309" s="80" t="s">
        <v>63</v>
      </c>
      <c r="J4309" s="80">
        <v>7083.0</v>
      </c>
      <c r="K4309" s="80">
        <v>0.915826221877424</v>
      </c>
      <c r="L4309" s="80" t="s">
        <v>64</v>
      </c>
    </row>
    <row r="4310">
      <c r="A4310" s="80" t="s">
        <v>3639</v>
      </c>
      <c r="B4310" s="81" t="str">
        <f>HYPERLINK("https://www.youtube.com/channel/UCvU4k0Z8HUSWZUrqDodvlAg", "Audrey Yung")</f>
        <v>Audrey Yung</v>
      </c>
      <c r="C4310" s="80" t="s">
        <v>4727</v>
      </c>
      <c r="D4310" s="81" t="str">
        <f>HYPERLINK("https://youtube.com/watch?v=qSmJ5fWaqtk", "[VLOG] What I Eat in a Day? (36 hours with a Teen Foodie/ 吃貨36小時)")</f>
        <v>[VLOG] What I Eat in a Day? (36 hours with a Teen Foodie/ 吃貨36小時)</v>
      </c>
      <c r="E4310" s="82">
        <v>44043.0</v>
      </c>
      <c r="F4310" s="80">
        <v>666.0</v>
      </c>
      <c r="G4310" s="80" t="s">
        <v>63</v>
      </c>
      <c r="I4310" s="80" t="s">
        <v>63</v>
      </c>
      <c r="J4310" s="80">
        <v>268.0</v>
      </c>
      <c r="K4310" s="80">
        <v>0.91156462585034</v>
      </c>
      <c r="L4310" s="80" t="s">
        <v>1071</v>
      </c>
    </row>
    <row r="4311">
      <c r="A4311" s="80" t="s">
        <v>1260</v>
      </c>
      <c r="B4311" s="81" t="str">
        <f>HYPERLINK("https://www.youtube.com/channel/UCh1k4i86BpiXEO3nzJIYynw", "The Wave")</f>
        <v>The Wave</v>
      </c>
      <c r="C4311" s="80" t="s">
        <v>4728</v>
      </c>
      <c r="D4311" s="81" t="str">
        <f>HYPERLINK("https://youtube.com/watch?v=qVZ-lhy7cpY", "TheWave | 選擇合適嘅顯示屏 | 21:9")</f>
        <v>TheWave | 選擇合適嘅顯示屏 | 21:9</v>
      </c>
      <c r="E4311" s="82">
        <v>43901.0</v>
      </c>
      <c r="F4311" s="80">
        <v>201.0</v>
      </c>
      <c r="G4311" s="80" t="s">
        <v>63</v>
      </c>
      <c r="H4311" s="80" t="s">
        <v>63</v>
      </c>
      <c r="I4311" s="80" t="s">
        <v>63</v>
      </c>
      <c r="J4311" s="80">
        <v>637.0</v>
      </c>
      <c r="K4311" s="80">
        <v>0.816666666666666</v>
      </c>
      <c r="L4311" s="80" t="s">
        <v>1634</v>
      </c>
    </row>
    <row r="4312">
      <c r="A4312" s="80" t="s">
        <v>108</v>
      </c>
      <c r="B4312" s="81" t="str">
        <f>HYPERLINK("https://www.youtube.com/channel/UCZL6QN6Xs-ZrKY3y6Pv6Emg", "廢青 - 日賺3000")</f>
        <v>廢青 - 日賺3000</v>
      </c>
      <c r="C4312" s="80" t="s">
        <v>4729</v>
      </c>
      <c r="D4312" s="81" t="str">
        <f>HYPERLINK("https://youtube.com/watch?v=qX_SKPlXnz0", "💢入市時機！💢 武漢肺炎 港股已見底！😱🔥🔥 2020 財務自由靠股票EP18 【廢青 日賺3000】【點CC看中文字幕】")</f>
        <v>💢入市時機！💢 武漢肺炎 港股已見底！😱🔥🔥 2020 財務自由靠股票EP18 【廢青 日賺3000】【點CC看中文字幕】</v>
      </c>
      <c r="E4312" s="82">
        <v>43879.0</v>
      </c>
      <c r="F4312" s="80">
        <v>602.0</v>
      </c>
      <c r="G4312" s="80" t="s">
        <v>63</v>
      </c>
      <c r="I4312" s="80" t="s">
        <v>63</v>
      </c>
      <c r="J4312" s="80">
        <v>2284.0</v>
      </c>
      <c r="K4312" s="80">
        <v>0.892536146932395</v>
      </c>
      <c r="L4312" s="80" t="s">
        <v>64</v>
      </c>
    </row>
    <row r="4313">
      <c r="A4313" s="80" t="s">
        <v>2793</v>
      </c>
      <c r="B4313" s="81" t="str">
        <f>HYPERLINK("https://www.youtube.com/channel/UC03mRlT2h1B4LohYaIj9lHg", "Messiah2048")</f>
        <v>Messiah2048</v>
      </c>
      <c r="C4313" s="80" t="s">
        <v>4730</v>
      </c>
      <c r="D4313" s="81" t="str">
        <f>HYPERLINK("https://youtube.com/watch?v=qXuTJN_A5mU", "大嘅律師、想笑死人咩，低能仔！")</f>
        <v>大嘅律師、想笑死人咩，低能仔！</v>
      </c>
      <c r="E4313" s="82">
        <v>41591.0</v>
      </c>
      <c r="F4313" s="80">
        <v>58.0</v>
      </c>
      <c r="G4313" s="80" t="s">
        <v>63</v>
      </c>
      <c r="I4313" s="80" t="s">
        <v>63</v>
      </c>
      <c r="J4313" s="80">
        <v>159.0</v>
      </c>
      <c r="K4313" s="80">
        <v>0.854838709677419</v>
      </c>
      <c r="L4313" s="80" t="s">
        <v>64</v>
      </c>
    </row>
    <row r="4314">
      <c r="A4314" s="80" t="s">
        <v>127</v>
      </c>
      <c r="B4314" s="81" t="str">
        <f>HYPERLINK("https://www.youtube.com/channel/UC97oYK3XMf9RLtkc0lO8C-Q", "健康旦 HiEggo")</f>
        <v>健康旦 HiEggo</v>
      </c>
      <c r="C4314" s="80" t="s">
        <v>4731</v>
      </c>
      <c r="D4314" s="81" t="str">
        <f>HYPERLINK("https://youtube.com/watch?v=qds2BgDLjEw", "滅蟲專家夏天驅蚊大法貼士 天然紫蘇葉薄荷葉效用遠勝驅蚊貼蚊怕水 - 鄭丹瑞《健康旦》#任永強 滅蟲專家 (CC中文字幕)")</f>
        <v>滅蟲專家夏天驅蚊大法貼士 天然紫蘇葉薄荷葉效用遠勝驅蚊貼蚊怕水 - 鄭丹瑞《健康旦》#任永強 滅蟲專家 (CC中文字幕)</v>
      </c>
      <c r="E4314" s="82">
        <v>44019.0</v>
      </c>
      <c r="F4314" s="80">
        <v>653.0</v>
      </c>
      <c r="G4314" s="80" t="s">
        <v>63</v>
      </c>
      <c r="I4314" s="80" t="s">
        <v>63</v>
      </c>
      <c r="J4314" s="80">
        <v>2312.0</v>
      </c>
      <c r="K4314" s="80">
        <v>0.99057412167952</v>
      </c>
      <c r="L4314" s="80" t="s">
        <v>64</v>
      </c>
    </row>
    <row r="4315">
      <c r="A4315" s="80" t="s">
        <v>98</v>
      </c>
      <c r="B4315" s="81" t="str">
        <f>HYPERLINK("https://www.youtube.com/channel/UCrquuQB6v1Ued2xyRKZreGQ", "Stephen Leung ")</f>
        <v>Stephen Leung </v>
      </c>
      <c r="C4315" s="80" t="s">
        <v>4732</v>
      </c>
      <c r="D4315" s="81" t="str">
        <f>HYPERLINK("https://youtube.com/watch?v=qhctM2q2J9o", "【香港美食】尖沙咀泰國菜全面半價!!! $100樓下食多款泰國熱門菜 冬陰功海鮮湯 生蝦刺身 酸辣明爐魚 咖喱炒蟹 Teddy Boy | 吃喝玩樂  香港好去處 美食 2021")</f>
        <v>【香港美食】尖沙咀泰國菜全面半價!!! $100樓下食多款泰國熱門菜 冬陰功海鮮湯 生蝦刺身 酸辣明爐魚 咖喱炒蟹 Teddy Boy | 吃喝玩樂  香港好去處 美食 2021</v>
      </c>
      <c r="E4315" s="82">
        <v>44526.0</v>
      </c>
      <c r="F4315" s="80">
        <v>642.0</v>
      </c>
      <c r="G4315" s="80" t="s">
        <v>63</v>
      </c>
      <c r="I4315" s="80" t="s">
        <v>63</v>
      </c>
      <c r="J4315" s="80">
        <v>1620.0</v>
      </c>
      <c r="K4315" s="80">
        <v>0.981818181818181</v>
      </c>
      <c r="L4315" s="80" t="s">
        <v>64</v>
      </c>
    </row>
    <row r="4316">
      <c r="A4316" s="80" t="s">
        <v>293</v>
      </c>
      <c r="B4316" s="81" t="str">
        <f>HYPERLINK("https://www.youtube.com/channel/UCXRcbXqjORdIvl63I7MtOLQ", "趁熱 Kerry 's kitchen")</f>
        <v>趁熱 Kerry 's kitchen</v>
      </c>
      <c r="C4316" s="80" t="s">
        <v>4733</v>
      </c>
      <c r="D4316" s="81" t="str">
        <f>HYPERLINK("https://youtube.com/watch?v=qiTDYDUHgJo", "鹹蛋黃 豆腐/廣東話/中字/簡單 鹹蛋 加豆腐/ 簡單 家做/10幾分鐘攪掂/新手 入門")</f>
        <v>鹹蛋黃 豆腐/廣東話/中字/簡單 鹹蛋 加豆腐/ 簡單 家做/10幾分鐘攪掂/新手 入門</v>
      </c>
      <c r="E4316" s="82">
        <v>44568.0</v>
      </c>
      <c r="F4316" s="80">
        <v>482.0</v>
      </c>
      <c r="G4316" s="80" t="s">
        <v>63</v>
      </c>
      <c r="I4316" s="80" t="s">
        <v>63</v>
      </c>
      <c r="J4316" s="80">
        <v>670.0</v>
      </c>
      <c r="K4316" s="80">
        <v>0.985294117647058</v>
      </c>
      <c r="L4316" s="80" t="s">
        <v>64</v>
      </c>
    </row>
    <row r="4317">
      <c r="A4317" s="80" t="s">
        <v>245</v>
      </c>
      <c r="B4317" s="81" t="str">
        <f>HYPERLINK("https://www.youtube.com/channel/UCkZ3cOWgnhJheCK7Ywpiezw", "Eagen Kao")</f>
        <v>Eagen Kao</v>
      </c>
      <c r="C4317" s="80" t="s">
        <v>4734</v>
      </c>
      <c r="D4317" s="81" t="str">
        <f>HYPERLINK("https://youtube.com/watch?v=qjEBNBq1wQ4", "[講TECH] Illustrator for iPad 好快就可以正式下載，到底有邊啲功能先？ | SOFTWARE")</f>
        <v>[講TECH] Illustrator for iPad 好快就可以正式下載，到底有邊啲功能先？ | SOFTWARE</v>
      </c>
      <c r="E4317" s="82">
        <v>44109.0</v>
      </c>
      <c r="F4317" s="80">
        <v>426.0</v>
      </c>
      <c r="G4317" s="80" t="s">
        <v>63</v>
      </c>
      <c r="I4317" s="80" t="s">
        <v>63</v>
      </c>
      <c r="J4317" s="80">
        <v>957.0</v>
      </c>
      <c r="K4317" s="80">
        <v>0.559322033898305</v>
      </c>
      <c r="L4317" s="80" t="s">
        <v>102</v>
      </c>
    </row>
    <row r="4318">
      <c r="A4318" s="80" t="s">
        <v>1139</v>
      </c>
      <c r="B4318" s="81" t="str">
        <f t="shared" ref="B4318:B4319" si="227">HYPERLINK("https://www.youtube.com/channel/UCw51gVFijIewmXH4tIR0ufw", "Crystal Zen")</f>
        <v>Crystal Zen</v>
      </c>
      <c r="C4318" s="80" t="s">
        <v>4735</v>
      </c>
      <c r="D4318" s="81" t="str">
        <f>HYPERLINK("https://youtube.com/watch?v=qpFcvNexR8w", "[水晶知多D] 西瓜碧璽 碧璽中嘅美容石旺夫石事業石 當中特性唔知你又知幾多呢？")</f>
        <v>[水晶知多D] 西瓜碧璽 碧璽中嘅美容石旺夫石事業石 當中特性唔知你又知幾多呢？</v>
      </c>
      <c r="E4318" s="82">
        <v>44492.0</v>
      </c>
      <c r="F4318" s="80">
        <v>370.0</v>
      </c>
      <c r="G4318" s="80" t="s">
        <v>63</v>
      </c>
      <c r="I4318" s="80" t="s">
        <v>63</v>
      </c>
      <c r="J4318" s="80">
        <v>1480.0</v>
      </c>
      <c r="K4318" s="80">
        <v>0.969220694171578</v>
      </c>
      <c r="L4318" s="80" t="s">
        <v>64</v>
      </c>
    </row>
    <row r="4319">
      <c r="A4319" s="80" t="s">
        <v>1139</v>
      </c>
      <c r="B4319" s="81" t="str">
        <f t="shared" si="227"/>
        <v>Crystal Zen</v>
      </c>
      <c r="C4319" s="80" t="s">
        <v>4736</v>
      </c>
      <c r="D4319" s="81" t="str">
        <f>HYPERLINK("https://youtube.com/watch?v=qpj8WvzpP-I", "淨化？個個都話識做 你真係識🤔")</f>
        <v>淨化？個個都話識做 你真係識🤔</v>
      </c>
      <c r="E4319" s="82">
        <v>43909.0</v>
      </c>
      <c r="F4319" s="80">
        <v>269.0</v>
      </c>
      <c r="G4319" s="80" t="s">
        <v>63</v>
      </c>
      <c r="I4319" s="80" t="s">
        <v>63</v>
      </c>
      <c r="J4319" s="80">
        <v>1287.0</v>
      </c>
      <c r="K4319" s="80">
        <v>0.958302308265078</v>
      </c>
      <c r="L4319" s="80" t="s">
        <v>64</v>
      </c>
    </row>
    <row r="4320">
      <c r="A4320" s="80" t="s">
        <v>248</v>
      </c>
      <c r="B4320" s="81" t="str">
        <f>HYPERLINK("https://www.youtube.com/channel/UCUEJok-GiWaGlv5nIPwk-GQ", "Price.com.hk 香港格價網")</f>
        <v>Price.com.hk 香港格價網</v>
      </c>
      <c r="C4320" s="80" t="s">
        <v>4737</v>
      </c>
      <c r="D4320" s="81" t="str">
        <f>HYPERLINK("https://youtube.com/watch?v=qsGIJ--SSsU", "2021年5大冷氣機推介！邊部最慳電？邊部最靜？｜不含廣告｜廣東話【Price.com.hk選購攻略】")</f>
        <v>2021年5大冷氣機推介！邊部最慳電？邊部最靜？｜不含廣告｜廣東話【Price.com.hk選購攻略】</v>
      </c>
      <c r="E4320" s="82">
        <v>44334.0</v>
      </c>
      <c r="F4320" s="80">
        <v>386.0</v>
      </c>
      <c r="G4320" s="80" t="s">
        <v>63</v>
      </c>
      <c r="I4320" s="80" t="s">
        <v>63</v>
      </c>
      <c r="J4320" s="80">
        <v>1470.0</v>
      </c>
      <c r="K4320" s="80">
        <v>0.941704035874439</v>
      </c>
      <c r="L4320" s="80" t="s">
        <v>64</v>
      </c>
    </row>
    <row r="4321">
      <c r="A4321" s="80" t="s">
        <v>285</v>
      </c>
      <c r="B4321" s="81" t="str">
        <f>HYPERLINK("https://www.youtube.com/channel/UCW76wvF8SpMMPS4XD0hGQcg", "Sisters Lab")</f>
        <v>Sisters Lab</v>
      </c>
      <c r="C4321" s="80" t="s">
        <v>4738</v>
      </c>
      <c r="D4321" s="81" t="str">
        <f>HYPERLINK("https://youtube.com/watch?v=qstyEvObtlE", "【女生初老症狀】Girl's Senior Moments｜ENG+CANTO SUB/CC")</f>
        <v>【女生初老症狀】Girl's Senior Moments｜ENG+CANTO SUB/CC</v>
      </c>
      <c r="E4321" s="82">
        <v>44160.0</v>
      </c>
      <c r="F4321" s="80">
        <v>149.0</v>
      </c>
      <c r="G4321" s="80" t="s">
        <v>63</v>
      </c>
      <c r="I4321" s="80" t="s">
        <v>63</v>
      </c>
      <c r="J4321" s="80">
        <v>190.0</v>
      </c>
      <c r="K4321" s="80">
        <v>0.637583892617449</v>
      </c>
      <c r="L4321" s="80" t="s">
        <v>287</v>
      </c>
    </row>
    <row r="4322">
      <c r="A4322" s="80" t="s">
        <v>288</v>
      </c>
      <c r="B4322" s="81" t="str">
        <f>HYPERLINK("https://www.youtube.com/channel/UCDWOYEhVnyD4IHZGVAMLc0g", "Brendan 毛爸")</f>
        <v>Brendan 毛爸</v>
      </c>
      <c r="C4322" s="80" t="s">
        <v>4739</v>
      </c>
      <c r="D4322" s="81" t="str">
        <f>HYPERLINK("https://youtube.com/watch?v=qyLvR89nwoM", "平民Vip3! 66級主公! 13-15關 Part 1！[新三國志手機版- EP39]")</f>
        <v>平民Vip3! 66級主公! 13-15關 Part 1！[新三國志手機版- EP39]</v>
      </c>
      <c r="E4322" s="82">
        <v>43995.0</v>
      </c>
      <c r="F4322" s="80">
        <v>208.0</v>
      </c>
      <c r="G4322" s="80" t="s">
        <v>63</v>
      </c>
      <c r="I4322" s="80" t="s">
        <v>63</v>
      </c>
      <c r="J4322" s="80">
        <v>589.0</v>
      </c>
      <c r="K4322" s="80">
        <v>0.962418300653594</v>
      </c>
      <c r="L4322" s="80" t="s">
        <v>64</v>
      </c>
    </row>
    <row r="4323">
      <c r="A4323" s="80" t="s">
        <v>1260</v>
      </c>
      <c r="B4323" s="81" t="str">
        <f>HYPERLINK("https://www.youtube.com/channel/UCh1k4i86BpiXEO3nzJIYynw", "The Wave")</f>
        <v>The Wave</v>
      </c>
      <c r="C4323" s="80" t="s">
        <v>4740</v>
      </c>
      <c r="D4323" s="81" t="str">
        <f>HYPERLINK("https://youtube.com/watch?v=qzxaWsscLpE", "TheWave | SEL14F18GM 開箱 | Sony超大光圈，超廣角G Master鏡頭 | 內有少少sample相 | 4K 廣東話 CC字幕")</f>
        <v>TheWave | SEL14F18GM 開箱 | Sony超大光圈，超廣角G Master鏡頭 | 內有少少sample相 | 4K 廣東話 CC字幕</v>
      </c>
      <c r="E4323" s="82">
        <v>44336.0</v>
      </c>
      <c r="F4323" s="80">
        <v>164.0</v>
      </c>
      <c r="G4323" s="80" t="s">
        <v>63</v>
      </c>
      <c r="H4323" s="80" t="s">
        <v>63</v>
      </c>
      <c r="I4323" s="80" t="s">
        <v>63</v>
      </c>
      <c r="J4323" s="80">
        <v>542.0</v>
      </c>
      <c r="K4323" s="80">
        <v>0.770981507823613</v>
      </c>
      <c r="L4323" s="80" t="s">
        <v>1634</v>
      </c>
    </row>
    <row r="4324">
      <c r="A4324" s="80" t="s">
        <v>2753</v>
      </c>
      <c r="B4324" s="81" t="str">
        <f>HYPERLINK("https://www.youtube.com/channel/UCxRXNy5P6fLtHYpawxoiqJQ", "焦點視頻")</f>
        <v>焦點視頻</v>
      </c>
      <c r="C4324" s="80" t="s">
        <v>4741</v>
      </c>
      <c r="D4324" s="81" t="str">
        <f>HYPERLINK("https://youtube.com/watch?v=r-DYcd-Czv4", "【職場識人術】用面相學秒懂人性！認清身邊神對手及豬隊友！ 《梁善行玄機解碼》 EP39 20211123 （中文字幕）")</f>
        <v>【職場識人術】用面相學秒懂人性！認清身邊神對手及豬隊友！ 《梁善行玄機解碼》 EP39 20211123 （中文字幕）</v>
      </c>
      <c r="E4324" s="82">
        <v>44522.0</v>
      </c>
      <c r="F4324" s="80">
        <v>608.0</v>
      </c>
      <c r="G4324" s="80" t="s">
        <v>63</v>
      </c>
      <c r="I4324" s="80" t="s">
        <v>63</v>
      </c>
      <c r="J4324" s="80">
        <v>1839.0</v>
      </c>
      <c r="K4324" s="80">
        <v>0.992980561555075</v>
      </c>
      <c r="L4324" s="80" t="s">
        <v>3012</v>
      </c>
    </row>
    <row r="4325">
      <c r="A4325" s="80" t="s">
        <v>293</v>
      </c>
      <c r="B4325" s="81" t="str">
        <f>HYPERLINK("https://www.youtube.com/channel/UCXRcbXqjORdIvl63I7MtOLQ", "趁熱 Kerry 's kitchen")</f>
        <v>趁熱 Kerry 's kitchen</v>
      </c>
      <c r="C4325" s="80" t="s">
        <v>4742</v>
      </c>
      <c r="D4325" s="81" t="str">
        <f>HYPERLINK("https://youtube.com/watch?v=r-RL13AC6Y0", "碌鴨/碌鴨仔/簡單 家做/豆豉南乳炆鴨/2斤急凍鴨仔做法/粵語/中字/cc字幕")</f>
        <v>碌鴨/碌鴨仔/簡單 家做/豆豉南乳炆鴨/2斤急凍鴨仔做法/粵語/中字/cc字幕</v>
      </c>
      <c r="E4325" s="82">
        <v>44337.0</v>
      </c>
      <c r="F4325" s="80">
        <v>508.0</v>
      </c>
      <c r="G4325" s="80" t="s">
        <v>63</v>
      </c>
      <c r="I4325" s="80" t="s">
        <v>63</v>
      </c>
      <c r="J4325" s="80">
        <v>1383.0</v>
      </c>
      <c r="K4325" s="80">
        <v>0.974630021141649</v>
      </c>
      <c r="L4325" s="80" t="s">
        <v>64</v>
      </c>
    </row>
    <row r="4326">
      <c r="A4326" s="80" t="s">
        <v>127</v>
      </c>
      <c r="B4326" s="81" t="str">
        <f>HYPERLINK("https://www.youtube.com/channel/UC97oYK3XMf9RLtkc0lO8C-Q", "健康旦 HiEggo")</f>
        <v>健康旦 HiEggo</v>
      </c>
      <c r="C4326" s="80" t="s">
        <v>4743</v>
      </c>
      <c r="D4326" s="81" t="str">
        <f>HYPERLINK("https://youtube.com/watch?v=r-rgq94SAN4", "DIY腦靈足球隊 友誼健康開心行先 為柏金遜患者重拾快樂 - 鄭丹瑞 旦Vlog （CC中文字幕）")</f>
        <v>DIY腦靈足球隊 友誼健康開心行先 為柏金遜患者重拾快樂 - 鄭丹瑞 旦Vlog （CC中文字幕）</v>
      </c>
      <c r="E4326" s="82">
        <v>43962.0</v>
      </c>
      <c r="F4326" s="80">
        <v>688.0</v>
      </c>
      <c r="G4326" s="80" t="s">
        <v>63</v>
      </c>
      <c r="I4326" s="80" t="s">
        <v>63</v>
      </c>
      <c r="J4326" s="80">
        <v>1231.0</v>
      </c>
      <c r="K4326" s="80">
        <v>0.95500387897595</v>
      </c>
      <c r="L4326" s="80" t="s">
        <v>64</v>
      </c>
    </row>
    <row r="4327">
      <c r="A4327" s="80" t="s">
        <v>288</v>
      </c>
      <c r="B4327" s="81" t="str">
        <f>HYPERLINK("https://www.youtube.com/channel/UCDWOYEhVnyD4IHZGVAMLc0g", "Brendan 毛爸")</f>
        <v>Brendan 毛爸</v>
      </c>
      <c r="C4327" s="80" t="s">
        <v>4744</v>
      </c>
      <c r="D4327" s="81" t="str">
        <f>HYPERLINK("https://youtube.com/watch?v=r24KMeoDl4A", "吉野家 日式牛肉飯/牛丼！做法超簡單、零失敗！簡易食譜！懶人食譜！煮飯下水最好的比例（請開CC 中文字幕) 【毛飯家庭 - EP5】")</f>
        <v>吉野家 日式牛肉飯/牛丼！做法超簡單、零失敗！簡易食譜！懶人食譜！煮飯下水最好的比例（請開CC 中文字幕) 【毛飯家庭 - EP5】</v>
      </c>
      <c r="E4327" s="82">
        <v>43885.0</v>
      </c>
      <c r="F4327" s="80">
        <v>284.0</v>
      </c>
      <c r="G4327" s="80" t="s">
        <v>63</v>
      </c>
      <c r="I4327" s="80" t="s">
        <v>63</v>
      </c>
      <c r="J4327" s="80">
        <v>788.0</v>
      </c>
      <c r="K4327" s="80">
        <v>0.958637469586374</v>
      </c>
      <c r="L4327" s="80" t="s">
        <v>64</v>
      </c>
    </row>
    <row r="4328">
      <c r="A4328" s="80" t="s">
        <v>2829</v>
      </c>
      <c r="B4328" s="81" t="str">
        <f>HYPERLINK("https://www.youtube.com/channel/UC7GnES6AEQlDzaP04UqtyjA", "SOLID IDEA")</f>
        <v>SOLID IDEA</v>
      </c>
      <c r="C4328" s="80" t="s">
        <v>4745</v>
      </c>
      <c r="D4328" s="81" t="str">
        <f>HYPERLINK("https://youtube.com/watch?v=r2IbY3d8HWI", "[#設計概念] #帝御星濤 型格做埋打拆！ | 室內設計 | 空間擺位 | SOLID IDEA | (CC中文字幕)")</f>
        <v>[#設計概念] #帝御星濤 型格做埋打拆！ | 室內設計 | 空間擺位 | SOLID IDEA | (CC中文字幕)</v>
      </c>
      <c r="E4328" s="82">
        <v>44561.0</v>
      </c>
      <c r="F4328" s="80">
        <v>187.0</v>
      </c>
      <c r="G4328" s="80" t="s">
        <v>63</v>
      </c>
      <c r="I4328" s="80" t="s">
        <v>63</v>
      </c>
      <c r="J4328" s="80">
        <v>456.0</v>
      </c>
      <c r="K4328" s="80">
        <v>0.892367906066536</v>
      </c>
      <c r="L4328" s="80" t="s">
        <v>64</v>
      </c>
    </row>
    <row r="4329">
      <c r="A4329" s="80" t="s">
        <v>124</v>
      </c>
      <c r="B4329" s="81" t="str">
        <f>HYPERLINK("https://www.youtube.com/channel/UCg0vuSE0fBF_NvodyYhMcWg", "Wallace Studio HK")</f>
        <v>Wallace Studio HK</v>
      </c>
      <c r="C4329" s="80" t="s">
        <v>4746</v>
      </c>
      <c r="D4329" s="81" t="str">
        <f>HYPERLINK("https://youtube.com/watch?v=r2LiMyFSxKU", "[NAS選購] NAS選購Part 7 QNAP 終極上手指南，新手無痛上路!")</f>
        <v>[NAS選購] NAS選購Part 7 QNAP 終極上手指南，新手無痛上路!</v>
      </c>
      <c r="E4329" s="82">
        <v>44421.0</v>
      </c>
      <c r="F4329" s="80">
        <v>710.0</v>
      </c>
      <c r="G4329" s="80" t="s">
        <v>63</v>
      </c>
      <c r="H4329" s="80" t="s">
        <v>63</v>
      </c>
      <c r="I4329" s="80" t="s">
        <v>63</v>
      </c>
      <c r="J4329" s="80">
        <v>2519.0</v>
      </c>
      <c r="K4329" s="80">
        <v>0.637560111364211</v>
      </c>
      <c r="L4329" s="80" t="s">
        <v>86</v>
      </c>
    </row>
    <row r="4330">
      <c r="A4330" s="80" t="s">
        <v>2893</v>
      </c>
      <c r="B4330" s="81" t="str">
        <f>HYPERLINK("https://www.youtube.com/channel/UCS6TtQSjGUpGHJTCHTTFe9g", "玩學實驗室Play &amp; Learn Lab")</f>
        <v>玩學實驗室Play &amp; Learn Lab</v>
      </c>
      <c r="C4330" s="80" t="s">
        <v>4747</v>
      </c>
      <c r="D4330" s="81" t="str">
        <f>HYPERLINK("https://youtube.com/watch?v=r3i-3vwkza8", "【玩學實驗室 #6】教你玩一個令小朋友變成小小精算師嘅 Board Game《Dragomino》｜登上龍島學習機會率｜親子桌遊研習社｜【親子桌遊玩學堂】EP.02｜4K (廣東話字幕)")</f>
        <v>【玩學實驗室 #6】教你玩一個令小朋友變成小小精算師嘅 Board Game《Dragomino》｜登上龍島學習機會率｜親子桌遊研習社｜【親子桌遊玩學堂】EP.02｜4K (廣東話字幕)</v>
      </c>
      <c r="E4330" s="82">
        <v>44342.0</v>
      </c>
      <c r="F4330" s="80">
        <v>397.0</v>
      </c>
      <c r="G4330" s="80" t="s">
        <v>63</v>
      </c>
      <c r="I4330" s="80" t="s">
        <v>63</v>
      </c>
      <c r="J4330" s="80">
        <v>1218.0</v>
      </c>
      <c r="K4330" s="80">
        <v>0.960567823343848</v>
      </c>
      <c r="L4330" s="80" t="s">
        <v>64</v>
      </c>
    </row>
    <row r="4331">
      <c r="A4331" s="80" t="s">
        <v>1987</v>
      </c>
      <c r="B4331" s="81" t="str">
        <f>HYPERLINK("https://www.youtube.com/channel/UCgGUmm04nVyj-ftaCxVcyBg", "MangoHK大馬獅家")</f>
        <v>MangoHK大馬獅家</v>
      </c>
      <c r="C4331" s="80" t="s">
        <v>4748</v>
      </c>
      <c r="D4331" s="81" t="str">
        <f>HYPERLINK("https://youtube.com/watch?v=r3uhzQk1V6E", "【81】🇵🇹上一代葡萄牙族裔🏛住三千尺巨宅 {中英字幕} Subtitled | Malaysia Portuguese | Malaysia Vlog | mm2h")</f>
        <v>【81】🇵🇹上一代葡萄牙族裔🏛住三千尺巨宅 {中英字幕} Subtitled | Malaysia Portuguese | Malaysia Vlog | mm2h</v>
      </c>
      <c r="E4331" s="82">
        <v>44508.0</v>
      </c>
      <c r="F4331" s="80">
        <v>1127.0</v>
      </c>
      <c r="G4331" s="80" t="s">
        <v>63</v>
      </c>
      <c r="H4331" s="80" t="s">
        <v>63</v>
      </c>
      <c r="I4331" s="80" t="s">
        <v>63</v>
      </c>
      <c r="J4331" s="80">
        <v>3054.0</v>
      </c>
      <c r="K4331" s="80">
        <v>0.952588895820336</v>
      </c>
      <c r="L4331" s="80" t="s">
        <v>80</v>
      </c>
    </row>
    <row r="4332">
      <c r="A4332" s="80" t="s">
        <v>293</v>
      </c>
      <c r="B4332" s="81" t="str">
        <f>HYPERLINK("https://www.youtube.com/channel/UCXRcbXqjORdIvl63I7MtOLQ", "趁熱 Kerry 's kitchen")</f>
        <v>趁熱 Kerry 's kitchen</v>
      </c>
      <c r="C4332" s="80" t="s">
        <v>4749</v>
      </c>
      <c r="D4332" s="81" t="str">
        <f>HYPERLINK("https://youtube.com/watch?v=r41oD2DvcGY", "陳皮紅豆沙/快速爆沙竅門/新手也能做/零失敗/廣東話/中字")</f>
        <v>陳皮紅豆沙/快速爆沙竅門/新手也能做/零失敗/廣東話/中字</v>
      </c>
      <c r="E4332" s="82">
        <v>44519.0</v>
      </c>
      <c r="F4332" s="80">
        <v>327.0</v>
      </c>
      <c r="G4332" s="80" t="s">
        <v>63</v>
      </c>
      <c r="I4332" s="80" t="s">
        <v>63</v>
      </c>
      <c r="J4332" s="80">
        <v>443.0</v>
      </c>
      <c r="K4332" s="80">
        <v>0.982261640798226</v>
      </c>
      <c r="L4332" s="80" t="s">
        <v>64</v>
      </c>
    </row>
    <row r="4333">
      <c r="A4333" s="80" t="s">
        <v>108</v>
      </c>
      <c r="B4333" s="81" t="str">
        <f>HYPERLINK("https://www.youtube.com/channel/UCZL6QN6Xs-ZrKY3y6Pv6Emg", "廢青 - 日賺3000")</f>
        <v>廢青 - 日賺3000</v>
      </c>
      <c r="C4333" s="80" t="s">
        <v>4750</v>
      </c>
      <c r="D4333" s="81" t="str">
        <f>HYPERLINK("https://youtube.com/watch?v=r4VxZS8AKY0", "9月10月 - 股災部署⚠️⚠️3大重點 !!  完整教學 ㊙️ | EP69【廢青 日賺3000】【點CC看中文字幕】")</f>
        <v>9月10月 - 股災部署⚠️⚠️3大重點 !!  完整教學 ㊙️ | EP69【廢青 日賺3000】【點CC看中文字幕】</v>
      </c>
      <c r="E4333" s="82">
        <v>44457.0</v>
      </c>
      <c r="F4333" s="80">
        <v>688.0</v>
      </c>
      <c r="G4333" s="80" t="s">
        <v>63</v>
      </c>
      <c r="I4333" s="80" t="s">
        <v>63</v>
      </c>
      <c r="J4333" s="80">
        <v>2932.0</v>
      </c>
      <c r="K4333" s="80">
        <v>0.912542794895736</v>
      </c>
      <c r="L4333" s="80" t="s">
        <v>64</v>
      </c>
    </row>
    <row r="4334">
      <c r="A4334" s="80" t="s">
        <v>98</v>
      </c>
      <c r="B4334" s="81" t="str">
        <f>HYPERLINK("https://www.youtube.com/channel/UCrquuQB6v1Ued2xyRKZreGQ", "Stephen Leung ")</f>
        <v>Stephen Leung </v>
      </c>
      <c r="C4334" s="80" t="s">
        <v>4751</v>
      </c>
      <c r="D4334" s="81" t="str">
        <f>HYPERLINK("https://youtube.com/watch?v=rBSD3MAWTjk", "【香港美食】抵食過街市加工 新鮮 2人海鮮套餐 最平$248 四款選擇 黑胡椒蟹 龍蝦粉絲煲 椒鹽賴尿蝦 虎杉斑 仲送啤酒! 旺角海鮮菜館 | 吃喝玩樂")</f>
        <v>【香港美食】抵食過街市加工 新鮮 2人海鮮套餐 最平$248 四款選擇 黑胡椒蟹 龍蝦粉絲煲 椒鹽賴尿蝦 虎杉斑 仲送啤酒! 旺角海鮮菜館 | 吃喝玩樂</v>
      </c>
      <c r="E4334" s="82">
        <v>44543.0</v>
      </c>
      <c r="F4334" s="80">
        <v>799.0</v>
      </c>
      <c r="G4334" s="80" t="s">
        <v>63</v>
      </c>
      <c r="I4334" s="80" t="s">
        <v>63</v>
      </c>
      <c r="J4334" s="80">
        <v>2212.0</v>
      </c>
      <c r="K4334" s="80">
        <v>0.988382484361036</v>
      </c>
      <c r="L4334" s="80" t="s">
        <v>64</v>
      </c>
    </row>
    <row r="4335">
      <c r="A4335" s="80" t="s">
        <v>1987</v>
      </c>
      <c r="B4335" s="81" t="str">
        <f>HYPERLINK("https://www.youtube.com/channel/UCgGUmm04nVyj-ftaCxVcyBg", "MangoHK大馬獅家")</f>
        <v>MangoHK大馬獅家</v>
      </c>
      <c r="C4335" s="80" t="s">
        <v>4752</v>
      </c>
      <c r="D4335" s="81" t="str">
        <f>HYPERLINK("https://youtube.com/watch?v=rD9ePoSp0bQ", "【1】💸香滑雞蛋早餐好貴, 🥗自己動手整! {中英字幕}  Subtitled | [DIY]All Day Breakfast | Malaysia Vlog | mm2h")</f>
        <v>【1】💸香滑雞蛋早餐好貴, 🥗自己動手整! {中英字幕}  Subtitled | [DIY]All Day Breakfast | Malaysia Vlog | mm2h</v>
      </c>
      <c r="E4335" s="82">
        <v>44443.0</v>
      </c>
      <c r="F4335" s="80">
        <v>538.0</v>
      </c>
      <c r="G4335" s="80" t="s">
        <v>63</v>
      </c>
      <c r="I4335" s="80" t="s">
        <v>63</v>
      </c>
      <c r="J4335" s="80">
        <v>306.0</v>
      </c>
      <c r="K4335" s="80">
        <v>1.0</v>
      </c>
      <c r="L4335" s="80" t="s">
        <v>521</v>
      </c>
    </row>
    <row r="4336">
      <c r="A4336" s="80" t="s">
        <v>2829</v>
      </c>
      <c r="B4336" s="81" t="str">
        <f>HYPERLINK("https://www.youtube.com/channel/UC7GnES6AEQlDzaP04UqtyjA", "SOLID IDEA")</f>
        <v>SOLID IDEA</v>
      </c>
      <c r="C4336" s="80" t="s">
        <v>4753</v>
      </c>
      <c r="D4336" s="81" t="str">
        <f>HYPERLINK("https://youtube.com/watch?v=rDdzDAfH7sI", "＃凱滙 業主有設計優惠比你地!")</f>
        <v>＃凱滙 業主有設計優惠比你地!</v>
      </c>
      <c r="E4336" s="82">
        <v>44214.0</v>
      </c>
      <c r="F4336" s="80">
        <v>15.0</v>
      </c>
      <c r="G4336" s="80" t="s">
        <v>63</v>
      </c>
      <c r="I4336" s="80" t="s">
        <v>63</v>
      </c>
      <c r="J4336" s="80">
        <v>63.0</v>
      </c>
      <c r="K4336" s="80">
        <v>0.649484536082474</v>
      </c>
      <c r="L4336" s="80" t="s">
        <v>64</v>
      </c>
    </row>
    <row r="4337">
      <c r="A4337" s="80" t="s">
        <v>98</v>
      </c>
      <c r="B4337" s="81" t="str">
        <f>HYPERLINK("https://www.youtube.com/channel/UCrquuQB6v1Ued2xyRKZreGQ", "Stephen Leung ")</f>
        <v>Stephen Leung </v>
      </c>
      <c r="C4337" s="80" t="s">
        <v>4754</v>
      </c>
      <c r="D4337" s="81" t="str">
        <f>HYPERLINK("https://youtube.com/watch?v=rLCxrl1uatw", "【香港美食】 豪華! 龍蝦海鮮 13款配料 火鍋套餐 送全場任飲紅白酒 Giveaway | 龍蝦 鮑魚 元貝 安格斯手切肥牛  漁港薈 | 吃喝玩樂")</f>
        <v>【香港美食】 豪華! 龍蝦海鮮 13款配料 火鍋套餐 送全場任飲紅白酒 Giveaway | 龍蝦 鮑魚 元貝 安格斯手切肥牛  漁港薈 | 吃喝玩樂</v>
      </c>
      <c r="E4337" s="82">
        <v>44357.0</v>
      </c>
      <c r="F4337" s="80">
        <v>516.0</v>
      </c>
      <c r="G4337" s="80" t="s">
        <v>63</v>
      </c>
      <c r="I4337" s="80" t="s">
        <v>63</v>
      </c>
      <c r="J4337" s="80">
        <v>1262.0</v>
      </c>
      <c r="K4337" s="80">
        <v>0.973765432098765</v>
      </c>
      <c r="L4337" s="80" t="s">
        <v>64</v>
      </c>
    </row>
    <row r="4338">
      <c r="A4338" s="80" t="s">
        <v>291</v>
      </c>
      <c r="B4338" s="81" t="str">
        <f>HYPERLINK("https://www.youtube.com/channel/UClSNJbCUCp_W4yrS3DlCmjw", "飛馬 PEGASUS")</f>
        <v>飛馬 PEGASUS</v>
      </c>
      <c r="C4338" s="80" t="s">
        <v>4755</v>
      </c>
      <c r="D4338" s="81" t="str">
        <f>HYPERLINK("https://youtube.com/watch?v=rOtw4idiBhE", "細機箱散熱就一定差? Node 202 散熱改造 (CC中文字幕)")</f>
        <v>細機箱散熱就一定差? Node 202 散熱改造 (CC中文字幕)</v>
      </c>
      <c r="E4338" s="82">
        <v>43977.0</v>
      </c>
      <c r="F4338" s="80">
        <v>784.0</v>
      </c>
      <c r="G4338" s="80" t="s">
        <v>63</v>
      </c>
      <c r="I4338" s="80" t="s">
        <v>63</v>
      </c>
      <c r="J4338" s="80">
        <v>2723.0</v>
      </c>
      <c r="K4338" s="80">
        <v>0.813807531380753</v>
      </c>
      <c r="L4338" s="80" t="s">
        <v>64</v>
      </c>
    </row>
    <row r="4339">
      <c r="A4339" s="80" t="s">
        <v>238</v>
      </c>
      <c r="B4339" s="81" t="str">
        <f>HYPERLINK("https://www.youtube.com/channel/UCSBkm4LwpgBmcA3MCtO8vqg", "Post76影音玩樂")</f>
        <v>Post76影音玩樂</v>
      </c>
      <c r="C4339" s="80" t="s">
        <v>4756</v>
      </c>
      <c r="D4339" s="81" t="str">
        <f>HYPERLINK("https://youtube.com/watch?v=rQ6txU_gt6g", "兩款$2000以下免超低音！蝸居影院又一輕鬆玩 : Yamaha Soundbar SR-B20A 及 SR-C20A 終極實測 （附設中文字幕）粵語 【 Soudbar評測 | Post76.hk】")</f>
        <v>兩款$2000以下免超低音！蝸居影院又一輕鬆玩 : Yamaha Soundbar SR-B20A 及 SR-C20A 終極實測 （附設中文字幕）粵語 【 Soudbar評測 | Post76.hk】</v>
      </c>
      <c r="E4339" s="82">
        <v>44258.0</v>
      </c>
      <c r="F4339" s="80">
        <v>891.0</v>
      </c>
      <c r="G4339" s="80" t="s">
        <v>63</v>
      </c>
      <c r="H4339" s="80" t="s">
        <v>63</v>
      </c>
      <c r="I4339" s="80" t="s">
        <v>63</v>
      </c>
      <c r="J4339" s="80">
        <v>3469.0</v>
      </c>
      <c r="K4339" s="80">
        <v>0.856120434353405</v>
      </c>
      <c r="L4339" s="80" t="s">
        <v>66</v>
      </c>
    </row>
    <row r="4340">
      <c r="A4340" s="80" t="s">
        <v>108</v>
      </c>
      <c r="B4340" s="81" t="str">
        <f>HYPERLINK("https://www.youtube.com/channel/UCZL6QN6Xs-ZrKY3y6Pv6Emg", "廢青 - 日賺3000")</f>
        <v>廢青 - 日賺3000</v>
      </c>
      <c r="C4340" s="80" t="s">
        <v>4757</v>
      </c>
      <c r="D4340" s="81" t="str">
        <f>HYPERLINK("https://youtube.com/watch?v=rRI9FFVxpfA", "【廢青MiniTrain VS 廢青On9ineTrain 】3個廢友不可不知既分別 !!!【點CC看中文字幕】")</f>
        <v>【廢青MiniTrain VS 廢青On9ineTrain 】3個廢友不可不知既分別 !!!【點CC看中文字幕】</v>
      </c>
      <c r="E4340" s="82">
        <v>44261.0</v>
      </c>
      <c r="F4340" s="80">
        <v>423.0</v>
      </c>
      <c r="G4340" s="80" t="s">
        <v>63</v>
      </c>
      <c r="I4340" s="80" t="s">
        <v>63</v>
      </c>
      <c r="J4340" s="80">
        <v>1619.0</v>
      </c>
      <c r="K4340" s="80">
        <v>0.739607126541799</v>
      </c>
      <c r="L4340" s="80" t="s">
        <v>64</v>
      </c>
    </row>
    <row r="4341">
      <c r="A4341" s="80" t="s">
        <v>2780</v>
      </c>
      <c r="B4341" s="81" t="str">
        <f>HYPERLINK("https://www.youtube.com/channel/UC0CojhLcc0VESgaG633m5kA", "RainErs")</f>
        <v>RainErs</v>
      </c>
      <c r="C4341" s="80" t="s">
        <v>4758</v>
      </c>
      <c r="D4341" s="81" t="str">
        <f>HYPERLINK("https://youtube.com/watch?v=rS2y2pXlTPU", "Deity D4 DUO Mic[開箱]-- ??可以雙向收音?? perfect !!最迷你雙向收音咪!![有CC字幕]")</f>
        <v>Deity D4 DUO Mic[開箱]-- ??可以雙向收音?? perfect !!最迷你雙向收音咪!![有CC字幕]</v>
      </c>
      <c r="E4341" s="82">
        <v>44334.0</v>
      </c>
      <c r="F4341" s="80">
        <v>843.0</v>
      </c>
      <c r="G4341" s="80" t="s">
        <v>63</v>
      </c>
      <c r="I4341" s="80" t="s">
        <v>63</v>
      </c>
      <c r="J4341" s="80">
        <v>3353.0</v>
      </c>
      <c r="K4341" s="80">
        <v>0.851663703327406</v>
      </c>
      <c r="L4341" s="80" t="s">
        <v>64</v>
      </c>
    </row>
    <row r="4342">
      <c r="A4342" s="80" t="s">
        <v>108</v>
      </c>
      <c r="B4342" s="81" t="str">
        <f>HYPERLINK("https://www.youtube.com/channel/UCZL6QN6Xs-ZrKY3y6Pv6Emg", "廢青 - 日賺3000")</f>
        <v>廢青 - 日賺3000</v>
      </c>
      <c r="C4342" s="80" t="s">
        <v>4759</v>
      </c>
      <c r="D4342" s="81" t="str">
        <f>HYPERLINK("https://youtube.com/watch?v=rXWzh-9_nOA", "⚠️港股跌穿$24,000😱唔買肯定傻豬豬？| ㊙️公開 ㊙️港股必殺技 (2021最新版) ‼️名額有限‼️【廢青 日賺3000】【點CC看中文字幕】")</f>
        <v>⚠️港股跌穿$24,000😱唔買肯定傻豬豬？| ㊙️公開 ㊙️港股必殺技 (2021最新版) ‼️名額有限‼️【廢青 日賺3000】【點CC看中文字幕】</v>
      </c>
      <c r="E4342" s="82">
        <v>44540.0</v>
      </c>
      <c r="F4342" s="80">
        <v>305.0</v>
      </c>
      <c r="G4342" s="80" t="s">
        <v>63</v>
      </c>
      <c r="I4342" s="80" t="s">
        <v>63</v>
      </c>
      <c r="J4342" s="80">
        <v>1195.0</v>
      </c>
      <c r="K4342" s="80">
        <v>0.839185393258427</v>
      </c>
      <c r="L4342" s="80" t="s">
        <v>64</v>
      </c>
    </row>
    <row r="4343">
      <c r="A4343" s="80" t="s">
        <v>127</v>
      </c>
      <c r="B4343" s="81" t="str">
        <f>HYPERLINK("https://www.youtube.com/channel/UC97oYK3XMf9RLtkc0lO8C-Q", "健康旦 HiEggo")</f>
        <v>健康旦 HiEggo</v>
      </c>
      <c r="C4343" s="80" t="s">
        <v>4760</v>
      </c>
      <c r="D4343" s="81" t="str">
        <f>HYPERLINK("https://youtube.com/watch?v=rY8P3tZtSGw", "柏金遜因大腦多巴胺不足 打麻雀捉棋適合認知障礙病人 足夠休息保養腦部功能 - 鄭丹瑞《健康旦》腦神經科專科醫生 #蔡德康 Part 3 (CC中文字幕)")</f>
        <v>柏金遜因大腦多巴胺不足 打麻雀捉棋適合認知障礙病人 足夠休息保養腦部功能 - 鄭丹瑞《健康旦》腦神經科專科醫生 #蔡德康 Part 3 (CC中文字幕)</v>
      </c>
      <c r="E4343" s="82">
        <v>44045.0</v>
      </c>
      <c r="F4343" s="80">
        <v>706.0</v>
      </c>
      <c r="G4343" s="80" t="s">
        <v>63</v>
      </c>
      <c r="I4343" s="80" t="s">
        <v>63</v>
      </c>
      <c r="J4343" s="80">
        <v>2933.0</v>
      </c>
      <c r="K4343" s="80">
        <v>0.995587236931432</v>
      </c>
      <c r="L4343" s="80" t="s">
        <v>64</v>
      </c>
    </row>
    <row r="4344">
      <c r="A4344" s="80" t="s">
        <v>84</v>
      </c>
      <c r="B4344" s="81" t="str">
        <f>HYPERLINK("https://www.youtube.com/channel/UCs6fW24aVjefTsognevmDnA", "PakTil 拍跳")</f>
        <v>PakTil 拍跳</v>
      </c>
      <c r="C4344" s="80" t="s">
        <v>4761</v>
      </c>
      <c r="D4344" s="81" t="str">
        <f>HYPERLINK("https://youtube.com/watch?v=raMVJnoHc-k", "【拍跳短跑】揸車有真人索女聲音導航！正呀！")</f>
        <v>【拍跳短跑】揸車有真人索女聲音導航！正呀！</v>
      </c>
      <c r="E4344" s="82">
        <v>44081.0</v>
      </c>
      <c r="F4344" s="80">
        <v>87.0</v>
      </c>
      <c r="G4344" s="80" t="s">
        <v>63</v>
      </c>
      <c r="I4344" s="80" t="s">
        <v>63</v>
      </c>
      <c r="J4344" s="80">
        <v>291.0</v>
      </c>
      <c r="K4344" s="80">
        <v>0.938709677419354</v>
      </c>
      <c r="L4344" s="80" t="s">
        <v>86</v>
      </c>
    </row>
    <row r="4345">
      <c r="A4345" s="80" t="s">
        <v>98</v>
      </c>
      <c r="B4345" s="81" t="str">
        <f>HYPERLINK("https://www.youtube.com/channel/UCrquuQB6v1Ued2xyRKZreGQ", "Stephen Leung ")</f>
        <v>Stephen Leung </v>
      </c>
      <c r="C4345" s="80" t="s">
        <v>4762</v>
      </c>
      <c r="D4345" s="81" t="str">
        <f>HYPERLINK("https://youtube.com/watch?v=raUYL65zbfo", "【香港美食】自家熟成牛肉 $268 任食 A4黑毛和牛 韓式燒肉放題 蔘雞湯 多款韓式食品 真露任飲 OPPA韓國燒肉店 | 吃喝玩樂  香港好去處")</f>
        <v>【香港美食】自家熟成牛肉 $268 任食 A4黑毛和牛 韓式燒肉放題 蔘雞湯 多款韓式食品 真露任飲 OPPA韓國燒肉店 | 吃喝玩樂  香港好去處</v>
      </c>
      <c r="E4345" s="82">
        <v>44559.0</v>
      </c>
      <c r="F4345" s="80">
        <v>704.0</v>
      </c>
      <c r="G4345" s="80" t="s">
        <v>63</v>
      </c>
      <c r="I4345" s="80" t="s">
        <v>63</v>
      </c>
      <c r="J4345" s="80">
        <v>1657.0</v>
      </c>
      <c r="K4345" s="80">
        <v>0.976428992339422</v>
      </c>
      <c r="L4345" s="80" t="s">
        <v>64</v>
      </c>
    </row>
    <row r="4346">
      <c r="A4346" s="80" t="s">
        <v>1260</v>
      </c>
      <c r="B4346" s="81" t="str">
        <f>HYPERLINK("https://www.youtube.com/channel/UCh1k4i86BpiXEO3nzJIYynw", "The Wave")</f>
        <v>The Wave</v>
      </c>
      <c r="C4346" s="80" t="s">
        <v>4763</v>
      </c>
      <c r="D4346" s="81" t="str">
        <f>HYPERLINK("https://youtube.com/watch?v=rcOdgdnUi2I", "TheWave | Sony ECM-W2BT 無線收音咪 開箱+ 簡單測試 | 同場加映 ECM-LV1")</f>
        <v>TheWave | Sony ECM-W2BT 無線收音咪 開箱+ 簡單測試 | 同場加映 ECM-LV1</v>
      </c>
      <c r="E4346" s="82">
        <v>44297.0</v>
      </c>
      <c r="F4346" s="80">
        <v>222.0</v>
      </c>
      <c r="G4346" s="80" t="s">
        <v>63</v>
      </c>
      <c r="H4346" s="80" t="s">
        <v>63</v>
      </c>
      <c r="I4346" s="80" t="s">
        <v>63</v>
      </c>
      <c r="J4346" s="80">
        <v>634.0</v>
      </c>
      <c r="K4346" s="80">
        <v>0.704288939051918</v>
      </c>
      <c r="L4346" s="80" t="s">
        <v>1634</v>
      </c>
    </row>
    <row r="4347">
      <c r="A4347" s="80" t="s">
        <v>127</v>
      </c>
      <c r="B4347" s="81" t="str">
        <f>HYPERLINK("https://www.youtube.com/channel/UC97oYK3XMf9RLtkc0lO8C-Q", "健康旦 HiEggo")</f>
        <v>健康旦 HiEggo</v>
      </c>
      <c r="C4347" s="80" t="s">
        <v>4764</v>
      </c>
      <c r="D4347" s="81" t="str">
        <f>HYPERLINK("https://youtube.com/watch?v=rdUS7TTcZ5I", "阿旦教你一部飛碟機煮三餐 拍戲包辦劇組早餐 連蛋包飯都整到 - 鄭丹瑞 Vlog #2 (CC中文字幕)")</f>
        <v>阿旦教你一部飛碟機煮三餐 拍戲包辦劇組早餐 連蛋包飯都整到 - 鄭丹瑞 Vlog #2 (CC中文字幕)</v>
      </c>
      <c r="E4347" s="82">
        <v>43883.0</v>
      </c>
      <c r="F4347" s="80">
        <v>601.0</v>
      </c>
      <c r="G4347" s="80" t="s">
        <v>63</v>
      </c>
      <c r="I4347" s="80" t="s">
        <v>63</v>
      </c>
      <c r="J4347" s="80">
        <v>1947.0</v>
      </c>
      <c r="K4347" s="80">
        <v>0.996417604912999</v>
      </c>
      <c r="L4347" s="80" t="s">
        <v>102</v>
      </c>
    </row>
    <row r="4348">
      <c r="A4348" s="80" t="s">
        <v>295</v>
      </c>
      <c r="B4348" s="81" t="str">
        <f>HYPERLINK("https://www.youtube.com/channel/UCIotQRUz6c4H-BRsouLt4YQ", "Captain and his squad")</f>
        <v>Captain and his squad</v>
      </c>
      <c r="C4348" s="80" t="s">
        <v>4765</v>
      </c>
      <c r="D4348" s="81" t="str">
        <f>HYPERLINK("https://youtube.com/watch?v=reYUFpDXVQA", "【 教學 ep.02 : 幫狗狗克服恐懼 🚨🆘 】搵出刺激物嘅源頭 ｜預防突然亂吠、攻擊咬人或者逃跑行為 《Captain 狗隻訓練》(cc中英字幕)")</f>
        <v>【 教學 ep.02 : 幫狗狗克服恐懼 🚨🆘 】搵出刺激物嘅源頭 ｜預防突然亂吠、攻擊咬人或者逃跑行為 《Captain 狗隻訓練》(cc中英字幕)</v>
      </c>
      <c r="E4348" s="82">
        <v>44027.0</v>
      </c>
      <c r="F4348" s="80">
        <v>834.0</v>
      </c>
      <c r="G4348" s="80" t="s">
        <v>63</v>
      </c>
      <c r="H4348" s="80" t="s">
        <v>63</v>
      </c>
      <c r="I4348" s="80" t="s">
        <v>63</v>
      </c>
      <c r="J4348" s="80">
        <v>3347.0</v>
      </c>
      <c r="K4348" s="80">
        <v>0.969437652811736</v>
      </c>
      <c r="L4348" s="80" t="s">
        <v>3350</v>
      </c>
    </row>
    <row r="4349">
      <c r="A4349" s="80" t="s">
        <v>1390</v>
      </c>
      <c r="B4349" s="81" t="str">
        <f>HYPERLINK("https://www.youtube.com/channel/UCgwEJflQi4WnZ8PU0xdibZQ", "Kinson Ho")</f>
        <v>Kinson Ho</v>
      </c>
      <c r="C4349" s="80" t="s">
        <v>4766</v>
      </c>
      <c r="D4349" s="81" t="str">
        <f>HYPERLINK("https://youtube.com/watch?v=rggumJhflRw", "K神任我行 - [CC字幕4K] 赤洲 弓洲 跳島遊｜綑邊穿洞｜赤漠迷城｜獅子岩｜蚺蛇吐舌｜棧道奇穴｜赤洲洞｜鯊魚口洞｜赤兔迎客｜羊角頭｜航拍")</f>
        <v>K神任我行 - [CC字幕4K] 赤洲 弓洲 跳島遊｜綑邊穿洞｜赤漠迷城｜獅子岩｜蚺蛇吐舌｜棧道奇穴｜赤洲洞｜鯊魚口洞｜赤兔迎客｜羊角頭｜航拍</v>
      </c>
      <c r="E4349" s="82">
        <v>44368.0</v>
      </c>
      <c r="F4349" s="80">
        <v>1066.0</v>
      </c>
      <c r="G4349" s="80" t="s">
        <v>63</v>
      </c>
      <c r="I4349" s="80" t="s">
        <v>63</v>
      </c>
      <c r="J4349" s="80">
        <v>890.0</v>
      </c>
      <c r="K4349" s="80">
        <v>0.994413407821229</v>
      </c>
      <c r="L4349" s="80" t="s">
        <v>64</v>
      </c>
    </row>
    <row r="4350">
      <c r="A4350" s="80" t="s">
        <v>1606</v>
      </c>
      <c r="B4350" s="81" t="str">
        <f>HYPERLINK("https://www.youtube.com/channel/UCk25FUc8pLiP3A6Zniknxbg", "希治閣【遊戲情報科】")</f>
        <v>希治閣【遊戲情報科】</v>
      </c>
      <c r="C4350" s="80" t="s">
        <v>4767</v>
      </c>
      <c r="D4350" s="81" t="str">
        <f>HYPERLINK("https://youtube.com/watch?v=rhqjKzl6MTk", "【遲來的找數2】 Desktop Gear 介紹")</f>
        <v>【遲來的找數2】 Desktop Gear 介紹</v>
      </c>
      <c r="E4350" s="82">
        <v>44340.0</v>
      </c>
      <c r="F4350" s="80">
        <v>531.0</v>
      </c>
      <c r="G4350" s="80" t="s">
        <v>63</v>
      </c>
      <c r="I4350" s="80" t="s">
        <v>63</v>
      </c>
      <c r="J4350" s="80">
        <v>2168.0</v>
      </c>
      <c r="K4350" s="80">
        <v>0.775670840787119</v>
      </c>
      <c r="L4350" s="80" t="s">
        <v>64</v>
      </c>
    </row>
    <row r="4351">
      <c r="A4351" s="80" t="s">
        <v>238</v>
      </c>
      <c r="B4351" s="81" t="str">
        <f>HYPERLINK("https://www.youtube.com/channel/UCSBkm4LwpgBmcA3MCtO8vqg", "Post76影音玩樂")</f>
        <v>Post76影音玩樂</v>
      </c>
      <c r="C4351" s="80" t="s">
        <v>4768</v>
      </c>
      <c r="D4351" s="81" t="str">
        <f>HYPERLINK("https://youtube.com/watch?v=rl9lmFj5F4E", "B&amp;W 700 Signature 喇叭追加( Midnight Blue Metallic - 午夜藍 ) 全新色系已經送到佢地尖沙咀 Showroom 勒!! （附設cc字幕）【音響資訊】")</f>
        <v>B&amp;W 700 Signature 喇叭追加( Midnight Blue Metallic - 午夜藍 ) 全新色系已經送到佢地尖沙咀 Showroom 勒!! （附設cc字幕）【音響資訊】</v>
      </c>
      <c r="E4351" s="82">
        <v>44566.0</v>
      </c>
      <c r="F4351" s="80">
        <v>159.0</v>
      </c>
      <c r="G4351" s="80" t="s">
        <v>63</v>
      </c>
      <c r="H4351" s="80" t="s">
        <v>63</v>
      </c>
      <c r="I4351" s="80" t="s">
        <v>63</v>
      </c>
      <c r="J4351" s="80">
        <v>588.0</v>
      </c>
      <c r="K4351" s="80">
        <v>0.769633507853403</v>
      </c>
      <c r="L4351" s="80" t="s">
        <v>240</v>
      </c>
    </row>
    <row r="4352">
      <c r="A4352" s="80" t="s">
        <v>3008</v>
      </c>
      <c r="B4352" s="81" t="str">
        <f>HYPERLINK("https://www.youtube.com/channel/UC_kQIuKI5cZjV3OZsSuaj_Q", "Kofgym")</f>
        <v>Kofgym</v>
      </c>
      <c r="C4352" s="80" t="s">
        <v>4769</v>
      </c>
      <c r="D4352" s="81" t="str">
        <f>HYPERLINK("https://youtube.com/watch?v=rmHj9weoPD0", "EP55 導致你不能完成引體上升的四個陷阱｜漢堡Talk乜Show")</f>
        <v>EP55 導致你不能完成引體上升的四個陷阱｜漢堡Talk乜Show</v>
      </c>
      <c r="E4352" s="82">
        <v>44121.0</v>
      </c>
      <c r="F4352" s="80">
        <v>492.0</v>
      </c>
      <c r="G4352" s="80" t="s">
        <v>63</v>
      </c>
      <c r="I4352" s="80" t="s">
        <v>63</v>
      </c>
      <c r="J4352" s="80">
        <v>2114.0</v>
      </c>
      <c r="K4352" s="80">
        <v>0.872832369942196</v>
      </c>
      <c r="L4352" s="80" t="s">
        <v>64</v>
      </c>
    </row>
    <row r="4353">
      <c r="A4353" s="80" t="s">
        <v>2829</v>
      </c>
      <c r="B4353" s="81" t="str">
        <f>HYPERLINK("https://www.youtube.com/channel/UC7GnES6AEQlDzaP04UqtyjA", "SOLID IDEA")</f>
        <v>SOLID IDEA</v>
      </c>
      <c r="C4353" s="80" t="s">
        <v>4770</v>
      </c>
      <c r="D4353" s="81" t="str">
        <f>HYPERLINK("https://youtube.com/watch?v=rqDw69dYuWI", "[#設計概念] #嘉薈軒 #酒店風 #二手樓 少改造大改變   | 室內設計 | 空間擺位 | SOLID IDEA |  (CC中文字幕)")</f>
        <v>[#設計概念] #嘉薈軒 #酒店風 #二手樓 少改造大改變   | 室內設計 | 空間擺位 | SOLID IDEA |  (CC中文字幕)</v>
      </c>
      <c r="E4353" s="82">
        <v>44316.0</v>
      </c>
      <c r="F4353" s="80">
        <v>207.0</v>
      </c>
      <c r="G4353" s="80" t="s">
        <v>63</v>
      </c>
      <c r="I4353" s="80" t="s">
        <v>63</v>
      </c>
      <c r="J4353" s="80">
        <v>630.0</v>
      </c>
      <c r="K4353" s="80">
        <v>0.941704035874439</v>
      </c>
      <c r="L4353" s="80" t="s">
        <v>64</v>
      </c>
    </row>
    <row r="4354">
      <c r="A4354" s="80" t="s">
        <v>108</v>
      </c>
      <c r="B4354" s="81" t="str">
        <f>HYPERLINK("https://www.youtube.com/channel/UCZL6QN6Xs-ZrKY3y6Pv6Emg", "廢青 - 日賺3000")</f>
        <v>廢青 - 日賺3000</v>
      </c>
      <c r="C4354" s="80" t="s">
        <v>4771</v>
      </c>
      <c r="D4354" s="81" t="str">
        <f>HYPERLINK("https://youtube.com/watch?v=rrZYxW8H5mE", "$0 蚊創造被動收入!💰💰  2020 財務自由教學EP19【廢青 日賺3000】【點CC看中文字幕】")</f>
        <v>$0 蚊創造被動收入!💰💰  2020 財務自由教學EP19【廢青 日賺3000】【點CC看中文字幕】</v>
      </c>
      <c r="E4354" s="82">
        <v>44043.0</v>
      </c>
      <c r="F4354" s="80">
        <v>390.0</v>
      </c>
      <c r="G4354" s="80" t="s">
        <v>63</v>
      </c>
      <c r="I4354" s="80" t="s">
        <v>63</v>
      </c>
      <c r="J4354" s="80">
        <v>1492.0</v>
      </c>
      <c r="K4354" s="80">
        <v>0.952745849297573</v>
      </c>
      <c r="L4354" s="80" t="s">
        <v>64</v>
      </c>
    </row>
    <row r="4355">
      <c r="A4355" s="80" t="s">
        <v>2898</v>
      </c>
      <c r="B4355" s="81" t="str">
        <f>HYPERLINK("https://www.youtube.com/channel/UCy5bjMXbFPglSBNDXfivtOA", "消費者委員會")</f>
        <v>消費者委員會</v>
      </c>
      <c r="C4355" s="80" t="s">
        <v>4772</v>
      </c>
      <c r="D4355" s="81" t="str">
        <f>HYPERLINK("https://youtube.com/watch?v=rrkk7kjVwWU", "[樂在耆中] 長者手杖EP1- 雨傘手杖支撐力不足")</f>
        <v>[樂在耆中] 長者手杖EP1- 雨傘手杖支撐力不足</v>
      </c>
      <c r="E4355" s="82">
        <v>43812.0</v>
      </c>
      <c r="F4355" s="80">
        <v>51.0</v>
      </c>
      <c r="G4355" s="80" t="s">
        <v>63</v>
      </c>
      <c r="I4355" s="80" t="s">
        <v>63</v>
      </c>
      <c r="J4355" s="80">
        <v>128.0</v>
      </c>
      <c r="K4355" s="80">
        <v>1.0</v>
      </c>
      <c r="L4355" s="80" t="s">
        <v>64</v>
      </c>
    </row>
    <row r="4356">
      <c r="A4356" s="80" t="s">
        <v>2764</v>
      </c>
      <c r="B4356" s="81" t="str">
        <f>HYPERLINK("https://www.youtube.com/channel/UCejZUW4khvxoA4uL2Afz20g", "Housik Laanfei 好食懶飛")</f>
        <v>Housik Laanfei 好食懶飛</v>
      </c>
      <c r="C4356" s="80" t="s">
        <v>4773</v>
      </c>
      <c r="D4356" s="81" t="str">
        <f>HYPERLINK("https://youtube.com/watch?v=rtRCaE2byVA", "[餸酒之選] 蓮藕煎肉餅 | CC: 廣東話/繁中/ENG SUB | COOKING VLOG")</f>
        <v>[餸酒之選] 蓮藕煎肉餅 | CC: 廣東話/繁中/ENG SUB | COOKING VLOG</v>
      </c>
      <c r="E4356" s="82">
        <v>44308.0</v>
      </c>
      <c r="F4356" s="80">
        <v>265.0</v>
      </c>
      <c r="G4356" s="80" t="s">
        <v>63</v>
      </c>
      <c r="H4356" s="80" t="s">
        <v>63</v>
      </c>
      <c r="I4356" s="80" t="s">
        <v>63</v>
      </c>
      <c r="J4356" s="80">
        <v>166.0</v>
      </c>
      <c r="K4356" s="80">
        <v>0.954022988505747</v>
      </c>
      <c r="L4356" s="80" t="s">
        <v>80</v>
      </c>
    </row>
    <row r="4357">
      <c r="A4357" s="80" t="s">
        <v>127</v>
      </c>
      <c r="B4357" s="81" t="str">
        <f>HYPERLINK("https://www.youtube.com/channel/UC97oYK3XMf9RLtkc0lO8C-Q", "健康旦 HiEggo")</f>
        <v>健康旦 HiEggo</v>
      </c>
      <c r="C4357" s="80" t="s">
        <v>4774</v>
      </c>
      <c r="D4357" s="81" t="str">
        <f>HYPERLINK("https://youtube.com/watch?v=ruR0FXlvRA8", "譚耀文憶述為演風雲無名 行山練唱歌俾狗吠都唔驚 仲即場大展歌喉 - 鄭丹瑞《健康旦》譚耀文 Part 2")</f>
        <v>譚耀文憶述為演風雲無名 行山練唱歌俾狗吠都唔驚 仲即場大展歌喉 - 鄭丹瑞《健康旦》譚耀文 Part 2</v>
      </c>
      <c r="E4357" s="82">
        <v>43974.0</v>
      </c>
      <c r="F4357" s="80">
        <v>580.0</v>
      </c>
      <c r="G4357" s="80" t="s">
        <v>63</v>
      </c>
      <c r="I4357" s="80" t="s">
        <v>63</v>
      </c>
      <c r="J4357" s="80">
        <v>1503.0</v>
      </c>
      <c r="K4357" s="80">
        <v>0.970303421562298</v>
      </c>
      <c r="L4357" s="80" t="s">
        <v>64</v>
      </c>
    </row>
    <row r="4358">
      <c r="A4358" s="80" t="s">
        <v>4775</v>
      </c>
      <c r="B4358" s="81" t="str">
        <f>HYPERLINK("https://www.youtube.com/channel/UCt9dS9dN_3Vy8s7KVN0ei0g", "DIMGUYS")</f>
        <v>DIMGUYS</v>
      </c>
      <c r="C4358" s="80" t="s">
        <v>4776</v>
      </c>
      <c r="D4358" s="81" t="str">
        <f>HYPERLINK("https://youtube.com/watch?v=rucn6VqEKw4", "【KOBA COVER】THAT IS OK｜ORIG. ProdiG｜（一百倍深情磁性版）")</f>
        <v>【KOBA COVER】THAT IS OK｜ORIG. ProdiG｜（一百倍深情磁性版）</v>
      </c>
      <c r="E4358" s="82">
        <v>44380.0</v>
      </c>
      <c r="F4358" s="80">
        <v>199.0</v>
      </c>
      <c r="G4358" s="80" t="s">
        <v>63</v>
      </c>
      <c r="I4358" s="80" t="s">
        <v>63</v>
      </c>
      <c r="J4358" s="80">
        <v>373.0</v>
      </c>
      <c r="K4358" s="80">
        <v>0.5642965204236</v>
      </c>
      <c r="L4358" s="80" t="s">
        <v>91</v>
      </c>
    </row>
    <row r="4359">
      <c r="A4359" s="80" t="s">
        <v>1987</v>
      </c>
      <c r="B4359" s="81" t="str">
        <f>HYPERLINK("https://www.youtube.com/channel/UCgGUmm04nVyj-ftaCxVcyBg", "MangoHK大馬獅家")</f>
        <v>MangoHK大馬獅家</v>
      </c>
      <c r="C4359" s="80" t="s">
        <v>4777</v>
      </c>
      <c r="D4359" s="81" t="str">
        <f>HYPERLINK("https://youtube.com/watch?v=rvZ-X8q8L_0", "【45】🔑銀行大事件😇大馬商場重開了？{中英字幕}  Subtitled | Malaysia E Curve | Malaysia Vlog | mm2h")</f>
        <v>【45】🔑銀行大事件😇大馬商場重開了？{中英字幕}  Subtitled | Malaysia E Curve | Malaysia Vlog | mm2h</v>
      </c>
      <c r="E4359" s="82">
        <v>44473.0</v>
      </c>
      <c r="F4359" s="80">
        <v>490.0</v>
      </c>
      <c r="G4359" s="80" t="s">
        <v>63</v>
      </c>
      <c r="I4359" s="80" t="s">
        <v>63</v>
      </c>
      <c r="J4359" s="80">
        <v>978.0</v>
      </c>
      <c r="K4359" s="80">
        <v>0.963546798029556</v>
      </c>
      <c r="L4359" s="80" t="s">
        <v>896</v>
      </c>
    </row>
    <row r="4360">
      <c r="A4360" s="80" t="s">
        <v>3021</v>
      </c>
      <c r="B4360" s="81" t="str">
        <f>HYPERLINK("https://www.youtube.com/channel/UCEZ8fnigqno2a1z2_JSYjxQ", "9up Youtuber")</f>
        <v>9up Youtuber</v>
      </c>
      <c r="C4360" s="80" t="s">
        <v>4778</v>
      </c>
      <c r="D4360" s="81" t="str">
        <f>HYPERLINK("https://youtube.com/watch?v=rxaC077KmsE", "【分析】| 朱智賢 黎振燁偷食斷正, 謝東閔記者會綠帽慘汁!!!!!!!|9up分析")</f>
        <v>【分析】| 朱智賢 黎振燁偷食斷正, 謝東閔記者會綠帽慘汁!!!!!!!|9up分析</v>
      </c>
      <c r="E4360" s="82">
        <v>43950.0</v>
      </c>
      <c r="F4360" s="80">
        <v>388.0</v>
      </c>
      <c r="G4360" s="80" t="s">
        <v>63</v>
      </c>
      <c r="I4360" s="80" t="s">
        <v>63</v>
      </c>
      <c r="J4360" s="80">
        <v>1021.0</v>
      </c>
      <c r="K4360" s="80">
        <v>0.923146473779385</v>
      </c>
      <c r="L4360" s="80" t="s">
        <v>64</v>
      </c>
    </row>
    <row r="4361">
      <c r="A4361" s="80" t="s">
        <v>127</v>
      </c>
      <c r="B4361" s="81" t="str">
        <f>HYPERLINK("https://www.youtube.com/channel/UC97oYK3XMf9RLtkc0lO8C-Q", "健康旦 HiEggo")</f>
        <v>健康旦 HiEggo</v>
      </c>
      <c r="C4361" s="80" t="s">
        <v>4779</v>
      </c>
      <c r="D4361" s="81" t="str">
        <f>HYPERLINK("https://youtube.com/watch?v=rz5Rw-iR1q0", "鄧達智家傳中醫瘦肉燉汁補充體力 曾患大腸癌瘦得唔正常 大雨跣低致頸椎移位 - 鄭丹瑞《健康旦》 #鄧達智 Part 2 (CC中文字幕)")</f>
        <v>鄧達智家傳中醫瘦肉燉汁補充體力 曾患大腸癌瘦得唔正常 大雨跣低致頸椎移位 - 鄭丹瑞《健康旦》 #鄧達智 Part 2 (CC中文字幕)</v>
      </c>
      <c r="E4361" s="82">
        <v>44093.0</v>
      </c>
      <c r="F4361" s="80">
        <v>781.0</v>
      </c>
      <c r="G4361" s="80" t="s">
        <v>63</v>
      </c>
      <c r="I4361" s="80" t="s">
        <v>63</v>
      </c>
      <c r="J4361" s="80">
        <v>2661.0</v>
      </c>
      <c r="K4361" s="80">
        <v>0.990692479523455</v>
      </c>
      <c r="L4361" s="80" t="s">
        <v>2771</v>
      </c>
    </row>
    <row r="4362">
      <c r="A4362" s="80" t="s">
        <v>2825</v>
      </c>
      <c r="B4362" s="81" t="str">
        <f>HYPERLINK("https://www.youtube.com/channel/UCP7XhYDgUbvjvaHxIhjTd_g", "Maviskuku 雞蛋妹")</f>
        <v>Maviskuku 雞蛋妹</v>
      </c>
      <c r="C4362" s="80" t="s">
        <v>4780</v>
      </c>
      <c r="D4362" s="81" t="str">
        <f>HYPERLINK("https://youtube.com/watch?v=rz8m6Q32Mr0", "【HK$400 內有交易】Philips 無線耳機開箱｜入門級耳機選擇標準")</f>
        <v>【HK$400 內有交易】Philips 無線耳機開箱｜入門級耳機選擇標準</v>
      </c>
      <c r="E4362" s="82">
        <v>44443.0</v>
      </c>
      <c r="F4362" s="80">
        <v>413.0</v>
      </c>
      <c r="G4362" s="80" t="s">
        <v>63</v>
      </c>
      <c r="H4362" s="80" t="s">
        <v>63</v>
      </c>
      <c r="I4362" s="80" t="s">
        <v>63</v>
      </c>
      <c r="J4362" s="80">
        <v>1279.0</v>
      </c>
      <c r="K4362" s="80">
        <v>0.923188405797101</v>
      </c>
      <c r="L4362" s="80" t="s">
        <v>66</v>
      </c>
    </row>
    <row r="4363">
      <c r="A4363" s="80" t="s">
        <v>1987</v>
      </c>
      <c r="B4363" s="81" t="str">
        <f>HYPERLINK("https://www.youtube.com/channel/UCgGUmm04nVyj-ftaCxVcyBg", "MangoHK大馬獅家")</f>
        <v>MangoHK大馬獅家</v>
      </c>
      <c r="C4363" s="80" t="s">
        <v>4781</v>
      </c>
      <c r="D4363" s="81" t="str">
        <f>HYPERLINK("https://youtube.com/watch?v=s-7JXCMqPIQ", "【10】🐔台式三杯雞, 🥃用那三種酒? {中英字幕}  Subtitled | [DIY]Taiwanese Three Cup Chicken | Malaysia Vlog | mm2h")</f>
        <v>【10】🐔台式三杯雞, 🥃用那三種酒? {中英字幕}  Subtitled | [DIY]Taiwanese Three Cup Chicken | Malaysia Vlog | mm2h</v>
      </c>
      <c r="E4363" s="82">
        <v>44448.0</v>
      </c>
      <c r="F4363" s="80">
        <v>858.0</v>
      </c>
      <c r="G4363" s="80" t="s">
        <v>63</v>
      </c>
      <c r="I4363" s="80" t="s">
        <v>63</v>
      </c>
      <c r="J4363" s="80">
        <v>1976.0</v>
      </c>
      <c r="K4363" s="80">
        <v>0.940504521656354</v>
      </c>
      <c r="L4363" s="80" t="s">
        <v>896</v>
      </c>
    </row>
    <row r="4364">
      <c r="A4364" s="80" t="s">
        <v>1139</v>
      </c>
      <c r="B4364" s="81" t="str">
        <f>HYPERLINK("https://www.youtube.com/channel/UCw51gVFijIewmXH4tIR0ufw", "Crystal Zen")</f>
        <v>Crystal Zen</v>
      </c>
      <c r="C4364" s="80" t="s">
        <v>4782</v>
      </c>
      <c r="D4364" s="81" t="str">
        <f>HYPERLINK("https://youtube.com/watch?v=s-zV3YdUnVw", "[水晶知多啲第一集]同你講下超級七Super Seven")</f>
        <v>[水晶知多啲第一集]同你講下超級七Super Seven</v>
      </c>
      <c r="E4364" s="82">
        <v>43929.0</v>
      </c>
      <c r="F4364" s="80">
        <v>502.0</v>
      </c>
      <c r="G4364" s="80" t="s">
        <v>63</v>
      </c>
      <c r="I4364" s="80" t="s">
        <v>63</v>
      </c>
      <c r="J4364" s="80">
        <v>2530.0</v>
      </c>
      <c r="K4364" s="80">
        <v>0.959059893858984</v>
      </c>
      <c r="L4364" s="80" t="s">
        <v>64</v>
      </c>
    </row>
    <row r="4365">
      <c r="A4365" s="80" t="s">
        <v>1260</v>
      </c>
      <c r="B4365" s="81" t="str">
        <f>HYPERLINK("https://www.youtube.com/channel/UCh1k4i86BpiXEO3nzJIYynw", "The Wave")</f>
        <v>The Wave</v>
      </c>
      <c r="C4365" s="80" t="s">
        <v>4783</v>
      </c>
      <c r="D4365" s="81" t="str">
        <f>HYPERLINK("https://youtube.com/watch?v=s5YnIg-VHN0", "TheWave | Xperia 1 應唔應該買？點解要買？幾時要買")</f>
        <v>TheWave | Xperia 1 應唔應該買？點解要買？幾時要買</v>
      </c>
      <c r="E4365" s="82">
        <v>43604.0</v>
      </c>
      <c r="F4365" s="80">
        <v>395.0</v>
      </c>
      <c r="G4365" s="80" t="s">
        <v>63</v>
      </c>
      <c r="H4365" s="80" t="s">
        <v>63</v>
      </c>
      <c r="I4365" s="80" t="s">
        <v>63</v>
      </c>
      <c r="J4365" s="80">
        <v>1396.0</v>
      </c>
      <c r="K4365" s="80">
        <v>0.789146410401356</v>
      </c>
      <c r="L4365" s="80" t="s">
        <v>1634</v>
      </c>
    </row>
    <row r="4366">
      <c r="A4366" s="80" t="s">
        <v>3339</v>
      </c>
      <c r="B4366" s="81" t="str">
        <f>HYPERLINK("https://www.youtube.com/channel/UCo0lvDJ5ikc3hhD30ttGznw", "gingerlemoncola")</f>
        <v>gingerlemoncola</v>
      </c>
      <c r="C4366" s="80" t="s">
        <v>4784</v>
      </c>
      <c r="D4366" s="81" t="str">
        <f>HYPERLINK("https://youtube.com/watch?v=s6jjrSmw5Ls", "【開箱】我收到一個神秘包裹！入面究竟有啲乜？😮")</f>
        <v>【開箱】我收到一個神秘包裹！入面究竟有啲乜？😮</v>
      </c>
      <c r="E4366" s="82">
        <v>43543.0</v>
      </c>
      <c r="F4366" s="80">
        <v>462.0</v>
      </c>
      <c r="G4366" s="80" t="s">
        <v>63</v>
      </c>
      <c r="I4366" s="80" t="s">
        <v>63</v>
      </c>
      <c r="J4366" s="80">
        <v>1610.0</v>
      </c>
      <c r="K4366" s="80">
        <v>0.894444444444444</v>
      </c>
      <c r="L4366" s="80" t="s">
        <v>64</v>
      </c>
    </row>
    <row r="4367">
      <c r="A4367" s="80" t="s">
        <v>238</v>
      </c>
      <c r="B4367" s="81" t="str">
        <f>HYPERLINK("https://www.youtube.com/channel/UCSBkm4LwpgBmcA3MCtO8vqg", "Post76影音玩樂")</f>
        <v>Post76影音玩樂</v>
      </c>
      <c r="C4367" s="80" t="s">
        <v>4785</v>
      </c>
      <c r="D4367" s="81" t="str">
        <f>HYPERLINK("https://youtube.com/watch?v=s8MEbWhE1uM", "Pioneer SC-LX904 第一試 : MCACC Pro後的第一聽感.......久未品嘗的 PQLS「快、狠、準」🤩！！ （附設中文字幕）粵語 【AV擴音機評測 | Post76.hk】")</f>
        <v>Pioneer SC-LX904 第一試 : MCACC Pro後的第一聽感.......久未品嘗的 PQLS「快、狠、準」🤩！！ （附設中文字幕）粵語 【AV擴音機評測 | Post76.hk】</v>
      </c>
      <c r="E4367" s="82">
        <v>44322.0</v>
      </c>
      <c r="F4367" s="80">
        <v>993.0</v>
      </c>
      <c r="G4367" s="80" t="s">
        <v>63</v>
      </c>
      <c r="H4367" s="80" t="s">
        <v>63</v>
      </c>
      <c r="I4367" s="80" t="s">
        <v>63</v>
      </c>
      <c r="J4367" s="80">
        <v>3297.0</v>
      </c>
      <c r="K4367" s="80">
        <v>0.761080332409972</v>
      </c>
      <c r="L4367" s="80" t="s">
        <v>66</v>
      </c>
    </row>
    <row r="4368">
      <c r="A4368" s="80" t="s">
        <v>1260</v>
      </c>
      <c r="B4368" s="81" t="str">
        <f>HYPERLINK("https://www.youtube.com/channel/UCh1k4i86BpiXEO3nzJIYynw", "The Wave")</f>
        <v>The Wave</v>
      </c>
      <c r="C4368" s="80" t="s">
        <v>4786</v>
      </c>
      <c r="D4368" s="81" t="str">
        <f>HYPERLINK("https://youtube.com/watch?v=sCgb3baS-nY", "TheWave | Xperia XZ2 播放4K HDR電影電量測試 | 直接結果@46秒 【CC字幕建議】")</f>
        <v>TheWave | Xperia XZ2 播放4K HDR電影電量測試 | 直接結果@46秒 【CC字幕建議】</v>
      </c>
      <c r="E4368" s="82">
        <v>43196.0</v>
      </c>
      <c r="F4368" s="80">
        <v>85.0</v>
      </c>
      <c r="G4368" s="80" t="s">
        <v>63</v>
      </c>
      <c r="I4368" s="80" t="s">
        <v>63</v>
      </c>
      <c r="J4368" s="80">
        <v>170.0</v>
      </c>
      <c r="K4368" s="80">
        <v>0.83743842364532</v>
      </c>
      <c r="L4368" s="80" t="s">
        <v>1997</v>
      </c>
    </row>
    <row r="4369">
      <c r="A4369" s="80" t="s">
        <v>2800</v>
      </c>
      <c r="B4369" s="81" t="str">
        <f>HYPERLINK("https://www.youtube.com/channel/UCMqrlsr-AECPc6_3oDr8m9w", "Unicorn 獸哥")</f>
        <v>Unicorn 獸哥</v>
      </c>
      <c r="C4369" s="80" t="s">
        <v>4787</v>
      </c>
      <c r="D4369" s="81" t="str">
        <f>HYPERLINK("https://youtube.com/watch?v=sCh3hN7lRM0", "Marvel送給蜘蛛俠fans最好的禮物 蜘蛛俠：不戰無歸劇透影評")</f>
        <v>Marvel送給蜘蛛俠fans最好的禮物 蜘蛛俠：不戰無歸劇透影評</v>
      </c>
      <c r="E4369" s="82">
        <v>44549.0</v>
      </c>
      <c r="F4369" s="80">
        <v>409.0</v>
      </c>
      <c r="G4369" s="80" t="s">
        <v>63</v>
      </c>
      <c r="I4369" s="80" t="s">
        <v>63</v>
      </c>
      <c r="J4369" s="80">
        <v>1726.0</v>
      </c>
      <c r="K4369" s="80">
        <v>0.741408934707903</v>
      </c>
      <c r="L4369" s="80" t="s">
        <v>64</v>
      </c>
    </row>
    <row r="4370">
      <c r="A4370" s="80" t="s">
        <v>127</v>
      </c>
      <c r="B4370" s="81" t="str">
        <f>HYPERLINK("https://www.youtube.com/channel/UC97oYK3XMf9RLtkc0lO8C-Q", "健康旦 HiEggo")</f>
        <v>健康旦 HiEggo</v>
      </c>
      <c r="C4370" s="80" t="s">
        <v>4788</v>
      </c>
      <c r="D4370" s="81" t="str">
        <f>HYPERLINK("https://youtube.com/watch?v=sFOKbRwfimA", "李純恩品評陳慧儀健康端午粽 糯米質感豐富不同上海粽細膩口感 問：健康中秋月餅有無得諗？ - 鄭丹瑞《健康旦》#李純恩 Part 1 (CC中文字幕)")</f>
        <v>李純恩品評陳慧儀健康端午粽 糯米質感豐富不同上海粽細膩口感 問：健康中秋月餅有無得諗？ - 鄭丹瑞《健康旦》#李純恩 Part 1 (CC中文字幕)</v>
      </c>
      <c r="E4370" s="82">
        <v>44005.0</v>
      </c>
      <c r="F4370" s="80">
        <v>638.0</v>
      </c>
      <c r="G4370" s="80" t="s">
        <v>63</v>
      </c>
      <c r="I4370" s="80" t="s">
        <v>63</v>
      </c>
      <c r="J4370" s="80">
        <v>2614.0</v>
      </c>
      <c r="K4370" s="80">
        <v>0.993161094224924</v>
      </c>
      <c r="L4370" s="80" t="s">
        <v>2771</v>
      </c>
    </row>
    <row r="4371">
      <c r="A4371" s="80" t="s">
        <v>84</v>
      </c>
      <c r="B4371" s="81" t="str">
        <f>HYPERLINK("https://www.youtube.com/channel/UCs6fW24aVjefTsognevmDnA", "PakTil 拍跳")</f>
        <v>PakTil 拍跳</v>
      </c>
      <c r="C4371" s="80" t="s">
        <v>4789</v>
      </c>
      <c r="D4371" s="81" t="str">
        <f>HYPERLINK("https://youtube.com/watch?v=sGnxkZHDLhc", "【拍跳短跑】當汽車維修員拎㗎車去整...")</f>
        <v>【拍跳短跑】當汽車維修員拎㗎車去整...</v>
      </c>
      <c r="E4371" s="82">
        <v>44077.0</v>
      </c>
      <c r="F4371" s="80">
        <v>53.0</v>
      </c>
      <c r="G4371" s="80" t="s">
        <v>63</v>
      </c>
      <c r="I4371" s="80" t="s">
        <v>63</v>
      </c>
      <c r="J4371" s="80">
        <v>117.0</v>
      </c>
      <c r="K4371" s="80">
        <v>0.936</v>
      </c>
      <c r="L4371" s="80" t="s">
        <v>86</v>
      </c>
    </row>
    <row r="4372">
      <c r="A4372" s="80" t="s">
        <v>127</v>
      </c>
      <c r="B4372" s="81" t="str">
        <f>HYPERLINK("https://www.youtube.com/channel/UC97oYK3XMf9RLtkc0lO8C-Q", "健康旦 HiEggo")</f>
        <v>健康旦 HiEggo</v>
      </c>
      <c r="C4372" s="80" t="s">
        <v>4790</v>
      </c>
      <c r="D4372" s="81" t="str">
        <f>HYPERLINK("https://youtube.com/watch?v=sLdNyvDC-uQ", "梁卓偉：九龍東及沙田區高危 近二百種疫苗測試中 香港人不必灰心 - 鄭丹瑞《健康旦》港大李嘉誠醫學院院長 #梁卓偉 Part 4 (CC中文字幕)")</f>
        <v>梁卓偉：九龍東及沙田區高危 近二百種疫苗測試中 香港人不必灰心 - 鄭丹瑞《健康旦》港大李嘉誠醫學院院長 #梁卓偉 Part 4 (CC中文字幕)</v>
      </c>
      <c r="E4372" s="82">
        <v>44026.0</v>
      </c>
      <c r="F4372" s="80">
        <v>645.0</v>
      </c>
      <c r="G4372" s="80" t="s">
        <v>63</v>
      </c>
      <c r="I4372" s="80" t="s">
        <v>63</v>
      </c>
      <c r="J4372" s="80">
        <v>2426.0</v>
      </c>
      <c r="K4372" s="80">
        <v>0.99835390946502</v>
      </c>
      <c r="L4372" s="80" t="s">
        <v>64</v>
      </c>
    </row>
    <row r="4373">
      <c r="A4373" s="80" t="s">
        <v>4150</v>
      </c>
      <c r="B4373" s="81" t="str">
        <f>HYPERLINK("https://www.youtube.com/channel/UCRWbxsxc-oDcMKNNPTxM9Bw", "Fred哥～")</f>
        <v>Fred哥～</v>
      </c>
      <c r="C4373" s="80" t="s">
        <v>4791</v>
      </c>
      <c r="D4373" s="81" t="str">
        <f>HYPERLINK("https://youtube.com/watch?v=sNECmATSt90", "【Vog you #7】去迪士尼竞然唔係玩？！仲去埋高手既地方！！（記得開CC字幕😊）")</f>
        <v>【Vog you #7】去迪士尼竞然唔係玩？！仲去埋高手既地方！！（記得開CC字幕😊）</v>
      </c>
      <c r="E4373" s="82">
        <v>44540.0</v>
      </c>
      <c r="F4373" s="80">
        <v>932.0</v>
      </c>
      <c r="G4373" s="80" t="s">
        <v>63</v>
      </c>
      <c r="I4373" s="80" t="s">
        <v>63</v>
      </c>
      <c r="J4373" s="80">
        <v>1593.0</v>
      </c>
      <c r="K4373" s="80">
        <v>0.910285714285714</v>
      </c>
      <c r="L4373" s="80" t="s">
        <v>64</v>
      </c>
    </row>
    <row r="4374">
      <c r="A4374" s="80" t="s">
        <v>124</v>
      </c>
      <c r="B4374" s="81" t="str">
        <f>HYPERLINK("https://www.youtube.com/channel/UCg0vuSE0fBF_NvodyYhMcWg", "Wallace Studio HK")</f>
        <v>Wallace Studio HK</v>
      </c>
      <c r="C4374" s="80" t="s">
        <v>4792</v>
      </c>
      <c r="D4374" s="81" t="str">
        <f>HYPERLINK("https://youtube.com/watch?v=sON1e3_SNo4", "Galaxy Note 20 Ultra SPen 體驗及生產力全體驗")</f>
        <v>Galaxy Note 20 Ultra SPen 體驗及生產力全體驗</v>
      </c>
      <c r="E4374" s="82">
        <v>44084.0</v>
      </c>
      <c r="F4374" s="80">
        <v>413.0</v>
      </c>
      <c r="G4374" s="80" t="s">
        <v>63</v>
      </c>
      <c r="H4374" s="80" t="s">
        <v>63</v>
      </c>
      <c r="I4374" s="80" t="s">
        <v>63</v>
      </c>
      <c r="J4374" s="80">
        <v>1733.0</v>
      </c>
      <c r="K4374" s="80">
        <v>0.806046511627907</v>
      </c>
      <c r="L4374" s="80" t="s">
        <v>120</v>
      </c>
    </row>
    <row r="4375">
      <c r="A4375" s="80" t="s">
        <v>3238</v>
      </c>
      <c r="B4375" s="81" t="str">
        <f>HYPERLINK("https://www.youtube.com/channel/UCZ_hzCBwc6ATeXfyQYUk5WQ", "CHINCHIN C")</f>
        <v>CHINCHIN C</v>
      </c>
      <c r="C4375" s="80" t="s">
        <v>4793</v>
      </c>
      <c r="D4375" s="81" t="str">
        <f>HYPERLINK("https://youtube.com/watch?v=sOkxZZU_eh8", "[中字]春夏轉季護膚程序!👧🏻｜updated skin  care routine |✨由清潔面膜到眼霜｜chinchin")</f>
        <v>[中字]春夏轉季護膚程序!👧🏻｜updated skin  care routine |✨由清潔面膜到眼霜｜chinchin</v>
      </c>
      <c r="E4375" s="82">
        <v>43947.0</v>
      </c>
      <c r="F4375" s="80">
        <v>633.0</v>
      </c>
      <c r="G4375" s="80" t="s">
        <v>63</v>
      </c>
      <c r="H4375" s="80" t="s">
        <v>63</v>
      </c>
      <c r="I4375" s="80" t="s">
        <v>63</v>
      </c>
      <c r="J4375" s="80">
        <v>2616.0</v>
      </c>
      <c r="K4375" s="80">
        <v>0.972852361472666</v>
      </c>
      <c r="L4375" s="80" t="s">
        <v>1206</v>
      </c>
    </row>
    <row r="4376">
      <c r="A4376" s="80" t="s">
        <v>124</v>
      </c>
      <c r="B4376" s="81" t="str">
        <f>HYPERLINK("https://www.youtube.com/channel/UCg0vuSE0fBF_NvodyYhMcWg", "Wallace Studio HK")</f>
        <v>Wallace Studio HK</v>
      </c>
      <c r="C4376" s="80" t="s">
        <v>4794</v>
      </c>
      <c r="D4376" s="81" t="str">
        <f>HYPERLINK("https://youtube.com/watch?v=sPe8ZBAHVkE", "[詳細比較] iPad Air 4 VS Galaxy Tab S7 詳細比較!")</f>
        <v>[詳細比較] iPad Air 4 VS Galaxy Tab S7 詳細比較!</v>
      </c>
      <c r="E4376" s="82">
        <v>44159.0</v>
      </c>
      <c r="F4376" s="80">
        <v>526.0</v>
      </c>
      <c r="G4376" s="80" t="s">
        <v>63</v>
      </c>
      <c r="I4376" s="80" t="s">
        <v>63</v>
      </c>
      <c r="J4376" s="80">
        <v>1478.0</v>
      </c>
      <c r="K4376" s="80">
        <v>0.61892797319933</v>
      </c>
      <c r="L4376" s="80" t="s">
        <v>64</v>
      </c>
    </row>
    <row r="4377">
      <c r="A4377" s="80" t="s">
        <v>127</v>
      </c>
      <c r="B4377" s="81" t="str">
        <f>HYPERLINK("https://www.youtube.com/channel/UC97oYK3XMf9RLtkc0lO8C-Q", "健康旦 HiEggo")</f>
        <v>健康旦 HiEggo</v>
      </c>
      <c r="C4377" s="80" t="s">
        <v>4795</v>
      </c>
      <c r="D4377" s="81" t="str">
        <f>HYPERLINK("https://youtube.com/watch?v=sRRE6ZRAyWM", "腳痛揭發腰椎問題  盧業瑂親述溫哥華洋人輕視口罩 半年後正視健康 - 鄭丹瑞《健康旦》#盧業瑂 Part 3 (CC中文字幕)")</f>
        <v>腳痛揭發腰椎問題  盧業瑂親述溫哥華洋人輕視口罩 半年後正視健康 - 鄭丹瑞《健康旦》#盧業瑂 Part 3 (CC中文字幕)</v>
      </c>
      <c r="E4377" s="82">
        <v>44016.0</v>
      </c>
      <c r="F4377" s="80">
        <v>561.0</v>
      </c>
      <c r="G4377" s="80" t="s">
        <v>63</v>
      </c>
      <c r="I4377" s="80" t="s">
        <v>63</v>
      </c>
      <c r="J4377" s="80">
        <v>2510.0</v>
      </c>
      <c r="K4377" s="80">
        <v>0.961685823754789</v>
      </c>
      <c r="L4377" s="80" t="s">
        <v>2771</v>
      </c>
    </row>
    <row r="4378">
      <c r="A4378" s="80" t="s">
        <v>2942</v>
      </c>
      <c r="B4378" s="81" t="str">
        <f>HYPERLINK("https://www.youtube.com/channel/UCFOFvhsNWMPHwvbfHl7K6qw", "司徒文進 CROSSBONE")</f>
        <v>司徒文進 CROSSBONE</v>
      </c>
      <c r="C4378" s="80" t="s">
        <v>4796</v>
      </c>
      <c r="D4378" s="81" t="str">
        <f>HYPERLINK("https://youtube.com/watch?v=sSRlpHIePF4", "(中字)淺談數字化人民幣與澳門，入門初階探討 (時事•博彩)2022-01-08")</f>
        <v>(中字)淺談數字化人民幣與澳門，入門初階探討 (時事•博彩)2022-01-08</v>
      </c>
      <c r="E4378" s="82">
        <v>44568.0</v>
      </c>
      <c r="F4378" s="80">
        <v>950.0</v>
      </c>
      <c r="G4378" s="80" t="s">
        <v>63</v>
      </c>
      <c r="I4378" s="80" t="s">
        <v>63</v>
      </c>
      <c r="J4378" s="80">
        <v>3871.0</v>
      </c>
      <c r="K4378" s="80">
        <v>0.984486266531027</v>
      </c>
      <c r="L4378" s="80" t="s">
        <v>820</v>
      </c>
    </row>
    <row r="4379">
      <c r="A4379" s="80" t="s">
        <v>245</v>
      </c>
      <c r="B4379" s="81" t="str">
        <f>HYPERLINK("https://www.youtube.com/channel/UCkZ3cOWgnhJheCK7Ywpiezw", "Eagen Kao")</f>
        <v>Eagen Kao</v>
      </c>
      <c r="C4379" s="80" t="s">
        <v>4797</v>
      </c>
      <c r="D4379" s="81" t="str">
        <f>HYPERLINK("https://youtube.com/watch?v=sU5gyoFz08g", "[講TECH] Canon 同 Pokemon Crossover 微型相機 Inspic Rec Pikachu Model | Gadget評測")</f>
        <v>[講TECH] Canon 同 Pokemon Crossover 微型相機 Inspic Rec Pikachu Model | Gadget評測</v>
      </c>
      <c r="E4379" s="82">
        <v>44158.0</v>
      </c>
      <c r="F4379" s="80">
        <v>450.0</v>
      </c>
      <c r="G4379" s="80" t="s">
        <v>63</v>
      </c>
      <c r="I4379" s="80" t="s">
        <v>63</v>
      </c>
      <c r="J4379" s="80">
        <v>1290.0</v>
      </c>
      <c r="K4379" s="80">
        <v>0.690208667736757</v>
      </c>
      <c r="L4379" s="80" t="s">
        <v>521</v>
      </c>
    </row>
    <row r="4380">
      <c r="A4380" s="80" t="s">
        <v>2374</v>
      </c>
      <c r="B4380" s="81" t="str">
        <f>HYPERLINK("https://www.youtube.com/channel/UC0lbhIloP3pcKJT07YosZlQ", "講豬hi speakchuhi")</f>
        <v>講豬hi speakchuhi</v>
      </c>
      <c r="C4380" s="80" t="s">
        <v>4798</v>
      </c>
      <c r="D4380" s="81" t="str">
        <f>HYPERLINK("https://youtube.com/watch?v=sV9rnY6S0fY", "走資 真 離岸戶口 💵 直擊緬甸開戶❗️30分鐘搞掂❗️定期10厘息❗️高息 存款❗️勁簡單❗️海外户口❗️ [粵語中文字幕]")</f>
        <v>走資 真 離岸戶口 💵 直擊緬甸開戶❗️30分鐘搞掂❗️定期10厘息❗️高息 存款❗️勁簡單❗️海外户口❗️ [粵語中文字幕]</v>
      </c>
      <c r="E4380" s="82">
        <v>43762.0</v>
      </c>
      <c r="F4380" s="80">
        <v>213.0</v>
      </c>
      <c r="G4380" s="80" t="s">
        <v>63</v>
      </c>
      <c r="I4380" s="80" t="s">
        <v>63</v>
      </c>
      <c r="J4380" s="80">
        <v>599.0</v>
      </c>
      <c r="K4380" s="80">
        <v>0.826206896551724</v>
      </c>
      <c r="L4380" s="80" t="s">
        <v>64</v>
      </c>
    </row>
    <row r="4381">
      <c r="A4381" s="80" t="s">
        <v>288</v>
      </c>
      <c r="B4381" s="81" t="str">
        <f>HYPERLINK("https://www.youtube.com/channel/UCDWOYEhVnyD4IHZGVAMLc0g", "Brendan 毛爸")</f>
        <v>Brendan 毛爸</v>
      </c>
      <c r="C4381" s="80" t="s">
        <v>4799</v>
      </c>
      <c r="D4381" s="81" t="str">
        <f>HYPERLINK("https://youtube.com/watch?v=sVenInt1GHg", "『今日神還原』 Sukiya 香蔥牛丼！ 簡易做法！ 適合新手｜日式牛肉飯【 毛飯家庭EP21 】(CC 中文字幕）")</f>
        <v>『今日神還原』 Sukiya 香蔥牛丼！ 簡易做法！ 適合新手｜日式牛肉飯【 毛飯家庭EP21 】(CC 中文字幕）</v>
      </c>
      <c r="E4381" s="82">
        <v>44060.0</v>
      </c>
      <c r="F4381" s="80">
        <v>212.0</v>
      </c>
      <c r="G4381" s="80" t="s">
        <v>63</v>
      </c>
      <c r="I4381" s="80" t="s">
        <v>63</v>
      </c>
      <c r="J4381" s="80">
        <v>681.0</v>
      </c>
      <c r="K4381" s="80">
        <v>0.936726272352132</v>
      </c>
      <c r="L4381" s="80" t="s">
        <v>64</v>
      </c>
    </row>
    <row r="4382">
      <c r="A4382" s="80" t="s">
        <v>1390</v>
      </c>
      <c r="B4382" s="81" t="str">
        <f>HYPERLINK("https://www.youtube.com/channel/UCgwEJflQi4WnZ8PU0xdibZQ", "Kinson Ho")</f>
        <v>Kinson Ho</v>
      </c>
      <c r="C4382" s="80" t="s">
        <v>4800</v>
      </c>
      <c r="D4382" s="81" t="str">
        <f>HYPERLINK("https://youtube.com/watch?v=sYMei8aVyqM", "K神任我行 - 香港大峽谷｜大石墜谷｜靈虛谷｜㘣頭山｜靈鰲石澗｜上白泥｜逃出練靶場")</f>
        <v>K神任我行 - 香港大峽谷｜大石墜谷｜靈虛谷｜㘣頭山｜靈鰲石澗｜上白泥｜逃出練靶場</v>
      </c>
      <c r="E4382" s="82">
        <v>44315.0</v>
      </c>
      <c r="F4382" s="80">
        <v>1476.0</v>
      </c>
      <c r="G4382" s="80" t="s">
        <v>63</v>
      </c>
      <c r="I4382" s="80" t="s">
        <v>63</v>
      </c>
      <c r="J4382" s="80">
        <v>1614.0</v>
      </c>
      <c r="K4382" s="80">
        <v>0.971703792895845</v>
      </c>
      <c r="L4382" s="80" t="s">
        <v>64</v>
      </c>
    </row>
    <row r="4383">
      <c r="A4383" s="80" t="s">
        <v>2764</v>
      </c>
      <c r="B4383" s="81" t="str">
        <f>HYPERLINK("https://www.youtube.com/channel/UCejZUW4khvxoA4uL2Afz20g", "Housik Laanfei 好食懶飛")</f>
        <v>Housik Laanfei 好食懶飛</v>
      </c>
      <c r="C4383" s="80" t="s">
        <v>4801</v>
      </c>
      <c r="D4383" s="81" t="str">
        <f>HYPERLINK("https://youtube.com/watch?v=sYe-KaYOw4Q", "[百搭醬汁] 韓式卡邦尼年糕 | CC: 廣東話/繁中/ENG SUB | COOKING VLOG")</f>
        <v>[百搭醬汁] 韓式卡邦尼年糕 | CC: 廣東話/繁中/ENG SUB | COOKING VLOG</v>
      </c>
      <c r="E4383" s="82">
        <v>44322.0</v>
      </c>
      <c r="F4383" s="80">
        <v>269.0</v>
      </c>
      <c r="G4383" s="80" t="s">
        <v>63</v>
      </c>
      <c r="H4383" s="80" t="s">
        <v>63</v>
      </c>
      <c r="I4383" s="80" t="s">
        <v>63</v>
      </c>
      <c r="J4383" s="80">
        <v>173.0</v>
      </c>
      <c r="K4383" s="80">
        <v>0.977401129943502</v>
      </c>
      <c r="L4383" s="80" t="s">
        <v>80</v>
      </c>
    </row>
    <row r="4384">
      <c r="A4384" s="80" t="s">
        <v>124</v>
      </c>
      <c r="B4384" s="81" t="str">
        <f>HYPERLINK("https://www.youtube.com/channel/UCg0vuSE0fBF_NvodyYhMcWg", "Wallace Studio HK")</f>
        <v>Wallace Studio HK</v>
      </c>
      <c r="C4384" s="80" t="s">
        <v>4802</v>
      </c>
      <c r="D4384" s="81" t="str">
        <f>HYPERLINK("https://youtube.com/watch?v=sZ9VFCM3B7w", "[香港人評測] Galaxy Tab S7+ 生產力全體驗 Samsung Dex , Samsung Note, S Pen 的生產力配合 及 潛在問題整理")</f>
        <v>[香港人評測] Galaxy Tab S7+ 生產力全體驗 Samsung Dex , Samsung Note, S Pen 的生產力配合 及 潛在問題整理</v>
      </c>
      <c r="E4384" s="82">
        <v>44070.0</v>
      </c>
      <c r="F4384" s="80">
        <v>765.0</v>
      </c>
      <c r="G4384" s="80" t="s">
        <v>63</v>
      </c>
      <c r="I4384" s="80" t="s">
        <v>63</v>
      </c>
      <c r="J4384" s="80">
        <v>3008.0</v>
      </c>
      <c r="K4384" s="80">
        <v>0.729388942774005</v>
      </c>
      <c r="L4384" s="80" t="s">
        <v>64</v>
      </c>
    </row>
    <row r="4385">
      <c r="A4385" s="80" t="s">
        <v>2753</v>
      </c>
      <c r="B4385" s="81" t="str">
        <f>HYPERLINK("https://www.youtube.com/channel/UCxRXNy5P6fLtHYpawxoiqJQ", "焦點視頻")</f>
        <v>焦點視頻</v>
      </c>
      <c r="C4385" s="80" t="s">
        <v>4803</v>
      </c>
      <c r="D4385" s="81" t="str">
        <f>HYPERLINK("https://youtube.com/watch?v=saKrht25zAQ", "(中字) 吳亦凡最好的運已行完， 今個大運一定犯官非！ 《陳俊燊風水命理》 #吳亦凡 #陳俊燊 #八字教學 #2026魔咒 EP43 20211201")</f>
        <v>(中字) 吳亦凡最好的運已行完， 今個大運一定犯官非！ 《陳俊燊風水命理》 #吳亦凡 #陳俊燊 #八字教學 #2026魔咒 EP43 20211201</v>
      </c>
      <c r="E4385" s="82">
        <v>44531.0</v>
      </c>
      <c r="F4385" s="80">
        <v>1024.0</v>
      </c>
      <c r="G4385" s="80" t="s">
        <v>63</v>
      </c>
      <c r="I4385" s="80" t="s">
        <v>63</v>
      </c>
      <c r="J4385" s="80">
        <v>4085.0</v>
      </c>
      <c r="K4385" s="80">
        <v>0.996098512557912</v>
      </c>
      <c r="L4385" s="80" t="s">
        <v>3012</v>
      </c>
    </row>
    <row r="4386">
      <c r="A4386" s="80" t="s">
        <v>1987</v>
      </c>
      <c r="B4386" s="81" t="str">
        <f>HYPERLINK("https://www.youtube.com/channel/UCgGUmm04nVyj-ftaCxVcyBg", "MangoHK大馬獅家")</f>
        <v>MangoHK大馬獅家</v>
      </c>
      <c r="C4386" s="80" t="s">
        <v>4804</v>
      </c>
      <c r="D4386" s="81" t="str">
        <f>HYPERLINK("https://youtube.com/watch?v=scCFN_F9RAc", "【64】🌊文冬情人瀑布🌲森林西餐廳 {中英字幕} Subtitled | Malaysia Bentong Waterfall | Malaysia Vlog | mm2h")</f>
        <v>【64】🌊文冬情人瀑布🌲森林西餐廳 {中英字幕} Subtitled | Malaysia Bentong Waterfall | Malaysia Vlog | mm2h</v>
      </c>
      <c r="E4386" s="82">
        <v>44491.0</v>
      </c>
      <c r="F4386" s="80">
        <v>1096.0</v>
      </c>
      <c r="G4386" s="80" t="s">
        <v>63</v>
      </c>
      <c r="I4386" s="80" t="s">
        <v>63</v>
      </c>
      <c r="J4386" s="80">
        <v>1623.0</v>
      </c>
      <c r="K4386" s="80">
        <v>0.958653278204371</v>
      </c>
      <c r="L4386" s="80" t="s">
        <v>896</v>
      </c>
    </row>
    <row r="4387">
      <c r="A4387" s="80" t="s">
        <v>288</v>
      </c>
      <c r="B4387" s="81" t="str">
        <f>HYPERLINK("https://www.youtube.com/channel/UCDWOYEhVnyD4IHZGVAMLc0g", "Brendan 毛爸")</f>
        <v>Brendan 毛爸</v>
      </c>
      <c r="C4387" s="80" t="s">
        <v>4805</v>
      </c>
      <c r="D4387" s="81" t="str">
        <f>HYPERLINK("https://youtube.com/watch?v=se914gl5aBc", "【新三國 漢室復興 #4】 地動山搖大更新！技術型分析戰鬥場面！（請打開CC 中文字幕）")</f>
        <v>【新三國 漢室復興 #4】 地動山搖大更新！技術型分析戰鬥場面！（請打開CC 中文字幕）</v>
      </c>
      <c r="E4387" s="82">
        <v>43952.0</v>
      </c>
      <c r="F4387" s="80">
        <v>606.0</v>
      </c>
      <c r="G4387" s="80" t="s">
        <v>63</v>
      </c>
      <c r="I4387" s="80" t="s">
        <v>63</v>
      </c>
      <c r="J4387" s="80">
        <v>1659.0</v>
      </c>
      <c r="K4387" s="80">
        <v>0.98281990521327</v>
      </c>
      <c r="L4387" s="80" t="s">
        <v>64</v>
      </c>
    </row>
    <row r="4388">
      <c r="A4388" s="80" t="s">
        <v>127</v>
      </c>
      <c r="B4388" s="81" t="str">
        <f>HYPERLINK("https://www.youtube.com/channel/UC97oYK3XMf9RLtkc0lO8C-Q", "健康旦 HiEggo")</f>
        <v>健康旦 HiEggo</v>
      </c>
      <c r="C4388" s="80" t="s">
        <v>4806</v>
      </c>
      <c r="D4388" s="81" t="str">
        <f>HYPERLINK("https://youtube.com/watch?v=shPCSRJ_xq8", "中醫師：今年夏天特別熱 瞓前兩小時唔好掂電話 拍打穴位提升睡眠質素  - 鄭丹瑞《健康旦》中醫 #楊明霞 Part 6")</f>
        <v>中醫師：今年夏天特別熱 瞓前兩小時唔好掂電話 拍打穴位提升睡眠質素  - 鄭丹瑞《健康旦》中醫 #楊明霞 Part 6</v>
      </c>
      <c r="E4388" s="82">
        <v>43978.0</v>
      </c>
      <c r="F4388" s="80">
        <v>798.0</v>
      </c>
      <c r="G4388" s="80" t="s">
        <v>63</v>
      </c>
      <c r="I4388" s="80" t="s">
        <v>63</v>
      </c>
      <c r="J4388" s="80">
        <v>3558.0</v>
      </c>
      <c r="K4388" s="80">
        <v>0.99719730941704</v>
      </c>
      <c r="L4388" s="80" t="s">
        <v>64</v>
      </c>
    </row>
    <row r="4389">
      <c r="A4389" s="80" t="s">
        <v>2942</v>
      </c>
      <c r="B4389" s="81" t="str">
        <f>HYPERLINK("https://www.youtube.com/channel/UCFOFvhsNWMPHwvbfHl7K6qw", "司徒文進 CROSSBONE")</f>
        <v>司徒文進 CROSSBONE</v>
      </c>
      <c r="C4389" s="80" t="s">
        <v>4807</v>
      </c>
      <c r="D4389" s="81" t="str">
        <f>HYPERLINK("https://youtube.com/watch?v=slaXXgrRphw", "（中字）（特備節目）從何鴻燊記念特刊看燊哥傳奇一生（上）導讀：司徒文進")</f>
        <v>（中字）（特備節目）從何鴻燊記念特刊看燊哥傳奇一生（上）導讀：司徒文進</v>
      </c>
      <c r="E4389" s="82">
        <v>44564.0</v>
      </c>
      <c r="F4389" s="80">
        <v>1598.0</v>
      </c>
      <c r="G4389" s="80" t="s">
        <v>63</v>
      </c>
      <c r="I4389" s="80" t="s">
        <v>63</v>
      </c>
      <c r="J4389" s="80">
        <v>6196.0</v>
      </c>
      <c r="K4389" s="80">
        <v>0.995661256628635</v>
      </c>
      <c r="L4389" s="80" t="s">
        <v>820</v>
      </c>
    </row>
    <row r="4390">
      <c r="A4390" s="80" t="s">
        <v>98</v>
      </c>
      <c r="B4390" s="81" t="str">
        <f>HYPERLINK("https://www.youtube.com/channel/UCrquuQB6v1Ued2xyRKZreGQ", "Stephen Leung ")</f>
        <v>Stephen Leung </v>
      </c>
      <c r="C4390" s="80" t="s">
        <v>4808</v>
      </c>
      <c r="D4390" s="81" t="str">
        <f>HYPERLINK("https://youtube.com/watch?v=snduLCUfOzA", "【香港自助餐】驚喜發現 實測4.5星 最新 早午自助餐 brunch 香港最 chill 酒店自助餐 法國生蠔 最強酒精飲品套餐! The Hari LUCCIOLA  | 吃喝玩樂  美食 2021")</f>
        <v>【香港自助餐】驚喜發現 實測4.5星 最新 早午自助餐 brunch 香港最 chill 酒店自助餐 法國生蠔 最強酒精飲品套餐! The Hari LUCCIOLA  | 吃喝玩樂  美食 2021</v>
      </c>
      <c r="E4390" s="82">
        <v>44545.0</v>
      </c>
      <c r="F4390" s="80">
        <v>1167.0</v>
      </c>
      <c r="G4390" s="80" t="s">
        <v>63</v>
      </c>
      <c r="I4390" s="80" t="s">
        <v>63</v>
      </c>
      <c r="J4390" s="80">
        <v>2892.0</v>
      </c>
      <c r="K4390" s="80">
        <v>0.923961661341853</v>
      </c>
      <c r="L4390" s="80" t="s">
        <v>64</v>
      </c>
    </row>
    <row r="4391">
      <c r="A4391" s="80" t="s">
        <v>3021</v>
      </c>
      <c r="B4391" s="81" t="str">
        <f>HYPERLINK("https://www.youtube.com/channel/UCEZ8fnigqno2a1z2_JSYjxQ", "9up Youtuber")</f>
        <v>9up Youtuber</v>
      </c>
      <c r="C4391" s="80" t="s">
        <v>4809</v>
      </c>
      <c r="D4391" s="81" t="str">
        <f>HYPERLINK("https://youtube.com/watch?v=so_FyLpon58", "失業潮到~點算好呢?? 好多建議比你|9up講經")</f>
        <v>失業潮到~點算好呢?? 好多建議比你|9up講經</v>
      </c>
      <c r="E4391" s="82">
        <v>43924.0</v>
      </c>
      <c r="F4391" s="80">
        <v>864.0</v>
      </c>
      <c r="G4391" s="80" t="s">
        <v>63</v>
      </c>
      <c r="I4391" s="80" t="s">
        <v>63</v>
      </c>
      <c r="J4391" s="80">
        <v>262.0</v>
      </c>
      <c r="K4391" s="80">
        <v>0.988679245283018</v>
      </c>
      <c r="L4391" s="80" t="s">
        <v>64</v>
      </c>
    </row>
    <row r="4392">
      <c r="A4392" s="80" t="s">
        <v>2041</v>
      </c>
      <c r="B4392" s="81" t="str">
        <f>HYPERLINK("https://www.youtube.com/channel/UCO6pB-ZN4XJ6MVkibvuEe0A", "SingSingTracker 星昇財經指標")</f>
        <v>SingSingTracker 星昇財經指標</v>
      </c>
      <c r="C4392" s="80" t="s">
        <v>4810</v>
      </c>
      <c r="D4392" s="81" t="str">
        <f>HYPERLINK("https://youtube.com/watch?v=spHGfzirJjU", "Facebook改名Meta｜Metaverse元宇宙公司｜佈局3大重點｜FB轉型商機引爆｜科技巨頭紛紛進軍｜虛擬生活指日可待?｜押注元宇宙有隱憂 #facebook #meta #metaverse")</f>
        <v>Facebook改名Meta｜Metaverse元宇宙公司｜佈局3大重點｜FB轉型商機引爆｜科技巨頭紛紛進軍｜虛擬生活指日可待?｜押注元宇宙有隱憂 #facebook #meta #metaverse</v>
      </c>
      <c r="E4392" s="82">
        <v>44505.0</v>
      </c>
      <c r="F4392" s="80">
        <v>449.0</v>
      </c>
      <c r="G4392" s="80" t="s">
        <v>63</v>
      </c>
      <c r="I4392" s="80" t="s">
        <v>63</v>
      </c>
      <c r="J4392" s="80">
        <v>1679.0</v>
      </c>
      <c r="K4392" s="80">
        <v>0.850126582278481</v>
      </c>
      <c r="L4392" s="80" t="s">
        <v>64</v>
      </c>
    </row>
    <row r="4393">
      <c r="A4393" s="80" t="s">
        <v>293</v>
      </c>
      <c r="B4393" s="81" t="str">
        <f>HYPERLINK("https://www.youtube.com/channel/UCXRcbXqjORdIvl63I7MtOLQ", "趁熱 Kerry 's kitchen")</f>
        <v>趁熱 Kerry 's kitchen</v>
      </c>
      <c r="C4393" s="80" t="s">
        <v>4811</v>
      </c>
      <c r="D4393" s="81" t="str">
        <f>HYPERLINK("https://youtube.com/watch?v=sqIUvL9Epnk", "簡單 煎豬扒/豉油皇豬扒/茶記 味道/下半部 鑄鐵鑊開鍋/重點 講解/簡單 家做/廣東話/中字")</f>
        <v>簡單 煎豬扒/豉油皇豬扒/茶記 味道/下半部 鑄鐵鑊開鍋/重點 講解/簡單 家做/廣東話/中字</v>
      </c>
      <c r="E4393" s="82">
        <v>44508.0</v>
      </c>
      <c r="F4393" s="80">
        <v>544.0</v>
      </c>
      <c r="G4393" s="80" t="s">
        <v>63</v>
      </c>
      <c r="I4393" s="80" t="s">
        <v>63</v>
      </c>
      <c r="J4393" s="80">
        <v>831.0</v>
      </c>
      <c r="K4393" s="80">
        <v>0.976498237367802</v>
      </c>
      <c r="L4393" s="80" t="s">
        <v>64</v>
      </c>
    </row>
    <row r="4394">
      <c r="A4394" s="80" t="s">
        <v>3021</v>
      </c>
      <c r="B4394" s="81" t="str">
        <f>HYPERLINK("https://www.youtube.com/channel/UCEZ8fnigqno2a1z2_JSYjxQ", "9up Youtuber")</f>
        <v>9up Youtuber</v>
      </c>
      <c r="C4394" s="80" t="s">
        <v>4812</v>
      </c>
      <c r="D4394" s="81" t="str">
        <f>HYPERLINK("https://youtube.com/watch?v=sthbbpW6GUY", "[9up催眠推介 會聽到訓]小米9香港人介紹 - 值得買?[粵語(中文字幕)")</f>
        <v>[9up催眠推介 會聽到訓]小米9香港人介紹 - 值得買?[粵語(中文字幕)</v>
      </c>
      <c r="E4394" s="82">
        <v>43517.0</v>
      </c>
      <c r="F4394" s="80">
        <v>587.0</v>
      </c>
      <c r="G4394" s="80" t="s">
        <v>63</v>
      </c>
      <c r="I4394" s="80" t="s">
        <v>63</v>
      </c>
      <c r="J4394" s="80">
        <v>1484.0</v>
      </c>
      <c r="K4394" s="80">
        <v>0.775339602925809</v>
      </c>
      <c r="L4394" s="80" t="s">
        <v>64</v>
      </c>
    </row>
    <row r="4395">
      <c r="A4395" s="80" t="s">
        <v>127</v>
      </c>
      <c r="B4395" s="81" t="str">
        <f>HYPERLINK("https://www.youtube.com/channel/UC97oYK3XMf9RLtkc0lO8C-Q", "健康旦 HiEggo")</f>
        <v>健康旦 HiEggo</v>
      </c>
      <c r="C4395" s="80" t="s">
        <v>4813</v>
      </c>
      <c r="D4395" s="81" t="str">
        <f>HYPERLINK("https://youtube.com/watch?v=swbR_CRJBaE", "撒瑪利亞會熱線有常客 神秘空降小隊半夜出動 保密協議保障私隱 - 鄭丹瑞《健康旦》#撒瑪利亞會 Part 2 (CC中文字幕)")</f>
        <v>撒瑪利亞會熱線有常客 神秘空降小隊半夜出動 保密協議保障私隱 - 鄭丹瑞《健康旦》#撒瑪利亞會 Part 2 (CC中文字幕)</v>
      </c>
      <c r="E4395" s="82">
        <v>44060.0</v>
      </c>
      <c r="F4395" s="80">
        <v>711.0</v>
      </c>
      <c r="G4395" s="80" t="s">
        <v>63</v>
      </c>
      <c r="I4395" s="80" t="s">
        <v>63</v>
      </c>
      <c r="J4395" s="80">
        <v>2749.0</v>
      </c>
      <c r="K4395" s="80">
        <v>0.974822695035461</v>
      </c>
      <c r="L4395" s="80" t="s">
        <v>102</v>
      </c>
    </row>
    <row r="4396">
      <c r="A4396" s="80" t="s">
        <v>2825</v>
      </c>
      <c r="B4396" s="81" t="str">
        <f>HYPERLINK("https://www.youtube.com/channel/UCP7XhYDgUbvjvaHxIhjTd_g", "Maviskuku 雞蛋妹")</f>
        <v>Maviskuku 雞蛋妹</v>
      </c>
      <c r="C4396" s="80" t="s">
        <v>4814</v>
      </c>
      <c r="D4396" s="81" t="str">
        <f>HYPERLINK("https://youtube.com/watch?v=t0HwTTFwew4", "Apple Watch Series 7 詳細評測＋三款 Apple Watch 比較【Apple Watch 7/ 5 / SE 】")</f>
        <v>Apple Watch Series 7 詳細評測＋三款 Apple Watch 比較【Apple Watch 7/ 5 / SE 】</v>
      </c>
      <c r="E4396" s="82">
        <v>44496.0</v>
      </c>
      <c r="F4396" s="80">
        <v>463.0</v>
      </c>
      <c r="G4396" s="80" t="s">
        <v>63</v>
      </c>
      <c r="H4396" s="80" t="s">
        <v>63</v>
      </c>
      <c r="I4396" s="80" t="s">
        <v>63</v>
      </c>
      <c r="J4396" s="80">
        <v>1522.0</v>
      </c>
      <c r="K4396" s="80">
        <v>0.847715736040609</v>
      </c>
      <c r="L4396" s="80" t="s">
        <v>66</v>
      </c>
    </row>
    <row r="4397">
      <c r="A4397" s="80" t="s">
        <v>1139</v>
      </c>
      <c r="B4397" s="81" t="str">
        <f>HYPERLINK("https://www.youtube.com/channel/UCw51gVFijIewmXH4tIR0ufw", "Crystal Zen")</f>
        <v>Crystal Zen</v>
      </c>
      <c r="C4397" s="80" t="s">
        <v>4815</v>
      </c>
      <c r="D4397" s="81" t="str">
        <f>HYPERLINK("https://youtube.com/watch?v=t1jQV_Vm5F0", "[水晶知多D 第二十一集] 金太陽石 太歲年幫你辟邪擋煞嘅好幫手！！")</f>
        <v>[水晶知多D 第二十一集] 金太陽石 太歲年幫你辟邪擋煞嘅好幫手！！</v>
      </c>
      <c r="E4397" s="82">
        <v>44223.0</v>
      </c>
      <c r="F4397" s="80">
        <v>446.0</v>
      </c>
      <c r="G4397" s="80" t="s">
        <v>63</v>
      </c>
      <c r="I4397" s="80" t="s">
        <v>63</v>
      </c>
      <c r="J4397" s="80">
        <v>1873.0</v>
      </c>
      <c r="K4397" s="80">
        <v>0.96051282051282</v>
      </c>
      <c r="L4397" s="80" t="s">
        <v>64</v>
      </c>
    </row>
    <row r="4398">
      <c r="A4398" s="80" t="s">
        <v>2041</v>
      </c>
      <c r="B4398" s="81" t="str">
        <f>HYPERLINK("https://www.youtube.com/channel/UCO6pB-ZN4XJ6MVkibvuEe0A", "SingSingTracker 星昇財經指標")</f>
        <v>SingSingTracker 星昇財經指標</v>
      </c>
      <c r="C4398" s="80" t="s">
        <v>4816</v>
      </c>
      <c r="D4398" s="81" t="str">
        <f>HYPERLINK("https://youtube.com/watch?v=t3DM_eRllS8", "【理想上市】理想IPO｜理想汽車2015｜8月新股IPO｜汽車版塊行業前景｜理想汽車業務分析｜理想到底抽唔抽過?｜抽理想前必要注意事項 #新能源汽車 #國產電動車 #理想新能源SUV #理想ONE")</f>
        <v>【理想上市】理想IPO｜理想汽車2015｜8月新股IPO｜汽車版塊行業前景｜理想汽車業務分析｜理想到底抽唔抽過?｜抽理想前必要注意事項 #新能源汽車 #國產電動車 #理想新能源SUV #理想ONE</v>
      </c>
      <c r="E4398" s="82">
        <v>44412.0</v>
      </c>
      <c r="F4398" s="80">
        <v>271.0</v>
      </c>
      <c r="G4398" s="80" t="s">
        <v>63</v>
      </c>
      <c r="I4398" s="80" t="s">
        <v>63</v>
      </c>
      <c r="J4398" s="80">
        <v>824.0</v>
      </c>
      <c r="K4398" s="80">
        <v>0.906490649064906</v>
      </c>
      <c r="L4398" s="80" t="s">
        <v>64</v>
      </c>
    </row>
    <row r="4399">
      <c r="A4399" s="80" t="s">
        <v>4470</v>
      </c>
      <c r="B4399" s="81" t="str">
        <f>HYPERLINK("https://www.youtube.com/channel/UC4VI_WmdfVMTkT4vKCiZA4A", "BossMind")</f>
        <v>BossMind</v>
      </c>
      <c r="C4399" s="80" t="s">
        <v>4817</v>
      </c>
      <c r="D4399" s="81" t="str">
        <f>HYPERLINK("https://youtube.com/watch?v=t3O1jyn-hmc", "Freshgrad畢業13k人工炒美股脫貧計劃 ｜年內1倍回報 無遮掩100%交易紀錄全公開 ｜2022年大行心水共識Amazon 單計廣告 AWS已經值1.7萬億市值｜#杜昇 #華爾街戰線")</f>
        <v>Freshgrad畢業13k人工炒美股脫貧計劃 ｜年內1倍回報 無遮掩100%交易紀錄全公開 ｜2022年大行心水共識Amazon 單計廣告 AWS已經值1.7萬億市值｜#杜昇 #華爾街戰線</v>
      </c>
      <c r="E4399" s="82">
        <v>44560.0</v>
      </c>
      <c r="F4399" s="80">
        <v>712.0</v>
      </c>
      <c r="G4399" s="80" t="s">
        <v>63</v>
      </c>
      <c r="I4399" s="80" t="s">
        <v>63</v>
      </c>
      <c r="J4399" s="80">
        <v>1683.0</v>
      </c>
      <c r="K4399" s="80">
        <v>0.875195007800312</v>
      </c>
      <c r="L4399" s="80" t="s">
        <v>64</v>
      </c>
    </row>
    <row r="4400">
      <c r="A4400" s="80" t="s">
        <v>2753</v>
      </c>
      <c r="B4400" s="81" t="str">
        <f>HYPERLINK("https://www.youtube.com/channel/UCxRXNy5P6fLtHYpawxoiqJQ", "焦點視頻")</f>
        <v>焦點視頻</v>
      </c>
      <c r="C4400" s="80" t="s">
        <v>4818</v>
      </c>
      <c r="D4400" s="81" t="str">
        <f>HYPERLINK("https://youtube.com/watch?v=t5Ra_2PXX5k", "(CC中字) 2022年事業運救急攻略︱黃暐昇師傅 《昇Sir玄學情玄》EP62 20211201")</f>
        <v>(CC中字) 2022年事業運救急攻略︱黃暐昇師傅 《昇Sir玄學情玄》EP62 20211201</v>
      </c>
      <c r="E4400" s="82">
        <v>44530.0</v>
      </c>
      <c r="F4400" s="80">
        <v>757.0</v>
      </c>
      <c r="G4400" s="80" t="s">
        <v>63</v>
      </c>
      <c r="I4400" s="80" t="s">
        <v>63</v>
      </c>
      <c r="J4400" s="80">
        <v>3207.0</v>
      </c>
      <c r="K4400" s="80">
        <v>0.983139178418148</v>
      </c>
      <c r="L4400" s="80" t="s">
        <v>3012</v>
      </c>
    </row>
    <row r="4401">
      <c r="A4401" s="80" t="s">
        <v>127</v>
      </c>
      <c r="B4401" s="81" t="str">
        <f t="shared" ref="B4401:B4402" si="228">HYPERLINK("https://www.youtube.com/channel/UC97oYK3XMf9RLtkc0lO8C-Q", "健康旦 HiEggo")</f>
        <v>健康旦 HiEggo</v>
      </c>
      <c r="C4401" s="80" t="s">
        <v>4819</v>
      </c>
      <c r="D4401" s="81" t="str">
        <f>HYPERLINK("https://youtube.com/watch?v=t7YhE03Btyo", "張國榮前經理人陳淑芬與阿旦密謀紅館大計 郭富城御用排舞師 Sunny Wong 嘗試網上教舞 - 鄭丹瑞《健康旦》陳淑芬、Sunny Wong -  Part 2 (CC中文字幕)")</f>
        <v>張國榮前經理人陳淑芬與阿旦密謀紅館大計 郭富城御用排舞師 Sunny Wong 嘗試網上教舞 - 鄭丹瑞《健康旦》陳淑芬、Sunny Wong -  Part 2 (CC中文字幕)</v>
      </c>
      <c r="E4401" s="82">
        <v>43936.0</v>
      </c>
      <c r="F4401" s="80">
        <v>606.0</v>
      </c>
      <c r="G4401" s="80" t="s">
        <v>63</v>
      </c>
      <c r="I4401" s="80" t="s">
        <v>63</v>
      </c>
      <c r="J4401" s="80">
        <v>2266.0</v>
      </c>
      <c r="K4401" s="80">
        <v>0.987794245858762</v>
      </c>
      <c r="L4401" s="80" t="s">
        <v>64</v>
      </c>
    </row>
    <row r="4402">
      <c r="A4402" s="80" t="s">
        <v>127</v>
      </c>
      <c r="B4402" s="81" t="str">
        <f t="shared" si="228"/>
        <v>健康旦 HiEggo</v>
      </c>
      <c r="C4402" s="80" t="s">
        <v>4820</v>
      </c>
      <c r="D4402" s="81" t="str">
        <f>HYPERLINK("https://youtube.com/watch?v=t9bZaYtGWCk", "石修感激鄭少秋啟發學太極 對抗一個月體重跌四十磅怪病 未康復即挑戰花無缺成經典 - 鄭丹瑞《健康旦》#石修 Part 2 (CC中文字幕)")</f>
        <v>石修感激鄭少秋啟發學太極 對抗一個月體重跌四十磅怪病 未康復即挑戰花無缺成經典 - 鄭丹瑞《健康旦》#石修 Part 2 (CC中文字幕)</v>
      </c>
      <c r="E4402" s="82">
        <v>44107.0</v>
      </c>
      <c r="F4402" s="80">
        <v>617.0</v>
      </c>
      <c r="G4402" s="80" t="s">
        <v>63</v>
      </c>
      <c r="I4402" s="80" t="s">
        <v>63</v>
      </c>
      <c r="J4402" s="80">
        <v>1941.0</v>
      </c>
      <c r="K4402" s="80">
        <v>0.995384615384615</v>
      </c>
      <c r="L4402" s="80" t="s">
        <v>2771</v>
      </c>
    </row>
    <row r="4403">
      <c r="A4403" s="80" t="s">
        <v>293</v>
      </c>
      <c r="B4403" s="81" t="str">
        <f>HYPERLINK("https://www.youtube.com/channel/UCXRcbXqjORdIvl63I7MtOLQ", "趁熱 Kerry 's kitchen")</f>
        <v>趁熱 Kerry 's kitchen</v>
      </c>
      <c r="C4403" s="80" t="s">
        <v>4821</v>
      </c>
      <c r="D4403" s="81" t="str">
        <f>HYPERLINK("https://youtube.com/watch?v=tAIjs1Q-4cY", "煎 肉餅/土魷煎肉餅/手剁肉餅不累手法/好 下飯/簡單 家做/重點 講解/ juice/廣東話/中字/新手 入門")</f>
        <v>煎 肉餅/土魷煎肉餅/手剁肉餅不累手法/好 下飯/簡單 家做/重點 講解/ juice/廣東話/中字/新手 入門</v>
      </c>
      <c r="E4403" s="82">
        <v>44482.0</v>
      </c>
      <c r="F4403" s="80">
        <v>609.0</v>
      </c>
      <c r="G4403" s="80" t="s">
        <v>63</v>
      </c>
      <c r="I4403" s="80" t="s">
        <v>63</v>
      </c>
      <c r="J4403" s="80">
        <v>744.0</v>
      </c>
      <c r="K4403" s="80">
        <v>0.981530343007915</v>
      </c>
      <c r="L4403" s="80" t="s">
        <v>64</v>
      </c>
    </row>
    <row r="4404">
      <c r="A4404" s="80" t="s">
        <v>127</v>
      </c>
      <c r="B4404" s="81" t="str">
        <f>HYPERLINK("https://www.youtube.com/channel/UC97oYK3XMf9RLtkc0lO8C-Q", "健康旦 HiEggo")</f>
        <v>健康旦 HiEggo</v>
      </c>
      <c r="C4404" s="80" t="s">
        <v>4822</v>
      </c>
      <c r="D4404" s="81" t="str">
        <f>HYPERLINK("https://youtube.com/watch?v=tFsY-RHEU3s", "噴鼻式流感疫苗又快又唔痛 每年十一月應重新接種疫苗 對付冬季流感高峰期 - 鄭丹瑞《健康旦》香港醫院藥劑師學會會長 #崔俊明 Part 1 (CC中文字幕)")</f>
        <v>噴鼻式流感疫苗又快又唔痛 每年十一月應重新接種疫苗 對付冬季流感高峰期 - 鄭丹瑞《健康旦》香港醫院藥劑師學會會長 #崔俊明 Part 1 (CC中文字幕)</v>
      </c>
      <c r="E4404" s="82">
        <v>44111.0</v>
      </c>
      <c r="F4404" s="80">
        <v>650.0</v>
      </c>
      <c r="G4404" s="80" t="s">
        <v>63</v>
      </c>
      <c r="I4404" s="80" t="s">
        <v>63</v>
      </c>
      <c r="J4404" s="80">
        <v>2462.0</v>
      </c>
      <c r="K4404" s="80">
        <v>0.985194077631052</v>
      </c>
      <c r="L4404" s="80" t="s">
        <v>2771</v>
      </c>
    </row>
    <row r="4405">
      <c r="A4405" s="80" t="s">
        <v>2780</v>
      </c>
      <c r="B4405" s="81" t="str">
        <f>HYPERLINK("https://www.youtube.com/channel/UC0CojhLcc0VESgaG633m5kA", "RainErs")</f>
        <v>RainErs</v>
      </c>
      <c r="C4405" s="80" t="s">
        <v>4823</v>
      </c>
      <c r="D4405" s="81" t="str">
        <f>HYPERLINK("https://youtube.com/watch?v=tIbtIjo-iyk", "Phottix M200R RGB LED Light[開箱]--最方便補光燈之一❗❗//可以當尿袋都得🤔⁉️⁉️[有CC字幕]")</f>
        <v>Phottix M200R RGB LED Light[開箱]--最方便補光燈之一❗❗//可以當尿袋都得🤔⁉️⁉️[有CC字幕]</v>
      </c>
      <c r="E4405" s="82">
        <v>44369.0</v>
      </c>
      <c r="F4405" s="80">
        <v>617.0</v>
      </c>
      <c r="G4405" s="80" t="s">
        <v>63</v>
      </c>
      <c r="I4405" s="80" t="s">
        <v>63</v>
      </c>
      <c r="J4405" s="80">
        <v>2612.0</v>
      </c>
      <c r="K4405" s="80">
        <v>0.930530815817598</v>
      </c>
      <c r="L4405" s="80" t="s">
        <v>64</v>
      </c>
    </row>
    <row r="4406">
      <c r="A4406" s="80" t="s">
        <v>1260</v>
      </c>
      <c r="B4406" s="81" t="str">
        <f>HYPERLINK("https://www.youtube.com/channel/UCh1k4i86BpiXEO3nzJIYynw", "The Wave")</f>
        <v>The Wave</v>
      </c>
      <c r="C4406" s="80" t="s">
        <v>4824</v>
      </c>
      <c r="D4406" s="81" t="str">
        <f>HYPERLINK("https://youtube.com/watch?v=tJREDc42dTM", "TheWave | Intel i9-9980XE 開箱測試")</f>
        <v>TheWave | Intel i9-9980XE 開箱測試</v>
      </c>
      <c r="E4406" s="82">
        <v>43515.0</v>
      </c>
      <c r="F4406" s="80">
        <v>309.0</v>
      </c>
      <c r="G4406" s="80" t="s">
        <v>63</v>
      </c>
      <c r="H4406" s="80" t="s">
        <v>63</v>
      </c>
      <c r="I4406" s="80" t="s">
        <v>63</v>
      </c>
      <c r="J4406" s="80">
        <v>822.0</v>
      </c>
      <c r="K4406" s="80">
        <v>0.691919191919191</v>
      </c>
      <c r="L4406" s="80" t="s">
        <v>120</v>
      </c>
    </row>
    <row r="4407">
      <c r="A4407" s="80" t="s">
        <v>127</v>
      </c>
      <c r="B4407" s="81" t="str">
        <f>HYPERLINK("https://www.youtube.com/channel/UC97oYK3XMf9RLtkc0lO8C-Q", "健康旦 HiEggo")</f>
        <v>健康旦 HiEggo</v>
      </c>
      <c r="C4407" s="80" t="s">
        <v>4825</v>
      </c>
      <c r="D4407" s="81" t="str">
        <f>HYPERLINK("https://youtube.com/watch?v=tJrjes6Uoaw", "鍾伯光教授教你 一條橡筋帶鍛鍊三頭肌 記得做埋緩和運動 - 鄭丹瑞《健康旦》鍾伯光 Part 4 (CC中文字幕)")</f>
        <v>鍾伯光教授教你 一條橡筋帶鍛鍊三頭肌 記得做埋緩和運動 - 鄭丹瑞《健康旦》鍾伯光 Part 4 (CC中文字幕)</v>
      </c>
      <c r="E4407" s="82">
        <v>43915.0</v>
      </c>
      <c r="F4407" s="80">
        <v>611.0</v>
      </c>
      <c r="G4407" s="80" t="s">
        <v>63</v>
      </c>
      <c r="I4407" s="80" t="s">
        <v>63</v>
      </c>
      <c r="J4407" s="80">
        <v>2175.0</v>
      </c>
      <c r="K4407" s="80">
        <v>0.951859956236323</v>
      </c>
      <c r="L4407" s="80" t="s">
        <v>102</v>
      </c>
    </row>
    <row r="4408">
      <c r="A4408" s="80" t="s">
        <v>108</v>
      </c>
      <c r="B4408" s="81" t="str">
        <f>HYPERLINK("https://www.youtube.com/channel/UCZL6QN6Xs-ZrKY3y6Pv6Emg", "廢青 - 日賺3000")</f>
        <v>廢青 - 日賺3000</v>
      </c>
      <c r="C4408" s="80" t="s">
        <v>4826</v>
      </c>
      <c r="D4408" s="81" t="str">
        <f>HYPERLINK("https://youtube.com/watch?v=tPBbL0Kb-fg", "日賺$3,000💰10大法則(二) ㊙️㊙️ | 2021 期油教學 EP15【廢青 日賺3000】【點CC看中文字幕】")</f>
        <v>日賺$3,000💰10大法則(二) ㊙️㊙️ | 2021 期油教學 EP15【廢青 日賺3000】【點CC看中文字幕】</v>
      </c>
      <c r="E4408" s="82">
        <v>44331.0</v>
      </c>
      <c r="F4408" s="80">
        <v>924.0</v>
      </c>
      <c r="G4408" s="80" t="s">
        <v>63</v>
      </c>
      <c r="I4408" s="80" t="s">
        <v>63</v>
      </c>
      <c r="J4408" s="80">
        <v>3943.0</v>
      </c>
      <c r="K4408" s="80">
        <v>0.907271053842613</v>
      </c>
      <c r="L4408" s="80" t="s">
        <v>64</v>
      </c>
    </row>
    <row r="4409">
      <c r="A4409" s="80" t="s">
        <v>1390</v>
      </c>
      <c r="B4409" s="81" t="str">
        <f>HYPERLINK("https://www.youtube.com/channel/UCgwEJflQi4WnZ8PU0xdibZQ", "Kinson Ho")</f>
        <v>Kinson Ho</v>
      </c>
      <c r="C4409" s="80" t="s">
        <v>4827</v>
      </c>
      <c r="D4409" s="81" t="str">
        <f>HYPERLINK("https://youtube.com/watch?v=tPbRCwAWgMo", "K神任我行 - [CC字幕] 海上自駕遊｜想去邊就去邊｜黃茅洲｜蚺蛇灣｜燈洲｜浮潛｜航拍")</f>
        <v>K神任我行 - [CC字幕] 海上自駕遊｜想去邊就去邊｜黃茅洲｜蚺蛇灣｜燈洲｜浮潛｜航拍</v>
      </c>
      <c r="E4409" s="82">
        <v>44399.0</v>
      </c>
      <c r="F4409" s="80">
        <v>776.0</v>
      </c>
      <c r="G4409" s="80" t="s">
        <v>63</v>
      </c>
      <c r="I4409" s="80" t="s">
        <v>63</v>
      </c>
      <c r="J4409" s="80">
        <v>793.0</v>
      </c>
      <c r="K4409" s="80">
        <v>0.98265179677819</v>
      </c>
      <c r="L4409" s="80" t="s">
        <v>64</v>
      </c>
    </row>
    <row r="4410">
      <c r="A4410" s="80" t="s">
        <v>248</v>
      </c>
      <c r="B4410" s="81" t="str">
        <f t="shared" ref="B4410:B4411" si="229">HYPERLINK("https://www.youtube.com/channel/UCUEJok-GiWaGlv5nIPwk-GQ", "Price.com.hk 香港格價網")</f>
        <v>Price.com.hk 香港格價網</v>
      </c>
      <c r="C4410" s="80" t="s">
        <v>4828</v>
      </c>
      <c r="D4410" s="81" t="str">
        <f>HYPERLINK("https://youtube.com/watch?v=tQf1jP5UZjY", "自己部機 自己整 Apple推出自助維修計劃．PS5最受歡迎遊戲出爐．手機印即影即有 Fujifilm Instax Mini Evo｜廣東話【Price Weekly #89 2021年11月 】")</f>
        <v>自己部機 自己整 Apple推出自助維修計劃．PS5最受歡迎遊戲出爐．手機印即影即有 Fujifilm Instax Mini Evo｜廣東話【Price Weekly #89 2021年11月 】</v>
      </c>
      <c r="E4410" s="82">
        <v>44520.0</v>
      </c>
      <c r="F4410" s="80">
        <v>477.0</v>
      </c>
      <c r="G4410" s="80" t="s">
        <v>63</v>
      </c>
      <c r="I4410" s="80" t="s">
        <v>63</v>
      </c>
      <c r="J4410" s="80">
        <v>1751.0</v>
      </c>
      <c r="K4410" s="80">
        <v>0.730801335559265</v>
      </c>
      <c r="L4410" s="80" t="s">
        <v>64</v>
      </c>
    </row>
    <row r="4411">
      <c r="A4411" s="80" t="s">
        <v>248</v>
      </c>
      <c r="B4411" s="81" t="str">
        <f t="shared" si="229"/>
        <v>Price.com.hk 香港格價網</v>
      </c>
      <c r="C4411" s="80" t="s">
        <v>4829</v>
      </c>
      <c r="D4411" s="81" t="str">
        <f>HYPERLINK("https://youtube.com/watch?v=tRmfLshxdws", "入手前須知 電競螢幕選購攻略｜LG UltraGear 34GN850, 27GL850遊戲顯示器｜G-SYNC｜實試｜LG特約｜廣東話 【Price.com.hk產品評測】")</f>
        <v>入手前須知 電競螢幕選購攻略｜LG UltraGear 34GN850, 27GL850遊戲顯示器｜G-SYNC｜實試｜LG特約｜廣東話 【Price.com.hk產品評測】</v>
      </c>
      <c r="E4411" s="82">
        <v>44008.0</v>
      </c>
      <c r="F4411" s="80">
        <v>416.0</v>
      </c>
      <c r="G4411" s="80" t="s">
        <v>63</v>
      </c>
      <c r="I4411" s="80" t="s">
        <v>63</v>
      </c>
      <c r="J4411" s="80">
        <v>1427.0</v>
      </c>
      <c r="K4411" s="80">
        <v>0.786659316427783</v>
      </c>
      <c r="L4411" s="80" t="s">
        <v>64</v>
      </c>
    </row>
    <row r="4412">
      <c r="A4412" s="80" t="s">
        <v>293</v>
      </c>
      <c r="B4412" s="81" t="str">
        <f>HYPERLINK("https://www.youtube.com/channel/UCXRcbXqjORdIvl63I7MtOLQ", "趁熱 Kerry 's kitchen")</f>
        <v>趁熱 Kerry 's kitchen</v>
      </c>
      <c r="C4412" s="80" t="s">
        <v>4830</v>
      </c>
      <c r="D4412" s="81" t="str">
        <f>HYPERLINK("https://youtube.com/watch?v=tSGjQICTo3w", "羊肉 煲/枝竹羊腩煲/暖笠笠/急凍羊肉一樣正/低 成本/簡單 家做/重點 講解/廣東話/中字")</f>
        <v>羊肉 煲/枝竹羊腩煲/暖笠笠/急凍羊肉一樣正/低 成本/簡單 家做/重點 講解/廣東話/中字</v>
      </c>
      <c r="E4412" s="82">
        <v>44515.0</v>
      </c>
      <c r="F4412" s="80">
        <v>587.0</v>
      </c>
      <c r="G4412" s="80" t="s">
        <v>63</v>
      </c>
      <c r="I4412" s="80" t="s">
        <v>63</v>
      </c>
      <c r="J4412" s="80">
        <v>897.0</v>
      </c>
      <c r="K4412" s="80">
        <v>0.976060935799782</v>
      </c>
      <c r="L4412" s="80" t="s">
        <v>64</v>
      </c>
    </row>
    <row r="4413">
      <c r="A4413" s="80" t="s">
        <v>248</v>
      </c>
      <c r="B4413" s="81" t="str">
        <f>HYPERLINK("https://www.youtube.com/channel/UCUEJok-GiWaGlv5nIPwk-GQ", "Price.com.hk 香港格價網")</f>
        <v>Price.com.hk 香港格價網</v>
      </c>
      <c r="C4413" s="80" t="s">
        <v>4831</v>
      </c>
      <c r="D4413" s="81" t="str">
        <f>HYPERLINK("https://youtube.com/watch?v=tUVXz-MYSeU", "蘋果新macOS命名 同香港樓盤撞名？．Tesla新車用 AMD RDNA 2 GPU．IKEA、Sonos聯手 Symfonisk畫框喇叭｜廣東話【Price Weekly #65 2021年6月】")</f>
        <v>蘋果新macOS命名 同香港樓盤撞名？．Tesla新車用 AMD RDNA 2 GPU．IKEA、Sonos聯手 Symfonisk畫框喇叭｜廣東話【Price Weekly #65 2021年6月】</v>
      </c>
      <c r="E4413" s="82">
        <v>44352.0</v>
      </c>
      <c r="F4413" s="80">
        <v>429.0</v>
      </c>
      <c r="G4413" s="80" t="s">
        <v>63</v>
      </c>
      <c r="I4413" s="80" t="s">
        <v>63</v>
      </c>
      <c r="J4413" s="80">
        <v>1592.0</v>
      </c>
      <c r="K4413" s="80">
        <v>0.691873098652759</v>
      </c>
      <c r="L4413" s="80" t="s">
        <v>64</v>
      </c>
    </row>
    <row r="4414">
      <c r="A4414" s="80" t="s">
        <v>127</v>
      </c>
      <c r="B4414" s="81" t="str">
        <f>HYPERLINK("https://www.youtube.com/channel/UC97oYK3XMf9RLtkc0lO8C-Q", "健康旦 HiEggo")</f>
        <v>健康旦 HiEggo</v>
      </c>
      <c r="C4414" s="80" t="s">
        <v>4832</v>
      </c>
      <c r="D4414" s="81" t="str">
        <f>HYPERLINK("https://youtube.com/watch?v=tcUzyz7rLrM", "紅斑狼瘡患者曬完易出疹 褶位出汗易變汗斑 宜穿吸汗棉質衣物 - 鄭丹瑞《健康旦》皮膚科專科醫生 #胡惠福 Part 2 (CC中文字幕)")</f>
        <v>紅斑狼瘡患者曬完易出疹 褶位出汗易變汗斑 宜穿吸汗棉質衣物 - 鄭丹瑞《健康旦》皮膚科專科醫生 #胡惠福 Part 2 (CC中文字幕)</v>
      </c>
      <c r="E4414" s="82">
        <v>44074.0</v>
      </c>
      <c r="F4414" s="80">
        <v>570.0</v>
      </c>
      <c r="G4414" s="80" t="s">
        <v>63</v>
      </c>
      <c r="I4414" s="80" t="s">
        <v>63</v>
      </c>
      <c r="J4414" s="80">
        <v>2678.0</v>
      </c>
      <c r="K4414" s="80">
        <v>0.994060876020787</v>
      </c>
      <c r="L4414" s="80" t="s">
        <v>2771</v>
      </c>
    </row>
    <row r="4415">
      <c r="A4415" s="80" t="s">
        <v>248</v>
      </c>
      <c r="B4415" s="81" t="str">
        <f>HYPERLINK("https://www.youtube.com/channel/UCUEJok-GiWaGlv5nIPwk-GQ", "Price.com.hk 香港格價網")</f>
        <v>Price.com.hk 香港格價網</v>
      </c>
      <c r="C4415" s="80" t="s">
        <v>4833</v>
      </c>
      <c r="D4415" s="81" t="str">
        <f>HYPERLINK("https://youtube.com/watch?v=tdVCKX34XNA", "用iPhone 13拍出電影質感！Mike導親自示範｜Apple拍攝新功能Cinematic mode｜自肥企劃｜桌球世紀大戰｜廣東話【Price.com.hk產品評測】")</f>
        <v>用iPhone 13拍出電影質感！Mike導親自示範｜Apple拍攝新功能Cinematic mode｜自肥企劃｜桌球世紀大戰｜廣東話【Price.com.hk產品評測】</v>
      </c>
      <c r="E4415" s="82">
        <v>44475.0</v>
      </c>
      <c r="F4415" s="80">
        <v>451.0</v>
      </c>
      <c r="G4415" s="80" t="s">
        <v>63</v>
      </c>
      <c r="I4415" s="80" t="s">
        <v>63</v>
      </c>
      <c r="J4415" s="80">
        <v>1509.0</v>
      </c>
      <c r="K4415" s="80">
        <v>0.830947136563876</v>
      </c>
      <c r="L4415" s="80" t="s">
        <v>64</v>
      </c>
    </row>
    <row r="4416">
      <c r="A4416" s="80" t="s">
        <v>127</v>
      </c>
      <c r="B4416" s="81" t="str">
        <f t="shared" ref="B4416:B4417" si="230">HYPERLINK("https://www.youtube.com/channel/UC97oYK3XMf9RLtkc0lO8C-Q", "健康旦 HiEggo")</f>
        <v>健康旦 HiEggo</v>
      </c>
      <c r="C4416" s="80" t="s">
        <v>4834</v>
      </c>
      <c r="D4416" s="81" t="str">
        <f>HYPERLINK("https://youtube.com/watch?v=thbpv4NsP2Y", "薛家燕分享養生心得 最注重湯水 靠補充維他命C同水 - 鄭丹瑞《健康旦》薜家燕 Part1 (CC中文字幕)")</f>
        <v>薛家燕分享養生心得 最注重湯水 靠補充維他命C同水 - 鄭丹瑞《健康旦》薜家燕 Part1 (CC中文字幕)</v>
      </c>
      <c r="E4416" s="82">
        <v>43889.0</v>
      </c>
      <c r="F4416" s="80">
        <v>684.0</v>
      </c>
      <c r="G4416" s="80" t="s">
        <v>63</v>
      </c>
      <c r="I4416" s="80" t="s">
        <v>63</v>
      </c>
      <c r="J4416" s="80">
        <v>2272.0</v>
      </c>
      <c r="K4416" s="80">
        <v>0.99084169210641</v>
      </c>
      <c r="L4416" s="80" t="s">
        <v>102</v>
      </c>
    </row>
    <row r="4417">
      <c r="A4417" s="80" t="s">
        <v>127</v>
      </c>
      <c r="B4417" s="81" t="str">
        <f t="shared" si="230"/>
        <v>健康旦 HiEggo</v>
      </c>
      <c r="C4417" s="80" t="s">
        <v>4835</v>
      </c>
      <c r="D4417" s="81" t="str">
        <f>HYPERLINK("https://youtube.com/watch?v=tjsPZ6fTcqE", "中風多由腦血管閉塞或疾病引起 三高肥胖少運動高危 腦神經科醫生：每日最少運動半小時 - 鄭丹瑞《健康旦》腦神經科專科醫生 #蔡德康 Part 2 (CC中文字幕)")</f>
        <v>中風多由腦血管閉塞或疾病引起 三高肥胖少運動高危 腦神經科醫生：每日最少運動半小時 - 鄭丹瑞《健康旦》腦神經科專科醫生 #蔡德康 Part 2 (CC中文字幕)</v>
      </c>
      <c r="E4417" s="82">
        <v>44028.0</v>
      </c>
      <c r="F4417" s="80">
        <v>512.0</v>
      </c>
      <c r="G4417" s="80" t="s">
        <v>63</v>
      </c>
      <c r="I4417" s="80" t="s">
        <v>63</v>
      </c>
      <c r="J4417" s="80">
        <v>2058.0</v>
      </c>
      <c r="K4417" s="80">
        <v>0.999029126213592</v>
      </c>
      <c r="L4417" s="80" t="s">
        <v>4836</v>
      </c>
    </row>
    <row r="4418">
      <c r="A4418" s="80" t="s">
        <v>2764</v>
      </c>
      <c r="B4418" s="81" t="str">
        <f>HYPERLINK("https://www.youtube.com/channel/UCejZUW4khvxoA4uL2Afz20g", "Housik Laanfei 好食懶飛")</f>
        <v>Housik Laanfei 好食懶飛</v>
      </c>
      <c r="C4418" s="80" t="s">
        <v>4837</v>
      </c>
      <c r="D4418" s="81" t="str">
        <f>HYPERLINK("https://youtube.com/watch?v=tpae_u1LjiY", "[停唔到口] 麻藥飯捲 | CC: 廣東話/繁中/ENG SUB | COOKING VLOG")</f>
        <v>[停唔到口] 麻藥飯捲 | CC: 廣東話/繁中/ENG SUB | COOKING VLOG</v>
      </c>
      <c r="E4418" s="82">
        <v>44287.0</v>
      </c>
      <c r="F4418" s="80">
        <v>313.0</v>
      </c>
      <c r="G4418" s="80" t="s">
        <v>63</v>
      </c>
      <c r="H4418" s="80" t="s">
        <v>63</v>
      </c>
      <c r="I4418" s="80" t="s">
        <v>63</v>
      </c>
      <c r="J4418" s="80">
        <v>144.0</v>
      </c>
      <c r="K4418" s="80">
        <v>0.979591836734693</v>
      </c>
      <c r="L4418" s="80" t="s">
        <v>80</v>
      </c>
    </row>
    <row r="4419">
      <c r="A4419" s="80" t="s">
        <v>248</v>
      </c>
      <c r="B4419" s="81" t="str">
        <f>HYPERLINK("https://www.youtube.com/channel/UCUEJok-GiWaGlv5nIPwk-GQ", "Price.com.hk 香港格價網")</f>
        <v>Price.com.hk 香港格價網</v>
      </c>
      <c r="C4419" s="80" t="s">
        <v>4838</v>
      </c>
      <c r="D4419" s="81" t="str">
        <f>HYPERLINK("https://youtube.com/watch?v=trxYqw2eN8U", "電競裝備升級  8件網購精選貨品｜Pinky’s dream desk｜電競螢幕、電競椅、升降電競檯、滑鼠、鍵盤、耳機、喇叭、 顯示器增高支架｜廣東話")</f>
        <v>電競裝備升級  8件網購精選貨品｜Pinky’s dream desk｜電競螢幕、電競椅、升降電競檯、滑鼠、鍵盤、耳機、喇叭、 顯示器增高支架｜廣東話</v>
      </c>
      <c r="E4419" s="82">
        <v>44511.0</v>
      </c>
      <c r="F4419" s="80">
        <v>489.0</v>
      </c>
      <c r="G4419" s="80" t="s">
        <v>63</v>
      </c>
      <c r="I4419" s="80" t="s">
        <v>63</v>
      </c>
      <c r="J4419" s="80">
        <v>1359.0</v>
      </c>
      <c r="K4419" s="80">
        <v>0.752908587257617</v>
      </c>
      <c r="L4419" s="80" t="s">
        <v>64</v>
      </c>
    </row>
    <row r="4420">
      <c r="A4420" s="80" t="s">
        <v>1390</v>
      </c>
      <c r="B4420" s="81" t="str">
        <f>HYPERLINK("https://www.youtube.com/channel/UCgwEJflQi4WnZ8PU0xdibZQ", "Kinson Ho")</f>
        <v>Kinson Ho</v>
      </c>
      <c r="C4420" s="80" t="s">
        <v>4839</v>
      </c>
      <c r="D4420" s="81" t="str">
        <f>HYPERLINK("https://youtube.com/watch?v=tta2T3dOYWA", "K神任我行 - [CC字幕] 海下扒獨木舟｜棺材角｜棺材石｜海上浮龜｜磨洲｜銀洲｜小丑魚｜航拍")</f>
        <v>K神任我行 - [CC字幕] 海下扒獨木舟｜棺材角｜棺材石｜海上浮龜｜磨洲｜銀洲｜小丑魚｜航拍</v>
      </c>
      <c r="E4420" s="82">
        <v>44370.0</v>
      </c>
      <c r="F4420" s="80">
        <v>538.0</v>
      </c>
      <c r="G4420" s="80" t="s">
        <v>63</v>
      </c>
      <c r="I4420" s="80" t="s">
        <v>63</v>
      </c>
      <c r="J4420" s="80">
        <v>155.0</v>
      </c>
      <c r="K4420" s="80">
        <v>0.933734939759036</v>
      </c>
      <c r="L4420" s="80" t="s">
        <v>64</v>
      </c>
    </row>
    <row r="4421">
      <c r="A4421" s="80" t="s">
        <v>127</v>
      </c>
      <c r="B4421" s="81" t="str">
        <f t="shared" ref="B4421:B4422" si="231">HYPERLINK("https://www.youtube.com/channel/UC97oYK3XMf9RLtkc0lO8C-Q", "健康旦 HiEggo")</f>
        <v>健康旦 HiEggo</v>
      </c>
      <c r="C4421" s="80" t="s">
        <v>4840</v>
      </c>
      <c r="D4421" s="81" t="str">
        <f>HYPERLINK("https://youtube.com/watch?v=tteWzr-rfjI", "石修年輕因黃飛鴻熱潮學功夫 拍劇為見樣唔用替身扭傷 腳傷後遺症一年發唔到力 - 鄭丹瑞《健康旦》 #石修 Part 1 (CC中文字幕)")</f>
        <v>石修年輕因黃飛鴻熱潮學功夫 拍劇為見樣唔用替身扭傷 腳傷後遺症一年發唔到力 - 鄭丹瑞《健康旦》 #石修 Part 1 (CC中文字幕)</v>
      </c>
      <c r="E4421" s="82">
        <v>44106.0</v>
      </c>
      <c r="F4421" s="80">
        <v>596.0</v>
      </c>
      <c r="G4421" s="80" t="s">
        <v>63</v>
      </c>
      <c r="I4421" s="80" t="s">
        <v>63</v>
      </c>
      <c r="J4421" s="80">
        <v>2136.0</v>
      </c>
      <c r="K4421" s="80">
        <v>1.0</v>
      </c>
      <c r="L4421" s="80" t="s">
        <v>2771</v>
      </c>
    </row>
    <row r="4422">
      <c r="A4422" s="80" t="s">
        <v>127</v>
      </c>
      <c r="B4422" s="81" t="str">
        <f t="shared" si="231"/>
        <v>健康旦 HiEggo</v>
      </c>
      <c r="C4422" s="80" t="s">
        <v>4841</v>
      </c>
      <c r="D4422" s="81" t="str">
        <f>HYPERLINK("https://youtube.com/watch?v=tuUcAYi48Rw", "浸大黃煥忠教授消毒測試 神奇次氯酸水食物都噴得  - 鄭丹瑞《健康旦》黃煥忠教授（CC中文字幕）")</f>
        <v>浸大黃煥忠教授消毒測試 神奇次氯酸水食物都噴得  - 鄭丹瑞《健康旦》黃煥忠教授（CC中文字幕）</v>
      </c>
      <c r="E4422" s="82">
        <v>43956.0</v>
      </c>
      <c r="F4422" s="80">
        <v>658.0</v>
      </c>
      <c r="G4422" s="80" t="s">
        <v>63</v>
      </c>
      <c r="I4422" s="80" t="s">
        <v>63</v>
      </c>
      <c r="J4422" s="80">
        <v>2808.0</v>
      </c>
      <c r="K4422" s="80">
        <v>0.970283344851416</v>
      </c>
      <c r="L4422" s="80" t="s">
        <v>64</v>
      </c>
    </row>
    <row r="4423">
      <c r="A4423" s="80" t="s">
        <v>1260</v>
      </c>
      <c r="B4423" s="81" t="str">
        <f>HYPERLINK("https://www.youtube.com/channel/UCh1k4i86BpiXEO3nzJIYynw", "The Wave")</f>
        <v>The Wave</v>
      </c>
      <c r="C4423" s="80" t="s">
        <v>4842</v>
      </c>
      <c r="D4423" s="81" t="str">
        <f>HYPERLINK("https://youtube.com/watch?v=tziuw2X5WIs", "TheWave | Sony SEL20F18G 簡單開箱")</f>
        <v>TheWave | Sony SEL20F18G 簡單開箱</v>
      </c>
      <c r="E4423" s="82">
        <v>43933.0</v>
      </c>
      <c r="F4423" s="80">
        <v>103.0</v>
      </c>
      <c r="G4423" s="80" t="s">
        <v>63</v>
      </c>
      <c r="H4423" s="80" t="s">
        <v>63</v>
      </c>
      <c r="I4423" s="80" t="s">
        <v>63</v>
      </c>
      <c r="J4423" s="80">
        <v>280.0</v>
      </c>
      <c r="K4423" s="80">
        <v>0.83076923076923</v>
      </c>
      <c r="L4423" s="80" t="s">
        <v>1634</v>
      </c>
    </row>
    <row r="4424">
      <c r="A4424" s="80" t="s">
        <v>2753</v>
      </c>
      <c r="B4424" s="81" t="str">
        <f>HYPERLINK("https://www.youtube.com/channel/UCxRXNy5P6fLtHYpawxoiqJQ", "焦點視頻")</f>
        <v>焦點視頻</v>
      </c>
      <c r="C4424" s="80" t="s">
        <v>4843</v>
      </c>
      <c r="D4424" s="81" t="str">
        <f>HYPERLINK("https://youtube.com/watch?v=u-Odd-pE0Kg", "(中字) 面相認清好下屬！ 職場識人術10秒懂人心！《施敏玲玄學應用》 EP63 20211201")</f>
        <v>(中字) 面相認清好下屬！ 職場識人術10秒懂人心！《施敏玲玄學應用》 EP63 20211201</v>
      </c>
      <c r="E4424" s="82">
        <v>44530.0</v>
      </c>
      <c r="F4424" s="80">
        <v>526.0</v>
      </c>
      <c r="G4424" s="80" t="s">
        <v>63</v>
      </c>
      <c r="I4424" s="80" t="s">
        <v>63</v>
      </c>
      <c r="J4424" s="80">
        <v>2391.0</v>
      </c>
      <c r="K4424" s="80">
        <v>0.993352721229746</v>
      </c>
      <c r="L4424" s="80" t="s">
        <v>3012</v>
      </c>
    </row>
    <row r="4425">
      <c r="A4425" s="80" t="s">
        <v>248</v>
      </c>
      <c r="B4425" s="81" t="str">
        <f>HYPERLINK("https://www.youtube.com/channel/UCUEJok-GiWaGlv5nIPwk-GQ", "Price.com.hk 香港格價網")</f>
        <v>Price.com.hk 香港格價網</v>
      </c>
      <c r="C4425" s="80" t="s">
        <v>4844</v>
      </c>
      <c r="D4425" s="81" t="str">
        <f>HYPERLINK("https://youtube.com/watch?v=u1tofasofbQ", "2021科技界大事回顧｜手機攝力競賽？摺芒機將成大熱？元宇宙來了？社交移民潮？ | 廣東話 | 【Price.com.hk 科技情報】")</f>
        <v>2021科技界大事回顧｜手機攝力競賽？摺芒機將成大熱？元宇宙來了？社交移民潮？ | 廣東話 | 【Price.com.hk 科技情報】</v>
      </c>
      <c r="E4425" s="82">
        <v>44559.0</v>
      </c>
      <c r="F4425" s="80">
        <v>503.0</v>
      </c>
      <c r="G4425" s="80" t="s">
        <v>63</v>
      </c>
      <c r="I4425" s="80" t="s">
        <v>63</v>
      </c>
      <c r="J4425" s="80">
        <v>1779.0</v>
      </c>
      <c r="K4425" s="80">
        <v>0.722583265637692</v>
      </c>
      <c r="L4425" s="80" t="s">
        <v>64</v>
      </c>
    </row>
    <row r="4426">
      <c r="A4426" s="80" t="s">
        <v>127</v>
      </c>
      <c r="B4426" s="81" t="str">
        <f>HYPERLINK("https://www.youtube.com/channel/UC97oYK3XMf9RLtkc0lO8C-Q", "健康旦 HiEggo")</f>
        <v>健康旦 HiEggo</v>
      </c>
      <c r="C4426" s="80" t="s">
        <v>4845</v>
      </c>
      <c r="D4426" s="81" t="str">
        <f>HYPERLINK("https://youtube.com/watch?v=u2zB185trps", "曱甴生活環境陰暗潮濕温暖 最怕辣椒水洋蔥汁 滅蟲專家簡易蟑螂毒藥食譜 - 鄭丹瑞《健康旦》滅蟲專家 #任永強 Part 4 (CC中文字幕)")</f>
        <v>曱甴生活環境陰暗潮濕温暖 最怕辣椒水洋蔥汁 滅蟲專家簡易蟑螂毒藥食譜 - 鄭丹瑞《健康旦》滅蟲專家 #任永強 Part 4 (CC中文字幕)</v>
      </c>
      <c r="E4426" s="82">
        <v>44052.0</v>
      </c>
      <c r="F4426" s="80">
        <v>635.0</v>
      </c>
      <c r="G4426" s="80" t="s">
        <v>63</v>
      </c>
      <c r="I4426" s="80" t="s">
        <v>63</v>
      </c>
      <c r="J4426" s="80">
        <v>2330.0</v>
      </c>
      <c r="K4426" s="80">
        <v>0.996578272027373</v>
      </c>
      <c r="L4426" s="80" t="s">
        <v>2771</v>
      </c>
    </row>
    <row r="4427">
      <c r="A4427" s="80" t="s">
        <v>98</v>
      </c>
      <c r="B4427" s="81" t="str">
        <f>HYPERLINK("https://www.youtube.com/channel/UCrquuQB6v1Ued2xyRKZreGQ", "Stephen Leung ")</f>
        <v>Stephen Leung </v>
      </c>
      <c r="C4427" s="80" t="s">
        <v>4846</v>
      </c>
      <c r="D4427" s="81" t="str">
        <f>HYPERLINK("https://youtube.com/watch?v=u58lxvFW-X8", "【香港愛心】香港 社企 逆境求生 堅持每日派300盒福飯 推越式8道菜套餐 望吸引新客保營運資金 聘用長者減社會負擔 長者就業 自力更生 銀杏館 越老 | 吃喝玩樂 義務拍攝")</f>
        <v>【香港愛心】香港 社企 逆境求生 堅持每日派300盒福飯 推越式8道菜套餐 望吸引新客保營運資金 聘用長者減社會負擔 長者就業 自力更生 銀杏館 越老 | 吃喝玩樂 義務拍攝</v>
      </c>
      <c r="E4427" s="82">
        <v>44374.0</v>
      </c>
      <c r="F4427" s="80">
        <v>820.0</v>
      </c>
      <c r="G4427" s="80" t="s">
        <v>63</v>
      </c>
      <c r="I4427" s="80" t="s">
        <v>63</v>
      </c>
      <c r="J4427" s="80">
        <v>2201.0</v>
      </c>
      <c r="K4427" s="80">
        <v>0.985228290062667</v>
      </c>
      <c r="L4427" s="80" t="s">
        <v>64</v>
      </c>
    </row>
    <row r="4428">
      <c r="A4428" s="80" t="s">
        <v>293</v>
      </c>
      <c r="B4428" s="81" t="str">
        <f t="shared" ref="B4428:B4429" si="232">HYPERLINK("https://www.youtube.com/channel/UCXRcbXqjORdIvl63I7MtOLQ", "趁熱 Kerry 's kitchen")</f>
        <v>趁熱 Kerry 's kitchen</v>
      </c>
      <c r="C4428" s="80" t="s">
        <v>4847</v>
      </c>
      <c r="D4428" s="81" t="str">
        <f>HYPERLINK("https://youtube.com/watch?v=u88P_tVr-q0", "蒜茸蝦 蒸飯/超簡單冇得輸/大睇宴客菜/超香飯做法/簡單 家做/新手 入門/廣東話/中字")</f>
        <v>蒜茸蝦 蒸飯/超簡單冇得輸/大睇宴客菜/超香飯做法/簡單 家做/新手 入門/廣東話/中字</v>
      </c>
      <c r="E4428" s="82">
        <v>44449.0</v>
      </c>
      <c r="F4428" s="80">
        <v>552.0</v>
      </c>
      <c r="G4428" s="80" t="s">
        <v>63</v>
      </c>
      <c r="I4428" s="80" t="s">
        <v>63</v>
      </c>
      <c r="J4428" s="80">
        <v>1626.0</v>
      </c>
      <c r="K4428" s="80">
        <v>0.982477341389728</v>
      </c>
      <c r="L4428" s="80" t="s">
        <v>64</v>
      </c>
    </row>
    <row r="4429">
      <c r="A4429" s="80" t="s">
        <v>293</v>
      </c>
      <c r="B4429" s="81" t="str">
        <f t="shared" si="232"/>
        <v>趁熱 Kerry 's kitchen</v>
      </c>
      <c r="C4429" s="80" t="s">
        <v>4848</v>
      </c>
      <c r="D4429" s="81" t="str">
        <f>HYPERLINK("https://youtube.com/watch?v=u8hkdcOKpuk", "蝦 豆腐/煎蝦膠豆腐/老友記美食/超香不油膩/懶人版15分鐘完成/簡單 家做/廣東話/中字")</f>
        <v>蝦 豆腐/煎蝦膠豆腐/老友記美食/超香不油膩/懶人版15分鐘完成/簡單 家做/廣東話/中字</v>
      </c>
      <c r="E4429" s="82">
        <v>44477.0</v>
      </c>
      <c r="F4429" s="80">
        <v>526.0</v>
      </c>
      <c r="G4429" s="80" t="s">
        <v>63</v>
      </c>
      <c r="I4429" s="80" t="s">
        <v>63</v>
      </c>
      <c r="J4429" s="80">
        <v>744.0</v>
      </c>
      <c r="K4429" s="80">
        <v>0.978947368421052</v>
      </c>
      <c r="L4429" s="80" t="s">
        <v>64</v>
      </c>
    </row>
    <row r="4430">
      <c r="A4430" s="80" t="s">
        <v>288</v>
      </c>
      <c r="B4430" s="81" t="str">
        <f>HYPERLINK("https://www.youtube.com/channel/UCDWOYEhVnyD4IHZGVAMLc0g", "Brendan 毛爸")</f>
        <v>Brendan 毛爸</v>
      </c>
      <c r="C4430" s="80" t="s">
        <v>4849</v>
      </c>
      <c r="D4430" s="81" t="str">
        <f>HYPERLINK("https://youtube.com/watch?v=u9fWfEZCOl0", "【快閃泰國曼谷72小時-EP2 】泰式特色早餐！Starbucks咖啡啫喱星冰樂！JJ Market 跳虱市場冷氣新商場！52樓天台酒吧！伏中之伏泰菜店！Siam Relax 泰式按摩店！[CC字幕]")</f>
        <v>【快閃泰國曼谷72小時-EP2 】泰式特色早餐！Starbucks咖啡啫喱星冰樂！JJ Market 跳虱市場冷氣新商場！52樓天台酒吧！伏中之伏泰菜店！Siam Relax 泰式按摩店！[CC字幕]</v>
      </c>
      <c r="E4430" s="82">
        <v>43840.0</v>
      </c>
      <c r="F4430" s="80">
        <v>821.0</v>
      </c>
      <c r="G4430" s="80" t="s">
        <v>63</v>
      </c>
      <c r="I4430" s="80" t="s">
        <v>63</v>
      </c>
      <c r="J4430" s="80">
        <v>2245.0</v>
      </c>
      <c r="K4430" s="80">
        <v>0.921214608124743</v>
      </c>
      <c r="L4430" s="80" t="s">
        <v>64</v>
      </c>
    </row>
    <row r="4431">
      <c r="A4431" s="80" t="s">
        <v>127</v>
      </c>
      <c r="B4431" s="81" t="str">
        <f>HYPERLINK("https://www.youtube.com/channel/UC97oYK3XMf9RLtkc0lO8C-Q", "健康旦 HiEggo")</f>
        <v>健康旦 HiEggo</v>
      </c>
      <c r="C4431" s="80" t="s">
        <v>4850</v>
      </c>
      <c r="D4431" s="81" t="str">
        <f>HYPERLINK("https://youtube.com/watch?v=uABDV7Z2JXc", "喬寶寶講沙士懲教署回憶 印度口罩供應 蘇格蘭家庭生活 - 鄭丹瑞《健康旦》@喬寶寶 Qbobo  PART 2 (CC中文字幕)")</f>
        <v>喬寶寶講沙士懲教署回憶 印度口罩供應 蘇格蘭家庭生活 - 鄭丹瑞《健康旦》@喬寶寶 Qbobo  PART 2 (CC中文字幕)</v>
      </c>
      <c r="E4431" s="82">
        <v>43874.0</v>
      </c>
      <c r="F4431" s="80">
        <v>659.0</v>
      </c>
      <c r="G4431" s="80" t="s">
        <v>63</v>
      </c>
      <c r="I4431" s="80" t="s">
        <v>63</v>
      </c>
      <c r="J4431" s="80">
        <v>2519.0</v>
      </c>
      <c r="K4431" s="80">
        <v>0.998414585810543</v>
      </c>
      <c r="L4431" s="80" t="s">
        <v>102</v>
      </c>
    </row>
    <row r="4432">
      <c r="A4432" s="80" t="s">
        <v>285</v>
      </c>
      <c r="B4432" s="81" t="str">
        <f>HYPERLINK("https://www.youtube.com/channel/UCW76wvF8SpMMPS4XD0hGQcg", "Sisters Lab")</f>
        <v>Sisters Lab</v>
      </c>
      <c r="C4432" s="80" t="s">
        <v>4851</v>
      </c>
      <c r="D4432" s="81" t="str">
        <f>HYPERLINK("https://youtube.com/watch?v=uC2AS563b9o", "【比較】 Macaron名店大比拼!!｜ENG＋CANTO SUB/CC")</f>
        <v>【比較】 Macaron名店大比拼!!｜ENG＋CANTO SUB/CC</v>
      </c>
      <c r="E4432" s="82">
        <v>44113.0</v>
      </c>
      <c r="F4432" s="80">
        <v>418.0</v>
      </c>
      <c r="G4432" s="80" t="s">
        <v>63</v>
      </c>
      <c r="I4432" s="80" t="s">
        <v>63</v>
      </c>
      <c r="J4432" s="80">
        <v>1597.0</v>
      </c>
      <c r="K4432" s="80">
        <v>0.85492505353319</v>
      </c>
      <c r="L4432" s="80" t="s">
        <v>287</v>
      </c>
    </row>
    <row r="4433">
      <c r="A4433" s="80" t="s">
        <v>2041</v>
      </c>
      <c r="B4433" s="81" t="str">
        <f>HYPERLINK("https://www.youtube.com/channel/UCO6pB-ZN4XJ6MVkibvuEe0A", "SingSingTracker 星昇財經指標")</f>
        <v>SingSingTracker 星昇財經指標</v>
      </c>
      <c r="C4433" s="80" t="s">
        <v>4852</v>
      </c>
      <c r="D4433" s="81" t="str">
        <f>HYPERLINK("https://youtube.com/watch?v=uCflHQT7yLA", "【Coinbase上市，法幣已死❓ 】Crypto currency 新里程碑【點CC中文字幕】#FWCChannel​​ #Coinbase #IPO #ElonMusk")</f>
        <v>【Coinbase上市，法幣已死❓ 】Crypto currency 新里程碑【點CC中文字幕】#FWCChannel​​ #Coinbase #IPO #ElonMusk</v>
      </c>
      <c r="E4433" s="82">
        <v>44306.0</v>
      </c>
      <c r="F4433" s="80">
        <v>405.0</v>
      </c>
      <c r="G4433" s="80" t="s">
        <v>63</v>
      </c>
      <c r="I4433" s="80" t="s">
        <v>63</v>
      </c>
      <c r="J4433" s="80">
        <v>1354.0</v>
      </c>
      <c r="K4433" s="80">
        <v>0.734273318872017</v>
      </c>
      <c r="L4433" s="80" t="s">
        <v>64</v>
      </c>
    </row>
    <row r="4434">
      <c r="A4434" s="80" t="s">
        <v>248</v>
      </c>
      <c r="B4434" s="81" t="str">
        <f>HYPERLINK("https://www.youtube.com/channel/UCUEJok-GiWaGlv5nIPwk-GQ", "Price.com.hk 香港格價網")</f>
        <v>Price.com.hk 香港格價網</v>
      </c>
      <c r="C4434" s="80" t="s">
        <v>4853</v>
      </c>
      <c r="D4434" s="81" t="str">
        <f>HYPERLINK("https://youtube.com/watch?v=uEkLFBOXgyw", "超頻專用 AMD RX 6900 XT水冷顯示卡．Beats Studio Buds夏季登場．Leica Leitz Phone 1智能手機｜廣東話【Price Weekly #67 2021年6月】")</f>
        <v>超頻專用 AMD RX 6900 XT水冷顯示卡．Beats Studio Buds夏季登場．Leica Leitz Phone 1智能手機｜廣東話【Price Weekly #67 2021年6月】</v>
      </c>
      <c r="E4434" s="82">
        <v>44366.0</v>
      </c>
      <c r="F4434" s="80">
        <v>539.0</v>
      </c>
      <c r="G4434" s="80" t="s">
        <v>63</v>
      </c>
      <c r="I4434" s="80" t="s">
        <v>63</v>
      </c>
      <c r="J4434" s="80">
        <v>1948.0</v>
      </c>
      <c r="K4434" s="80">
        <v>0.710171345242435</v>
      </c>
      <c r="L4434" s="80" t="s">
        <v>64</v>
      </c>
    </row>
    <row r="4435">
      <c r="A4435" s="80" t="s">
        <v>2829</v>
      </c>
      <c r="B4435" s="81" t="str">
        <f>HYPERLINK("https://www.youtube.com/channel/UC7GnES6AEQlDzaP04UqtyjA", "SOLID IDEA")</f>
        <v>SOLID IDEA</v>
      </c>
      <c r="C4435" s="80" t="s">
        <v>4854</v>
      </c>
      <c r="D4435" s="81" t="str">
        <f>HYPERLINK("https://youtube.com/watch?v=uF0LPR7CS30", "[#設計概念] #跑馬地 #閣樓  至#Chill #Bar枱 (CC中文字幕)")</f>
        <v>[#設計概念] #跑馬地 #閣樓  至#Chill #Bar枱 (CC中文字幕)</v>
      </c>
      <c r="E4435" s="82">
        <v>44075.0</v>
      </c>
      <c r="F4435" s="80">
        <v>203.0</v>
      </c>
      <c r="G4435" s="80" t="s">
        <v>63</v>
      </c>
      <c r="I4435" s="80" t="s">
        <v>63</v>
      </c>
      <c r="J4435" s="80">
        <v>665.0</v>
      </c>
      <c r="K4435" s="80">
        <v>0.93006993006993</v>
      </c>
      <c r="L4435" s="80" t="s">
        <v>64</v>
      </c>
    </row>
    <row r="4436">
      <c r="A4436" s="80" t="s">
        <v>127</v>
      </c>
      <c r="B4436" s="81" t="str">
        <f>HYPERLINK("https://www.youtube.com/channel/UC97oYK3XMf9RLtkc0lO8C-Q", "健康旦 HiEggo")</f>
        <v>健康旦 HiEggo</v>
      </c>
      <c r="C4436" s="80" t="s">
        <v>4855</v>
      </c>
      <c r="D4436" s="81" t="str">
        <f>HYPERLINK("https://youtube.com/watch?v=uH5lgipz1cE", "麥建華博士耆康會照顧院舍老人 仲成立抗疫耆兵 - 鄭丹瑞《健康旦》耆康會麥建華博士（CC中文字幕）")</f>
        <v>麥建華博士耆康會照顧院舍老人 仲成立抗疫耆兵 - 鄭丹瑞《健康旦》耆康會麥建華博士（CC中文字幕）</v>
      </c>
      <c r="E4436" s="82">
        <v>43942.0</v>
      </c>
      <c r="F4436" s="80">
        <v>728.0</v>
      </c>
      <c r="G4436" s="80" t="s">
        <v>63</v>
      </c>
      <c r="I4436" s="80" t="s">
        <v>63</v>
      </c>
      <c r="J4436" s="80">
        <v>2739.0</v>
      </c>
      <c r="K4436" s="80">
        <v>0.995637949836423</v>
      </c>
      <c r="L4436" s="80" t="s">
        <v>64</v>
      </c>
    </row>
    <row r="4437">
      <c r="A4437" s="80" t="s">
        <v>238</v>
      </c>
      <c r="B4437" s="81" t="str">
        <f>HYPERLINK("https://www.youtube.com/channel/UCSBkm4LwpgBmcA3MCtO8vqg", "Post76影音玩樂")</f>
        <v>Post76影音玩樂</v>
      </c>
      <c r="C4437" s="80" t="s">
        <v>4856</v>
      </c>
      <c r="D4437" s="81" t="str">
        <f>HYPERLINK("https://youtube.com/watch?v=uHIG2QFNSTE", "Nothing Ear(1) : 開箱後的詳細評測｜通話｜聽感｜連線穩定｜APP降噪 （附設cc字幕）【耳機開箱 | Part II】")</f>
        <v>Nothing Ear(1) : 開箱後的詳細評測｜通話｜聽感｜連線穩定｜APP降噪 （附設cc字幕）【耳機開箱 | Part II】</v>
      </c>
      <c r="E4437" s="82">
        <v>44503.0</v>
      </c>
      <c r="F4437" s="80">
        <v>701.0</v>
      </c>
      <c r="G4437" s="80" t="s">
        <v>63</v>
      </c>
      <c r="H4437" s="80" t="s">
        <v>63</v>
      </c>
      <c r="I4437" s="80" t="s">
        <v>63</v>
      </c>
      <c r="J4437" s="80">
        <v>2741.0</v>
      </c>
      <c r="K4437" s="80">
        <v>0.897805437274811</v>
      </c>
      <c r="L4437" s="80" t="s">
        <v>240</v>
      </c>
    </row>
    <row r="4438">
      <c r="A4438" s="80" t="s">
        <v>2041</v>
      </c>
      <c r="B4438" s="81" t="str">
        <f>HYPERLINK("https://www.youtube.com/channel/UCO6pB-ZN4XJ6MVkibvuEe0A", "SingSingTracker 星昇財經指標")</f>
        <v>SingSingTracker 星昇財經指標</v>
      </c>
      <c r="C4438" s="80" t="s">
        <v>4857</v>
      </c>
      <c r="D4438" s="81" t="str">
        <f>HYPERLINK("https://youtube.com/watch?v=uHbeGBExjNM", "【🐯老虎Bill Hwang 是何方神聖❓】原來作為信徒的他是大慈善家？【點CC中文字幕】#FWCChannel")</f>
        <v>【🐯老虎Bill Hwang 是何方神聖❓】原來作為信徒的他是大慈善家？【點CC中文字幕】#FWCChannel</v>
      </c>
      <c r="E4438" s="82">
        <v>44299.0</v>
      </c>
      <c r="F4438" s="80">
        <v>363.0</v>
      </c>
      <c r="G4438" s="80" t="s">
        <v>63</v>
      </c>
      <c r="I4438" s="80" t="s">
        <v>63</v>
      </c>
      <c r="J4438" s="80">
        <v>1200.0</v>
      </c>
      <c r="K4438" s="80">
        <v>0.830449826989619</v>
      </c>
      <c r="L4438" s="80" t="s">
        <v>64</v>
      </c>
    </row>
    <row r="4439">
      <c r="A4439" s="80" t="s">
        <v>1139</v>
      </c>
      <c r="B4439" s="81" t="str">
        <f>HYPERLINK("https://www.youtube.com/channel/UCw51gVFijIewmXH4tIR0ufw", "Crystal Zen")</f>
        <v>Crystal Zen</v>
      </c>
      <c r="C4439" s="80" t="s">
        <v>4858</v>
      </c>
      <c r="D4439" s="81" t="str">
        <f>HYPERLINK("https://youtube.com/watch?v=uTmDrDGB-V8", "[水晶知多D 第十七集]  萬眾期待嘅舒俱萊!!!! 最強嘅健康寶石")</f>
        <v>[水晶知多D 第十七集]  萬眾期待嘅舒俱萊!!!! 最強嘅健康寶石</v>
      </c>
      <c r="E4439" s="82">
        <v>44127.0</v>
      </c>
      <c r="F4439" s="80">
        <v>564.0</v>
      </c>
      <c r="G4439" s="80" t="s">
        <v>63</v>
      </c>
      <c r="I4439" s="80" t="s">
        <v>63</v>
      </c>
      <c r="J4439" s="80">
        <v>2382.0</v>
      </c>
      <c r="K4439" s="80">
        <v>0.942246835443038</v>
      </c>
      <c r="L4439" s="80" t="s">
        <v>64</v>
      </c>
    </row>
    <row r="4440">
      <c r="A4440" s="80" t="s">
        <v>2374</v>
      </c>
      <c r="B4440" s="81" t="str">
        <f>HYPERLINK("https://www.youtube.com/channel/UC0lbhIloP3pcKJT07YosZlQ", "講豬hi speakchuhi")</f>
        <v>講豬hi speakchuhi</v>
      </c>
      <c r="C4440" s="80" t="s">
        <v>4859</v>
      </c>
      <c r="D4440" s="81" t="str">
        <f>HYPERLINK("https://youtube.com/watch?v=uUnIdfRoNnk", "申請加拿大ETA電子簽証 🇨🇦 | 5分鐘完成❗️| 5年有效期❗️| 香港BNO 特區護照 旅行都需要 [粵語中文字幕][CC]")</f>
        <v>申請加拿大ETA電子簽証 🇨🇦 | 5分鐘完成❗️| 5年有效期❗️| 香港BNO 特區護照 旅行都需要 [粵語中文字幕][CC]</v>
      </c>
      <c r="E4440" s="82">
        <v>43771.0</v>
      </c>
      <c r="F4440" s="80">
        <v>308.0</v>
      </c>
      <c r="G4440" s="80" t="s">
        <v>63</v>
      </c>
      <c r="I4440" s="80" t="s">
        <v>63</v>
      </c>
      <c r="J4440" s="80">
        <v>797.0</v>
      </c>
      <c r="K4440" s="80">
        <v>0.814096016343207</v>
      </c>
      <c r="L4440" s="80" t="s">
        <v>102</v>
      </c>
    </row>
    <row r="4441">
      <c r="A4441" s="80" t="s">
        <v>248</v>
      </c>
      <c r="B4441" s="81" t="str">
        <f>HYPERLINK("https://www.youtube.com/channel/UCUEJok-GiWaGlv5nIPwk-GQ", "Price.com.hk 香港格價網")</f>
        <v>Price.com.hk 香港格價網</v>
      </c>
      <c r="C4441" s="80" t="s">
        <v>4860</v>
      </c>
      <c r="D4441" s="81" t="str">
        <f>HYPERLINK("https://youtube.com/watch?v=uVUljvRgBCM", "Disney+ 訂閱攻略！8個必知要點｜對比Netflix｜點先最抵玩？多人共享、字幕語言設定｜比較美國內容、IMAX聲畫效果｜廣東話【Price.com.hk軟件教學】")</f>
        <v>Disney+ 訂閱攻略！8個必知要點｜對比Netflix｜點先最抵玩？多人共享、字幕語言設定｜比較美國內容、IMAX聲畫效果｜廣東話【Price.com.hk軟件教學】</v>
      </c>
      <c r="E4441" s="82">
        <v>44516.0</v>
      </c>
      <c r="F4441" s="80">
        <v>537.0</v>
      </c>
      <c r="G4441" s="80" t="s">
        <v>63</v>
      </c>
      <c r="I4441" s="80" t="s">
        <v>63</v>
      </c>
      <c r="J4441" s="80">
        <v>1837.0</v>
      </c>
      <c r="K4441" s="80">
        <v>0.727524752475247</v>
      </c>
      <c r="L4441" s="80" t="s">
        <v>64</v>
      </c>
    </row>
    <row r="4442">
      <c r="A4442" s="80" t="s">
        <v>1260</v>
      </c>
      <c r="B4442" s="81" t="str">
        <f t="shared" ref="B4442:B4443" si="233">HYPERLINK("https://www.youtube.com/channel/UCh1k4i86BpiXEO3nzJIYynw", "The Wave")</f>
        <v>The Wave</v>
      </c>
      <c r="C4442" s="80" t="s">
        <v>4861</v>
      </c>
      <c r="D4442" s="81" t="str">
        <f>HYPERLINK("https://youtube.com/watch?v=uVXFejURjlk", "TheWave 廢片 | ☢️☢️☢️ Router 輻射好勁？！")</f>
        <v>TheWave 廢片 | ☢️☢️☢️ Router 輻射好勁？！</v>
      </c>
      <c r="E4442" s="82">
        <v>43681.0</v>
      </c>
      <c r="F4442" s="80">
        <v>137.0</v>
      </c>
      <c r="G4442" s="80" t="s">
        <v>63</v>
      </c>
      <c r="H4442" s="80" t="s">
        <v>63</v>
      </c>
      <c r="I4442" s="80" t="s">
        <v>63</v>
      </c>
      <c r="J4442" s="80">
        <v>567.0</v>
      </c>
      <c r="K4442" s="80">
        <v>0.941860465116279</v>
      </c>
      <c r="L4442" s="80" t="s">
        <v>1634</v>
      </c>
    </row>
    <row r="4443">
      <c r="A4443" s="80" t="s">
        <v>1260</v>
      </c>
      <c r="B4443" s="81" t="str">
        <f t="shared" si="233"/>
        <v>The Wave</v>
      </c>
      <c r="C4443" s="80" t="s">
        <v>4862</v>
      </c>
      <c r="D4443" s="81" t="str">
        <f>HYPERLINK("https://youtube.com/watch?v=uVuAAd4BtPI", "TheWave | 應該係Xperia XZ4?  Sony首部3鏡頭手機")</f>
        <v>TheWave | 應該係Xperia XZ4?  Sony首部3鏡頭手機</v>
      </c>
      <c r="E4443" s="82">
        <v>43438.0</v>
      </c>
      <c r="F4443" s="80">
        <v>203.0</v>
      </c>
      <c r="G4443" s="80" t="s">
        <v>63</v>
      </c>
      <c r="H4443" s="80" t="s">
        <v>63</v>
      </c>
      <c r="I4443" s="80" t="s">
        <v>63</v>
      </c>
      <c r="J4443" s="80">
        <v>652.0</v>
      </c>
      <c r="K4443" s="80">
        <v>0.707641196013289</v>
      </c>
      <c r="L4443" s="80" t="s">
        <v>120</v>
      </c>
    </row>
    <row r="4444">
      <c r="A4444" s="80" t="s">
        <v>293</v>
      </c>
      <c r="B4444" s="81" t="str">
        <f>HYPERLINK("https://www.youtube.com/channel/UCXRcbXqjORdIvl63I7MtOLQ", "趁熱 Kerry 's kitchen")</f>
        <v>趁熱 Kerry 's kitchen</v>
      </c>
      <c r="C4444" s="80" t="s">
        <v>4863</v>
      </c>
      <c r="D4444" s="81" t="str">
        <f>HYPERLINK("https://youtube.com/watch?v=uWWwImdLRqk", "南乳 羊膝/南乳燒羊膝/超軟滑/party food/大氣不失禮/原創菜式/簡單 家做/廣東話/中字")</f>
        <v>南乳 羊膝/南乳燒羊膝/超軟滑/party food/大氣不失禮/原創菜式/簡單 家做/廣東話/中字</v>
      </c>
      <c r="E4444" s="82">
        <v>44538.0</v>
      </c>
      <c r="F4444" s="80">
        <v>720.0</v>
      </c>
      <c r="G4444" s="80" t="s">
        <v>63</v>
      </c>
      <c r="I4444" s="80" t="s">
        <v>63</v>
      </c>
      <c r="J4444" s="80">
        <v>722.0</v>
      </c>
      <c r="K4444" s="80">
        <v>0.931612903225806</v>
      </c>
      <c r="L4444" s="80" t="s">
        <v>64</v>
      </c>
    </row>
    <row r="4445">
      <c r="A4445" s="80" t="s">
        <v>127</v>
      </c>
      <c r="B4445" s="81" t="str">
        <f>HYPERLINK("https://www.youtube.com/channel/UC97oYK3XMf9RLtkc0lO8C-Q", "健康旦 HiEggo")</f>
        <v>健康旦 HiEggo</v>
      </c>
      <c r="C4445" s="80" t="s">
        <v>4864</v>
      </c>
      <c r="D4445" s="81" t="str">
        <f>HYPERLINK("https://youtube.com/watch?v=uXtaWpZC5p4", "阿旦細訴《無可奉告》一曲由來 林珊珊最叻霸錄音房 - 鄭丹瑞《健康旦》 @RTHK 香港電台  《三個小神仙》林珊珊、何嘉麗 Part 3（CC中文字幕）")</f>
        <v>阿旦細訴《無可奉告》一曲由來 林珊珊最叻霸錄音房 - 鄭丹瑞《健康旦》 @RTHK 香港電台  《三個小神仙》林珊珊、何嘉麗 Part 3（CC中文字幕）</v>
      </c>
      <c r="E4445" s="82">
        <v>43946.0</v>
      </c>
      <c r="F4445" s="80">
        <v>800.0</v>
      </c>
      <c r="G4445" s="80" t="s">
        <v>63</v>
      </c>
      <c r="I4445" s="80" t="s">
        <v>63</v>
      </c>
      <c r="J4445" s="80">
        <v>2900.0</v>
      </c>
      <c r="K4445" s="80">
        <v>0.980060831361946</v>
      </c>
      <c r="L4445" s="80" t="s">
        <v>64</v>
      </c>
    </row>
    <row r="4446">
      <c r="A4446" s="80" t="s">
        <v>248</v>
      </c>
      <c r="B4446" s="81" t="str">
        <f>HYPERLINK("https://www.youtube.com/channel/UCUEJok-GiWaGlv5nIPwk-GQ", "Price.com.hk 香港格價網")</f>
        <v>Price.com.hk 香港格價網</v>
      </c>
      <c r="C4446" s="80" t="s">
        <v>4865</v>
      </c>
      <c r="D4446" s="81" t="str">
        <f>HYPERLINK("https://youtube.com/watch?v=ub49j6x6d8k", "家居裝修啱用﹗西門子電子門鎖+DELTA 開關插座系列｜專門店實境｜廣東話｜特約專題【Price.com.hk產品介紹】")</f>
        <v>家居裝修啱用﹗西門子電子門鎖+DELTA 開關插座系列｜專門店實境｜廣東話｜特約專題【Price.com.hk產品介紹】</v>
      </c>
      <c r="E4446" s="82">
        <v>44418.0</v>
      </c>
      <c r="F4446" s="80">
        <v>270.0</v>
      </c>
      <c r="G4446" s="80" t="s">
        <v>63</v>
      </c>
      <c r="I4446" s="80" t="s">
        <v>63</v>
      </c>
      <c r="J4446" s="80">
        <v>1077.0</v>
      </c>
      <c r="K4446" s="80">
        <v>0.915038232795242</v>
      </c>
      <c r="L4446" s="80" t="s">
        <v>64</v>
      </c>
    </row>
    <row r="4447">
      <c r="A4447" s="80" t="s">
        <v>98</v>
      </c>
      <c r="B4447" s="81" t="str">
        <f>HYPERLINK("https://www.youtube.com/channel/UCrquuQB6v1Ued2xyRKZreGQ", "Stephen Leung ")</f>
        <v>Stephen Leung </v>
      </c>
      <c r="C4447" s="80" t="s">
        <v>4866</v>
      </c>
      <c r="D4447" s="81" t="str">
        <f>HYPERLINK("https://youtube.com/watch?v=ubKb9FwHTtc", "【香港美食】飲茶減價 酒店午市75折 高質點心 柚子蝦餃 魚籽燒賣 腸粉 韭菜鮮蝦腐皮卷 采悅軒 東涌喜來登酒店 | 吃喝玩樂")</f>
        <v>【香港美食】飲茶減價 酒店午市75折 高質點心 柚子蝦餃 魚籽燒賣 腸粉 韭菜鮮蝦腐皮卷 采悅軒 東涌喜來登酒店 | 吃喝玩樂</v>
      </c>
      <c r="E4447" s="82">
        <v>44567.0</v>
      </c>
      <c r="F4447" s="80">
        <v>516.0</v>
      </c>
      <c r="G4447" s="80" t="s">
        <v>63</v>
      </c>
      <c r="I4447" s="80" t="s">
        <v>63</v>
      </c>
      <c r="J4447" s="80">
        <v>1417.0</v>
      </c>
      <c r="K4447" s="80">
        <v>0.961982348947725</v>
      </c>
      <c r="L4447" s="80" t="s">
        <v>64</v>
      </c>
    </row>
    <row r="4448">
      <c r="A4448" s="80" t="s">
        <v>293</v>
      </c>
      <c r="B4448" s="81" t="str">
        <f>HYPERLINK("https://www.youtube.com/channel/UCXRcbXqjORdIvl63I7MtOLQ", "趁熱 Kerry 's kitchen")</f>
        <v>趁熱 Kerry 's kitchen</v>
      </c>
      <c r="C4448" s="80" t="s">
        <v>4867</v>
      </c>
      <c r="D4448" s="81" t="str">
        <f>HYPERLINK("https://youtube.com/watch?v=ucMn1yckoR0", "濃 魚湯/特濃蕃茄薯仔魚湯/低鹽/魚白湯做法/煎魚不黏鑊方法/簡單 家做/廣東話/中字")</f>
        <v>濃 魚湯/特濃蕃茄薯仔魚湯/低鹽/魚白湯做法/煎魚不黏鑊方法/簡單 家做/廣東話/中字</v>
      </c>
      <c r="E4448" s="82">
        <v>44403.0</v>
      </c>
      <c r="F4448" s="80">
        <v>571.0</v>
      </c>
      <c r="G4448" s="80" t="s">
        <v>63</v>
      </c>
      <c r="I4448" s="80" t="s">
        <v>63</v>
      </c>
      <c r="J4448" s="80">
        <v>1629.0</v>
      </c>
      <c r="K4448" s="80">
        <v>0.986674742580254</v>
      </c>
      <c r="L4448" s="80" t="s">
        <v>64</v>
      </c>
    </row>
    <row r="4449">
      <c r="A4449" s="80" t="s">
        <v>127</v>
      </c>
      <c r="B4449" s="81" t="str">
        <f t="shared" ref="B4449:B4450" si="234">HYPERLINK("https://www.youtube.com/channel/UC97oYK3XMf9RLtkc0lO8C-Q", "健康旦 HiEggo")</f>
        <v>健康旦 HiEggo</v>
      </c>
      <c r="C4449" s="80" t="s">
        <v>4868</v>
      </c>
      <c r="D4449" s="81" t="str">
        <f>HYPERLINK("https://youtube.com/watch?v=ue-uM3OMVIw", "日本不生代成新趨勢 東京奧運搞唔成 連香睿剛都話會好大鑊 - 鄭丹瑞 《健康旦》香睿剛 Part 3 (CC中文字幕)")</f>
        <v>日本不生代成新趨勢 東京奧運搞唔成 連香睿剛都話會好大鑊 - 鄭丹瑞 《健康旦》香睿剛 Part 3 (CC中文字幕)</v>
      </c>
      <c r="E4449" s="82">
        <v>43900.0</v>
      </c>
      <c r="F4449" s="80">
        <v>640.0</v>
      </c>
      <c r="G4449" s="80" t="s">
        <v>63</v>
      </c>
      <c r="I4449" s="80" t="s">
        <v>63</v>
      </c>
      <c r="J4449" s="80">
        <v>2485.0</v>
      </c>
      <c r="K4449" s="80">
        <v>0.995194233079695</v>
      </c>
      <c r="L4449" s="80" t="s">
        <v>102</v>
      </c>
    </row>
    <row r="4450">
      <c r="A4450" s="80" t="s">
        <v>127</v>
      </c>
      <c r="B4450" s="81" t="str">
        <f t="shared" si="234"/>
        <v>健康旦 HiEggo</v>
      </c>
      <c r="C4450" s="80" t="s">
        <v>4869</v>
      </c>
      <c r="D4450" s="81" t="str">
        <f>HYPERLINK("https://youtube.com/watch?v=ueX3RObuy2M", "父親節2020 鄭瑤鄭珉 DIY 牛扒餐作禮物考手工！香港兒歌金曲《那夜我替女兒R背脊》MV 背後故事揭秘！- 鄭丹瑞 旦Vlog (CC中文字幕)")</f>
        <v>父親節2020 鄭瑤鄭珉 DIY 牛扒餐作禮物考手工！香港兒歌金曲《那夜我替女兒R背脊》MV 背後故事揭秘！- 鄭丹瑞 旦Vlog (CC中文字幕)</v>
      </c>
      <c r="E4450" s="82">
        <v>44002.0</v>
      </c>
      <c r="F4450" s="80">
        <v>872.0</v>
      </c>
      <c r="G4450" s="80" t="s">
        <v>63</v>
      </c>
      <c r="I4450" s="80" t="s">
        <v>63</v>
      </c>
      <c r="J4450" s="80">
        <v>2903.0</v>
      </c>
      <c r="K4450" s="80">
        <v>0.973507712944332</v>
      </c>
      <c r="L4450" s="80" t="s">
        <v>64</v>
      </c>
    </row>
    <row r="4451">
      <c r="A4451" s="80" t="s">
        <v>1390</v>
      </c>
      <c r="B4451" s="81" t="str">
        <f>HYPERLINK("https://www.youtube.com/channel/UCgwEJflQi4WnZ8PU0xdibZQ", "Kinson Ho")</f>
        <v>Kinson Ho</v>
      </c>
      <c r="C4451" s="80" t="s">
        <v>4870</v>
      </c>
      <c r="D4451" s="81" t="str">
        <f>HYPERLINK("https://youtube.com/watch?v=ugNE1QIOKuE", "K神任我行-航拍遊走不一樣石澳｜石澳後灘正灘｜大頭洲｜五分洲｜情人橋｜Dji Mini 2")</f>
        <v>K神任我行-航拍遊走不一樣石澳｜石澳後灘正灘｜大頭洲｜五分洲｜情人橋｜Dji Mini 2</v>
      </c>
      <c r="E4451" s="82">
        <v>44200.0</v>
      </c>
      <c r="F4451" s="80">
        <v>551.0</v>
      </c>
      <c r="G4451" s="80" t="s">
        <v>63</v>
      </c>
      <c r="I4451" s="80" t="s">
        <v>63</v>
      </c>
      <c r="J4451" s="80">
        <v>232.0</v>
      </c>
      <c r="K4451" s="80">
        <v>0.987234042553191</v>
      </c>
      <c r="L4451" s="80" t="s">
        <v>64</v>
      </c>
    </row>
    <row r="4452">
      <c r="A4452" s="80" t="s">
        <v>127</v>
      </c>
      <c r="B4452" s="81" t="str">
        <f>HYPERLINK("https://www.youtube.com/channel/UC97oYK3XMf9RLtkc0lO8C-Q", "健康旦 HiEggo")</f>
        <v>健康旦 HiEggo</v>
      </c>
      <c r="C4452" s="80" t="s">
        <v>4871</v>
      </c>
      <c r="D4452" s="81" t="str">
        <f>HYPERLINK("https://youtube.com/watch?v=uh4QR3PeIis", "女士唔練肌力加速骨質疏鬆 簡易肌力訓練踢走拜拜肉 肌肉每年流失只可靠訓練推遲 - 鄭丹瑞《健康旦》#坐式徒手運動導師 #PaulLau Part 8 (CC中文字幕)")</f>
        <v>女士唔練肌力加速骨質疏鬆 簡易肌力訓練踢走拜拜肉 肌肉每年流失只可靠訓練推遲 - 鄭丹瑞《健康旦》#坐式徒手運動導師 #PaulLau Part 8 (CC中文字幕)</v>
      </c>
      <c r="E4452" s="82">
        <v>44117.0</v>
      </c>
      <c r="F4452" s="80">
        <v>772.0</v>
      </c>
      <c r="G4452" s="80" t="s">
        <v>63</v>
      </c>
      <c r="I4452" s="80" t="s">
        <v>63</v>
      </c>
      <c r="J4452" s="80">
        <v>3014.0</v>
      </c>
      <c r="K4452" s="80">
        <v>0.985289310232102</v>
      </c>
      <c r="L4452" s="80" t="s">
        <v>66</v>
      </c>
    </row>
    <row r="4453">
      <c r="A4453" s="80" t="s">
        <v>2793</v>
      </c>
      <c r="B4453" s="81" t="str">
        <f>HYPERLINK("https://www.youtube.com/channel/UC03mRlT2h1B4LohYaIj9lHg", "Messiah2048")</f>
        <v>Messiah2048</v>
      </c>
      <c r="C4453" s="80" t="s">
        <v>4872</v>
      </c>
      <c r="D4453" s="81" t="str">
        <f>HYPERLINK("https://youtube.com/watch?v=uiN8jfEtEN4", "『他』不是預言家，但起碼先知先覺，7月1號發生的事情，只是遲早問題！『字幕版』")</f>
        <v>『他』不是預言家，但起碼先知先覺，7月1號發生的事情，只是遲早問題！『字幕版』</v>
      </c>
      <c r="E4453" s="82">
        <v>43647.0</v>
      </c>
      <c r="F4453" s="80">
        <v>143.0</v>
      </c>
      <c r="G4453" s="80" t="s">
        <v>63</v>
      </c>
      <c r="I4453" s="80" t="s">
        <v>63</v>
      </c>
      <c r="J4453" s="80">
        <v>498.0</v>
      </c>
      <c r="K4453" s="80">
        <v>1.0</v>
      </c>
      <c r="L4453" s="80" t="s">
        <v>64</v>
      </c>
    </row>
    <row r="4454">
      <c r="A4454" s="80" t="s">
        <v>2041</v>
      </c>
      <c r="B4454" s="81" t="str">
        <f>HYPERLINK("https://www.youtube.com/channel/UCO6pB-ZN4XJ6MVkibvuEe0A", "SingSingTracker 星昇財經指標")</f>
        <v>SingSingTracker 星昇財經指標</v>
      </c>
      <c r="C4454" s="80" t="s">
        <v>4873</v>
      </c>
      <c r="D4454" s="81" t="str">
        <f>HYPERLINK("https://youtube.com/watch?v=ukp4pEXDE4U", "【Charles Schwab International 出入金教學】申請CS Debit Card 提款卡｜最新香港區申請大改動｜離岸戶口｜嘉信理財證劵商｜出入金實測")</f>
        <v>【Charles Schwab International 出入金教學】申請CS Debit Card 提款卡｜最新香港區申請大改動｜離岸戶口｜嘉信理財證劵商｜出入金實測</v>
      </c>
      <c r="E4454" s="82">
        <v>44511.0</v>
      </c>
      <c r="F4454" s="80">
        <v>382.0</v>
      </c>
      <c r="G4454" s="80" t="s">
        <v>63</v>
      </c>
      <c r="I4454" s="80" t="s">
        <v>63</v>
      </c>
      <c r="J4454" s="80">
        <v>1054.0</v>
      </c>
      <c r="K4454" s="80">
        <v>0.566971490048413</v>
      </c>
      <c r="L4454" s="80" t="s">
        <v>64</v>
      </c>
    </row>
    <row r="4455">
      <c r="A4455" s="80" t="s">
        <v>2825</v>
      </c>
      <c r="B4455" s="81" t="str">
        <f>HYPERLINK("https://www.youtube.com/channel/UCP7XhYDgUbvjvaHxIhjTd_g", "Maviskuku 雞蛋妹")</f>
        <v>Maviskuku 雞蛋妹</v>
      </c>
      <c r="C4455" s="80" t="s">
        <v>4874</v>
      </c>
      <c r="D4455" s="81" t="str">
        <f>HYPERLINK("https://youtube.com/watch?v=uotdjtgj-w8", "【教學、優缺點、原理分析】Apple AirTag 到底好唔好用？三大日常生活測試！原來未必防到小偷？！")</f>
        <v>【教學、優缺點、原理分析】Apple AirTag 到底好唔好用？三大日常生活測試！原來未必防到小偷？！</v>
      </c>
      <c r="E4455" s="82">
        <v>44314.0</v>
      </c>
      <c r="F4455" s="80">
        <v>536.0</v>
      </c>
      <c r="G4455" s="80" t="s">
        <v>63</v>
      </c>
      <c r="H4455" s="80" t="s">
        <v>63</v>
      </c>
      <c r="I4455" s="80" t="s">
        <v>63</v>
      </c>
      <c r="J4455" s="80">
        <v>1699.0</v>
      </c>
      <c r="K4455" s="80">
        <v>0.802562885619364</v>
      </c>
      <c r="L4455" s="80" t="s">
        <v>66</v>
      </c>
    </row>
    <row r="4456">
      <c r="A4456" s="80" t="s">
        <v>1260</v>
      </c>
      <c r="B4456" s="81" t="str">
        <f>HYPERLINK("https://www.youtube.com/channel/UCh1k4i86BpiXEO3nzJIYynw", "The Wave")</f>
        <v>The Wave</v>
      </c>
      <c r="C4456" s="80" t="s">
        <v>4875</v>
      </c>
      <c r="D4456" s="81" t="str">
        <f>HYPERLINK("https://youtube.com/watch?v=us313QEU4Tc", "TheWave | Apple Airtag HERMÈS 開箱 | 不一樣嘅開箱 | 8K")</f>
        <v>TheWave | Apple Airtag HERMÈS 開箱 | 不一樣嘅開箱 | 8K</v>
      </c>
      <c r="E4456" s="82">
        <v>44317.0</v>
      </c>
      <c r="F4456" s="80">
        <v>190.0</v>
      </c>
      <c r="G4456" s="80" t="s">
        <v>63</v>
      </c>
      <c r="H4456" s="80" t="s">
        <v>63</v>
      </c>
      <c r="I4456" s="80" t="s">
        <v>63</v>
      </c>
      <c r="J4456" s="80">
        <v>371.0</v>
      </c>
      <c r="K4456" s="80">
        <v>0.57433489827856</v>
      </c>
      <c r="L4456" s="80" t="s">
        <v>1634</v>
      </c>
    </row>
    <row r="4457">
      <c r="A4457" s="80" t="s">
        <v>248</v>
      </c>
      <c r="B4457" s="81" t="str">
        <f>HYPERLINK("https://www.youtube.com/channel/UCUEJok-GiWaGlv5nIPwk-GQ", "Price.com.hk 香港格價網")</f>
        <v>Price.com.hk 香港格價網</v>
      </c>
      <c r="C4457" s="80" t="s">
        <v>4876</v>
      </c>
      <c r="D4457" s="81" t="str">
        <f>HYPERLINK("https://youtube.com/watch?v=v0mIVO6KAYE", "煲劇達人煉成！8 個 Netflix 不可不知的功能｜4K畫質．Netflix Party．雙語字幕．秘密影片分類｜廣東話【Price.com.hk應用教學】")</f>
        <v>煲劇達人煉成！8 個 Netflix 不可不知的功能｜4K畫質．Netflix Party．雙語字幕．秘密影片分類｜廣東話【Price.com.hk應用教學】</v>
      </c>
      <c r="E4457" s="82">
        <v>44236.0</v>
      </c>
      <c r="F4457" s="80">
        <v>323.0</v>
      </c>
      <c r="G4457" s="80" t="s">
        <v>63</v>
      </c>
      <c r="I4457" s="80" t="s">
        <v>63</v>
      </c>
      <c r="J4457" s="80">
        <v>1122.0</v>
      </c>
      <c r="K4457" s="80">
        <v>0.684146341463414</v>
      </c>
      <c r="L4457" s="80" t="s">
        <v>64</v>
      </c>
    </row>
    <row r="4458">
      <c r="A4458" s="80" t="s">
        <v>293</v>
      </c>
      <c r="B4458" s="81" t="str">
        <f>HYPERLINK("https://www.youtube.com/channel/UCXRcbXqjORdIvl63I7MtOLQ", "趁熱 Kerry 's kitchen")</f>
        <v>趁熱 Kerry 's kitchen</v>
      </c>
      <c r="C4458" s="80" t="s">
        <v>4877</v>
      </c>
      <c r="D4458" s="81" t="str">
        <f>HYPERLINK("https://youtube.com/watch?v=v1sL2eodIHc", "三杯 雞／台式三杯雞／簡家 家做／不用炸／粵語／中字")</f>
        <v>三杯 雞／台式三杯雞／簡家 家做／不用炸／粵語／中字</v>
      </c>
      <c r="E4458" s="82">
        <v>44377.0</v>
      </c>
      <c r="F4458" s="80">
        <v>552.0</v>
      </c>
      <c r="G4458" s="80" t="s">
        <v>63</v>
      </c>
      <c r="I4458" s="80" t="s">
        <v>63</v>
      </c>
      <c r="J4458" s="80">
        <v>1374.0</v>
      </c>
      <c r="K4458" s="80">
        <v>0.981428571428571</v>
      </c>
      <c r="L4458" s="80" t="s">
        <v>64</v>
      </c>
    </row>
    <row r="4459">
      <c r="A4459" s="80" t="s">
        <v>127</v>
      </c>
      <c r="B4459" s="81" t="str">
        <f>HYPERLINK("https://www.youtube.com/channel/UC97oYK3XMf9RLtkc0lO8C-Q", "健康旦 HiEggo")</f>
        <v>健康旦 HiEggo</v>
      </c>
      <c r="C4459" s="80" t="s">
        <v>4878</v>
      </c>
      <c r="D4459" s="81" t="str">
        <f>HYPERLINK("https://youtube.com/watch?v=v37Ch07VnaU", "阿旦陳潔靈同場開金口 音樂劇導演餅乾潤喉秘方 打氣音樂會為舞台劇同業加油 - 鄭丹瑞《健康旦》音樂劇導演 #陳恩碩 Part 2 (CC中文字幕)")</f>
        <v>阿旦陳潔靈同場開金口 音樂劇導演餅乾潤喉秘方 打氣音樂會為舞台劇同業加油 - 鄭丹瑞《健康旦》音樂劇導演 #陳恩碩 Part 2 (CC中文字幕)</v>
      </c>
      <c r="E4459" s="82">
        <v>44092.0</v>
      </c>
      <c r="F4459" s="80">
        <v>622.0</v>
      </c>
      <c r="G4459" s="80" t="s">
        <v>63</v>
      </c>
      <c r="I4459" s="80" t="s">
        <v>63</v>
      </c>
      <c r="J4459" s="80">
        <v>2730.0</v>
      </c>
      <c r="K4459" s="80">
        <v>0.985203897509924</v>
      </c>
      <c r="L4459" s="80" t="s">
        <v>2771</v>
      </c>
    </row>
    <row r="4460">
      <c r="A4460" s="80" t="s">
        <v>248</v>
      </c>
      <c r="B4460" s="81" t="str">
        <f t="shared" ref="B4460:B4461" si="235">HYPERLINK("https://www.youtube.com/channel/UCUEJok-GiWaGlv5nIPwk-GQ", "Price.com.hk 香港格價網")</f>
        <v>Price.com.hk 香港格價網</v>
      </c>
      <c r="C4460" s="80" t="s">
        <v>4879</v>
      </c>
      <c r="D4460" s="81" t="str">
        <f>HYPERLINK("https://youtube.com/watch?v=v3gYyikQcMs", "CES 2022出現退展潮!．全球第一條SMS NFT值$117萬?．XPG Vault電競滑鼠內置1TB SSD｜廣東話【Price Weekly #95 2022年1月 】")</f>
        <v>CES 2022出現退展潮!．全球第一條SMS NFT值$117萬?．XPG Vault電競滑鼠內置1TB SSD｜廣東話【Price Weekly #95 2022年1月 】</v>
      </c>
      <c r="E4460" s="82">
        <v>44562.0</v>
      </c>
      <c r="F4460" s="80">
        <v>425.0</v>
      </c>
      <c r="G4460" s="80" t="s">
        <v>63</v>
      </c>
      <c r="I4460" s="80" t="s">
        <v>63</v>
      </c>
      <c r="J4460" s="80">
        <v>1499.0</v>
      </c>
      <c r="K4460" s="80">
        <v>0.757836198179979</v>
      </c>
      <c r="L4460" s="80" t="s">
        <v>64</v>
      </c>
    </row>
    <row r="4461">
      <c r="A4461" s="80" t="s">
        <v>248</v>
      </c>
      <c r="B4461" s="81" t="str">
        <f t="shared" si="235"/>
        <v>Price.com.hk 香港格價網</v>
      </c>
      <c r="C4461" s="80" t="s">
        <v>4880</v>
      </c>
      <c r="D4461" s="81" t="str">
        <f>HYPERLINK("https://youtube.com/watch?v=v4GAlXQ6kAg", "運動版AirPods！Beats Fit Pro正式登場．哈蘇+長焦雙攝系統DJI Mavic 3．支援PCIe 5.0 MSI SSD擴充卡【Price Weekly #87 2021年11月 】")</f>
        <v>運動版AirPods！Beats Fit Pro正式登場．哈蘇+長焦雙攝系統DJI Mavic 3．支援PCIe 5.0 MSI SSD擴充卡【Price Weekly #87 2021年11月 】</v>
      </c>
      <c r="E4461" s="82">
        <v>44506.0</v>
      </c>
      <c r="F4461" s="80">
        <v>393.0</v>
      </c>
      <c r="G4461" s="80" t="s">
        <v>63</v>
      </c>
      <c r="I4461" s="80" t="s">
        <v>63</v>
      </c>
      <c r="J4461" s="80">
        <v>1355.0</v>
      </c>
      <c r="K4461" s="80">
        <v>0.733622089875473</v>
      </c>
      <c r="L4461" s="80" t="s">
        <v>64</v>
      </c>
    </row>
    <row r="4462">
      <c r="A4462" s="80" t="s">
        <v>2780</v>
      </c>
      <c r="B4462" s="81" t="str">
        <f>HYPERLINK("https://www.youtube.com/channel/UC0CojhLcc0VESgaG633m5kA", "RainErs")</f>
        <v>RainErs</v>
      </c>
      <c r="C4462" s="80" t="s">
        <v>4881</v>
      </c>
      <c r="D4462" s="81" t="str">
        <f>HYPERLINK("https://youtube.com/watch?v=v6hMr2Ty8c0", "Hot Toys Flash開箱 ! !---史上最伏嘅男人??//想買前你必須觀看 ! ![有CC字幕]")</f>
        <v>Hot Toys Flash開箱 ! !---史上最伏嘅男人??//想買前你必須觀看 ! ![有CC字幕]</v>
      </c>
      <c r="E4462" s="82">
        <v>44572.0</v>
      </c>
      <c r="F4462" s="80">
        <v>617.0</v>
      </c>
      <c r="G4462" s="80" t="s">
        <v>63</v>
      </c>
      <c r="I4462" s="80" t="s">
        <v>63</v>
      </c>
      <c r="J4462" s="80">
        <v>2516.0</v>
      </c>
      <c r="K4462" s="80">
        <v>0.923641703377386</v>
      </c>
      <c r="L4462" s="80" t="s">
        <v>64</v>
      </c>
    </row>
    <row r="4463">
      <c r="A4463" s="80" t="s">
        <v>2829</v>
      </c>
      <c r="B4463" s="81" t="str">
        <f t="shared" ref="B4463:B4464" si="236">HYPERLINK("https://www.youtube.com/channel/UC7GnES6AEQlDzaP04UqtyjA", "SOLID IDEA")</f>
        <v>SOLID IDEA</v>
      </c>
      <c r="C4463" s="80" t="s">
        <v>4882</v>
      </c>
      <c r="D4463" s="81" t="str">
        <f>HYPERLINK("https://youtube.com/watch?v=v84qnjmVZdE", "[#設計概念] #都會駅 風水大宅點改好？ | 室內設計 | 空間擺位 | SOLID IDEA | (CC中文字幕)")</f>
        <v>[#設計概念] #都會駅 風水大宅點改好？ | 室內設計 | 空間擺位 | SOLID IDEA | (CC中文字幕)</v>
      </c>
      <c r="E4463" s="82">
        <v>44575.0</v>
      </c>
      <c r="F4463" s="80">
        <v>208.0</v>
      </c>
      <c r="G4463" s="80" t="s">
        <v>63</v>
      </c>
      <c r="I4463" s="80" t="s">
        <v>63</v>
      </c>
      <c r="J4463" s="80">
        <v>762.0</v>
      </c>
      <c r="K4463" s="80">
        <v>0.934969325153374</v>
      </c>
      <c r="L4463" s="80" t="s">
        <v>64</v>
      </c>
    </row>
    <row r="4464">
      <c r="A4464" s="80" t="s">
        <v>2829</v>
      </c>
      <c r="B4464" s="81" t="str">
        <f t="shared" si="236"/>
        <v>SOLID IDEA</v>
      </c>
      <c r="C4464" s="80" t="s">
        <v>4883</v>
      </c>
      <c r="D4464" s="81" t="str">
        <f>HYPERLINK("https://youtube.com/watch?v=v8PnV_zEZ5s", "[#設計概念] #凱滙 三房 #輕奢風格既小朋友房 #玫瑰金   | 室內設計 | 空間擺位 | SOLID IDEA |  (CC中文字幕)")</f>
        <v>[#設計概念] #凱滙 三房 #輕奢風格既小朋友房 #玫瑰金   | 室內設計 | 空間擺位 | SOLID IDEA |  (CC中文字幕)</v>
      </c>
      <c r="E4464" s="82">
        <v>44225.0</v>
      </c>
      <c r="F4464" s="80">
        <v>211.0</v>
      </c>
      <c r="G4464" s="80" t="s">
        <v>63</v>
      </c>
      <c r="I4464" s="80" t="s">
        <v>63</v>
      </c>
      <c r="J4464" s="80">
        <v>653.0</v>
      </c>
      <c r="K4464" s="80">
        <v>0.919718309859154</v>
      </c>
      <c r="L4464" s="80" t="s">
        <v>64</v>
      </c>
    </row>
    <row r="4465">
      <c r="A4465" s="80" t="s">
        <v>1139</v>
      </c>
      <c r="B4465" s="81" t="str">
        <f>HYPERLINK("https://www.youtube.com/channel/UCw51gVFijIewmXH4tIR0ufw", "Crystal Zen")</f>
        <v>Crystal Zen</v>
      </c>
      <c r="C4465" s="80" t="s">
        <v>4884</v>
      </c>
      <c r="D4465" s="81" t="str">
        <f>HYPERLINK("https://youtube.com/watch?v=vAnGHfMnU1U", "[水晶知多D] 橄欖石 係綠幽靈以外 我最愛嘅木屬水晶寶石 事業健康兩兼備￼")</f>
        <v>[水晶知多D] 橄欖石 係綠幽靈以外 我最愛嘅木屬水晶寶石 事業健康兩兼備￼</v>
      </c>
      <c r="E4465" s="82">
        <v>44483.0</v>
      </c>
      <c r="F4465" s="80">
        <v>396.0</v>
      </c>
      <c r="G4465" s="80" t="s">
        <v>63</v>
      </c>
      <c r="I4465" s="80" t="s">
        <v>63</v>
      </c>
      <c r="J4465" s="80">
        <v>1597.0</v>
      </c>
      <c r="K4465" s="80">
        <v>0.958008398320335</v>
      </c>
      <c r="L4465" s="80" t="s">
        <v>64</v>
      </c>
    </row>
    <row r="4466">
      <c r="A4466" s="80" t="s">
        <v>2764</v>
      </c>
      <c r="B4466" s="81" t="str">
        <f>HYPERLINK("https://www.youtube.com/channel/UCejZUW4khvxoA4uL2Afz20g", "Housik Laanfei 好食懶飛")</f>
        <v>Housik Laanfei 好食懶飛</v>
      </c>
      <c r="C4466" s="80" t="s">
        <v>4885</v>
      </c>
      <c r="D4466" s="81" t="str">
        <f>HYPERLINK("https://youtube.com/watch?v=vJOCa1uFhpY", "[理想與現實] 花花煎蛋卷 | CC: 廣東話/繁中/ENG SUB | COOKING VLOG")</f>
        <v>[理想與現實] 花花煎蛋卷 | CC: 廣東話/繁中/ENG SUB | COOKING VLOG</v>
      </c>
      <c r="E4466" s="82">
        <v>44301.0</v>
      </c>
      <c r="F4466" s="80">
        <v>321.0</v>
      </c>
      <c r="G4466" s="80" t="s">
        <v>63</v>
      </c>
      <c r="H4466" s="80" t="s">
        <v>63</v>
      </c>
      <c r="I4466" s="80" t="s">
        <v>63</v>
      </c>
      <c r="J4466" s="80">
        <v>383.0</v>
      </c>
      <c r="K4466" s="80">
        <v>0.955112219451371</v>
      </c>
      <c r="L4466" s="80" t="s">
        <v>80</v>
      </c>
    </row>
    <row r="4467">
      <c r="A4467" s="80" t="s">
        <v>293</v>
      </c>
      <c r="B4467" s="81" t="str">
        <f>HYPERLINK("https://www.youtube.com/channel/UCXRcbXqjORdIvl63I7MtOLQ", "趁熱 Kerry 's kitchen")</f>
        <v>趁熱 Kerry 's kitchen</v>
      </c>
      <c r="C4467" s="80" t="s">
        <v>4886</v>
      </c>
      <c r="D4467" s="81" t="str">
        <f>HYPERLINK("https://youtube.com/watch?v=vKDFOvPqxk0", "鹵 豬手/潮汕 風味/隆江豬手/少油版本/軟而不爛/簡單 家做/#廣東話/中文字幕")</f>
        <v>鹵 豬手/潮汕 風味/隆江豬手/少油版本/軟而不爛/簡單 家做/#廣東話/中文字幕</v>
      </c>
      <c r="E4467" s="82">
        <v>44386.0</v>
      </c>
      <c r="F4467" s="80">
        <v>621.0</v>
      </c>
      <c r="G4467" s="80" t="s">
        <v>63</v>
      </c>
      <c r="I4467" s="80" t="s">
        <v>63</v>
      </c>
      <c r="J4467" s="80">
        <v>1562.0</v>
      </c>
      <c r="K4467" s="80">
        <v>0.981155778894472</v>
      </c>
      <c r="L4467" s="80" t="s">
        <v>64</v>
      </c>
    </row>
    <row r="4468">
      <c r="A4468" s="80" t="s">
        <v>124</v>
      </c>
      <c r="B4468" s="81" t="str">
        <f>HYPERLINK("https://www.youtube.com/channel/UCg0vuSE0fBF_NvodyYhMcWg", "Wallace Studio HK")</f>
        <v>Wallace Studio HK</v>
      </c>
      <c r="C4468" s="80" t="s">
        <v>4887</v>
      </c>
      <c r="D4468" s="81" t="str">
        <f>HYPERLINK("https://youtube.com/watch?v=vKkYSYFKmqc", "XPG Xenia 14 ！1KG 以下輕薄機多多個好選擇！")</f>
        <v>XPG Xenia 14 ！1KG 以下輕薄機多多個好選擇！</v>
      </c>
      <c r="E4468" s="82">
        <v>44575.0</v>
      </c>
      <c r="F4468" s="80">
        <v>363.0</v>
      </c>
      <c r="G4468" s="80" t="s">
        <v>63</v>
      </c>
      <c r="H4468" s="80" t="s">
        <v>63</v>
      </c>
      <c r="I4468" s="80" t="s">
        <v>63</v>
      </c>
      <c r="J4468" s="80">
        <v>1382.0</v>
      </c>
      <c r="K4468" s="80">
        <v>0.772067039106145</v>
      </c>
      <c r="L4468" s="80" t="s">
        <v>86</v>
      </c>
    </row>
    <row r="4469">
      <c r="A4469" s="80" t="s">
        <v>2972</v>
      </c>
      <c r="B4469" s="81" t="str">
        <f>HYPERLINK("https://www.youtube.com/channel/UCVMEQdIDLjHcKAsEwhVXEoQ", "Danny W.")</f>
        <v>Danny W.</v>
      </c>
      <c r="C4469" s="80" t="s">
        <v>4888</v>
      </c>
      <c r="D4469" s="81" t="str">
        <f>HYPERLINK("https://youtube.com/watch?v=vNS_keymmKk", "教你用 Complex Mode 計數")</f>
        <v>教你用 Complex Mode 計數</v>
      </c>
      <c r="E4469" s="82">
        <v>43270.0</v>
      </c>
      <c r="F4469" s="80">
        <v>79.0</v>
      </c>
      <c r="G4469" s="80" t="s">
        <v>63</v>
      </c>
      <c r="I4469" s="80" t="s">
        <v>63</v>
      </c>
      <c r="J4469" s="80">
        <v>139.0</v>
      </c>
      <c r="K4469" s="80">
        <v>0.812865497076023</v>
      </c>
      <c r="L4469" s="80" t="s">
        <v>102</v>
      </c>
    </row>
    <row r="4470">
      <c r="A4470" s="80" t="s">
        <v>108</v>
      </c>
      <c r="B4470" s="81" t="str">
        <f>HYPERLINK("https://www.youtube.com/channel/UCZL6QN6Xs-ZrKY3y6Pv6Emg", "廢青 - 日賺3000")</f>
        <v>廢青 - 日賺3000</v>
      </c>
      <c r="C4470" s="80" t="s">
        <v>4889</v>
      </c>
      <c r="D4470" s="81" t="str">
        <f>HYPERLINK("https://youtube.com/watch?v=vNUafxTiOBU", "ATMX！一只都不能買  😱😱❌ #阿里9988  #騰訊控股700 #美團3690 #小米1810 #港股 ❌ │ 2020 財務自由靠股票 EP46【廢青 日賺3000】【點CC看中文字幕】")</f>
        <v>ATMX！一只都不能買  😱😱❌ #阿里9988  #騰訊控股700 #美團3690 #小米1810 #港股 ❌ │ 2020 財務自由靠股票 EP46【廢青 日賺3000】【點CC看中文字幕】</v>
      </c>
      <c r="E4470" s="82">
        <v>44098.0</v>
      </c>
      <c r="F4470" s="80">
        <v>770.0</v>
      </c>
      <c r="G4470" s="80" t="s">
        <v>63</v>
      </c>
      <c r="I4470" s="80" t="s">
        <v>63</v>
      </c>
      <c r="J4470" s="80">
        <v>2369.0</v>
      </c>
      <c r="K4470" s="80">
        <v>0.881980640357408</v>
      </c>
      <c r="L4470" s="80" t="s">
        <v>64</v>
      </c>
    </row>
    <row r="4471">
      <c r="A4471" s="80" t="s">
        <v>293</v>
      </c>
      <c r="B4471" s="81" t="str">
        <f>HYPERLINK("https://www.youtube.com/channel/UCXRcbXqjORdIvl63I7MtOLQ", "趁熱 Kerry 's kitchen")</f>
        <v>趁熱 Kerry 's kitchen</v>
      </c>
      <c r="C4471" s="80" t="s">
        <v>4890</v>
      </c>
      <c r="D4471" s="81" t="str">
        <f>HYPERLINK("https://youtube.com/watch?v=vPx3hddDuS0", "煎牛脷/煎厚牛舌/牛脷雜菜湯做法/一條牛脷兩食/外脆內軟/簡單 家做/廣東話/中字/如果電腦上觀看,請打開右下角cc字幕然後點設定,自動翻譯提供多國語言翻譯包括英語")</f>
        <v>煎牛脷/煎厚牛舌/牛脷雜菜湯做法/一條牛脷兩食/外脆內軟/簡單 家做/廣東話/中字/如果電腦上觀看,請打開右下角cc字幕然後點設定,自動翻譯提供多國語言翻譯包括英語</v>
      </c>
      <c r="E4471" s="82">
        <v>44428.0</v>
      </c>
      <c r="F4471" s="80">
        <v>776.0</v>
      </c>
      <c r="G4471" s="80" t="s">
        <v>63</v>
      </c>
      <c r="I4471" s="80" t="s">
        <v>63</v>
      </c>
      <c r="J4471" s="80">
        <v>2189.0</v>
      </c>
      <c r="K4471" s="80">
        <v>0.971593430980914</v>
      </c>
      <c r="L4471" s="80" t="s">
        <v>64</v>
      </c>
    </row>
    <row r="4472">
      <c r="A4472" s="80" t="s">
        <v>248</v>
      </c>
      <c r="B4472" s="81" t="str">
        <f>HYPERLINK("https://www.youtube.com/channel/UCUEJok-GiWaGlv5nIPwk-GQ", "Price.com.hk 香港格價網")</f>
        <v>Price.com.hk 香港格價網</v>
      </c>
      <c r="C4472" s="80" t="s">
        <v>4891</v>
      </c>
      <c r="D4472" s="81" t="str">
        <f>HYPERLINK("https://youtube.com/watch?v=vPxsFjQD2Lw", "等離子主動出擊殺菌!? clair T+、HS+ 空氣淨化機｜韓國製造、慳電、靜音、有效消滅99.9%新型冠狀病毒｜特約專題【Price.com.hk產品介紹】")</f>
        <v>等離子主動出擊殺菌!? clair T+、HS+ 空氣淨化機｜韓國製造、慳電、靜音、有效消滅99.9%新型冠狀病毒｜特約專題【Price.com.hk產品介紹】</v>
      </c>
      <c r="E4472" s="82">
        <v>44488.0</v>
      </c>
      <c r="F4472" s="80">
        <v>395.0</v>
      </c>
      <c r="G4472" s="80" t="s">
        <v>63</v>
      </c>
      <c r="I4472" s="80" t="s">
        <v>63</v>
      </c>
      <c r="J4472" s="80">
        <v>1397.0</v>
      </c>
      <c r="K4472" s="80">
        <v>0.912475506205094</v>
      </c>
      <c r="L4472" s="80" t="s">
        <v>64</v>
      </c>
    </row>
    <row r="4473">
      <c r="A4473" s="80" t="s">
        <v>1390</v>
      </c>
      <c r="B4473" s="81" t="str">
        <f>HYPERLINK("https://www.youtube.com/channel/UCgwEJflQi4WnZ8PU0xdibZQ", "Kinson Ho")</f>
        <v>Kinson Ho</v>
      </c>
      <c r="C4473" s="80" t="s">
        <v>4892</v>
      </c>
      <c r="D4473" s="81" t="str">
        <f>HYPERLINK("https://youtube.com/watch?v=vQlqhUrHNI4", "K神任我行 - [CC字幕4K]  扒獨木舟過青洲穿鶴岩洞失敗｜全港最深海蝕洞｜青洲｜航拍｜泳綑")</f>
        <v>K神任我行 - [CC字幕4K]  扒獨木舟過青洲穿鶴岩洞失敗｜全港最深海蝕洞｜青洲｜航拍｜泳綑</v>
      </c>
      <c r="E4473" s="82">
        <v>44376.0</v>
      </c>
      <c r="F4473" s="80">
        <v>671.0</v>
      </c>
      <c r="G4473" s="80" t="s">
        <v>63</v>
      </c>
      <c r="I4473" s="80" t="s">
        <v>63</v>
      </c>
      <c r="J4473" s="80">
        <v>748.0</v>
      </c>
      <c r="K4473" s="80">
        <v>0.977777777777777</v>
      </c>
      <c r="L4473" s="80" t="s">
        <v>64</v>
      </c>
    </row>
    <row r="4474">
      <c r="A4474" s="80" t="s">
        <v>127</v>
      </c>
      <c r="B4474" s="81" t="str">
        <f>HYPERLINK("https://www.youtube.com/channel/UC97oYK3XMf9RLtkc0lO8C-Q", "健康旦 HiEggo")</f>
        <v>健康旦 HiEggo</v>
      </c>
      <c r="C4474" s="80" t="s">
        <v>4893</v>
      </c>
      <c r="D4474" s="81" t="str">
        <f>HYPERLINK("https://youtube.com/watch?v=vSb2pd55RSw", "譚耀文參演5D風雲舞台劇 飾演無名又唱又跳壓力大  馬榮成大讚好彩搵到阿旦 - 鄭丹瑞《健康旦》譚耀文 Part 1")</f>
        <v>譚耀文參演5D風雲舞台劇 飾演無名又唱又跳壓力大  馬榮成大讚好彩搵到阿旦 - 鄭丹瑞《健康旦》譚耀文 Part 1</v>
      </c>
      <c r="E4474" s="82">
        <v>43973.0</v>
      </c>
      <c r="F4474" s="80">
        <v>813.0</v>
      </c>
      <c r="G4474" s="80" t="s">
        <v>63</v>
      </c>
      <c r="I4474" s="80" t="s">
        <v>63</v>
      </c>
      <c r="J4474" s="80">
        <v>2713.0</v>
      </c>
      <c r="K4474" s="80">
        <v>0.994137046537193</v>
      </c>
      <c r="L4474" s="80" t="s">
        <v>64</v>
      </c>
    </row>
    <row r="4475">
      <c r="A4475" s="80" t="s">
        <v>2780</v>
      </c>
      <c r="B4475" s="81" t="str">
        <f>HYPERLINK("https://www.youtube.com/channel/UC0CojhLcc0VESgaG633m5kA", "RainErs")</f>
        <v>RainErs</v>
      </c>
      <c r="C4475" s="80" t="s">
        <v>4894</v>
      </c>
      <c r="D4475" s="81" t="str">
        <f>HYPERLINK("https://youtube.com/watch?v=vSxuOxtgYXE", "[VLOG-打卡系列EP1️⃣]時光隧道💫--可以回到未來🚀🚀❓ // MV取景地點⁉️[有CC字幕]")</f>
        <v>[VLOG-打卡系列EP1️⃣]時光隧道💫--可以回到未來🚀🚀❓ // MV取景地點⁉️[有CC字幕]</v>
      </c>
      <c r="E4475" s="82">
        <v>44517.0</v>
      </c>
      <c r="F4475" s="80">
        <v>213.0</v>
      </c>
      <c r="G4475" s="80" t="s">
        <v>63</v>
      </c>
      <c r="I4475" s="80" t="s">
        <v>63</v>
      </c>
      <c r="J4475" s="80">
        <v>977.0</v>
      </c>
      <c r="K4475" s="80">
        <v>0.904629629629629</v>
      </c>
      <c r="L4475" s="80" t="s">
        <v>64</v>
      </c>
    </row>
    <row r="4476">
      <c r="A4476" s="80" t="s">
        <v>1260</v>
      </c>
      <c r="B4476" s="81" t="str">
        <f>HYPERLINK("https://www.youtube.com/channel/UCh1k4i86BpiXEO3nzJIYynw", "The Wave")</f>
        <v>The Wave</v>
      </c>
      <c r="C4476" s="80" t="s">
        <v>4895</v>
      </c>
      <c r="D4476" s="81" t="str">
        <f>HYPERLINK("https://youtube.com/watch?v=vU1VLMetD1o", "8天線頂級AX路由器 | Asus GT-AX11000 【TheWave開箱】")</f>
        <v>8天線頂級AX路由器 | Asus GT-AX11000 【TheWave開箱】</v>
      </c>
      <c r="E4476" s="82">
        <v>43674.0</v>
      </c>
      <c r="F4476" s="80">
        <v>190.0</v>
      </c>
      <c r="G4476" s="80" t="s">
        <v>63</v>
      </c>
      <c r="H4476" s="80" t="s">
        <v>63</v>
      </c>
      <c r="I4476" s="80" t="s">
        <v>63</v>
      </c>
      <c r="J4476" s="80">
        <v>712.0</v>
      </c>
      <c r="K4476" s="80">
        <v>0.796420581655481</v>
      </c>
      <c r="L4476" s="80" t="s">
        <v>1634</v>
      </c>
    </row>
    <row r="4477">
      <c r="A4477" s="80" t="s">
        <v>3757</v>
      </c>
      <c r="B4477" s="81" t="str">
        <f>HYPERLINK("https://www.youtube.com/channel/UCjJcc0em0PqOtUUQr9KxBuQ", "Fat’n’Skinny一肥一瘦")</f>
        <v>Fat’n’Skinny一肥一瘦</v>
      </c>
      <c r="C4477" s="80" t="s">
        <v>4896</v>
      </c>
      <c r="D4477" s="81" t="str">
        <f>HYPERLINK("https://youtube.com/watch?v=vWi2Uh7qJuc", "[食好荽] 譚仔出荽湯 究竟伏唔伏? | CC字幕")</f>
        <v>[食好荽] 譚仔出荽湯 究竟伏唔伏? | CC字幕</v>
      </c>
      <c r="E4477" s="82">
        <v>44298.0</v>
      </c>
      <c r="F4477" s="80">
        <v>133.0</v>
      </c>
      <c r="G4477" s="80" t="s">
        <v>63</v>
      </c>
      <c r="I4477" s="80" t="s">
        <v>63</v>
      </c>
      <c r="J4477" s="80">
        <v>450.0</v>
      </c>
      <c r="K4477" s="80">
        <v>0.971922246220302</v>
      </c>
      <c r="L4477" s="80" t="s">
        <v>64</v>
      </c>
    </row>
    <row r="4478">
      <c r="A4478" s="80" t="s">
        <v>1260</v>
      </c>
      <c r="B4478" s="81" t="str">
        <f>HYPERLINK("https://www.youtube.com/channel/UCh1k4i86BpiXEO3nzJIYynw", "The Wave")</f>
        <v>The Wave</v>
      </c>
      <c r="C4478" s="80" t="s">
        <v>4897</v>
      </c>
      <c r="D4478" s="81" t="str">
        <f>HYPERLINK("https://youtube.com/watch?v=vWwe7uGdz1Q", "TheWave | XZ2 Premium係咪真係買？10大不購買原因 【我買咗】")</f>
        <v>TheWave | XZ2 Premium係咪真係買？10大不購買原因 【我買咗】</v>
      </c>
      <c r="E4478" s="82">
        <v>43300.0</v>
      </c>
      <c r="F4478" s="80">
        <v>180.0</v>
      </c>
      <c r="G4478" s="80" t="s">
        <v>63</v>
      </c>
      <c r="I4478" s="80" t="s">
        <v>63</v>
      </c>
      <c r="J4478" s="80">
        <v>506.0</v>
      </c>
      <c r="K4478" s="80">
        <v>0.776073619631901</v>
      </c>
      <c r="L4478" s="80" t="s">
        <v>521</v>
      </c>
    </row>
    <row r="4479">
      <c r="A4479" s="80" t="s">
        <v>127</v>
      </c>
      <c r="B4479" s="81" t="str">
        <f>HYPERLINK("https://www.youtube.com/channel/UC97oYK3XMf9RLtkc0lO8C-Q", "健康旦 HiEggo")</f>
        <v>健康旦 HiEggo</v>
      </c>
      <c r="C4479" s="80" t="s">
        <v>4898</v>
      </c>
      <c r="D4479" s="81" t="str">
        <f>HYPERLINK("https://youtube.com/watch?v=vX4qDF0HgOQ", "過度活躍與專注力不足並存 ADHD藥物助集中及控制情緒 副作用無胃口易失眠 - 鄭丹瑞《健康旦》香港中文大學醫學院兒科學系榮譽臨床副教授 #洪之韻 Part 4 (CC中文字幕)")</f>
        <v>過度活躍與專注力不足並存 ADHD藥物助集中及控制情緒 副作用無胃口易失眠 - 鄭丹瑞《健康旦》香港中文大學醫學院兒科學系榮譽臨床副教授 #洪之韻 Part 4 (CC中文字幕)</v>
      </c>
      <c r="E4479" s="82">
        <v>44110.0</v>
      </c>
      <c r="F4479" s="80">
        <v>681.0</v>
      </c>
      <c r="G4479" s="80" t="s">
        <v>63</v>
      </c>
      <c r="I4479" s="80" t="s">
        <v>63</v>
      </c>
      <c r="J4479" s="80">
        <v>2590.0</v>
      </c>
      <c r="K4479" s="80">
        <v>0.958549222797927</v>
      </c>
      <c r="L4479" s="80" t="s">
        <v>2771</v>
      </c>
    </row>
    <row r="4480">
      <c r="A4480" s="80" t="s">
        <v>1606</v>
      </c>
      <c r="B4480" s="81" t="str">
        <f>HYPERLINK("https://www.youtube.com/channel/UCk25FUc8pLiP3A6Zniknxbg", "希治閣【遊戲情報科】")</f>
        <v>希治閣【遊戲情報科】</v>
      </c>
      <c r="C4480" s="80" t="s">
        <v>4899</v>
      </c>
      <c r="D4480" s="81" t="str">
        <f>HYPERLINK("https://youtube.com/watch?v=vZYeNvjFhEI", "【特別推介】 無修正 《 刺客教條 : 維京紀元 》玩後感 / 遊戲介紹")</f>
        <v>【特別推介】 無修正 《 刺客教條 : 維京紀元 》玩後感 / 遊戲介紹</v>
      </c>
      <c r="E4480" s="82">
        <v>44147.0</v>
      </c>
      <c r="F4480" s="80">
        <v>544.0</v>
      </c>
      <c r="G4480" s="80" t="s">
        <v>63</v>
      </c>
      <c r="I4480" s="80" t="s">
        <v>63</v>
      </c>
      <c r="J4480" s="80">
        <v>2218.0</v>
      </c>
      <c r="K4480" s="80">
        <v>0.928033472803347</v>
      </c>
      <c r="L4480" s="80" t="s">
        <v>64</v>
      </c>
    </row>
    <row r="4481">
      <c r="A4481" s="80" t="s">
        <v>98</v>
      </c>
      <c r="B4481" s="81" t="str">
        <f>HYPERLINK("https://www.youtube.com/channel/UCrquuQB6v1Ued2xyRKZreGQ", "Stephen Leung ")</f>
        <v>Stephen Leung </v>
      </c>
      <c r="C4481" s="80" t="s">
        <v>4900</v>
      </c>
      <c r="D4481" s="81" t="str">
        <f>HYPERLINK("https://youtube.com/watch?v=vaKTB6dtlpE", "【移民資訊】移民 加拿大 最快速的三種移民方法, 可能比您想像的要簡單得多")</f>
        <v>【移民資訊】移民 加拿大 最快速的三種移民方法, 可能比您想像的要簡單得多</v>
      </c>
      <c r="E4481" s="82">
        <v>43752.0</v>
      </c>
      <c r="F4481" s="80">
        <v>843.0</v>
      </c>
      <c r="G4481" s="80" t="s">
        <v>63</v>
      </c>
      <c r="I4481" s="80" t="s">
        <v>63</v>
      </c>
      <c r="J4481" s="80">
        <v>1553.0</v>
      </c>
      <c r="K4481" s="80">
        <v>0.821258593336858</v>
      </c>
      <c r="L4481" s="80" t="s">
        <v>64</v>
      </c>
    </row>
    <row r="4482">
      <c r="A4482" s="80" t="s">
        <v>248</v>
      </c>
      <c r="B4482" s="81" t="str">
        <f>HYPERLINK("https://www.youtube.com/channel/UCUEJok-GiWaGlv5nIPwk-GQ", "Price.com.hk 香港格價網")</f>
        <v>Price.com.hk 香港格價網</v>
      </c>
      <c r="C4482" s="80" t="s">
        <v>4901</v>
      </c>
      <c r="D4482" s="81" t="str">
        <f>HYPERLINK("https://youtube.com/watch?v=vcrtQTjYZbI", "Samsung Z Fold3或支援S PEN操作．三防5G智能手機Nokia XR20．唔駛$800降噪真無線耳機Nothing Ear 1【Price Weekly #73 2021年7月 】")</f>
        <v>Samsung Z Fold3或支援S PEN操作．三防5G智能手機Nokia XR20．唔駛$800降噪真無線耳機Nothing Ear 1【Price Weekly #73 2021年7月 】</v>
      </c>
      <c r="E4482" s="82">
        <v>44408.0</v>
      </c>
      <c r="F4482" s="80">
        <v>618.0</v>
      </c>
      <c r="G4482" s="80" t="s">
        <v>63</v>
      </c>
      <c r="I4482" s="80" t="s">
        <v>63</v>
      </c>
      <c r="J4482" s="80">
        <v>2065.0</v>
      </c>
      <c r="K4482" s="80">
        <v>0.675057208237986</v>
      </c>
      <c r="L4482" s="80" t="s">
        <v>64</v>
      </c>
    </row>
    <row r="4483">
      <c r="A4483" s="80" t="s">
        <v>106</v>
      </c>
      <c r="B4483" s="81" t="str">
        <f>HYPERLINK("https://www.youtube.com/channel/UC9jW6WpsAPgh-9HqDTvkFzg", "ValorGears")</f>
        <v>ValorGears</v>
      </c>
      <c r="C4483" s="80" t="s">
        <v>4902</v>
      </c>
      <c r="D4483" s="81" t="str">
        <f>HYPERLINK("https://youtube.com/watch?v=vkiOqRhn5_c", "【飛馬電腦節 2021 呈獻】 2077 窮砌大賽 EP2 - 老闆 VS 老闆 (CC中文字幕)")</f>
        <v>【飛馬電腦節 2021 呈獻】 2077 窮砌大賽 EP2 - 老闆 VS 老闆 (CC中文字幕)</v>
      </c>
      <c r="E4483" s="82">
        <v>44211.0</v>
      </c>
      <c r="F4483" s="80">
        <v>843.0</v>
      </c>
      <c r="G4483" s="80" t="s">
        <v>63</v>
      </c>
      <c r="I4483" s="80" t="s">
        <v>63</v>
      </c>
      <c r="J4483" s="80">
        <v>3276.0</v>
      </c>
      <c r="K4483" s="80">
        <v>0.828947368421052</v>
      </c>
      <c r="L4483" s="80" t="s">
        <v>64</v>
      </c>
    </row>
    <row r="4484">
      <c r="A4484" s="80" t="s">
        <v>124</v>
      </c>
      <c r="B4484" s="81" t="str">
        <f>HYPERLINK("https://www.youtube.com/channel/UCg0vuSE0fBF_NvodyYhMcWg", "Wallace Studio HK")</f>
        <v>Wallace Studio HK</v>
      </c>
      <c r="C4484" s="80" t="s">
        <v>4903</v>
      </c>
      <c r="D4484" s="81" t="str">
        <f>HYPERLINK("https://youtube.com/watch?v=vnQVXUMNCyI", "[詳細評測] Gigabyte AORUS 17G 港人評測| 機械軸鍵盤Laptop! i9 RTX 2070 Super MQ 頂配開箱體驗")</f>
        <v>[詳細評測] Gigabyte AORUS 17G 港人評測| 機械軸鍵盤Laptop! i9 RTX 2070 Super MQ 頂配開箱體驗</v>
      </c>
      <c r="E4484" s="82">
        <v>44165.0</v>
      </c>
      <c r="F4484" s="80">
        <v>729.0</v>
      </c>
      <c r="G4484" s="80" t="s">
        <v>63</v>
      </c>
      <c r="I4484" s="80" t="s">
        <v>63</v>
      </c>
      <c r="J4484" s="80">
        <v>2401.0</v>
      </c>
      <c r="K4484" s="80">
        <v>0.781067013662979</v>
      </c>
      <c r="L4484" s="80" t="s">
        <v>64</v>
      </c>
    </row>
    <row r="4485">
      <c r="A4485" s="80" t="s">
        <v>98</v>
      </c>
      <c r="B4485" s="81" t="str">
        <f>HYPERLINK("https://www.youtube.com/channel/UCrquuQB6v1Ued2xyRKZreGQ", "Stephen Leung ")</f>
        <v>Stephen Leung </v>
      </c>
      <c r="C4485" s="80" t="s">
        <v>4904</v>
      </c>
      <c r="D4485" s="81" t="str">
        <f>HYPERLINK("https://youtube.com/watch?v=vnpaMdwFJ_E", "【香港美食】無限時任食任飲!!! 台式手工火鍋 高級食材 沖繩啤酒 銅鑼灣美食 放題推介 101手工涮涮鍋 | 吃喝玩樂")</f>
        <v>【香港美食】無限時任食任飲!!! 台式手工火鍋 高級食材 沖繩啤酒 銅鑼灣美食 放題推介 101手工涮涮鍋 | 吃喝玩樂</v>
      </c>
      <c r="E4485" s="82">
        <v>44274.0</v>
      </c>
      <c r="F4485" s="80">
        <v>516.0</v>
      </c>
      <c r="G4485" s="80" t="s">
        <v>63</v>
      </c>
      <c r="I4485" s="80" t="s">
        <v>63</v>
      </c>
      <c r="J4485" s="80">
        <v>1205.0</v>
      </c>
      <c r="K4485" s="80">
        <v>0.969428801287208</v>
      </c>
      <c r="L4485" s="80" t="s">
        <v>64</v>
      </c>
    </row>
    <row r="4486">
      <c r="A4486" s="80" t="s">
        <v>293</v>
      </c>
      <c r="B4486" s="81" t="str">
        <f>HYPERLINK("https://www.youtube.com/channel/UCXRcbXqjORdIvl63I7MtOLQ", "趁熱 Kerry 's kitchen")</f>
        <v>趁熱 Kerry 's kitchen</v>
      </c>
      <c r="C4486" s="80" t="s">
        <v>4905</v>
      </c>
      <c r="D4486" s="81" t="str">
        <f>HYPERLINK("https://youtube.com/watch?v=vrAVmuVFg-w", "炆 花菇/餵花菇/素食 主義/炆大花菇扒/超 入味/簡單 家做/新手 入門/廣東話/中字")</f>
        <v>炆 花菇/餵花菇/素食 主義/炆大花菇扒/超 入味/簡單 家做/新手 入門/廣東話/中字</v>
      </c>
      <c r="E4486" s="82">
        <v>44470.0</v>
      </c>
      <c r="F4486" s="80">
        <v>483.0</v>
      </c>
      <c r="G4486" s="80" t="s">
        <v>63</v>
      </c>
      <c r="I4486" s="80" t="s">
        <v>63</v>
      </c>
      <c r="J4486" s="80">
        <v>612.0</v>
      </c>
      <c r="K4486" s="80">
        <v>0.969889064976228</v>
      </c>
      <c r="L4486" s="80" t="s">
        <v>64</v>
      </c>
    </row>
    <row r="4487">
      <c r="A4487" s="80" t="s">
        <v>2800</v>
      </c>
      <c r="B4487" s="81" t="str">
        <f>HYPERLINK("https://www.youtube.com/channel/UCMqrlsr-AECPc6_3oDr8m9w", "Unicorn 獸哥")</f>
        <v>Unicorn 獸哥</v>
      </c>
      <c r="C4487" s="80" t="s">
        <v>4906</v>
      </c>
      <c r="D4487" s="81" t="str">
        <f>HYPERLINK("https://youtube.com/watch?v=vrQIAqbF5Rw", "用情懷傷害fans嘅電影 The Matrix Resurrections劇透影評")</f>
        <v>用情懷傷害fans嘅電影 The Matrix Resurrections劇透影評</v>
      </c>
      <c r="E4487" s="82">
        <v>44561.0</v>
      </c>
      <c r="F4487" s="80">
        <v>441.0</v>
      </c>
      <c r="G4487" s="80" t="s">
        <v>63</v>
      </c>
      <c r="I4487" s="80" t="s">
        <v>63</v>
      </c>
      <c r="J4487" s="80">
        <v>2172.0</v>
      </c>
      <c r="K4487" s="80">
        <v>0.842513576415826</v>
      </c>
      <c r="L4487" s="80" t="s">
        <v>64</v>
      </c>
    </row>
    <row r="4488">
      <c r="A4488" s="80" t="s">
        <v>124</v>
      </c>
      <c r="B4488" s="81" t="str">
        <f>HYPERLINK("https://www.youtube.com/channel/UCg0vuSE0fBF_NvodyYhMcWg", "Wallace Studio HK")</f>
        <v>Wallace Studio HK</v>
      </c>
      <c r="C4488" s="80" t="s">
        <v>4907</v>
      </c>
      <c r="D4488" s="81" t="str">
        <f>HYPERLINK("https://youtube.com/watch?v=vsnl9_khjHE", "Lumafusion 3.0! iPad 終於剪到片!")</f>
        <v>Lumafusion 3.0! iPad 終於剪到片!</v>
      </c>
      <c r="E4488" s="82">
        <v>44462.0</v>
      </c>
      <c r="F4488" s="80">
        <v>253.0</v>
      </c>
      <c r="G4488" s="80" t="s">
        <v>63</v>
      </c>
      <c r="H4488" s="80" t="s">
        <v>63</v>
      </c>
      <c r="I4488" s="80" t="s">
        <v>63</v>
      </c>
      <c r="J4488" s="80">
        <v>923.0</v>
      </c>
      <c r="K4488" s="80">
        <v>0.681986656782802</v>
      </c>
      <c r="L4488" s="80" t="s">
        <v>86</v>
      </c>
    </row>
    <row r="4489">
      <c r="A4489" s="80" t="s">
        <v>1260</v>
      </c>
      <c r="B4489" s="81" t="str">
        <f>HYPERLINK("https://www.youtube.com/channel/UCh1k4i86BpiXEO3nzJIYynw", "The Wave")</f>
        <v>The Wave</v>
      </c>
      <c r="C4489" s="80" t="s">
        <v>4908</v>
      </c>
      <c r="D4489" s="81" t="str">
        <f>HYPERLINK("https://youtube.com/watch?v=vuaTvc3Kns4", "TheWave | Xperia 1 充電測試 | USB PD")</f>
        <v>TheWave | Xperia 1 充電測試 | USB PD</v>
      </c>
      <c r="E4489" s="82">
        <v>43635.0</v>
      </c>
      <c r="F4489" s="80">
        <v>123.0</v>
      </c>
      <c r="G4489" s="80" t="s">
        <v>63</v>
      </c>
      <c r="H4489" s="80" t="s">
        <v>63</v>
      </c>
      <c r="I4489" s="80" t="s">
        <v>63</v>
      </c>
      <c r="J4489" s="80">
        <v>460.0</v>
      </c>
      <c r="K4489" s="80">
        <v>0.842201834862385</v>
      </c>
      <c r="L4489" s="80" t="s">
        <v>1132</v>
      </c>
    </row>
    <row r="4490">
      <c r="A4490" s="80" t="s">
        <v>1987</v>
      </c>
      <c r="B4490" s="81" t="str">
        <f t="shared" ref="B4490:B4491" si="237">HYPERLINK("https://www.youtube.com/channel/UCgGUmm04nVyj-ftaCxVcyBg", "MangoHK大馬獅家")</f>
        <v>MangoHK大馬獅家</v>
      </c>
      <c r="C4490" s="80" t="s">
        <v>4909</v>
      </c>
      <c r="D4490" s="81" t="str">
        <f>HYPERLINK("https://youtube.com/watch?v=w-1VVWIxvUg", "【112】🍅ICC PUDU茶檔市集🧐選擇困難症咗 {中英字幕} Subtitled | KL ICC PUDU Malaysia | Malaysia Vlog | mm2h")</f>
        <v>【112】🍅ICC PUDU茶檔市集🧐選擇困難症咗 {中英字幕} Subtitled | KL ICC PUDU Malaysia | Malaysia Vlog | mm2h</v>
      </c>
      <c r="E4490" s="82">
        <v>44538.0</v>
      </c>
      <c r="F4490" s="80">
        <v>1010.0</v>
      </c>
      <c r="G4490" s="80" t="s">
        <v>63</v>
      </c>
      <c r="I4490" s="80" t="s">
        <v>63</v>
      </c>
      <c r="J4490" s="80">
        <v>2575.0</v>
      </c>
      <c r="K4490" s="80">
        <v>0.957961309523809</v>
      </c>
      <c r="L4490" s="80" t="s">
        <v>896</v>
      </c>
    </row>
    <row r="4491">
      <c r="A4491" s="80" t="s">
        <v>1987</v>
      </c>
      <c r="B4491" s="81" t="str">
        <f t="shared" si="237"/>
        <v>MangoHK大馬獅家</v>
      </c>
      <c r="C4491" s="80" t="s">
        <v>4910</v>
      </c>
      <c r="D4491" s="81" t="str">
        <f>HYPERLINK("https://youtube.com/watch?v=w2PX-H-hk3A", "【36】🌴點解揀大馬🌟移居好地方？{中英字幕}  Subtitled | Malaysia Emigrate | Malaysia Vlog | mm2h")</f>
        <v>【36】🌴點解揀大馬🌟移居好地方？{中英字幕}  Subtitled | Malaysia Emigrate | Malaysia Vlog | mm2h</v>
      </c>
      <c r="E4491" s="82">
        <v>44466.0</v>
      </c>
      <c r="F4491" s="80">
        <v>413.0</v>
      </c>
      <c r="G4491" s="80" t="s">
        <v>63</v>
      </c>
      <c r="I4491" s="80" t="s">
        <v>63</v>
      </c>
      <c r="J4491" s="80">
        <v>1151.0</v>
      </c>
      <c r="K4491" s="80">
        <v>0.947325102880658</v>
      </c>
      <c r="L4491" s="80" t="s">
        <v>896</v>
      </c>
    </row>
    <row r="4492">
      <c r="A4492" s="80" t="s">
        <v>295</v>
      </c>
      <c r="B4492" s="81" t="str">
        <f>HYPERLINK("https://www.youtube.com/channel/UCIotQRUz6c4H-BRsouLt4YQ", "Captain and his squad")</f>
        <v>Captain and his squad</v>
      </c>
      <c r="C4492" s="80" t="s">
        <v>4911</v>
      </c>
      <c r="D4492" s="81" t="str">
        <f>HYPERLINK("https://youtube.com/watch?v=w6nirfIb1Qw", "【 教學 】牽繩大解析｜點樣選擇合適嘅狗繩")</f>
        <v>【 教學 】牽繩大解析｜點樣選擇合適嘅狗繩</v>
      </c>
      <c r="E4492" s="82">
        <v>44349.0</v>
      </c>
      <c r="F4492" s="80">
        <v>520.0</v>
      </c>
      <c r="G4492" s="80" t="s">
        <v>63</v>
      </c>
      <c r="H4492" s="80" t="s">
        <v>63</v>
      </c>
      <c r="I4492" s="80" t="s">
        <v>63</v>
      </c>
      <c r="J4492" s="80">
        <v>2422.0</v>
      </c>
      <c r="K4492" s="80">
        <v>0.906589147286821</v>
      </c>
      <c r="L4492" s="80" t="s">
        <v>1155</v>
      </c>
    </row>
    <row r="4493">
      <c r="A4493" s="80" t="s">
        <v>288</v>
      </c>
      <c r="B4493" s="81" t="str">
        <f>HYPERLINK("https://www.youtube.com/channel/UCDWOYEhVnyD4IHZGVAMLc0g", "Brendan 毛爸")</f>
        <v>Brendan 毛爸</v>
      </c>
      <c r="C4493" s="80" t="s">
        <v>4912</v>
      </c>
      <c r="D4493" s="81" t="str">
        <f>HYPERLINK("https://youtube.com/watch?v=wBesnDGWAWA", "【快閃泰國曼谷72小時- EP1 】兌換泰銖攻略！悅榕莊Banyan tree room tour! Bonchon韓式炸雞！Big C！新商場The Market！米芝蓮泰菜Nara！還有酒店驚喜！")</f>
        <v>【快閃泰國曼谷72小時- EP1 】兌換泰銖攻略！悅榕莊Banyan tree room tour! Bonchon韓式炸雞！Big C！新商場The Market！米芝蓮泰菜Nara！還有酒店驚喜！</v>
      </c>
      <c r="E4493" s="82">
        <v>43834.0</v>
      </c>
      <c r="F4493" s="80">
        <v>819.0</v>
      </c>
      <c r="G4493" s="80" t="s">
        <v>63</v>
      </c>
      <c r="I4493" s="80" t="s">
        <v>63</v>
      </c>
      <c r="J4493" s="80">
        <v>1948.0</v>
      </c>
      <c r="K4493" s="80">
        <v>0.905625290562529</v>
      </c>
      <c r="L4493" s="80" t="s">
        <v>64</v>
      </c>
    </row>
    <row r="4494">
      <c r="A4494" s="80" t="s">
        <v>2041</v>
      </c>
      <c r="B4494" s="81" t="str">
        <f>HYPERLINK("https://www.youtube.com/channel/UCO6pB-ZN4XJ6MVkibvuEe0A", "SingSingTracker 星昇財經指標")</f>
        <v>SingSingTracker 星昇財經指標</v>
      </c>
      <c r="C4494" s="80" t="s">
        <v>4913</v>
      </c>
      <c r="D4494" s="81" t="str">
        <f>HYPERLINK("https://youtube.com/watch?v=wBrkn-y7iiM", "[美國ETF歷史分析] ETF入門教室 【點CC中文字幕】#投資新手 #基金 #ETF")</f>
        <v>[美國ETF歷史分析] ETF入門教室 【點CC中文字幕】#投資新手 #基金 #ETF</v>
      </c>
      <c r="E4494" s="82">
        <v>44329.0</v>
      </c>
      <c r="F4494" s="80">
        <v>407.0</v>
      </c>
      <c r="G4494" s="80" t="s">
        <v>63</v>
      </c>
      <c r="I4494" s="80" t="s">
        <v>63</v>
      </c>
      <c r="J4494" s="80">
        <v>1450.0</v>
      </c>
      <c r="K4494" s="80">
        <v>0.833812535940195</v>
      </c>
      <c r="L4494" s="80" t="s">
        <v>64</v>
      </c>
    </row>
    <row r="4495">
      <c r="A4495" s="80" t="s">
        <v>293</v>
      </c>
      <c r="B4495" s="81" t="str">
        <f>HYPERLINK("https://www.youtube.com/channel/UCXRcbXqjORdIvl63I7MtOLQ", "趁熱 Kerry 's kitchen")</f>
        <v>趁熱 Kerry 's kitchen</v>
      </c>
      <c r="C4495" s="80" t="s">
        <v>4914</v>
      </c>
      <c r="D4495" s="81" t="str">
        <f>HYPERLINK("https://youtube.com/watch?v=wCAWfeQgSWw", "黑椒 牛肉/黑椒汁 做法/純天然醃腍牛肉方法/簡單 家做/下飯菜/粵語/中字/新手入門")</f>
        <v>黑椒 牛肉/黑椒汁 做法/純天然醃腍牛肉方法/簡單 家做/下飯菜/粵語/中字/新手入門</v>
      </c>
      <c r="E4495" s="82">
        <v>44372.0</v>
      </c>
      <c r="F4495" s="80">
        <v>707.0</v>
      </c>
      <c r="G4495" s="80" t="s">
        <v>63</v>
      </c>
      <c r="I4495" s="80" t="s">
        <v>63</v>
      </c>
      <c r="J4495" s="80">
        <v>1757.0</v>
      </c>
      <c r="K4495" s="80">
        <v>0.974486966167498</v>
      </c>
      <c r="L4495" s="80" t="s">
        <v>64</v>
      </c>
    </row>
    <row r="4496">
      <c r="A4496" s="80" t="s">
        <v>2804</v>
      </c>
      <c r="B4496" s="81" t="str">
        <f>HYPERLINK("https://www.youtube.com/channel/UCrFrg50t0JqgqV2dkIrH5Hg", "投智財女 GirlbossInvest 創業投資智慧")</f>
        <v>投智財女 GirlbossInvest 創業投資智慧</v>
      </c>
      <c r="C4496" s="80" t="s">
        <v>4915</v>
      </c>
      <c r="D4496" s="81" t="str">
        <f>HYPERLINK("https://youtube.com/watch?v=wEPRILrPiJI", "小米1810狂升背後的男人=雷軍的飛豬理論教你成功捷徑！「小米」和「金山雲」之創業啟發 #小米 #1810 #小米kc #金山軟件 #米粉 #金山雲")</f>
        <v>小米1810狂升背後的男人=雷軍的飛豬理論教你成功捷徑！「小米」和「金山雲」之創業啟發 #小米 #1810 #小米kc #金山軟件 #米粉 #金山雲</v>
      </c>
      <c r="E4496" s="82">
        <v>44060.0</v>
      </c>
      <c r="F4496" s="80">
        <v>685.0</v>
      </c>
      <c r="G4496" s="80" t="s">
        <v>63</v>
      </c>
      <c r="I4496" s="80" t="s">
        <v>63</v>
      </c>
      <c r="J4496" s="80">
        <v>1794.0</v>
      </c>
      <c r="K4496" s="80">
        <v>0.949206349206349</v>
      </c>
      <c r="L4496" s="80" t="s">
        <v>102</v>
      </c>
    </row>
    <row r="4497">
      <c r="A4497" s="80" t="s">
        <v>248</v>
      </c>
      <c r="B4497" s="81" t="str">
        <f>HYPERLINK("https://www.youtube.com/channel/UCUEJok-GiWaGlv5nIPwk-GQ", "Price.com.hk 香港格價網")</f>
        <v>Price.com.hk 香港格價網</v>
      </c>
      <c r="C4497" s="80" t="s">
        <v>4916</v>
      </c>
      <c r="D4497" s="81" t="str">
        <f>HYPERLINK("https://youtube.com/watch?v=wH9EaAC4V5E", "真機靚過上鏡！Nintendo Switch OLED(白色)開箱評測｜7吋OLED熒幕、雙喇叭輸出、新舊對比｜廣東話｜中文字幕【Price.com.hk產品比較】")</f>
        <v>真機靚過上鏡！Nintendo Switch OLED(白色)開箱評測｜7吋OLED熒幕、雙喇叭輸出、新舊對比｜廣東話｜中文字幕【Price.com.hk產品比較】</v>
      </c>
      <c r="E4497" s="82">
        <v>44477.0</v>
      </c>
      <c r="F4497" s="80">
        <v>214.0</v>
      </c>
      <c r="G4497" s="80" t="s">
        <v>63</v>
      </c>
      <c r="I4497" s="80" t="s">
        <v>63</v>
      </c>
      <c r="J4497" s="80">
        <v>632.0</v>
      </c>
      <c r="K4497" s="80">
        <v>0.766060606060606</v>
      </c>
      <c r="L4497" s="80" t="s">
        <v>64</v>
      </c>
    </row>
    <row r="4498">
      <c r="A4498" s="80" t="s">
        <v>2041</v>
      </c>
      <c r="B4498" s="81" t="str">
        <f>HYPERLINK("https://www.youtube.com/channel/UCO6pB-ZN4XJ6MVkibvuEe0A", "SingSingTracker 星昇財經指標")</f>
        <v>SingSingTracker 星昇財經指標</v>
      </c>
      <c r="C4498" s="80" t="s">
        <v>4917</v>
      </c>
      <c r="D4498" s="81" t="str">
        <f>HYPERLINK("https://youtube.com/watch?v=wJgqFW33FOg", "【越撈越底？教你跌市入市策略】大跌市Shopping List 必定留意美股｜是時侯買入這些股票？｜3招抄底部署 ｜點CC字幕 #ASML #NVDA")</f>
        <v>【越撈越底？教你跌市入市策略】大跌市Shopping List 必定留意美股｜是時侯買入這些股票？｜3招抄底部署 ｜點CC字幕 #ASML #NVDA</v>
      </c>
      <c r="E4498" s="82">
        <v>44477.0</v>
      </c>
      <c r="F4498" s="80">
        <v>478.0</v>
      </c>
      <c r="G4498" s="80" t="s">
        <v>63</v>
      </c>
      <c r="I4498" s="80" t="s">
        <v>63</v>
      </c>
      <c r="J4498" s="80">
        <v>1675.0</v>
      </c>
      <c r="K4498" s="80">
        <v>0.889065817409766</v>
      </c>
      <c r="L4498" s="80" t="s">
        <v>64</v>
      </c>
    </row>
    <row r="4499">
      <c r="A4499" s="80" t="s">
        <v>2780</v>
      </c>
      <c r="B4499" s="81" t="str">
        <f>HYPERLINK("https://www.youtube.com/channel/UC0CojhLcc0VESgaG633m5kA", "RainErs")</f>
        <v>RainErs</v>
      </c>
      <c r="C4499" s="80" t="s">
        <v>4918</v>
      </c>
      <c r="D4499" s="81" t="str">
        <f>HYPERLINK("https://youtube.com/watch?v=wLHofyke_Tw", "[Hot Toys開箱Ep1]漫畫版Iron Spider! !--最有驚喜嘅Hot Toys! !//中途有意外爭啲爛 ??[有CC字幕]")</f>
        <v>[Hot Toys開箱Ep1]漫畫版Iron Spider! !--最有驚喜嘅Hot Toys! !//中途有意外爭啲爛 ??[有CC字幕]</v>
      </c>
      <c r="E4499" s="82">
        <v>44523.0</v>
      </c>
      <c r="F4499" s="80">
        <v>633.0</v>
      </c>
      <c r="G4499" s="80" t="s">
        <v>63</v>
      </c>
      <c r="I4499" s="80" t="s">
        <v>63</v>
      </c>
      <c r="J4499" s="80">
        <v>2310.0</v>
      </c>
      <c r="K4499" s="80">
        <v>0.857142857142857</v>
      </c>
      <c r="L4499" s="80" t="s">
        <v>64</v>
      </c>
    </row>
    <row r="4500">
      <c r="A4500" s="80" t="s">
        <v>2800</v>
      </c>
      <c r="B4500" s="81" t="str">
        <f>HYPERLINK("https://www.youtube.com/channel/UCMqrlsr-AECPc6_3oDr8m9w", "Unicorn 獸哥")</f>
        <v>Unicorn 獸哥</v>
      </c>
      <c r="C4500" s="80" t="s">
        <v>4919</v>
      </c>
      <c r="D4500" s="81" t="str">
        <f>HYPERLINK("https://youtube.com/watch?v=wLxQF54iBTE", "望埋去一個都唔識？入場前必睇！14分鐘認識《自殺特攻 The Suicide Squad》所有新角色")</f>
        <v>望埋去一個都唔識？入場前必睇！14分鐘認識《自殺特攻 The Suicide Squad》所有新角色</v>
      </c>
      <c r="E4500" s="82">
        <v>44404.0</v>
      </c>
      <c r="F4500" s="80">
        <v>861.0</v>
      </c>
      <c r="G4500" s="80" t="s">
        <v>63</v>
      </c>
      <c r="I4500" s="80" t="s">
        <v>63</v>
      </c>
      <c r="J4500" s="80">
        <v>3197.0</v>
      </c>
      <c r="K4500" s="80">
        <v>0.842202318229715</v>
      </c>
      <c r="L4500" s="80" t="s">
        <v>64</v>
      </c>
    </row>
    <row r="4501">
      <c r="A4501" s="80" t="s">
        <v>2829</v>
      </c>
      <c r="B4501" s="81" t="str">
        <f>HYPERLINK("https://www.youtube.com/channel/UC7GnES6AEQlDzaP04UqtyjA", "SOLID IDEA")</f>
        <v>SOLID IDEA</v>
      </c>
      <c r="C4501" s="80" t="s">
        <v>4920</v>
      </c>
      <c r="D4501" s="81" t="str">
        <f>HYPERLINK("https://youtube.com/watch?v=wSRtc_8QH0Q", "[#室內設計] #LP6 #3房2廳 輕工業風 設計出形格味道 (CC中文字幕)")</f>
        <v>[#室內設計] #LP6 #3房2廳 輕工業風 設計出形格味道 (CC中文字幕)</v>
      </c>
      <c r="E4501" s="82">
        <v>44053.0</v>
      </c>
      <c r="F4501" s="80">
        <v>131.0</v>
      </c>
      <c r="G4501" s="80" t="s">
        <v>63</v>
      </c>
      <c r="I4501" s="80" t="s">
        <v>63</v>
      </c>
      <c r="J4501" s="80">
        <v>326.0</v>
      </c>
      <c r="K4501" s="80">
        <v>0.893150684931506</v>
      </c>
      <c r="L4501" s="80" t="s">
        <v>64</v>
      </c>
    </row>
    <row r="4502">
      <c r="A4502" s="80" t="s">
        <v>293</v>
      </c>
      <c r="B4502" s="81" t="str">
        <f>HYPERLINK("https://www.youtube.com/channel/UCXRcbXqjORdIvl63I7MtOLQ", "趁熱 Kerry 's kitchen")</f>
        <v>趁熱 Kerry 's kitchen</v>
      </c>
      <c r="C4502" s="80" t="s">
        <v>4921</v>
      </c>
      <c r="D4502" s="81" t="str">
        <f>HYPERLINK("https://youtube.com/watch?v=wTkxd29S6Us", "朱古力 曲奇/新手 入門 /簡單 家做/粵語/中字/3 mintues chocolate chip cookies/cc subtitle")</f>
        <v>朱古力 曲奇/新手 入門 /簡單 家做/粵語/中字/3 mintues chocolate chip cookies/cc subtitle</v>
      </c>
      <c r="E4502" s="82">
        <v>44305.0</v>
      </c>
      <c r="F4502" s="80">
        <v>292.0</v>
      </c>
      <c r="G4502" s="80" t="s">
        <v>63</v>
      </c>
      <c r="I4502" s="80" t="s">
        <v>63</v>
      </c>
      <c r="J4502" s="80">
        <v>743.0</v>
      </c>
      <c r="K4502" s="80">
        <v>0.915024630541871</v>
      </c>
      <c r="L4502" s="80" t="s">
        <v>64</v>
      </c>
    </row>
    <row r="4503">
      <c r="A4503" s="80" t="s">
        <v>2829</v>
      </c>
      <c r="B4503" s="81" t="str">
        <f>HYPERLINK("https://www.youtube.com/channel/UC7GnES6AEQlDzaP04UqtyjA", "SOLID IDEA")</f>
        <v>SOLID IDEA</v>
      </c>
      <c r="C4503" s="80" t="s">
        <v>4922</v>
      </c>
      <c r="D4503" s="81" t="str">
        <f>HYPERLINK("https://youtube.com/watch?v=wU46uH2fSCU", "[#設計概念] #凱滙 奢華不浮誇 設計率先睇")</f>
        <v>[#設計概念] #凱滙 奢華不浮誇 設計率先睇</v>
      </c>
      <c r="E4503" s="82">
        <v>44218.0</v>
      </c>
      <c r="F4503" s="80">
        <v>144.0</v>
      </c>
      <c r="G4503" s="80" t="s">
        <v>63</v>
      </c>
      <c r="I4503" s="80" t="s">
        <v>63</v>
      </c>
      <c r="J4503" s="80">
        <v>455.0</v>
      </c>
      <c r="K4503" s="80">
        <v>0.915492957746478</v>
      </c>
      <c r="L4503" s="80" t="s">
        <v>64</v>
      </c>
    </row>
    <row r="4504">
      <c r="A4504" s="80" t="s">
        <v>98</v>
      </c>
      <c r="B4504" s="81" t="str">
        <f>HYPERLINK("https://www.youtube.com/channel/UCrquuQB6v1Ued2xyRKZreGQ", "Stephen Leung ")</f>
        <v>Stephen Leung </v>
      </c>
      <c r="C4504" s="80" t="s">
        <v>4923</v>
      </c>
      <c r="D4504" s="81" t="str">
        <f>HYPERLINK("https://youtube.com/watch?v=wVG0Zh_sxR4", "【放題速報】九龍東全新 海鮮任食放題 老闆仲要送$50交通津貼!? 韓國鮑魚 紐西蘭生蠔 瀨尿蝦 多款點心 海鮮蒸氣鍋 火鍋放題 觀塘美食 緣味小聚 | 吃喝玩樂")</f>
        <v>【放題速報】九龍東全新 海鮮任食放題 老闆仲要送$50交通津貼!? 韓國鮑魚 紐西蘭生蠔 瀨尿蝦 多款點心 海鮮蒸氣鍋 火鍋放題 觀塘美食 緣味小聚 | 吃喝玩樂</v>
      </c>
      <c r="E4504" s="82">
        <v>44537.0</v>
      </c>
      <c r="F4504" s="80">
        <v>600.0</v>
      </c>
      <c r="G4504" s="80" t="s">
        <v>63</v>
      </c>
      <c r="I4504" s="80" t="s">
        <v>63</v>
      </c>
      <c r="J4504" s="80">
        <v>1584.0</v>
      </c>
      <c r="K4504" s="80">
        <v>0.980804953560371</v>
      </c>
      <c r="L4504" s="80" t="s">
        <v>64</v>
      </c>
    </row>
    <row r="4505">
      <c r="A4505" s="80" t="s">
        <v>248</v>
      </c>
      <c r="B4505" s="81" t="str">
        <f>HYPERLINK("https://www.youtube.com/channel/UCUEJok-GiWaGlv5nIPwk-GQ", "Price.com.hk 香港格價網")</f>
        <v>Price.com.hk 香港格價網</v>
      </c>
      <c r="C4505" s="80" t="s">
        <v>4924</v>
      </c>
      <c r="D4505" s="81" t="str">
        <f>HYPERLINK("https://youtube.com/watch?v=we9yh1q1ixU", "20萬訂閱 我們被評測了?! Q&amp;A問題收集區 - 內附極秘NG畫面!!! 廣東話【Price.com.hk產品比較】")</f>
        <v>20萬訂閱 我們被評測了?! Q&amp;A問題收集區 - 內附極秘NG畫面!!! 廣東話【Price.com.hk產品比較】</v>
      </c>
      <c r="E4505" s="82">
        <v>44350.0</v>
      </c>
      <c r="F4505" s="80">
        <v>397.0</v>
      </c>
      <c r="G4505" s="80" t="s">
        <v>63</v>
      </c>
      <c r="I4505" s="80" t="s">
        <v>63</v>
      </c>
      <c r="J4505" s="80">
        <v>553.0</v>
      </c>
      <c r="K4505" s="80">
        <v>0.831578947368421</v>
      </c>
      <c r="L4505" s="80" t="s">
        <v>64</v>
      </c>
    </row>
    <row r="4506">
      <c r="A4506" s="80" t="s">
        <v>98</v>
      </c>
      <c r="B4506" s="81" t="str">
        <f t="shared" ref="B4506:B4507" si="238">HYPERLINK("https://www.youtube.com/channel/UCrquuQB6v1Ued2xyRKZreGQ", "Stephen Leung ")</f>
        <v>Stephen Leung </v>
      </c>
      <c r="C4506" s="80" t="s">
        <v>4925</v>
      </c>
      <c r="D4506" s="81" t="str">
        <f>HYPERLINK("https://youtube.com/watch?v=weu27PF4Nx0", "【香港美食】$10原隻 脆皮燒雞 $28 鮑魚燉湯 黃大仙 街坊美食 京都大酒樓 | 吃喝玩樂")</f>
        <v>【香港美食】$10原隻 脆皮燒雞 $28 鮑魚燉湯 黃大仙 街坊美食 京都大酒樓 | 吃喝玩樂</v>
      </c>
      <c r="E4506" s="82">
        <v>44325.0</v>
      </c>
      <c r="F4506" s="80">
        <v>423.0</v>
      </c>
      <c r="G4506" s="80" t="s">
        <v>63</v>
      </c>
      <c r="I4506" s="80" t="s">
        <v>63</v>
      </c>
      <c r="J4506" s="80">
        <v>1008.0</v>
      </c>
      <c r="K4506" s="80">
        <v>0.978640776699029</v>
      </c>
      <c r="L4506" s="80" t="s">
        <v>64</v>
      </c>
    </row>
    <row r="4507">
      <c r="A4507" s="80" t="s">
        <v>98</v>
      </c>
      <c r="B4507" s="81" t="str">
        <f t="shared" si="238"/>
        <v>Stephen Leung </v>
      </c>
      <c r="C4507" s="80" t="s">
        <v>4926</v>
      </c>
      <c r="D4507" s="81" t="str">
        <f>HYPERLINK("https://youtube.com/watch?v=wgo5nGZLSfI", "【香港美食】 $178 日式居酒屋 放題 任食 海鮮 生蠔 燒海老 關東煮 串燒 $90 多款清酒任飲 2小時 任食 東京大眾酒場  | 吃喝玩樂")</f>
        <v>【香港美食】 $178 日式居酒屋 放題 任食 海鮮 生蠔 燒海老 關東煮 串燒 $90 多款清酒任飲 2小時 任食 東京大眾酒場  | 吃喝玩樂</v>
      </c>
      <c r="E4507" s="82">
        <v>44287.0</v>
      </c>
      <c r="F4507" s="80">
        <v>703.0</v>
      </c>
      <c r="G4507" s="80" t="s">
        <v>63</v>
      </c>
      <c r="I4507" s="80" t="s">
        <v>63</v>
      </c>
      <c r="J4507" s="80">
        <v>1745.0</v>
      </c>
      <c r="K4507" s="80">
        <v>0.989790130459444</v>
      </c>
      <c r="L4507" s="80" t="s">
        <v>64</v>
      </c>
    </row>
    <row r="4508">
      <c r="A4508" s="80" t="s">
        <v>248</v>
      </c>
      <c r="B4508" s="81" t="str">
        <f t="shared" ref="B4508:B4509" si="239">HYPERLINK("https://www.youtube.com/channel/UCUEJok-GiWaGlv5nIPwk-GQ", "Price.com.hk 香港格價網")</f>
        <v>Price.com.hk 香港格價網</v>
      </c>
      <c r="C4508" s="80" t="s">
        <v>4927</v>
      </c>
      <c r="D4508" s="81" t="str">
        <f>HYPERLINK("https://youtube.com/watch?v=wijLORvtBKc", "Apple、Samsung 4月發佈會終極預告！iPhone logo印錯位反而仲值錢？PS5首次大更新 |廣東話【Price Weekly #58 2021年4月】")</f>
        <v>Apple、Samsung 4月發佈會終極預告！iPhone logo印錯位反而仲值錢？PS5首次大更新 |廣東話【Price Weekly #58 2021年4月】</v>
      </c>
      <c r="E4508" s="82">
        <v>44303.0</v>
      </c>
      <c r="F4508" s="80">
        <v>534.0</v>
      </c>
      <c r="G4508" s="80" t="s">
        <v>63</v>
      </c>
      <c r="I4508" s="80" t="s">
        <v>63</v>
      </c>
      <c r="J4508" s="80">
        <v>1826.0</v>
      </c>
      <c r="K4508" s="80">
        <v>0.692716236722306</v>
      </c>
      <c r="L4508" s="80" t="s">
        <v>64</v>
      </c>
    </row>
    <row r="4509">
      <c r="A4509" s="80" t="s">
        <v>248</v>
      </c>
      <c r="B4509" s="81" t="str">
        <f t="shared" si="239"/>
        <v>Price.com.hk 香港格價網</v>
      </c>
      <c r="C4509" s="80" t="s">
        <v>4928</v>
      </c>
      <c r="D4509" s="81" t="str">
        <f>HYPERLINK("https://youtube.com/watch?v=wnhG3wdXfjM", "【Price網購呈獻#01 20萬的愛】Price YouTube Channel 二十萬訂閱感謝祭 6件網購精選貨品｜廣東話")</f>
        <v>【Price網購呈獻#01 20萬的愛】Price YouTube Channel 二十萬訂閱感謝祭 6件網購精選貨品｜廣東話</v>
      </c>
      <c r="E4509" s="82">
        <v>44392.0</v>
      </c>
      <c r="F4509" s="80">
        <v>142.0</v>
      </c>
      <c r="G4509" s="80" t="s">
        <v>63</v>
      </c>
      <c r="I4509" s="80" t="s">
        <v>63</v>
      </c>
      <c r="J4509" s="80">
        <v>431.0</v>
      </c>
      <c r="K4509" s="80">
        <v>0.699675324675324</v>
      </c>
      <c r="L4509" s="80" t="s">
        <v>64</v>
      </c>
    </row>
    <row r="4510">
      <c r="A4510" s="80" t="s">
        <v>1390</v>
      </c>
      <c r="B4510" s="81" t="str">
        <f t="shared" ref="B4510:B4511" si="240">HYPERLINK("https://www.youtube.com/channel/UCgwEJflQi4WnZ8PU0xdibZQ", "Kinson Ho")</f>
        <v>Kinson Ho</v>
      </c>
      <c r="C4510" s="80" t="s">
        <v>4929</v>
      </c>
      <c r="D4510" s="81" t="str">
        <f>HYPERLINK("https://youtube.com/watch?v=wp7EY0L8g9U", "K神任我行 -  [CC字幕4K] 大潭篤水塘排洪｜找緊排洪尾巴｜航拍")</f>
        <v>K神任我行 -  [CC字幕4K] 大潭篤水塘排洪｜找緊排洪尾巴｜航拍</v>
      </c>
      <c r="E4510" s="82">
        <v>44482.0</v>
      </c>
      <c r="F4510" s="80">
        <v>247.0</v>
      </c>
      <c r="G4510" s="80" t="s">
        <v>63</v>
      </c>
      <c r="I4510" s="80" t="s">
        <v>63</v>
      </c>
      <c r="J4510" s="80">
        <v>240.0</v>
      </c>
      <c r="K4510" s="80">
        <v>1.0</v>
      </c>
      <c r="L4510" s="80" t="s">
        <v>64</v>
      </c>
    </row>
    <row r="4511">
      <c r="A4511" s="80" t="s">
        <v>1390</v>
      </c>
      <c r="B4511" s="81" t="str">
        <f t="shared" si="240"/>
        <v>Kinson Ho</v>
      </c>
      <c r="C4511" s="80" t="s">
        <v>4930</v>
      </c>
      <c r="D4511" s="81" t="str">
        <f>HYPERLINK("https://youtube.com/watch?v=wrFOAguMvZE", "K神任我行 - [CC字幕4K] 錦田南生圍｜膠遊遊｜盈匯坊｜錦田紅磚屋｜錦田壁畫村｜錦田鄉村俱樂部｜ 波斯菊｜秋櫻｜橫水渡｜婚紗橋｜日落｜航拍")</f>
        <v>K神任我行 - [CC字幕4K] 錦田南生圍｜膠遊遊｜盈匯坊｜錦田紅磚屋｜錦田壁畫村｜錦田鄉村俱樂部｜ 波斯菊｜秋櫻｜橫水渡｜婚紗橋｜日落｜航拍</v>
      </c>
      <c r="E4511" s="82">
        <v>44551.0</v>
      </c>
      <c r="F4511" s="80">
        <v>655.0</v>
      </c>
      <c r="G4511" s="80" t="s">
        <v>63</v>
      </c>
      <c r="I4511" s="80" t="s">
        <v>63</v>
      </c>
      <c r="J4511" s="80">
        <v>800.0</v>
      </c>
      <c r="K4511" s="80">
        <v>0.993788819875776</v>
      </c>
      <c r="L4511" s="80" t="s">
        <v>64</v>
      </c>
    </row>
    <row r="4512">
      <c r="A4512" s="80" t="s">
        <v>108</v>
      </c>
      <c r="B4512" s="81" t="str">
        <f>HYPERLINK("https://www.youtube.com/channel/UCZL6QN6Xs-ZrKY3y6Pv6Emg", "廢青 - 日賺3000")</f>
        <v>廢青 - 日賺3000</v>
      </c>
      <c r="C4512" s="80" t="s">
        <v>4931</v>
      </c>
      <c r="D4512" s="81" t="str">
        <f>HYPERLINK("https://youtube.com/watch?v=wvGsxrKWv8M", "美股入門 | 為什麼不要買 熱門美股 🧐？  3 隻廢青唔會買既熱門股票！㊙️   EP09【廢青 日賺3000】【點CC看中文字幕】")</f>
        <v>美股入門 | 為什麼不要買 熱門美股 🧐？  3 隻廢青唔會買既熱門股票！㊙️   EP09【廢青 日賺3000】【點CC看中文字幕】</v>
      </c>
      <c r="E4512" s="82">
        <v>44176.0</v>
      </c>
      <c r="F4512" s="80">
        <v>692.0</v>
      </c>
      <c r="G4512" s="80" t="s">
        <v>63</v>
      </c>
      <c r="I4512" s="80" t="s">
        <v>63</v>
      </c>
      <c r="J4512" s="80">
        <v>3146.0</v>
      </c>
      <c r="K4512" s="80">
        <v>0.890461364279649</v>
      </c>
      <c r="L4512" s="80" t="s">
        <v>64</v>
      </c>
    </row>
    <row r="4513">
      <c r="A4513" s="80" t="s">
        <v>293</v>
      </c>
      <c r="B4513" s="81" t="str">
        <f>HYPERLINK("https://www.youtube.com/channel/UCXRcbXqjORdIvl63I7MtOLQ", "趁熱 Kerry 's kitchen")</f>
        <v>趁熱 Kerry 's kitchen</v>
      </c>
      <c r="C4513" s="80" t="s">
        <v>4932</v>
      </c>
      <c r="D4513" s="81" t="str">
        <f>HYPERLINK("https://youtube.com/watch?v=wxg_tQyGjUM", "大盤 雞/新疆大盤雞/超惹味/西部 名菜/簡單 家做/低 成本/廣東話/中字")</f>
        <v>大盤 雞/新疆大盤雞/超惹味/西部 名菜/簡單 家做/低 成本/廣東話/中字</v>
      </c>
      <c r="E4513" s="82">
        <v>44459.0</v>
      </c>
      <c r="F4513" s="80">
        <v>633.0</v>
      </c>
      <c r="G4513" s="80" t="s">
        <v>63</v>
      </c>
      <c r="I4513" s="80" t="s">
        <v>63</v>
      </c>
      <c r="J4513" s="80">
        <v>739.0</v>
      </c>
      <c r="K4513" s="80">
        <v>0.982712765957446</v>
      </c>
      <c r="L4513" s="80" t="s">
        <v>64</v>
      </c>
    </row>
    <row r="4514">
      <c r="A4514" s="80" t="s">
        <v>2764</v>
      </c>
      <c r="B4514" s="81" t="str">
        <f>HYPERLINK("https://www.youtube.com/channel/UCejZUW4khvxoA4uL2Afz20g", "Housik Laanfei 好食懶飛")</f>
        <v>Housik Laanfei 好食懶飛</v>
      </c>
      <c r="C4514" s="80" t="s">
        <v>4933</v>
      </c>
      <c r="D4514" s="81" t="str">
        <f>HYPERLINK("https://youtube.com/watch?v=x-iHUapDB_4", "[隊啤之選] 蜜汁黑椒薯仔牛柳粒 | CC: 廣東話/繁中/ENG SUB | COOKING VLOG")</f>
        <v>[隊啤之選] 蜜汁黑椒薯仔牛柳粒 | CC: 廣東話/繁中/ENG SUB | COOKING VLOG</v>
      </c>
      <c r="E4514" s="82">
        <v>44161.0</v>
      </c>
      <c r="F4514" s="80">
        <v>430.0</v>
      </c>
      <c r="G4514" s="80" t="s">
        <v>63</v>
      </c>
      <c r="H4514" s="80" t="s">
        <v>63</v>
      </c>
      <c r="I4514" s="80" t="s">
        <v>63</v>
      </c>
      <c r="J4514" s="80">
        <v>154.0</v>
      </c>
      <c r="K4514" s="80">
        <v>0.980891719745222</v>
      </c>
      <c r="L4514" s="80" t="s">
        <v>120</v>
      </c>
    </row>
    <row r="4515">
      <c r="A4515" s="80" t="s">
        <v>127</v>
      </c>
      <c r="B4515" s="81" t="str">
        <f>HYPERLINK("https://www.youtube.com/channel/UC97oYK3XMf9RLtkc0lO8C-Q", "健康旦 HiEggo")</f>
        <v>健康旦 HiEggo</v>
      </c>
      <c r="C4515" s="80" t="s">
        <v>4934</v>
      </c>
      <c r="D4515" s="81" t="str">
        <f>HYPERLINK("https://youtube.com/watch?v=x1wqgz2V6TY", "趙汝威博士圖文拆解病毒結構 解釋點解pH10番梘可殺菌 - 鄭丹瑞《健康旦》趙汝威 Part 4（CC中文字幕）")</f>
        <v>趙汝威博士圖文拆解病毒結構 解釋點解pH10番梘可殺菌 - 鄭丹瑞《健康旦》趙汝威 Part 4（CC中文字幕）</v>
      </c>
      <c r="E4515" s="82">
        <v>43940.0</v>
      </c>
      <c r="F4515" s="80">
        <v>783.0</v>
      </c>
      <c r="G4515" s="80" t="s">
        <v>63</v>
      </c>
      <c r="I4515" s="80" t="s">
        <v>63</v>
      </c>
      <c r="J4515" s="80">
        <v>2539.0</v>
      </c>
      <c r="K4515" s="80">
        <v>0.955589010161836</v>
      </c>
      <c r="L4515" s="80" t="s">
        <v>64</v>
      </c>
    </row>
    <row r="4516">
      <c r="A4516" s="80" t="s">
        <v>1987</v>
      </c>
      <c r="B4516" s="81" t="str">
        <f>HYPERLINK("https://www.youtube.com/channel/UCgGUmm04nVyj-ftaCxVcyBg", "MangoHK大馬獅家")</f>
        <v>MangoHK大馬獅家</v>
      </c>
      <c r="C4516" s="80" t="s">
        <v>4935</v>
      </c>
      <c r="D4516" s="81" t="str">
        <f>HYPERLINK("https://youtube.com/watch?v=x3GL4lca5kc", "【24】🏄🏻‍♂️雙威水上樂園🏆二百幾溝一年? {字幕}  Subtitled | Malaysia Sunway Lagoon | Malaysia Vlog | mm2h")</f>
        <v>【24】🏄🏻‍♂️雙威水上樂園🏆二百幾溝一年? {字幕}  Subtitled | Malaysia Sunway Lagoon | Malaysia Vlog | mm2h</v>
      </c>
      <c r="E4516" s="82">
        <v>44457.0</v>
      </c>
      <c r="F4516" s="80">
        <v>518.0</v>
      </c>
      <c r="G4516" s="80" t="s">
        <v>63</v>
      </c>
      <c r="I4516" s="80" t="s">
        <v>63</v>
      </c>
      <c r="J4516" s="80">
        <v>691.0</v>
      </c>
      <c r="K4516" s="80">
        <v>0.897402597402597</v>
      </c>
      <c r="L4516" s="80" t="s">
        <v>896</v>
      </c>
    </row>
    <row r="4517">
      <c r="A4517" s="80" t="s">
        <v>248</v>
      </c>
      <c r="B4517" s="81" t="str">
        <f>HYPERLINK("https://www.youtube.com/channel/UCUEJok-GiWaGlv5nIPwk-GQ", "Price.com.hk 香港格價網")</f>
        <v>Price.com.hk 香港格價網</v>
      </c>
      <c r="C4517" s="80" t="s">
        <v>4936</v>
      </c>
      <c r="D4517" s="81" t="str">
        <f>HYPERLINK("https://youtube.com/watch?v=x3exwvSy1L8", "iOS 14.5 功能逐個試！用Apple Watch解鎖iPhone竟然有呢個問題！？ | Siri新聲音 | 5G雙卡雙待 | AirTag｜廣東話【Price.com.hk應用教學】")</f>
        <v>iOS 14.5 功能逐個試！用Apple Watch解鎖iPhone竟然有呢個問題！？ | Siri新聲音 | 5G雙卡雙待 | AirTag｜廣東話【Price.com.hk應用教學】</v>
      </c>
      <c r="E4517" s="82">
        <v>44320.0</v>
      </c>
      <c r="F4517" s="80">
        <v>388.0</v>
      </c>
      <c r="G4517" s="80" t="s">
        <v>63</v>
      </c>
      <c r="I4517" s="80" t="s">
        <v>63</v>
      </c>
      <c r="J4517" s="80">
        <v>1342.0</v>
      </c>
      <c r="K4517" s="80">
        <v>0.754780652418447</v>
      </c>
      <c r="L4517" s="80" t="s">
        <v>64</v>
      </c>
    </row>
    <row r="4518">
      <c r="A4518" s="80" t="s">
        <v>84</v>
      </c>
      <c r="B4518" s="81" t="str">
        <f>HYPERLINK("https://www.youtube.com/channel/UCs6fW24aVjefTsognevmDnA", "PakTil 拍跳")</f>
        <v>PakTil 拍跳</v>
      </c>
      <c r="C4518" s="80" t="s">
        <v>4937</v>
      </c>
      <c r="D4518" s="81" t="str">
        <f>HYPERLINK("https://youtube.com/watch?v=x5l-mqode1Q", "【拍跳短跑】Call車遇著司機遲到兼唔識揸...")</f>
        <v>【拍跳短跑】Call車遇著司機遲到兼唔識揸...</v>
      </c>
      <c r="E4518" s="82">
        <v>44098.0</v>
      </c>
      <c r="F4518" s="80">
        <v>81.0</v>
      </c>
      <c r="G4518" s="80" t="s">
        <v>63</v>
      </c>
      <c r="I4518" s="80" t="s">
        <v>63</v>
      </c>
      <c r="J4518" s="80">
        <v>228.0</v>
      </c>
      <c r="K4518" s="80">
        <v>0.938271604938271</v>
      </c>
      <c r="L4518" s="80" t="s">
        <v>86</v>
      </c>
    </row>
    <row r="4519">
      <c r="A4519" s="80" t="s">
        <v>2893</v>
      </c>
      <c r="B4519" s="81" t="str">
        <f>HYPERLINK("https://www.youtube.com/channel/UCS6TtQSjGUpGHJTCHTTFe9g", "玩學實驗室Play &amp; Learn Lab")</f>
        <v>玩學實驗室Play &amp; Learn Lab</v>
      </c>
      <c r="C4519" s="80" t="s">
        <v>4938</v>
      </c>
      <c r="D4519" s="81" t="str">
        <f>HYPERLINK("https://youtube.com/watch?v=x5s3MODtQg8", "【玩學實驗室 #9】一家人一齊跳入Marvel Universe去拯救世界《5 Minute Marvel》｜親子桌遊研習社｜【親子桌遊玩學堂】EP.05｜4K (廣東話字幕)")</f>
        <v>【玩學實驗室 #9】一家人一齊跳入Marvel Universe去拯救世界《5 Minute Marvel》｜親子桌遊研習社｜【親子桌遊玩學堂】EP.05｜4K (廣東話字幕)</v>
      </c>
      <c r="E4519" s="82">
        <v>44391.0</v>
      </c>
      <c r="F4519" s="80">
        <v>520.0</v>
      </c>
      <c r="G4519" s="80" t="s">
        <v>63</v>
      </c>
      <c r="I4519" s="80" t="s">
        <v>63</v>
      </c>
      <c r="J4519" s="80">
        <v>1602.0</v>
      </c>
      <c r="K4519" s="80">
        <v>0.722924187725631</v>
      </c>
      <c r="L4519" s="80" t="s">
        <v>64</v>
      </c>
    </row>
    <row r="4520">
      <c r="A4520" s="80" t="s">
        <v>124</v>
      </c>
      <c r="B4520" s="81" t="str">
        <f>HYPERLINK("https://www.youtube.com/channel/UCg0vuSE0fBF_NvodyYhMcWg", "Wallace Studio HK")</f>
        <v>Wallace Studio HK</v>
      </c>
      <c r="C4520" s="80" t="s">
        <v>4939</v>
      </c>
      <c r="D4520" s="81" t="str">
        <f>HYPERLINK("https://youtube.com/watch?v=xAWDth4SpMc", "[詳細評測] Vivo X70 Pro 詳細評測! 蔡司鏡頭及微雲台拍攝有幾勁?(VS Sony Xperia 1 III, iPhone 13 Pro Max)，效能有驚喜!")</f>
        <v>[詳細評測] Vivo X70 Pro 詳細評測! 蔡司鏡頭及微雲台拍攝有幾勁?(VS Sony Xperia 1 III, iPhone 13 Pro Max)，效能有驚喜!</v>
      </c>
      <c r="E4520" s="82">
        <v>44507.0</v>
      </c>
      <c r="F4520" s="80">
        <v>601.0</v>
      </c>
      <c r="G4520" s="80" t="s">
        <v>63</v>
      </c>
      <c r="H4520" s="80" t="s">
        <v>63</v>
      </c>
      <c r="I4520" s="80" t="s">
        <v>63</v>
      </c>
      <c r="J4520" s="80">
        <v>2145.0</v>
      </c>
      <c r="K4520" s="80">
        <v>0.814350797266514</v>
      </c>
      <c r="L4520" s="80" t="s">
        <v>86</v>
      </c>
    </row>
    <row r="4521">
      <c r="A4521" s="80" t="s">
        <v>3611</v>
      </c>
      <c r="B4521" s="81" t="str">
        <f>HYPERLINK("https://www.youtube.com/channel/UCcetU9127QglBECLbGfRofQ", "鄧卓殷 Amber Tang")</f>
        <v>鄧卓殷 Amber Tang</v>
      </c>
      <c r="C4521" s="80" t="s">
        <v>4940</v>
      </c>
      <c r="D4521" s="81" t="str">
        <f>HYPERLINK("https://youtube.com/watch?v=xFY6RIuhOI8", "跟我放假一天 Day Off - Vlog | 攞車牌 唱歌 做運動 | 鄧卓殷Amber [CC中字]")</f>
        <v>跟我放假一天 Day Off - Vlog | 攞車牌 唱歌 做運動 | 鄧卓殷Amber [CC中字]</v>
      </c>
      <c r="E4521" s="82">
        <v>43852.0</v>
      </c>
      <c r="F4521" s="80">
        <v>357.0</v>
      </c>
      <c r="G4521" s="80" t="s">
        <v>63</v>
      </c>
      <c r="I4521" s="80" t="s">
        <v>63</v>
      </c>
      <c r="J4521" s="80">
        <v>920.0</v>
      </c>
      <c r="K4521" s="80">
        <v>0.882070949185043</v>
      </c>
      <c r="L4521" s="80" t="s">
        <v>91</v>
      </c>
    </row>
    <row r="4522">
      <c r="A4522" s="80" t="s">
        <v>1260</v>
      </c>
      <c r="B4522" s="81" t="str">
        <f>HYPERLINK("https://www.youtube.com/channel/UCh1k4i86BpiXEO3nzJIYynw", "The Wave")</f>
        <v>The Wave</v>
      </c>
      <c r="C4522" s="80" t="s">
        <v>4941</v>
      </c>
      <c r="D4522" s="81" t="str">
        <f>HYPERLINK("https://youtube.com/watch?v=xFk8Pb2agPY", "TheWave | 2018年最好電話 | 屏幕 | 相機")</f>
        <v>TheWave | 2018年最好電話 | 屏幕 | 相機</v>
      </c>
      <c r="E4522" s="82">
        <v>43459.0</v>
      </c>
      <c r="F4522" s="80">
        <v>293.0</v>
      </c>
      <c r="G4522" s="80" t="s">
        <v>63</v>
      </c>
      <c r="H4522" s="80" t="s">
        <v>63</v>
      </c>
      <c r="I4522" s="80" t="s">
        <v>63</v>
      </c>
      <c r="J4522" s="80">
        <v>1068.0</v>
      </c>
      <c r="K4522" s="80">
        <v>0.723577235772357</v>
      </c>
      <c r="L4522" s="80" t="s">
        <v>120</v>
      </c>
    </row>
    <row r="4523">
      <c r="A4523" s="80" t="s">
        <v>127</v>
      </c>
      <c r="B4523" s="81" t="str">
        <f>HYPERLINK("https://www.youtube.com/channel/UC97oYK3XMf9RLtkc0lO8C-Q", "健康旦 HiEggo")</f>
        <v>健康旦 HiEggo</v>
      </c>
      <c r="C4523" s="80" t="s">
        <v>4942</v>
      </c>
      <c r="D4523" s="81" t="str">
        <f>HYPERLINK("https://youtube.com/watch?v=xMuUBpt58-s", "「日本通」香睿剛解構日本抗疫現況 從日劇DoctorX睇醫療系統 - 鄭丹瑞《健康旦》香睿剛 Part 2 (CC中文字幕)")</f>
        <v>「日本通」香睿剛解構日本抗疫現況 從日劇DoctorX睇醫療系統 - 鄭丹瑞《健康旦》香睿剛 Part 2 (CC中文字幕)</v>
      </c>
      <c r="E4523" s="82">
        <v>43900.0</v>
      </c>
      <c r="F4523" s="80">
        <v>646.0</v>
      </c>
      <c r="G4523" s="80" t="s">
        <v>63</v>
      </c>
      <c r="I4523" s="80" t="s">
        <v>63</v>
      </c>
      <c r="J4523" s="80">
        <v>2814.0</v>
      </c>
      <c r="K4523" s="80">
        <v>0.990147783251231</v>
      </c>
      <c r="L4523" s="80" t="s">
        <v>102</v>
      </c>
    </row>
    <row r="4524">
      <c r="A4524" s="80" t="s">
        <v>1260</v>
      </c>
      <c r="B4524" s="81" t="str">
        <f>HYPERLINK("https://www.youtube.com/channel/UCh1k4i86BpiXEO3nzJIYynw", "The Wave")</f>
        <v>The Wave</v>
      </c>
      <c r="C4524" s="80" t="s">
        <v>4943</v>
      </c>
      <c r="D4524" s="81" t="str">
        <f>HYPERLINK("https://youtube.com/watch?v=xNuGbqmK88M", "TheWave | Logitech G903 LIGHTSPEED 無線電競滑鼠 開箱")</f>
        <v>TheWave | Logitech G903 LIGHTSPEED 無線電競滑鼠 開箱</v>
      </c>
      <c r="E4524" s="82">
        <v>43425.0</v>
      </c>
      <c r="F4524" s="80">
        <v>189.0</v>
      </c>
      <c r="G4524" s="80" t="s">
        <v>63</v>
      </c>
      <c r="H4524" s="80" t="s">
        <v>63</v>
      </c>
      <c r="I4524" s="80" t="s">
        <v>63</v>
      </c>
      <c r="J4524" s="80">
        <v>473.0</v>
      </c>
      <c r="K4524" s="80">
        <v>0.822608695652173</v>
      </c>
      <c r="L4524" s="80" t="s">
        <v>120</v>
      </c>
    </row>
    <row r="4525">
      <c r="A4525" s="80" t="s">
        <v>98</v>
      </c>
      <c r="B4525" s="81" t="str">
        <f>HYPERLINK("https://www.youtube.com/channel/UCrquuQB6v1Ued2xyRKZreGQ", "Stephen Leung ")</f>
        <v>Stephen Leung </v>
      </c>
      <c r="C4525" s="80" t="s">
        <v>4944</v>
      </c>
      <c r="D4525" s="81" t="str">
        <f>HYPERLINK("https://youtube.com/watch?v=xORmDAGGhA0", "【香港 自助餐】星級酒店 🔥 罕有高質 壽司 刺身 串燒 放題 任食! 自選鐵板燒主菜一份 日式放題 都會海逸酒店 千鶴日本料理 | 吃喝玩樂  2021 4k 香港好去處  美食 2021 消費券")</f>
        <v>【香港 自助餐】星級酒店 🔥 罕有高質 壽司 刺身 串燒 放題 任食! 自選鐵板燒主菜一份 日式放題 都會海逸酒店 千鶴日本料理 | 吃喝玩樂  2021 4k 香港好去處  美食 2021 消費券</v>
      </c>
      <c r="E4525" s="82">
        <v>44443.0</v>
      </c>
      <c r="F4525" s="80">
        <v>968.0</v>
      </c>
      <c r="G4525" s="80" t="s">
        <v>63</v>
      </c>
      <c r="I4525" s="80" t="s">
        <v>63</v>
      </c>
      <c r="J4525" s="80">
        <v>2510.0</v>
      </c>
      <c r="K4525" s="80">
        <v>0.98238747553816</v>
      </c>
      <c r="L4525" s="80" t="s">
        <v>64</v>
      </c>
    </row>
    <row r="4526">
      <c r="A4526" s="80" t="s">
        <v>1260</v>
      </c>
      <c r="B4526" s="81" t="str">
        <f>HYPERLINK("https://www.youtube.com/channel/UCh1k4i86BpiXEO3nzJIYynw", "The Wave")</f>
        <v>The Wave</v>
      </c>
      <c r="C4526" s="80" t="s">
        <v>4945</v>
      </c>
      <c r="D4526" s="81" t="str">
        <f>HYPERLINK("https://youtube.com/watch?v=xPzfqotkJ9c", "TheWave | 一張顯卡嘅開箱 😆😆😆😆 ASUS ROG STRIX RTX3090 O24G GAMING")</f>
        <v>TheWave | 一張顯卡嘅開箱 😆😆😆😆 ASUS ROG STRIX RTX3090 O24G GAMING</v>
      </c>
      <c r="E4526" s="82">
        <v>44247.0</v>
      </c>
      <c r="F4526" s="80">
        <v>161.0</v>
      </c>
      <c r="G4526" s="80" t="s">
        <v>63</v>
      </c>
      <c r="H4526" s="80" t="s">
        <v>63</v>
      </c>
      <c r="I4526" s="80" t="s">
        <v>63</v>
      </c>
      <c r="J4526" s="80">
        <v>475.0</v>
      </c>
      <c r="K4526" s="80">
        <v>0.706845238095238</v>
      </c>
      <c r="L4526" s="80" t="s">
        <v>1634</v>
      </c>
    </row>
    <row r="4527">
      <c r="A4527" s="80" t="s">
        <v>2780</v>
      </c>
      <c r="B4527" s="81" t="str">
        <f>HYPERLINK("https://www.youtube.com/channel/UC0CojhLcc0VESgaG633m5kA", "RainErs")</f>
        <v>RainErs</v>
      </c>
      <c r="C4527" s="80" t="s">
        <v>4946</v>
      </c>
      <c r="D4527" s="81" t="str">
        <f>HYPERLINK("https://youtube.com/watch?v=xQjgvISlrbs", "[開箱]開箱Mini 2--CP值最高!!最抵玩嘅DJI航拍機!//[有CC字幕]")</f>
        <v>[開箱]開箱Mini 2--CP值最高!!最抵玩嘅DJI航拍機!//[有CC字幕]</v>
      </c>
      <c r="E4527" s="82">
        <v>44293.0</v>
      </c>
      <c r="F4527" s="80">
        <v>616.0</v>
      </c>
      <c r="G4527" s="80" t="s">
        <v>63</v>
      </c>
      <c r="I4527" s="80" t="s">
        <v>63</v>
      </c>
      <c r="J4527" s="80">
        <v>1934.0</v>
      </c>
      <c r="K4527" s="80">
        <v>0.86377847253238</v>
      </c>
      <c r="L4527" s="80" t="s">
        <v>64</v>
      </c>
    </row>
    <row r="4528">
      <c r="A4528" s="80" t="s">
        <v>127</v>
      </c>
      <c r="B4528" s="81" t="str">
        <f>HYPERLINK("https://www.youtube.com/channel/UC97oYK3XMf9RLtkc0lO8C-Q", "健康旦 HiEggo")</f>
        <v>健康旦 HiEggo</v>
      </c>
      <c r="C4528" s="80" t="s">
        <v>4947</v>
      </c>
      <c r="D4528" s="81" t="str">
        <f>HYPERLINK("https://youtube.com/watch?v=xVjb6UWTy6s", "水痘康復後仍可再感染 病毒潛藏神經變生蛇 徐詩駿：圍繞一圈會死係假 - 鄭丹瑞《健康旦》感染及傳染病科專科醫生 #徐詩駿 Part 3 (CC中文字幕)")</f>
        <v>水痘康復後仍可再感染 病毒潛藏神經變生蛇 徐詩駿：圍繞一圈會死係假 - 鄭丹瑞《健康旦》感染及傳染病科專科醫生 #徐詩駿 Part 3 (CC中文字幕)</v>
      </c>
      <c r="E4528" s="82">
        <v>44115.0</v>
      </c>
      <c r="F4528" s="80">
        <v>613.0</v>
      </c>
      <c r="G4528" s="80" t="s">
        <v>63</v>
      </c>
      <c r="I4528" s="80" t="s">
        <v>63</v>
      </c>
      <c r="J4528" s="80">
        <v>2484.0</v>
      </c>
      <c r="K4528" s="80">
        <v>0.999195494770716</v>
      </c>
      <c r="L4528" s="80" t="s">
        <v>2771</v>
      </c>
    </row>
    <row r="4529">
      <c r="A4529" s="80" t="s">
        <v>295</v>
      </c>
      <c r="B4529" s="81" t="str">
        <f>HYPERLINK("https://www.youtube.com/channel/UCIotQRUz6c4H-BRsouLt4YQ", "Captain and his squad")</f>
        <v>Captain and his squad</v>
      </c>
      <c r="C4529" s="80" t="s">
        <v>4948</v>
      </c>
      <c r="D4529" s="81" t="str">
        <f>HYPERLINK("https://youtube.com/watch?v=xc517h6fAnA", "【教學】養狗必須用品清單 🐶 ｜📍Whiskers N Paws")</f>
        <v>【教學】養狗必須用品清單 🐶 ｜📍Whiskers N Paws</v>
      </c>
      <c r="E4529" s="82">
        <v>44182.0</v>
      </c>
      <c r="F4529" s="80">
        <v>918.0</v>
      </c>
      <c r="G4529" s="80" t="s">
        <v>63</v>
      </c>
      <c r="I4529" s="80" t="s">
        <v>63</v>
      </c>
      <c r="J4529" s="80">
        <v>4132.0</v>
      </c>
      <c r="K4529" s="80">
        <v>0.784954407294832</v>
      </c>
      <c r="L4529" s="80" t="s">
        <v>102</v>
      </c>
    </row>
    <row r="4530">
      <c r="A4530" s="80" t="s">
        <v>1606</v>
      </c>
      <c r="B4530" s="81" t="str">
        <f>HYPERLINK("https://www.youtube.com/channel/UCk25FUc8pLiP3A6Zniknxbg", "希治閣【遊戲情報科】")</f>
        <v>希治閣【遊戲情報科】</v>
      </c>
      <c r="C4530" s="80" t="s">
        <v>4949</v>
      </c>
      <c r="D4530" s="81" t="str">
        <f>HYPERLINK("https://youtube.com/watch?v=xcUE_cKlqVU", "【特別推介】搬竇最好買玩具！ PB限時免運又黎喇！")</f>
        <v>【特別推介】搬竇最好買玩具！ PB限時免運又黎喇！</v>
      </c>
      <c r="E4530" s="82">
        <v>44193.0</v>
      </c>
      <c r="F4530" s="80">
        <v>303.0</v>
      </c>
      <c r="G4530" s="80" t="s">
        <v>63</v>
      </c>
      <c r="I4530" s="80" t="s">
        <v>63</v>
      </c>
      <c r="J4530" s="80">
        <v>1238.0</v>
      </c>
      <c r="K4530" s="80">
        <v>0.783048703352308</v>
      </c>
      <c r="L4530" s="80" t="s">
        <v>64</v>
      </c>
    </row>
    <row r="4531">
      <c r="A4531" s="80" t="s">
        <v>4591</v>
      </c>
      <c r="B4531" s="81" t="str">
        <f>HYPERLINK("https://www.youtube.com/channel/UCeU642KPDehjsxLtyjdi2ww", "香港健身小老闆 Zoe 李芷慧")</f>
        <v>香港健身小老闆 Zoe 李芷慧</v>
      </c>
      <c r="C4531" s="80" t="s">
        <v>4950</v>
      </c>
      <c r="D4531" s="81" t="str">
        <f>HYPERLINK("https://youtube.com/watch?v=xdhDY_iy1OY", "香港超市 減肥必買(非生酮版) I 健身女教練獨家分享 【含字幕】")</f>
        <v>香港超市 減肥必買(非生酮版) I 健身女教練獨家分享 【含字幕】</v>
      </c>
      <c r="E4531" s="82">
        <v>43665.0</v>
      </c>
      <c r="F4531" s="80">
        <v>724.0</v>
      </c>
      <c r="G4531" s="80" t="s">
        <v>63</v>
      </c>
      <c r="I4531" s="80" t="s">
        <v>63</v>
      </c>
      <c r="J4531" s="80">
        <v>1827.0</v>
      </c>
      <c r="K4531" s="80">
        <v>0.965644820295983</v>
      </c>
      <c r="L4531" s="80" t="s">
        <v>64</v>
      </c>
    </row>
    <row r="4532">
      <c r="A4532" s="80" t="s">
        <v>1260</v>
      </c>
      <c r="B4532" s="81" t="str">
        <f t="shared" ref="B4532:B4533" si="241">HYPERLINK("https://www.youtube.com/channel/UCh1k4i86BpiXEO3nzJIYynw", "The Wave")</f>
        <v>The Wave</v>
      </c>
      <c r="C4532" s="80" t="s">
        <v>4951</v>
      </c>
      <c r="D4532" s="81" t="str">
        <f>HYPERLINK("https://youtube.com/watch?v=xopepZB8KeI", "TheWave | Xperia 1 II 最終評測 | 1個月嘅體驗 | 迷一般嘅操作？！ 兼容21:9 4K 全CC字幕")</f>
        <v>TheWave | Xperia 1 II 最終評測 | 1個月嘅體驗 | 迷一般嘅操作？！ 兼容21:9 4K 全CC字幕</v>
      </c>
      <c r="E4532" s="82">
        <v>44036.0</v>
      </c>
      <c r="F4532" s="80">
        <v>689.0</v>
      </c>
      <c r="G4532" s="80" t="s">
        <v>63</v>
      </c>
      <c r="H4532" s="80" t="s">
        <v>63</v>
      </c>
      <c r="I4532" s="80" t="s">
        <v>63</v>
      </c>
      <c r="J4532" s="80">
        <v>2156.0</v>
      </c>
      <c r="K4532" s="80">
        <v>0.760225669957686</v>
      </c>
      <c r="L4532" s="80" t="s">
        <v>1634</v>
      </c>
    </row>
    <row r="4533">
      <c r="A4533" s="80" t="s">
        <v>1260</v>
      </c>
      <c r="B4533" s="81" t="str">
        <f t="shared" si="241"/>
        <v>The Wave</v>
      </c>
      <c r="C4533" s="80" t="s">
        <v>4952</v>
      </c>
      <c r="D4533" s="81" t="str">
        <f>HYPERLINK("https://youtube.com/watch?v=xrkJZsNVS7M", "TheWave | Xperia Ear Duo 開箱  | 4K")</f>
        <v>TheWave | Xperia Ear Duo 開箱  | 4K</v>
      </c>
      <c r="E4533" s="82">
        <v>43248.0</v>
      </c>
      <c r="F4533" s="80">
        <v>376.0</v>
      </c>
      <c r="G4533" s="80" t="s">
        <v>63</v>
      </c>
      <c r="H4533" s="80" t="s">
        <v>63</v>
      </c>
      <c r="I4533" s="80" t="s">
        <v>63</v>
      </c>
      <c r="J4533" s="80">
        <v>637.0</v>
      </c>
      <c r="K4533" s="80">
        <v>0.898484848484848</v>
      </c>
      <c r="L4533" s="80" t="s">
        <v>120</v>
      </c>
    </row>
    <row r="4534">
      <c r="A4534" s="80" t="s">
        <v>1553</v>
      </c>
      <c r="B4534" s="81" t="str">
        <f>HYPERLINK("https://www.youtube.com/channel/UC5gQ01ai9nF2x43fYmO1vow", "Ck釣魚冒險")</f>
        <v>Ck釣魚冒險</v>
      </c>
      <c r="C4534" s="80" t="s">
        <v>4953</v>
      </c>
      <c r="D4534" s="81" t="str">
        <f>HYPERLINK("https://youtube.com/watch?v=xt1QVRWqvaY", "【Jig】布吉遠征 Jigging 釣魚 鐵板爆釣! #3 Roy哥爆釣旅 / プーケット遠征 ジギング #3📣CC字幕")</f>
        <v>【Jig】布吉遠征 Jigging 釣魚 鐵板爆釣! #3 Roy哥爆釣旅 / プーケット遠征 ジギング #3📣CC字幕</v>
      </c>
      <c r="E4534" s="82">
        <v>44039.0</v>
      </c>
      <c r="F4534" s="80">
        <v>897.0</v>
      </c>
      <c r="G4534" s="80" t="s">
        <v>63</v>
      </c>
      <c r="I4534" s="80" t="s">
        <v>63</v>
      </c>
      <c r="J4534" s="80">
        <v>1389.0</v>
      </c>
      <c r="K4534" s="80">
        <v>0.893247588424437</v>
      </c>
      <c r="L4534" s="80" t="s">
        <v>64</v>
      </c>
    </row>
    <row r="4535">
      <c r="A4535" s="80" t="s">
        <v>248</v>
      </c>
      <c r="B4535" s="81" t="str">
        <f>HYPERLINK("https://www.youtube.com/channel/UCUEJok-GiWaGlv5nIPwk-GQ", "Price.com.hk 香港格價網")</f>
        <v>Price.com.hk 香港格價網</v>
      </c>
      <c r="C4535" s="80" t="s">
        <v>4954</v>
      </c>
      <c r="D4535" s="81" t="str">
        <f>HYPERLINK("https://youtube.com/watch?v=xtM22NbQ320", "Galaxy S21 FE 5G 售價曝光．LG首創16:18比例 全新DualUp顯示器．俄機械人公司 20萬美金買斷你個樣 | 廣東話【Price Weekly #94 2021年12月】")</f>
        <v>Galaxy S21 FE 5G 售價曝光．LG首創16:18比例 全新DualUp顯示器．俄機械人公司 20萬美金買斷你個樣 | 廣東話【Price Weekly #94 2021年12月】</v>
      </c>
      <c r="E4535" s="82">
        <v>44555.0</v>
      </c>
      <c r="F4535" s="80">
        <v>388.0</v>
      </c>
      <c r="G4535" s="80" t="s">
        <v>63</v>
      </c>
      <c r="I4535" s="80" t="s">
        <v>63</v>
      </c>
      <c r="J4535" s="80">
        <v>1325.0</v>
      </c>
      <c r="K4535" s="80">
        <v>0.768115942028985</v>
      </c>
      <c r="L4535" s="80" t="s">
        <v>64</v>
      </c>
    </row>
    <row r="4536">
      <c r="A4536" s="80" t="s">
        <v>3021</v>
      </c>
      <c r="B4536" s="81" t="str">
        <f>HYPERLINK("https://www.youtube.com/channel/UCEZ8fnigqno2a1z2_JSYjxQ", "9up Youtuber")</f>
        <v>9up Youtuber</v>
      </c>
      <c r="C4536" s="80" t="s">
        <v>4955</v>
      </c>
      <c r="D4536" s="81" t="str">
        <f>HYPERLINK("https://youtube.com/watch?v=xvfsSGX-4iE", "小米9 香港月亮都影到!(有字幕)小米勁過華為！|9up教學")</f>
        <v>小米9 香港月亮都影到!(有字幕)小米勁過華為！|9up教學</v>
      </c>
      <c r="E4536" s="82">
        <v>43599.0</v>
      </c>
      <c r="F4536" s="80">
        <v>97.0</v>
      </c>
      <c r="G4536" s="80" t="s">
        <v>63</v>
      </c>
      <c r="I4536" s="80" t="s">
        <v>63</v>
      </c>
      <c r="J4536" s="80">
        <v>206.0</v>
      </c>
      <c r="K4536" s="80">
        <v>0.919642857142857</v>
      </c>
      <c r="L4536" s="80" t="s">
        <v>64</v>
      </c>
    </row>
    <row r="4537">
      <c r="A4537" s="80" t="s">
        <v>238</v>
      </c>
      <c r="B4537" s="81" t="str">
        <f t="shared" ref="B4537:B4538" si="242">HYPERLINK("https://www.youtube.com/channel/UCSBkm4LwpgBmcA3MCtO8vqg", "Post76影音玩樂")</f>
        <v>Post76影音玩樂</v>
      </c>
      <c r="C4537" s="80" t="s">
        <v>4956</v>
      </c>
      <c r="D4537" s="81" t="str">
        <f>HYPERLINK("https://youtube.com/watch?v=xwaW5kfy82I", "Samsung QN900A Neo QLED 8K 智能電視 + Samsung HW-Q950A 全景聲11.1.4 Soundbar 西裝返歸玩：電視篇（全站遊戲｜附設cc字幕）【影音家訪】")</f>
        <v>Samsung QN900A Neo QLED 8K 智能電視 + Samsung HW-Q950A 全景聲11.1.4 Soundbar 西裝返歸玩：電視篇（全站遊戲｜附設cc字幕）【影音家訪】</v>
      </c>
      <c r="E4537" s="82">
        <v>44475.0</v>
      </c>
      <c r="F4537" s="80">
        <v>817.0</v>
      </c>
      <c r="G4537" s="80" t="s">
        <v>63</v>
      </c>
      <c r="H4537" s="80" t="s">
        <v>63</v>
      </c>
      <c r="I4537" s="80" t="s">
        <v>63</v>
      </c>
      <c r="J4537" s="80">
        <v>3245.0</v>
      </c>
      <c r="K4537" s="80">
        <v>0.873485868102288</v>
      </c>
      <c r="L4537" s="80" t="s">
        <v>66</v>
      </c>
    </row>
    <row r="4538">
      <c r="A4538" s="80" t="s">
        <v>238</v>
      </c>
      <c r="B4538" s="81" t="str">
        <f t="shared" si="242"/>
        <v>Post76影音玩樂</v>
      </c>
      <c r="C4538" s="80" t="s">
        <v>4957</v>
      </c>
      <c r="D4538" s="81" t="str">
        <f>HYPERLINK("https://youtube.com/watch?v=xwyI0RDX3XA", "係咪真好聲!? JBL LIVE FREE NC+ TWS &amp; Reflect Mini NC 真無線降噪耳機 | 粵語 | 雙中文字幕【耳機評測 | Post76.hk】")</f>
        <v>係咪真好聲!? JBL LIVE FREE NC+ TWS &amp; Reflect Mini NC 真無線降噪耳機 | 粵語 | 雙中文字幕【耳機評測 | Post76.hk】</v>
      </c>
      <c r="E4538" s="82">
        <v>44180.0</v>
      </c>
      <c r="F4538" s="80">
        <v>1184.0</v>
      </c>
      <c r="G4538" s="80" t="s">
        <v>63</v>
      </c>
      <c r="H4538" s="80" t="s">
        <v>63</v>
      </c>
      <c r="I4538" s="80" t="s">
        <v>63</v>
      </c>
      <c r="J4538" s="80">
        <v>4447.0</v>
      </c>
      <c r="K4538" s="80">
        <v>0.772959705461239</v>
      </c>
      <c r="L4538" s="80" t="s">
        <v>66</v>
      </c>
    </row>
    <row r="4539">
      <c r="A4539" s="80" t="s">
        <v>3757</v>
      </c>
      <c r="B4539" s="81" t="str">
        <f>HYPERLINK("https://www.youtube.com/channel/UCjJcc0em0PqOtUUQr9KxBuQ", "Fat’n’Skinny一肥一瘦")</f>
        <v>Fat’n’Skinny一肥一瘦</v>
      </c>
      <c r="C4539" s="80" t="s">
        <v>4958</v>
      </c>
      <c r="D4539" s="81" t="str">
        <f>HYPERLINK("https://youtube.com/watch?v=y1ofogvtgRc", "[飲飲食食] 元朗｜校長燒肉火鍋放題 | 韓燒 | 點心| 任飲任食｜特價時段包刺身 | CC字幕")</f>
        <v>[飲飲食食] 元朗｜校長燒肉火鍋放題 | 韓燒 | 點心| 任飲任食｜特價時段包刺身 | CC字幕</v>
      </c>
      <c r="E4539" s="82">
        <v>44314.0</v>
      </c>
      <c r="F4539" s="80">
        <v>484.0</v>
      </c>
      <c r="G4539" s="80" t="s">
        <v>63</v>
      </c>
      <c r="I4539" s="80" t="s">
        <v>63</v>
      </c>
      <c r="J4539" s="80">
        <v>1239.0</v>
      </c>
      <c r="K4539" s="80">
        <v>0.962703962703962</v>
      </c>
      <c r="L4539" s="80" t="s">
        <v>64</v>
      </c>
    </row>
    <row r="4540">
      <c r="A4540" s="80" t="s">
        <v>127</v>
      </c>
      <c r="B4540" s="81" t="str">
        <f>HYPERLINK("https://www.youtube.com/channel/UC97oYK3XMf9RLtkc0lO8C-Q", "健康旦 HiEggo")</f>
        <v>健康旦 HiEggo</v>
      </c>
      <c r="C4540" s="80" t="s">
        <v>4959</v>
      </c>
      <c r="D4540" s="81" t="str">
        <f>HYPERLINK("https://youtube.com/watch?v=y7dqR3HtdwA", "郭富城圓滿完成演唱會初心 承諾慈善基金將繼續助人 郭富城網上慈善演唱會(Dancers謝謝儂篇) - 鄭丹瑞《健康旦》#郭富城")</f>
        <v>郭富城圓滿完成演唱會初心 承諾慈善基金將繼續助人 郭富城網上慈善演唱會(Dancers謝謝儂篇) - 鄭丹瑞《健康旦》#郭富城</v>
      </c>
      <c r="E4540" s="82">
        <v>43995.0</v>
      </c>
      <c r="F4540" s="80">
        <v>586.0</v>
      </c>
      <c r="G4540" s="80" t="s">
        <v>63</v>
      </c>
      <c r="I4540" s="80" t="s">
        <v>63</v>
      </c>
      <c r="J4540" s="80">
        <v>1488.0</v>
      </c>
      <c r="K4540" s="80">
        <v>0.904559270516717</v>
      </c>
      <c r="L4540" s="80" t="s">
        <v>64</v>
      </c>
    </row>
    <row r="4541">
      <c r="A4541" s="80" t="s">
        <v>293</v>
      </c>
      <c r="B4541" s="81" t="str">
        <f>HYPERLINK("https://www.youtube.com/channel/UCXRcbXqjORdIvl63I7MtOLQ", "趁熱 Kerry 's kitchen")</f>
        <v>趁熱 Kerry 's kitchen</v>
      </c>
      <c r="C4541" s="80" t="s">
        <v>4960</v>
      </c>
      <c r="D4541" s="81" t="str">
        <f>HYPERLINK("https://youtube.com/watch?v=y8P_xA0gO5Y", "合桃露/合桃雪糕 曲奇/簡單 家做/無須焗合桃/無須雪糕機/#廣東話/中字幕")</f>
        <v>合桃露/合桃雪糕 曲奇/簡單 家做/無須焗合桃/無須雪糕機/#廣東話/中字幕</v>
      </c>
      <c r="E4541" s="82">
        <v>44382.0</v>
      </c>
      <c r="F4541" s="80">
        <v>672.0</v>
      </c>
      <c r="G4541" s="80" t="s">
        <v>63</v>
      </c>
      <c r="I4541" s="80" t="s">
        <v>63</v>
      </c>
      <c r="J4541" s="80">
        <v>1720.0</v>
      </c>
      <c r="K4541" s="80">
        <v>0.964666292765002</v>
      </c>
      <c r="L4541" s="80" t="s">
        <v>64</v>
      </c>
    </row>
    <row r="4542">
      <c r="A4542" s="80" t="s">
        <v>127</v>
      </c>
      <c r="B4542" s="81" t="str">
        <f t="shared" ref="B4542:B4543" si="243">HYPERLINK("https://www.youtube.com/channel/UC97oYK3XMf9RLtkc0lO8C-Q", "健康旦 HiEggo")</f>
        <v>健康旦 HiEggo</v>
      </c>
      <c r="C4542" s="80" t="s">
        <v>4961</v>
      </c>
      <c r="D4542" s="81" t="str">
        <f>HYPERLINK("https://youtube.com/watch?v=y9OewX0IC3U", "TVB張穎康曾患銀屑病指甲變型 全身紅疹皮膚一撻撻 皮膚科醫生：壓力大情緒差最易誘發 - 鄭丹瑞《健康旦》#張穎康 皮膚科專科醫生 #馮偉傑 Part 1 (CC中文字幕)")</f>
        <v>TVB張穎康曾患銀屑病指甲變型 全身紅疹皮膚一撻撻 皮膚科醫生：壓力大情緒差最易誘發 - 鄭丹瑞《健康旦》#張穎康 皮膚科專科醫生 #馮偉傑 Part 1 (CC中文字幕)</v>
      </c>
      <c r="E4542" s="82">
        <v>44099.0</v>
      </c>
      <c r="F4542" s="80">
        <v>644.0</v>
      </c>
      <c r="G4542" s="80" t="s">
        <v>63</v>
      </c>
      <c r="I4542" s="80" t="s">
        <v>63</v>
      </c>
      <c r="J4542" s="80">
        <v>2790.0</v>
      </c>
      <c r="K4542" s="80">
        <v>0.988660524450744</v>
      </c>
      <c r="L4542" s="80" t="s">
        <v>2771</v>
      </c>
    </row>
    <row r="4543">
      <c r="A4543" s="80" t="s">
        <v>127</v>
      </c>
      <c r="B4543" s="81" t="str">
        <f t="shared" si="243"/>
        <v>健康旦 HiEggo</v>
      </c>
      <c r="C4543" s="80" t="s">
        <v>4962</v>
      </c>
      <c r="D4543" s="81" t="str">
        <f>HYPERLINK("https://youtube.com/watch?v=yGkeyhP6CrQ", "廁所低頭族毫不衛生 沖手當洗手睇到人炆 - 鄭丹瑞《健康旦》Vlog")</f>
        <v>廁所低頭族毫不衛生 沖手當洗手睇到人炆 - 鄭丹瑞《健康旦》Vlog</v>
      </c>
      <c r="E4543" s="82">
        <v>43929.0</v>
      </c>
      <c r="F4543" s="80">
        <v>607.0</v>
      </c>
      <c r="G4543" s="80" t="s">
        <v>63</v>
      </c>
      <c r="I4543" s="80" t="s">
        <v>63</v>
      </c>
      <c r="J4543" s="80">
        <v>2103.0</v>
      </c>
      <c r="K4543" s="80">
        <v>0.98225128444652</v>
      </c>
      <c r="L4543" s="80" t="s">
        <v>102</v>
      </c>
    </row>
    <row r="4544">
      <c r="A4544" s="80" t="s">
        <v>108</v>
      </c>
      <c r="B4544" s="81" t="str">
        <f>HYPERLINK("https://www.youtube.com/channel/UCZL6QN6Xs-ZrKY3y6Pv6Emg", "廢青 - 日賺3000")</f>
        <v>廢青 - 日賺3000</v>
      </c>
      <c r="C4544" s="80" t="s">
        <v>4963</v>
      </c>
      <c r="D4544" s="81" t="str">
        <f>HYPERLINK("https://youtube.com/watch?v=yKNIFzMsAaQ", "買高息股票賺利息 ? 😫😫 小心被騙 !! 😫😫 EP03【廢青 日賺3000】【點CC看中文字幕】")</f>
        <v>買高息股票賺利息 ? 😫😫 小心被騙 !! 😫😫 EP03【廢青 日賺3000】【點CC看中文字幕】</v>
      </c>
      <c r="E4544" s="82">
        <v>43831.0</v>
      </c>
      <c r="F4544" s="80">
        <v>605.0</v>
      </c>
      <c r="G4544" s="80" t="s">
        <v>63</v>
      </c>
      <c r="I4544" s="80" t="s">
        <v>63</v>
      </c>
      <c r="J4544" s="80">
        <v>1985.0</v>
      </c>
      <c r="K4544" s="80">
        <v>0.91728280961183</v>
      </c>
      <c r="L4544" s="80" t="s">
        <v>64</v>
      </c>
    </row>
    <row r="4545">
      <c r="A4545" s="80" t="s">
        <v>1260</v>
      </c>
      <c r="B4545" s="81" t="str">
        <f>HYPERLINK("https://www.youtube.com/channel/UCh1k4i86BpiXEO3nzJIYynw", "The Wave")</f>
        <v>The Wave</v>
      </c>
      <c r="C4545" s="80" t="s">
        <v>4964</v>
      </c>
      <c r="D4545" s="81" t="str">
        <f>HYPERLINK("https://youtube.com/watch?v=yLGG5RfvuCs", "TheWave | WF-1000XM3 純 開箱")</f>
        <v>TheWave | WF-1000XM3 純 開箱</v>
      </c>
      <c r="E4545" s="82">
        <v>43657.0</v>
      </c>
      <c r="F4545" s="80">
        <v>147.0</v>
      </c>
      <c r="G4545" s="80" t="s">
        <v>63</v>
      </c>
      <c r="H4545" s="80" t="s">
        <v>63</v>
      </c>
      <c r="I4545" s="80" t="s">
        <v>63</v>
      </c>
      <c r="J4545" s="80">
        <v>500.0</v>
      </c>
      <c r="K4545" s="80">
        <v>0.727678571428571</v>
      </c>
      <c r="L4545" s="80" t="s">
        <v>1634</v>
      </c>
    </row>
    <row r="4546">
      <c r="A4546" s="80" t="s">
        <v>1987</v>
      </c>
      <c r="B4546" s="81" t="str">
        <f>HYPERLINK("https://www.youtube.com/channel/UCgGUmm04nVyj-ftaCxVcyBg", "MangoHK大馬獅家")</f>
        <v>MangoHK大馬獅家</v>
      </c>
      <c r="C4546" s="80" t="s">
        <v>4965</v>
      </c>
      <c r="D4546" s="81" t="str">
        <f>HYPERLINK("https://youtube.com/watch?v=yLthC7iGITM", "【80】🐷大馬買豬肉🤨難度在那兒？{中英字幕}  Subtitled | Malaysia Pork Shop | Malaysia Vlog | mm2h")</f>
        <v>【80】🐷大馬買豬肉🤨難度在那兒？{中英字幕}  Subtitled | Malaysia Pork Shop | Malaysia Vlog | mm2h</v>
      </c>
      <c r="E4546" s="82">
        <v>44507.0</v>
      </c>
      <c r="F4546" s="80">
        <v>425.0</v>
      </c>
      <c r="G4546" s="80" t="s">
        <v>63</v>
      </c>
      <c r="I4546" s="80" t="s">
        <v>63</v>
      </c>
      <c r="J4546" s="80">
        <v>1011.0</v>
      </c>
      <c r="K4546" s="80">
        <v>0.980601357904946</v>
      </c>
      <c r="L4546" s="80" t="s">
        <v>896</v>
      </c>
    </row>
    <row r="4547">
      <c r="A4547" s="80" t="s">
        <v>3021</v>
      </c>
      <c r="B4547" s="81" t="str">
        <f>HYPERLINK("https://www.youtube.com/channel/UCEZ8fnigqno2a1z2_JSYjxQ", "9up Youtuber")</f>
        <v>9up Youtuber</v>
      </c>
      <c r="C4547" s="80" t="s">
        <v>4966</v>
      </c>
      <c r="D4547" s="81" t="str">
        <f>HYPERLINK("https://youtube.com/watch?v=yN81WTMvaEU", "麥當勞隱藏最環保食法|9up教學")</f>
        <v>麥當勞隱藏最環保食法|9up教學</v>
      </c>
      <c r="E4547" s="82">
        <v>43588.0</v>
      </c>
      <c r="F4547" s="80">
        <v>113.0</v>
      </c>
      <c r="G4547" s="80" t="s">
        <v>63</v>
      </c>
      <c r="I4547" s="80" t="s">
        <v>63</v>
      </c>
      <c r="J4547" s="80">
        <v>554.0</v>
      </c>
      <c r="K4547" s="80">
        <v>0.917218543046357</v>
      </c>
      <c r="L4547" s="80" t="s">
        <v>64</v>
      </c>
    </row>
    <row r="4548">
      <c r="A4548" s="80" t="s">
        <v>295</v>
      </c>
      <c r="B4548" s="81" t="str">
        <f>HYPERLINK("https://www.youtube.com/channel/UCIotQRUz6c4H-BRsouLt4YQ", "Captain and his squad")</f>
        <v>Captain and his squad</v>
      </c>
      <c r="C4548" s="80" t="s">
        <v>4967</v>
      </c>
      <c r="D4548" s="81" t="str">
        <f>HYPERLINK("https://youtube.com/watch?v=yNOfPCo0Zs4", "【 教學 ep.9 : 點樣可以令狗狗愛上主人? 🐾💘 愛上聽人講嘢? 】究竟 Captain 鍾唔鍾意訓練?｜關係、信任、溝通基礎全揭秘《Captain 狗隻訓練📍山頂公園一日遊》(cc中英字幕)")</f>
        <v>【 教學 ep.9 : 點樣可以令狗狗愛上主人? 🐾💘 愛上聽人講嘢? 】究竟 Captain 鍾唔鍾意訓練?｜關係、信任、溝通基礎全揭秘《Captain 狗隻訓練📍山頂公園一日遊》(cc中英字幕)</v>
      </c>
      <c r="E4548" s="82">
        <v>44099.0</v>
      </c>
      <c r="F4548" s="80">
        <v>483.0</v>
      </c>
      <c r="G4548" s="80" t="s">
        <v>63</v>
      </c>
      <c r="H4548" s="80" t="s">
        <v>63</v>
      </c>
      <c r="I4548" s="80" t="s">
        <v>63</v>
      </c>
      <c r="J4548" s="80">
        <v>2115.0</v>
      </c>
      <c r="K4548" s="80">
        <v>0.918805412972468</v>
      </c>
      <c r="L4548" s="80" t="s">
        <v>1155</v>
      </c>
    </row>
    <row r="4549">
      <c r="A4549" s="80" t="s">
        <v>2829</v>
      </c>
      <c r="B4549" s="81" t="str">
        <f>HYPERLINK("https://www.youtube.com/channel/UC7GnES6AEQlDzaP04UqtyjA", "SOLID IDEA")</f>
        <v>SOLID IDEA</v>
      </c>
      <c r="C4549" s="80" t="s">
        <v>4968</v>
      </c>
      <c r="D4549" s="81" t="str">
        <f>HYPERLINK("https://youtube.com/watch?v=yOCYmJZmz4o", "[#設計概念] #逸瓏灣8 #輕裝修的美感 | 室內設計 | 空間擺位 | SOLID IDEA |")</f>
        <v>[#設計概念] #逸瓏灣8 #輕裝修的美感 | 室內設計 | 空間擺位 | SOLID IDEA |</v>
      </c>
      <c r="E4549" s="82">
        <v>44502.0</v>
      </c>
      <c r="F4549" s="80">
        <v>193.0</v>
      </c>
      <c r="G4549" s="80" t="s">
        <v>63</v>
      </c>
      <c r="I4549" s="80" t="s">
        <v>63</v>
      </c>
      <c r="J4549" s="80">
        <v>593.0</v>
      </c>
      <c r="K4549" s="80">
        <v>0.908116385911179</v>
      </c>
      <c r="L4549" s="80" t="s">
        <v>64</v>
      </c>
    </row>
    <row r="4550">
      <c r="A4550" s="80" t="s">
        <v>127</v>
      </c>
      <c r="B4550" s="81" t="str">
        <f t="shared" ref="B4550:B4551" si="244">HYPERLINK("https://www.youtube.com/channel/UC97oYK3XMf9RLtkc0lO8C-Q", "健康旦 HiEggo")</f>
        <v>健康旦 HiEggo</v>
      </c>
      <c r="C4550" s="80" t="s">
        <v>4969</v>
      </c>
      <c r="D4550" s="81" t="str">
        <f>HYPERLINK("https://youtube.com/watch?v=yTA6zIoGjg8", "黃淑儀GiGi姐換膝手術 前因關高踭鞋事 傷筋動骨後點都要抖一百日 - 鄭丹瑞《健康旦》黃淑儀 Part 1 (CC中文字幕)")</f>
        <v>黃淑儀GiGi姐換膝手術 前因關高踭鞋事 傷筋動骨後點都要抖一百日 - 鄭丹瑞《健康旦》黃淑儀 Part 1 (CC中文字幕)</v>
      </c>
      <c r="E4550" s="82">
        <v>43919.0</v>
      </c>
      <c r="F4550" s="80">
        <v>693.0</v>
      </c>
      <c r="G4550" s="80" t="s">
        <v>63</v>
      </c>
      <c r="I4550" s="80" t="s">
        <v>63</v>
      </c>
      <c r="J4550" s="80">
        <v>2511.0</v>
      </c>
      <c r="K4550" s="80">
        <v>0.985478806907378</v>
      </c>
      <c r="L4550" s="80" t="s">
        <v>102</v>
      </c>
    </row>
    <row r="4551">
      <c r="A4551" s="80" t="s">
        <v>127</v>
      </c>
      <c r="B4551" s="81" t="str">
        <f t="shared" si="244"/>
        <v>健康旦 HiEggo</v>
      </c>
      <c r="C4551" s="80" t="s">
        <v>4970</v>
      </c>
      <c r="D4551" s="81" t="str">
        <f>HYPERLINK("https://youtube.com/watch?v=yVs8MCod8Aw", "阿旦聯同音樂劇導演陳恩碩 共同創作健康旦抗疫歌 自編自導自曲自詞嘅熱誠 - 鄭丹瑞《健康旦》陳恩碩（CC中文字幕）")</f>
        <v>阿旦聯同音樂劇導演陳恩碩 共同創作健康旦抗疫歌 自編自導自曲自詞嘅熱誠 - 鄭丹瑞《健康旦》陳恩碩（CC中文字幕）</v>
      </c>
      <c r="E4551" s="82">
        <v>43960.0</v>
      </c>
      <c r="F4551" s="80">
        <v>795.0</v>
      </c>
      <c r="G4551" s="80" t="s">
        <v>63</v>
      </c>
      <c r="I4551" s="80" t="s">
        <v>63</v>
      </c>
      <c r="J4551" s="80">
        <v>3223.0</v>
      </c>
      <c r="K4551" s="80">
        <v>0.98502444987775</v>
      </c>
      <c r="L4551" s="80" t="s">
        <v>64</v>
      </c>
    </row>
    <row r="4552">
      <c r="A4552" s="80" t="s">
        <v>1594</v>
      </c>
      <c r="B4552" s="81" t="str">
        <f>HYPERLINK("https://www.youtube.com/channel/UCUtm1awT2EO9D7uJ2OlMcTQ", "黐住這一家 Sticky Love Family")</f>
        <v>黐住這一家 Sticky Love Family</v>
      </c>
      <c r="C4552" s="80" t="s">
        <v>4971</v>
      </c>
      <c r="D4552" s="81" t="str">
        <f>HYPERLINK("https://youtube.com/watch?v=yYHLPYqX6a8", "【親子 靜心時間💛】舒壓篇：☁️清心河流🐟 配音員媽媽聲音導航🎙️🧡")</f>
        <v>【親子 靜心時間💛】舒壓篇：☁️清心河流🐟 配音員媽媽聲音導航🎙️🧡</v>
      </c>
      <c r="E4552" s="82">
        <v>44424.0</v>
      </c>
      <c r="F4552" s="80">
        <v>476.0</v>
      </c>
      <c r="G4552" s="80" t="s">
        <v>63</v>
      </c>
      <c r="I4552" s="80" t="s">
        <v>63</v>
      </c>
      <c r="J4552" s="80">
        <v>843.0</v>
      </c>
      <c r="K4552" s="80">
        <v>0.995277449822904</v>
      </c>
      <c r="L4552" s="80" t="s">
        <v>287</v>
      </c>
    </row>
    <row r="4553">
      <c r="A4553" s="80" t="s">
        <v>2780</v>
      </c>
      <c r="B4553" s="81" t="str">
        <f>HYPERLINK("https://www.youtube.com/channel/UC0CojhLcc0VESgaG633m5kA", "RainErs")</f>
        <v>RainErs</v>
      </c>
      <c r="C4553" s="80" t="s">
        <v>4972</v>
      </c>
      <c r="D4553" s="81" t="str">
        <f>HYPERLINK("https://youtube.com/watch?v=y_c_i8dShXY", "[恐怖咩]美國傳奇恐怖都市傳說--拍攝期間出現靈異事件???//冇可能冇聽過!!![有CC字幕]")</f>
        <v>[恐怖咩]美國傳奇恐怖都市傳說--拍攝期間出現靈異事件???//冇可能冇聽過!!![有CC字幕]</v>
      </c>
      <c r="E4553" s="82">
        <v>44355.0</v>
      </c>
      <c r="F4553" s="80">
        <v>666.0</v>
      </c>
      <c r="G4553" s="80" t="s">
        <v>63</v>
      </c>
      <c r="I4553" s="80" t="s">
        <v>63</v>
      </c>
      <c r="J4553" s="80">
        <v>1554.0</v>
      </c>
      <c r="K4553" s="80">
        <v>0.954545454545454</v>
      </c>
      <c r="L4553" s="80" t="s">
        <v>64</v>
      </c>
    </row>
    <row r="4554">
      <c r="A4554" s="80" t="s">
        <v>238</v>
      </c>
      <c r="B4554" s="81" t="str">
        <f t="shared" ref="B4554:B4555" si="245">HYPERLINK("https://www.youtube.com/channel/UCSBkm4LwpgBmcA3MCtO8vqg", "Post76影音玩樂")</f>
        <v>Post76影音玩樂</v>
      </c>
      <c r="C4554" s="80" t="s">
        <v>4973</v>
      </c>
      <c r="D4554" s="81" t="str">
        <f>HYPERLINK("https://youtube.com/watch?v=ybJdrwp4GLY", "Nakamichi MV500 $1000蚊唔使 Hi-Res 性價比監聽耳機！？（附設cc字幕）【耳機評測】")</f>
        <v>Nakamichi MV500 $1000蚊唔使 Hi-Res 性價比監聽耳機！？（附設cc字幕）【耳機評測】</v>
      </c>
      <c r="E4554" s="82">
        <v>44526.0</v>
      </c>
      <c r="F4554" s="80">
        <v>416.0</v>
      </c>
      <c r="G4554" s="80" t="s">
        <v>63</v>
      </c>
      <c r="H4554" s="80" t="s">
        <v>63</v>
      </c>
      <c r="I4554" s="80" t="s">
        <v>63</v>
      </c>
      <c r="J4554" s="80">
        <v>1579.0</v>
      </c>
      <c r="K4554" s="80">
        <v>0.915213469633193</v>
      </c>
      <c r="L4554" s="80" t="s">
        <v>240</v>
      </c>
    </row>
    <row r="4555">
      <c r="A4555" s="80" t="s">
        <v>238</v>
      </c>
      <c r="B4555" s="81" t="str">
        <f t="shared" si="245"/>
        <v>Post76影音玩樂</v>
      </c>
      <c r="C4555" s="80" t="s">
        <v>4974</v>
      </c>
      <c r="D4555" s="81" t="str">
        <f>HYPERLINK("https://youtube.com/watch?v=ycVCnzmJH0o", "蝸居地震首選 : 全新 KEF KC62 超低音 Subwoofer 超詳盡測試 : 1000w大功率｜獨家Uni-Core｜保齡球袋大小（附設中文字幕）粵語 【超低音評測 | Post76.hk】")</f>
        <v>蝸居地震首選 : 全新 KEF KC62 超低音 Subwoofer 超詳盡測試 : 1000w大功率｜獨家Uni-Core｜保齡球袋大小（附設中文字幕）粵語 【超低音評測 | Post76.hk】</v>
      </c>
      <c r="E4555" s="82">
        <v>44329.0</v>
      </c>
      <c r="F4555" s="80">
        <v>1118.0</v>
      </c>
      <c r="G4555" s="80" t="s">
        <v>63</v>
      </c>
      <c r="H4555" s="80" t="s">
        <v>63</v>
      </c>
      <c r="I4555" s="80" t="s">
        <v>63</v>
      </c>
      <c r="J4555" s="80">
        <v>4434.0</v>
      </c>
      <c r="K4555" s="80">
        <v>0.896350023397285</v>
      </c>
      <c r="L4555" s="80" t="s">
        <v>66</v>
      </c>
    </row>
    <row r="4556">
      <c r="A4556" s="80" t="s">
        <v>1139</v>
      </c>
      <c r="B4556" s="81" t="str">
        <f>HYPERLINK("https://www.youtube.com/channel/UCw51gVFijIewmXH4tIR0ufw", "Crystal Zen")</f>
        <v>Crystal Zen</v>
      </c>
      <c r="C4556" s="80" t="s">
        <v>4975</v>
      </c>
      <c r="D4556" s="81" t="str">
        <f>HYPERLINK("https://youtube.com/watch?v=ykQV83FE-v8", "[水晶知多啲第四集] 月亮石真係感情石？")</f>
        <v>[水晶知多啲第四集] 月亮石真係感情石？</v>
      </c>
      <c r="E4556" s="82">
        <v>44020.0</v>
      </c>
      <c r="F4556" s="80">
        <v>476.0</v>
      </c>
      <c r="G4556" s="80" t="s">
        <v>63</v>
      </c>
      <c r="I4556" s="80" t="s">
        <v>63</v>
      </c>
      <c r="J4556" s="80">
        <v>1954.0</v>
      </c>
      <c r="K4556" s="80">
        <v>0.93047619047619</v>
      </c>
      <c r="L4556" s="80" t="s">
        <v>64</v>
      </c>
    </row>
    <row r="4557">
      <c r="A4557" s="80" t="s">
        <v>127</v>
      </c>
      <c r="B4557" s="81" t="str">
        <f t="shared" ref="B4557:B4558" si="246">HYPERLINK("https://www.youtube.com/channel/UC97oYK3XMf9RLtkc0lO8C-Q", "健康旦 HiEggo")</f>
        <v>健康旦 HiEggo</v>
      </c>
      <c r="C4557" s="80" t="s">
        <v>4976</v>
      </c>
      <c r="D4557" s="81" t="str">
        <f>HYPERLINK("https://youtube.com/watch?v=yl7v5mysvV0", "孕婦運動唔怕做 脊骨神經科醫生：盆骨護理對母子好重要 教五組孕婦適合小運動 - 鄭丹瑞《健康旦》#陳若瑩 醫生 (CC中文字幕)")</f>
        <v>孕婦運動唔怕做 脊骨神經科醫生：盆骨護理對母子好重要 教五組孕婦適合小運動 - 鄭丹瑞《健康旦》#陳若瑩 醫生 (CC中文字幕)</v>
      </c>
      <c r="E4557" s="82">
        <v>43993.0</v>
      </c>
      <c r="F4557" s="80">
        <v>797.0</v>
      </c>
      <c r="G4557" s="80" t="s">
        <v>63</v>
      </c>
      <c r="I4557" s="80" t="s">
        <v>63</v>
      </c>
      <c r="J4557" s="80">
        <v>3214.0</v>
      </c>
      <c r="K4557" s="80">
        <v>0.943075117370892</v>
      </c>
      <c r="L4557" s="80" t="s">
        <v>64</v>
      </c>
    </row>
    <row r="4558">
      <c r="A4558" s="80" t="s">
        <v>127</v>
      </c>
      <c r="B4558" s="81" t="str">
        <f t="shared" si="246"/>
        <v>健康旦 HiEggo</v>
      </c>
      <c r="C4558" s="80" t="s">
        <v>4977</v>
      </c>
      <c r="D4558" s="81" t="str">
        <f>HYPERLINK("https://youtube.com/watch?v=ytjmuQm3c_M", "喬寶寶印度咖哩 阿旦即場試食 一叮成名後印度同鄉叫喬寶寶「南亞裔天王巨星殘酷一叮 Gill Mohinderpaul Singh」 - 鄭丹瑞《健康旦》喬寶寶 Part 4 (CC中文字幕)")</f>
        <v>喬寶寶印度咖哩 阿旦即場試食 一叮成名後印度同鄉叫喬寶寶「南亞裔天王巨星殘酷一叮 Gill Mohinderpaul Singh」 - 鄭丹瑞《健康旦》喬寶寶 Part 4 (CC中文字幕)</v>
      </c>
      <c r="E4558" s="82">
        <v>43891.0</v>
      </c>
      <c r="F4558" s="80">
        <v>690.0</v>
      </c>
      <c r="G4558" s="80" t="s">
        <v>63</v>
      </c>
      <c r="I4558" s="80" t="s">
        <v>63</v>
      </c>
      <c r="J4558" s="80">
        <v>2193.0</v>
      </c>
      <c r="K4558" s="80">
        <v>0.82258064516129</v>
      </c>
      <c r="L4558" s="80" t="s">
        <v>102</v>
      </c>
    </row>
    <row r="4559">
      <c r="A4559" s="80" t="s">
        <v>2829</v>
      </c>
      <c r="B4559" s="81" t="str">
        <f>HYPERLINK("https://www.youtube.com/channel/UC7GnES6AEQlDzaP04UqtyjA", "SOLID IDEA")</f>
        <v>SOLID IDEA</v>
      </c>
      <c r="C4559" s="80" t="s">
        <v>4978</v>
      </c>
      <c r="D4559" s="81" t="str">
        <f>HYPERLINK("https://youtube.com/watch?v=yu3oXUevbP4", "[#實境拍攝] #天鑽 又一個工程完成度高既單位 | 室內設計 | 空間擺位 | SOLID IDEA | (CC中文字幕)")</f>
        <v>[#實境拍攝] #天鑽 又一個工程完成度高既單位 | 室內設計 | 空間擺位 | SOLID IDEA | (CC中文字幕)</v>
      </c>
      <c r="E4559" s="82">
        <v>44547.0</v>
      </c>
      <c r="F4559" s="80">
        <v>123.0</v>
      </c>
      <c r="G4559" s="80" t="s">
        <v>63</v>
      </c>
      <c r="I4559" s="80" t="s">
        <v>63</v>
      </c>
      <c r="J4559" s="80">
        <v>182.0</v>
      </c>
      <c r="K4559" s="80">
        <v>0.838709677419354</v>
      </c>
      <c r="L4559" s="80" t="s">
        <v>64</v>
      </c>
    </row>
    <row r="4560">
      <c r="A4560" s="80" t="s">
        <v>124</v>
      </c>
      <c r="B4560" s="81" t="str">
        <f>HYPERLINK("https://www.youtube.com/channel/UCg0vuSE0fBF_NvodyYhMcWg", "Wallace Studio HK")</f>
        <v>Wallace Studio HK</v>
      </c>
      <c r="C4560" s="80" t="s">
        <v>4979</v>
      </c>
      <c r="D4560" s="81" t="str">
        <f>HYPERLINK("https://youtube.com/watch?v=yv1q6gga7Ow", "[詳細評測] Samsung Galaxy Z Fold 3 終極評測| 摺機好唔好用? | 手機新時代?")</f>
        <v>[詳細評測] Samsung Galaxy Z Fold 3 終極評測| 摺機好唔好用? | 手機新時代?</v>
      </c>
      <c r="E4560" s="82">
        <v>44472.0</v>
      </c>
      <c r="F4560" s="80">
        <v>864.0</v>
      </c>
      <c r="G4560" s="80" t="s">
        <v>63</v>
      </c>
      <c r="H4560" s="80" t="s">
        <v>63</v>
      </c>
      <c r="I4560" s="80" t="s">
        <v>63</v>
      </c>
      <c r="J4560" s="80">
        <v>3407.0</v>
      </c>
      <c r="K4560" s="80">
        <v>0.796028037383177</v>
      </c>
      <c r="L4560" s="80" t="s">
        <v>4980</v>
      </c>
    </row>
    <row r="4561">
      <c r="A4561" s="80" t="s">
        <v>293</v>
      </c>
      <c r="B4561" s="81" t="str">
        <f>HYPERLINK("https://www.youtube.com/channel/UCXRcbXqjORdIvl63I7MtOLQ", "趁熱 Kerry 's kitchen")</f>
        <v>趁熱 Kerry 's kitchen</v>
      </c>
      <c r="C4561" s="80" t="s">
        <v>4981</v>
      </c>
      <c r="D4561" s="81" t="str">
        <f>HYPERLINK("https://youtube.com/watch?v=yw4pIFr965o", "煎 魚柳/懷舊 港式/簡單 家做/栗米魚柳雜糧飯/新手入門/粵語/中字/cc subtitle")</f>
        <v>煎 魚柳/懷舊 港式/簡單 家做/栗米魚柳雜糧飯/新手入門/粵語/中字/cc subtitle</v>
      </c>
      <c r="E4561" s="82">
        <v>44307.0</v>
      </c>
      <c r="F4561" s="80">
        <v>485.0</v>
      </c>
      <c r="G4561" s="80" t="s">
        <v>63</v>
      </c>
      <c r="I4561" s="80" t="s">
        <v>63</v>
      </c>
      <c r="J4561" s="80">
        <v>1110.0</v>
      </c>
      <c r="K4561" s="80">
        <v>0.985790408525754</v>
      </c>
      <c r="L4561" s="80" t="s">
        <v>64</v>
      </c>
    </row>
    <row r="4562">
      <c r="A4562" s="80" t="s">
        <v>124</v>
      </c>
      <c r="B4562" s="81" t="str">
        <f>HYPERLINK("https://www.youtube.com/channel/UCg0vuSE0fBF_NvodyYhMcWg", "Wallace Studio HK")</f>
        <v>Wallace Studio HK</v>
      </c>
      <c r="C4562" s="80" t="s">
        <v>4982</v>
      </c>
      <c r="D4562" s="81" t="str">
        <f>HYPERLINK("https://youtube.com/watch?v=z1pKNVzhzHc", "[選購指南] 大學生手提電腦推薦 | Notebook Ownership Programme 年度大專手提電腦推薦 | 入大學揀咩電腦岩用？")</f>
        <v>[選購指南] 大學生手提電腦推薦 | Notebook Ownership Programme 年度大專手提電腦推薦 | 入大學揀咩電腦岩用？</v>
      </c>
      <c r="E4562" s="82">
        <v>44095.0</v>
      </c>
      <c r="F4562" s="80">
        <v>680.0</v>
      </c>
      <c r="G4562" s="80" t="s">
        <v>63</v>
      </c>
      <c r="I4562" s="80" t="s">
        <v>63</v>
      </c>
      <c r="J4562" s="80">
        <v>1766.0</v>
      </c>
      <c r="K4562" s="80">
        <v>0.556395715185885</v>
      </c>
      <c r="L4562" s="80" t="s">
        <v>64</v>
      </c>
    </row>
    <row r="4563">
      <c r="A4563" s="80" t="s">
        <v>2955</v>
      </c>
      <c r="B4563" s="81" t="str">
        <f>HYPERLINK("https://www.youtube.com/channel/UC1CFGd0qQVW6icz6Zv7bseQ", "八八卦卦")</f>
        <v>八八卦卦</v>
      </c>
      <c r="C4563" s="80" t="s">
        <v>4983</v>
      </c>
      <c r="D4563" s="81" t="str">
        <f>HYPERLINK("https://youtube.com/watch?v=z1u1cTBbS3I", "尼泊爾菜初體驗 辣到升天？！［feat.Tata］｜Momoz丨橙妹八卦開箱丨[CC 字幕]")</f>
        <v>尼泊爾菜初體驗 辣到升天？！［feat.Tata］｜Momoz丨橙妹八卦開箱丨[CC 字幕]</v>
      </c>
      <c r="E4563" s="82">
        <v>44445.0</v>
      </c>
      <c r="F4563" s="80">
        <v>715.0</v>
      </c>
      <c r="G4563" s="80" t="s">
        <v>63</v>
      </c>
      <c r="I4563" s="80" t="s">
        <v>63</v>
      </c>
      <c r="J4563" s="80">
        <v>1759.0</v>
      </c>
      <c r="K4563" s="80">
        <v>0.93913507741591</v>
      </c>
      <c r="L4563" s="80" t="s">
        <v>64</v>
      </c>
    </row>
    <row r="4564">
      <c r="A4564" s="80" t="s">
        <v>127</v>
      </c>
      <c r="B4564" s="81" t="str">
        <f>HYPERLINK("https://www.youtube.com/channel/UC97oYK3XMf9RLtkc0lO8C-Q", "健康旦 HiEggo")</f>
        <v>健康旦 HiEggo</v>
      </c>
      <c r="C4564" s="80" t="s">
        <v>4984</v>
      </c>
      <c r="D4564" s="81" t="str">
        <f>HYPERLINK("https://youtube.com/watch?v=z2vNlhjl4YQ", "蕭潮順親述許冠傑網上演唱會背後 由《健康旦》誕生講起（千祈咪去現場！！）- 鄭丹瑞《健康旦》蕭潮順")</f>
        <v>蕭潮順親述許冠傑網上演唱會背後 由《健康旦》誕生講起（千祈咪去現場！！）- 鄭丹瑞《健康旦》蕭潮順</v>
      </c>
      <c r="E4564" s="82">
        <v>43930.0</v>
      </c>
      <c r="F4564" s="80">
        <v>645.0</v>
      </c>
      <c r="G4564" s="80" t="s">
        <v>63</v>
      </c>
      <c r="I4564" s="80" t="s">
        <v>63</v>
      </c>
      <c r="J4564" s="80">
        <v>2244.0</v>
      </c>
      <c r="K4564" s="80">
        <v>0.960616438356164</v>
      </c>
      <c r="L4564" s="80" t="s">
        <v>102</v>
      </c>
    </row>
    <row r="4565">
      <c r="A4565" s="80" t="s">
        <v>1553</v>
      </c>
      <c r="B4565" s="81" t="str">
        <f>HYPERLINK("https://www.youtube.com/channel/UC5gQ01ai9nF2x43fYmO1vow", "Ck釣魚冒險")</f>
        <v>Ck釣魚冒險</v>
      </c>
      <c r="C4565" s="80" t="s">
        <v>4985</v>
      </c>
      <c r="D4565" s="81" t="str">
        <f>HYPERLINK("https://youtube.com/watch?v=z4WP4bieLd8", "【Jig】布吉遠征 Jigging 釣魚 爆釣! #1 /  プーケット遠征 ジギング #1📣CC字幕")</f>
        <v>【Jig】布吉遠征 Jigging 釣魚 爆釣! #1 /  プーケット遠征 ジギング #1📣CC字幕</v>
      </c>
      <c r="E4565" s="82">
        <v>43965.0</v>
      </c>
      <c r="F4565" s="80">
        <v>757.0</v>
      </c>
      <c r="G4565" s="80" t="s">
        <v>63</v>
      </c>
      <c r="I4565" s="80" t="s">
        <v>63</v>
      </c>
      <c r="J4565" s="80">
        <v>373.0</v>
      </c>
      <c r="K4565" s="80">
        <v>0.892344497607655</v>
      </c>
      <c r="L4565" s="80" t="s">
        <v>64</v>
      </c>
    </row>
    <row r="4566">
      <c r="A4566" s="80" t="s">
        <v>2800</v>
      </c>
      <c r="B4566" s="81" t="str">
        <f>HYPERLINK("https://www.youtube.com/channel/UCMqrlsr-AECPc6_3oDr8m9w", "Unicorn 獸哥")</f>
        <v>Unicorn 獸哥</v>
      </c>
      <c r="C4566" s="80" t="s">
        <v>4986</v>
      </c>
      <c r="D4566" s="81" t="str">
        <f>HYPERLINK("https://youtube.com/watch?v=z75zw34yurc", "求下你唔好再拍！垃圾中的垃圾 Resident Evil Welcome to Raccoon City")</f>
        <v>求下你唔好再拍！垃圾中的垃圾 Resident Evil Welcome to Raccoon City</v>
      </c>
      <c r="E4566" s="82">
        <v>44573.0</v>
      </c>
      <c r="F4566" s="80">
        <v>532.0</v>
      </c>
      <c r="G4566" s="80" t="s">
        <v>63</v>
      </c>
      <c r="I4566" s="80" t="s">
        <v>63</v>
      </c>
      <c r="J4566" s="80">
        <v>2468.0</v>
      </c>
      <c r="K4566" s="80">
        <v>0.848109965635738</v>
      </c>
      <c r="L4566" s="80" t="s">
        <v>64</v>
      </c>
    </row>
    <row r="4567">
      <c r="A4567" s="80" t="s">
        <v>2942</v>
      </c>
      <c r="B4567" s="81" t="str">
        <f>HYPERLINK("https://www.youtube.com/channel/UCFOFvhsNWMPHwvbfHl7K6qw", "司徒文進 CROSSBONE")</f>
        <v>司徒文進 CROSSBONE</v>
      </c>
      <c r="C4567" s="80" t="s">
        <v>4987</v>
      </c>
      <c r="D4567" s="81" t="str">
        <f>HYPERLINK("https://youtube.com/watch?v=z7W0TfiFaPw", "(中文字幕)（澳門博彩）糾正蕭若元先生對賭廳的一些看法")</f>
        <v>(中文字幕)（澳門博彩）糾正蕭若元先生對賭廳的一些看法</v>
      </c>
      <c r="E4567" s="82">
        <v>44537.0</v>
      </c>
      <c r="F4567" s="80">
        <v>329.0</v>
      </c>
      <c r="G4567" s="80" t="s">
        <v>63</v>
      </c>
      <c r="I4567" s="80" t="s">
        <v>63</v>
      </c>
      <c r="J4567" s="80">
        <v>1175.0</v>
      </c>
      <c r="K4567" s="80">
        <v>0.977537437603993</v>
      </c>
      <c r="L4567" s="80" t="s">
        <v>879</v>
      </c>
    </row>
    <row r="4568">
      <c r="A4568" s="80" t="s">
        <v>293</v>
      </c>
      <c r="B4568" s="81" t="str">
        <f>HYPERLINK("https://www.youtube.com/channel/UCXRcbXqjORdIvl63I7MtOLQ", "趁熱 Kerry 's kitchen")</f>
        <v>趁熱 Kerry 's kitchen</v>
      </c>
      <c r="C4568" s="80" t="s">
        <v>4988</v>
      </c>
      <c r="D4568" s="81" t="str">
        <f>HYPERLINK("https://youtube.com/watch?v=z8cUzD7Me34", "腐乳生啫唐生菜/唐生菜的兩種做法/唔會出水/超惹味/好餸飯/兒童 餐/新手 入門/素食 主義/簡單 家做/廣東話/中字/地道 香港")</f>
        <v>腐乳生啫唐生菜/唐生菜的兩種做法/唔會出水/超惹味/好餸飯/兒童 餐/新手 入門/素食 主義/簡單 家做/廣東話/中字/地道 香港</v>
      </c>
      <c r="E4568" s="82">
        <v>44526.0</v>
      </c>
      <c r="F4568" s="80">
        <v>530.0</v>
      </c>
      <c r="G4568" s="80" t="s">
        <v>63</v>
      </c>
      <c r="I4568" s="80" t="s">
        <v>63</v>
      </c>
      <c r="J4568" s="80">
        <v>868.0</v>
      </c>
      <c r="K4568" s="80">
        <v>0.984126984126984</v>
      </c>
      <c r="L4568" s="80" t="s">
        <v>64</v>
      </c>
    </row>
    <row r="4569">
      <c r="A4569" s="80" t="s">
        <v>1987</v>
      </c>
      <c r="B4569" s="81" t="str">
        <f>HYPERLINK("https://www.youtube.com/channel/UCgGUmm04nVyj-ftaCxVcyBg", "MangoHK大馬獅家")</f>
        <v>MangoHK大馬獅家</v>
      </c>
      <c r="C4569" s="80" t="s">
        <v>4989</v>
      </c>
      <c r="D4569" s="81" t="str">
        <f>HYPERLINK("https://youtube.com/watch?v=zDF7wPFXnvw", "【16】🔥必食炒飯, 🧐如何八分鐘搞定! {中英字幕}  Subtitled | [DIY]Chinese Fried Rice | Malaysia Vlog | mm2h")</f>
        <v>【16】🔥必食炒飯, 🧐如何八分鐘搞定! {中英字幕}  Subtitled | [DIY]Chinese Fried Rice | Malaysia Vlog | mm2h</v>
      </c>
      <c r="E4569" s="82">
        <v>44451.0</v>
      </c>
      <c r="F4569" s="80">
        <v>1001.0</v>
      </c>
      <c r="G4569" s="80" t="s">
        <v>63</v>
      </c>
      <c r="I4569" s="80" t="s">
        <v>63</v>
      </c>
      <c r="J4569" s="80">
        <v>675.0</v>
      </c>
      <c r="K4569" s="80">
        <v>0.988286969253294</v>
      </c>
      <c r="L4569" s="80" t="s">
        <v>896</v>
      </c>
    </row>
    <row r="4570">
      <c r="A4570" s="80" t="s">
        <v>245</v>
      </c>
      <c r="B4570" s="81" t="str">
        <f>HYPERLINK("https://www.youtube.com/channel/UCkZ3cOWgnhJheCK7Ywpiezw", "Eagen Kao")</f>
        <v>Eagen Kao</v>
      </c>
      <c r="C4570" s="80" t="s">
        <v>4990</v>
      </c>
      <c r="D4570" s="81" t="str">
        <f>HYPERLINK("https://youtube.com/watch?v=zJEKlfJF4vo", "[講TECH] Snoppa Atom 2 可能係目前最細嘅手機穩定器? | Gadget評測")</f>
        <v>[講TECH] Snoppa Atom 2 可能係目前最細嘅手機穩定器? | Gadget評測</v>
      </c>
      <c r="E4570" s="82">
        <v>44346.0</v>
      </c>
      <c r="F4570" s="80">
        <v>523.0</v>
      </c>
      <c r="G4570" s="80" t="s">
        <v>63</v>
      </c>
      <c r="I4570" s="80" t="s">
        <v>63</v>
      </c>
      <c r="J4570" s="80">
        <v>1722.0</v>
      </c>
      <c r="K4570" s="80">
        <v>0.737789203084832</v>
      </c>
      <c r="L4570" s="80" t="s">
        <v>64</v>
      </c>
    </row>
    <row r="4571">
      <c r="A4571" s="80" t="s">
        <v>124</v>
      </c>
      <c r="B4571" s="81" t="str">
        <f>HYPERLINK("https://www.youtube.com/channel/UCg0vuSE0fBF_NvodyYhMcWg", "Wallace Studio HK")</f>
        <v>Wallace Studio HK</v>
      </c>
      <c r="C4571" s="80" t="s">
        <v>4991</v>
      </c>
      <c r="D4571" s="81" t="str">
        <f>HYPERLINK("https://youtube.com/watch?v=zO7O3QiQ-u8", "Tech YouTuber 點拍開箱｜ feat. @Anson Cheung")</f>
        <v>Tech YouTuber 點拍開箱｜ feat. @Anson Cheung</v>
      </c>
      <c r="E4571" s="82">
        <v>44557.0</v>
      </c>
      <c r="F4571" s="80">
        <v>878.0</v>
      </c>
      <c r="G4571" s="80" t="s">
        <v>63</v>
      </c>
      <c r="I4571" s="80" t="s">
        <v>63</v>
      </c>
      <c r="J4571" s="80">
        <v>2464.0</v>
      </c>
      <c r="K4571" s="80">
        <v>0.708249496981891</v>
      </c>
      <c r="L4571" s="80" t="s">
        <v>64</v>
      </c>
    </row>
    <row r="4572">
      <c r="A4572" s="80" t="s">
        <v>127</v>
      </c>
      <c r="B4572" s="81" t="str">
        <f>HYPERLINK("https://www.youtube.com/channel/UC97oYK3XMf9RLtkc0lO8C-Q", "健康旦 HiEggo")</f>
        <v>健康旦 HiEggo</v>
      </c>
      <c r="C4572" s="80" t="s">
        <v>4992</v>
      </c>
      <c r="D4572" s="81" t="str">
        <f>HYPERLINK("https://youtube.com/watch?v=zRDkGiV-KdA", "今次真係大件事！李維恩急召阿旦：各位務必早睡早起 保持血氣能量 至可打勝仗！ - 鄭丹瑞《健康旦》 #李維恩 教授 Part 17 (CC中文字幕)")</f>
        <v>今次真係大件事！李維恩急召阿旦：各位務必早睡早起 保持血氣能量 至可打勝仗！ - 鄭丹瑞《健康旦》 #李維恩 教授 Part 17 (CC中文字幕)</v>
      </c>
      <c r="E4572" s="82">
        <v>44035.0</v>
      </c>
      <c r="F4572" s="80">
        <v>512.0</v>
      </c>
      <c r="G4572" s="80" t="s">
        <v>63</v>
      </c>
      <c r="I4572" s="80" t="s">
        <v>63</v>
      </c>
      <c r="J4572" s="80">
        <v>1940.0</v>
      </c>
      <c r="K4572" s="80">
        <v>0.982776089159067</v>
      </c>
      <c r="L4572" s="80" t="s">
        <v>2771</v>
      </c>
    </row>
    <row r="4573">
      <c r="A4573" s="80" t="s">
        <v>98</v>
      </c>
      <c r="B4573" s="81" t="str">
        <f>HYPERLINK("https://www.youtube.com/channel/UCrquuQB6v1Ued2xyRKZreGQ", "Stephen Leung ")</f>
        <v>Stephen Leung </v>
      </c>
      <c r="C4573" s="80" t="s">
        <v>4993</v>
      </c>
      <c r="D4573" s="81" t="str">
        <f>HYPERLINK("https://youtube.com/watch?v=zSojPOn2u8k", "【香港美食】正宗原隻烤填鴨 一鴨三食 生菜片鴨鬆 紹菜豆腐鴨骨湯 沙田18 沙田凱悅酒店 Roasted Duck | 吃喝玩樂")</f>
        <v>【香港美食】正宗原隻烤填鴨 一鴨三食 生菜片鴨鬆 紹菜豆腐鴨骨湯 沙田18 沙田凱悅酒店 Roasted Duck | 吃喝玩樂</v>
      </c>
      <c r="E4573" s="82">
        <v>44561.0</v>
      </c>
      <c r="F4573" s="80">
        <v>614.0</v>
      </c>
      <c r="G4573" s="80" t="s">
        <v>63</v>
      </c>
      <c r="I4573" s="80" t="s">
        <v>63</v>
      </c>
      <c r="J4573" s="80">
        <v>1596.0</v>
      </c>
      <c r="K4573" s="80">
        <v>0.978540772532188</v>
      </c>
      <c r="L4573" s="80" t="s">
        <v>64</v>
      </c>
    </row>
    <row r="4574">
      <c r="A4574" s="80" t="s">
        <v>2753</v>
      </c>
      <c r="B4574" s="81" t="str">
        <f>HYPERLINK("https://www.youtube.com/channel/UCxRXNy5P6fLtHYpawxoiqJQ", "焦點視頻")</f>
        <v>焦點視頻</v>
      </c>
      <c r="C4574" s="80" t="s">
        <v>4994</v>
      </c>
      <c r="D4574" s="81" t="str">
        <f>HYPERLINK("https://youtube.com/watch?v=zSvrQtm8mB8", "1月大亂局？ 2022年中國失最強盟友？ 預言台海局勢如箭在弦！ ︱玄學大師盧恆立師傅 全球運勢預測《焦點視頻 x 開運王》(中字)")</f>
        <v>1月大亂局？ 2022年中國失最強盟友？ 預言台海局勢如箭在弦！ ︱玄學大師盧恆立師傅 全球運勢預測《焦點視頻 x 開運王》(中字)</v>
      </c>
      <c r="E4574" s="82">
        <v>44544.0</v>
      </c>
      <c r="F4574" s="80">
        <v>2852.0</v>
      </c>
      <c r="G4574" s="80" t="s">
        <v>63</v>
      </c>
      <c r="I4574" s="80" t="s">
        <v>63</v>
      </c>
      <c r="J4574" s="80">
        <v>9771.0</v>
      </c>
      <c r="K4574" s="80">
        <v>0.995314250789446</v>
      </c>
      <c r="L4574" s="80" t="s">
        <v>2755</v>
      </c>
    </row>
    <row r="4575">
      <c r="A4575" s="80" t="s">
        <v>127</v>
      </c>
      <c r="B4575" s="81" t="str">
        <f>HYPERLINK("https://www.youtube.com/channel/UC97oYK3XMf9RLtkc0lO8C-Q", "健康旦 HiEggo")</f>
        <v>健康旦 HiEggo</v>
      </c>
      <c r="C4575" s="80" t="s">
        <v>4995</v>
      </c>
      <c r="D4575" s="81" t="str">
        <f>HYPERLINK("https://youtube.com/watch?v=zSz9IUsBzTE", "郊區行山出紅疹注意 新布尼亞病毒致血小板低 移除皮膚蜱蟲有秘訣 - 鄭丹瑞《健康旦》養和醫院感染及傳染病專科醫生 #徐詩駿 Part 1 (CC中文字幕)")</f>
        <v>郊區行山出紅疹注意 新布尼亞病毒致血小板低 移除皮膚蜱蟲有秘訣 - 鄭丹瑞《健康旦》養和醫院感染及傳染病專科醫生 #徐詩駿 Part 1 (CC中文字幕)</v>
      </c>
      <c r="E4575" s="82">
        <v>44088.0</v>
      </c>
      <c r="F4575" s="80">
        <v>794.0</v>
      </c>
      <c r="G4575" s="80" t="s">
        <v>63</v>
      </c>
      <c r="I4575" s="80" t="s">
        <v>63</v>
      </c>
      <c r="J4575" s="80">
        <v>2770.0</v>
      </c>
      <c r="K4575" s="80">
        <v>0.984363894811656</v>
      </c>
      <c r="L4575" s="80" t="s">
        <v>2771</v>
      </c>
    </row>
    <row r="4576">
      <c r="A4576" s="80" t="s">
        <v>2793</v>
      </c>
      <c r="B4576" s="81" t="str">
        <f>HYPERLINK("https://www.youtube.com/channel/UC03mRlT2h1B4LohYaIj9lHg", "Messiah2048")</f>
        <v>Messiah2048</v>
      </c>
      <c r="C4576" s="80" t="s">
        <v>4996</v>
      </c>
      <c r="D4576" s="81" t="str">
        <f>HYPERLINK("https://youtube.com/watch?v=zTDaln5WZQo", "禮頓13年未經批准抽走鋼筋，政府15年已得悉，陳帆支吾以對。")</f>
        <v>禮頓13年未經批准抽走鋼筋，政府15年已得悉，陳帆支吾以對。</v>
      </c>
      <c r="E4576" s="82">
        <v>43392.0</v>
      </c>
      <c r="F4576" s="80">
        <v>252.0</v>
      </c>
      <c r="G4576" s="80" t="s">
        <v>63</v>
      </c>
      <c r="I4576" s="80" t="s">
        <v>63</v>
      </c>
      <c r="J4576" s="80">
        <v>916.0</v>
      </c>
      <c r="K4576" s="80">
        <v>0.94824016563147</v>
      </c>
      <c r="L4576" s="80" t="s">
        <v>64</v>
      </c>
    </row>
    <row r="4577">
      <c r="A4577" s="80" t="s">
        <v>106</v>
      </c>
      <c r="B4577" s="81" t="str">
        <f>HYPERLINK("https://www.youtube.com/channel/UC9jW6WpsAPgh-9HqDTvkFzg", "ValorGears")</f>
        <v>ValorGears</v>
      </c>
      <c r="C4577" s="80" t="s">
        <v>4997</v>
      </c>
      <c r="D4577" s="81" t="str">
        <f>HYPERLINK("https://youtube.com/watch?v=zUC5pGqyPeI", "薄冷頭玩入水 - Xigmatek Scylla 240 極速開箱")</f>
        <v>薄冷頭玩入水 - Xigmatek Scylla 240 極速開箱</v>
      </c>
      <c r="E4577" s="82">
        <v>42814.0</v>
      </c>
      <c r="F4577" s="80">
        <v>184.0</v>
      </c>
      <c r="G4577" s="80" t="s">
        <v>63</v>
      </c>
      <c r="I4577" s="80" t="s">
        <v>63</v>
      </c>
      <c r="J4577" s="80">
        <v>572.0</v>
      </c>
      <c r="K4577" s="80">
        <v>0.85204991087344</v>
      </c>
      <c r="L4577" s="80" t="s">
        <v>1889</v>
      </c>
    </row>
    <row r="4578">
      <c r="A4578" s="80" t="s">
        <v>1139</v>
      </c>
      <c r="B4578" s="81" t="str">
        <f>HYPERLINK("https://www.youtube.com/channel/UCw51gVFijIewmXH4tIR0ufw", "Crystal Zen")</f>
        <v>Crystal Zen</v>
      </c>
      <c r="C4578" s="80" t="s">
        <v>4998</v>
      </c>
      <c r="D4578" s="81" t="str">
        <f>HYPERLINK("https://youtube.com/watch?v=zV-pmfgdFFI", "[淨晶鑒賞之旅] 同大家睇下舒俱萊原石吊墜 唔知你又見過未呢 ? 愈紫愈好？點揀先好？(記得睇到最後）")</f>
        <v>[淨晶鑒賞之旅] 同大家睇下舒俱萊原石吊墜 唔知你又見過未呢 ? 愈紫愈好？點揀先好？(記得睇到最後）</v>
      </c>
      <c r="E4578" s="82">
        <v>44435.0</v>
      </c>
      <c r="F4578" s="80">
        <v>463.0</v>
      </c>
      <c r="G4578" s="80" t="s">
        <v>63</v>
      </c>
      <c r="I4578" s="80" t="s">
        <v>63</v>
      </c>
      <c r="J4578" s="80">
        <v>1556.0</v>
      </c>
      <c r="K4578" s="80">
        <v>0.977386934673366</v>
      </c>
      <c r="L4578" s="80" t="s">
        <v>64</v>
      </c>
    </row>
    <row r="4579">
      <c r="A4579" s="80" t="s">
        <v>248</v>
      </c>
      <c r="B4579" s="81" t="str">
        <f>HYPERLINK("https://www.youtube.com/channel/UCUEJok-GiWaGlv5nIPwk-GQ", "Price.com.hk 香港格價網")</f>
        <v>Price.com.hk 香港格價網</v>
      </c>
      <c r="C4579" s="80" t="s">
        <v>4999</v>
      </c>
      <c r="D4579" s="81" t="str">
        <f>HYPERLINK("https://youtube.com/watch?v=zXRMWMP58OE", "回顧．2020科技界  你不可錯過/不可不知的10件產品  | 廣東話 | 【Price.com.hk 科技情報】")</f>
        <v>回顧．2020科技界  你不可錯過/不可不知的10件產品  | 廣東話 | 【Price.com.hk 科技情報】</v>
      </c>
      <c r="E4579" s="82">
        <v>44195.0</v>
      </c>
      <c r="F4579" s="80">
        <v>363.0</v>
      </c>
      <c r="G4579" s="80" t="s">
        <v>63</v>
      </c>
      <c r="I4579" s="80" t="s">
        <v>63</v>
      </c>
      <c r="J4579" s="80">
        <v>1369.0</v>
      </c>
      <c r="K4579" s="80">
        <v>0.681772908366533</v>
      </c>
      <c r="L4579" s="80" t="s">
        <v>64</v>
      </c>
    </row>
    <row r="4580">
      <c r="A4580" s="80" t="s">
        <v>127</v>
      </c>
      <c r="B4580" s="81" t="str">
        <f>HYPERLINK("https://www.youtube.com/channel/UC97oYK3XMf9RLtkc0lO8C-Q", "健康旦 HiEggo")</f>
        <v>健康旦 HiEggo</v>
      </c>
      <c r="C4580" s="80" t="s">
        <v>5000</v>
      </c>
      <c r="D4580" s="81" t="str">
        <f>HYPERLINK("https://youtube.com/watch?v=zY5W-aCgl4I", "鍾伯光教授教你美國陸戰隊波比跳 做到阿旦扯晒哈 - 鄭丹瑞《健康旦》鍾伯光 Part 3 (CC中文字幕)")</f>
        <v>鍾伯光教授教你美國陸戰隊波比跳 做到阿旦扯晒哈 - 鄭丹瑞《健康旦》鍾伯光 Part 3 (CC中文字幕)</v>
      </c>
      <c r="E4580" s="82">
        <v>43914.0</v>
      </c>
      <c r="F4580" s="80">
        <v>646.0</v>
      </c>
      <c r="G4580" s="80" t="s">
        <v>63</v>
      </c>
      <c r="I4580" s="80" t="s">
        <v>63</v>
      </c>
      <c r="J4580" s="80">
        <v>2395.0</v>
      </c>
      <c r="K4580" s="80">
        <v>0.983572895277207</v>
      </c>
      <c r="L4580" s="80" t="s">
        <v>102</v>
      </c>
    </row>
    <row r="4581">
      <c r="A4581" s="80" t="s">
        <v>124</v>
      </c>
      <c r="B4581" s="81" t="str">
        <f>HYPERLINK("https://www.youtube.com/channel/UCg0vuSE0fBF_NvodyYhMcWg", "Wallace Studio HK")</f>
        <v>Wallace Studio HK</v>
      </c>
      <c r="C4581" s="80" t="s">
        <v>5001</v>
      </c>
      <c r="D4581" s="81" t="str">
        <f>HYPERLINK("https://youtube.com/watch?v=z_GpVLHQn9o", "[創作者入門] 拍片入門? 新手拍片無從入手? 拍片器材? 手機就拍到Youtube? 同你講自己曾經中過既伏!!! (CC中文字幕)")</f>
        <v>[創作者入門] 拍片入門? 新手拍片無從入手? 拍片器材? 手機就拍到Youtube? 同你講自己曾經中過既伏!!! (CC中文字幕)</v>
      </c>
      <c r="E4581" s="82">
        <v>44262.0</v>
      </c>
      <c r="F4581" s="80">
        <v>755.0</v>
      </c>
      <c r="G4581" s="80" t="s">
        <v>63</v>
      </c>
      <c r="H4581" s="80" t="s">
        <v>63</v>
      </c>
      <c r="I4581" s="80" t="s">
        <v>63</v>
      </c>
      <c r="J4581" s="80">
        <v>2785.0</v>
      </c>
      <c r="K4581" s="80">
        <v>0.868142144638404</v>
      </c>
      <c r="L4581" s="80" t="s">
        <v>86</v>
      </c>
    </row>
    <row r="4582">
      <c r="A4582" s="80" t="s">
        <v>295</v>
      </c>
      <c r="B4582" s="81" t="str">
        <f>HYPERLINK("https://www.youtube.com/channel/UCIotQRUz6c4H-BRsouLt4YQ", "Captain and his squad")</f>
        <v>Captain and his squad</v>
      </c>
      <c r="C4582" s="80" t="s">
        <v>5002</v>
      </c>
      <c r="D4582" s="81" t="str">
        <f>HYPERLINK("https://youtube.com/watch?v=zdNzcaFgx1U", "【教學】如何應對狗狗分離焦慮症 🐶 😖")</f>
        <v>【教學】如何應對狗狗分離焦慮症 🐶 😖</v>
      </c>
      <c r="E4582" s="82">
        <v>44170.0</v>
      </c>
      <c r="F4582" s="80">
        <v>645.0</v>
      </c>
      <c r="G4582" s="80" t="s">
        <v>63</v>
      </c>
      <c r="I4582" s="80" t="s">
        <v>63</v>
      </c>
      <c r="J4582" s="80">
        <v>2966.0</v>
      </c>
      <c r="K4582" s="80">
        <v>0.858714533873769</v>
      </c>
      <c r="L4582" s="80" t="s">
        <v>102</v>
      </c>
    </row>
    <row r="4583">
      <c r="A4583" s="80" t="s">
        <v>2753</v>
      </c>
      <c r="B4583" s="81" t="str">
        <f>HYPERLINK("https://www.youtube.com/channel/UCxRXNy5P6fLtHYpawxoiqJQ", "焦點視頻")</f>
        <v>焦點視頻</v>
      </c>
      <c r="C4583" s="80" t="s">
        <v>5003</v>
      </c>
      <c r="D4583" s="81" t="str">
        <f>HYPERLINK("https://youtube.com/watch?v=zerE1vRSNZM", "(中字) 周焯華2022勢面對最嚴苛判決！ 涉違國安遭逮捕難有翻身之日？ #面相教學 《施敏玲玄學應用》 EP68 20211206")</f>
        <v>(中字) 周焯華2022勢面對最嚴苛判決！ 涉違國安遭逮捕難有翻身之日？ #面相教學 《施敏玲玄學應用》 EP68 20211206</v>
      </c>
      <c r="E4583" s="82">
        <v>44536.0</v>
      </c>
      <c r="F4583" s="80">
        <v>533.0</v>
      </c>
      <c r="G4583" s="80" t="s">
        <v>63</v>
      </c>
      <c r="I4583" s="80" t="s">
        <v>63</v>
      </c>
      <c r="J4583" s="80">
        <v>2521.0</v>
      </c>
      <c r="K4583" s="80">
        <v>0.989403453689167</v>
      </c>
      <c r="L4583" s="80" t="s">
        <v>3012</v>
      </c>
    </row>
    <row r="4584">
      <c r="A4584" s="80" t="s">
        <v>288</v>
      </c>
      <c r="B4584" s="81" t="str">
        <f>HYPERLINK("https://www.youtube.com/channel/UCDWOYEhVnyD4IHZGVAMLc0g", "Brendan 毛爸")</f>
        <v>Brendan 毛爸</v>
      </c>
      <c r="C4584" s="80" t="s">
        <v>5004</v>
      </c>
      <c r="D4584" s="81" t="str">
        <f>HYPERLINK("https://youtube.com/watch?v=zexKMiuG6Nw", "[ 最強木暮公延分享 ] 不課也可以很强｜無課神角｜排位輕鬆打出75%勝率｜詳細教學（請打開CC 中文字幕）【灌籃高手 Slam Dunk 】")</f>
        <v>[ 最強木暮公延分享 ] 不課也可以很强｜無課神角｜排位輕鬆打出75%勝率｜詳細教學（請打開CC 中文字幕）【灌籃高手 Slam Dunk 】</v>
      </c>
      <c r="E4584" s="82">
        <v>43987.0</v>
      </c>
      <c r="F4584" s="80">
        <v>165.0</v>
      </c>
      <c r="G4584" s="80" t="s">
        <v>63</v>
      </c>
      <c r="I4584" s="80" t="s">
        <v>63</v>
      </c>
      <c r="J4584" s="80">
        <v>646.0</v>
      </c>
      <c r="K4584" s="80">
        <v>0.978787878787878</v>
      </c>
      <c r="L4584" s="80" t="s">
        <v>64</v>
      </c>
    </row>
    <row r="4585">
      <c r="A4585" s="80" t="s">
        <v>2804</v>
      </c>
      <c r="B4585" s="81" t="str">
        <f>HYPERLINK("https://www.youtube.com/channel/UCrFrg50t0JqgqV2dkIrH5Hg", "投智財女 GirlbossInvest 創業投資智慧")</f>
        <v>投智財女 GirlbossInvest 創業投資智慧</v>
      </c>
      <c r="C4585" s="80" t="s">
        <v>5005</v>
      </c>
      <c r="D4585" s="81" t="str">
        <f>HYPERLINK("https://youtube.com/watch?v=zfcwWlrCK10", "【躺著賺錢】虛擬銀行高息活期存款1.2%回報 | 虛擬銀行是什麼？  #虛擬銀行 #眾安銀行 #高息存款 cc")</f>
        <v>【躺著賺錢】虛擬銀行高息活期存款1.2%回報 | 虛擬銀行是什麼？  #虛擬銀行 #眾安銀行 #高息存款 cc</v>
      </c>
      <c r="E4585" s="82">
        <v>43950.0</v>
      </c>
      <c r="F4585" s="80">
        <v>719.0</v>
      </c>
      <c r="G4585" s="80" t="s">
        <v>63</v>
      </c>
      <c r="I4585" s="80" t="s">
        <v>63</v>
      </c>
      <c r="J4585" s="80">
        <v>2761.0</v>
      </c>
      <c r="K4585" s="80">
        <v>0.857986326911125</v>
      </c>
      <c r="L4585" s="80" t="s">
        <v>102</v>
      </c>
    </row>
    <row r="4586">
      <c r="A4586" s="80" t="s">
        <v>293</v>
      </c>
      <c r="B4586" s="81" t="str">
        <f t="shared" ref="B4586:B4587" si="247">HYPERLINK("https://www.youtube.com/channel/UCXRcbXqjORdIvl63I7MtOLQ", "趁熱 Kerry 's kitchen")</f>
        <v>趁熱 Kerry 's kitchen</v>
      </c>
      <c r="C4586" s="80" t="s">
        <v>5006</v>
      </c>
      <c r="D4586" s="81" t="str">
        <f>HYPERLINK("https://youtube.com/watch?v=zgeIBc7NPGI", "洋蔥 豬扒/粵語/中字/超濃洋蔥汁做法/厚豬扒醃法/簡單 家做/新手 入門/豉油西餐/粵語/中字")</f>
        <v>洋蔥 豬扒/粵語/中字/超濃洋蔥汁做法/厚豬扒醃法/簡單 家做/新手 入門/豉油西餐/粵語/中字</v>
      </c>
      <c r="E4586" s="82">
        <v>44370.0</v>
      </c>
      <c r="F4586" s="80">
        <v>680.0</v>
      </c>
      <c r="G4586" s="80" t="s">
        <v>63</v>
      </c>
      <c r="I4586" s="80" t="s">
        <v>63</v>
      </c>
      <c r="J4586" s="80">
        <v>1752.0</v>
      </c>
      <c r="K4586" s="80">
        <v>0.975501113585746</v>
      </c>
      <c r="L4586" s="80" t="s">
        <v>64</v>
      </c>
    </row>
    <row r="4587">
      <c r="A4587" s="80" t="s">
        <v>293</v>
      </c>
      <c r="B4587" s="81" t="str">
        <f t="shared" si="247"/>
        <v>趁熱 Kerry 's kitchen</v>
      </c>
      <c r="C4587" s="80" t="s">
        <v>5007</v>
      </c>
      <c r="D4587" s="81" t="str">
        <f>HYPERLINK("https://youtube.com/watch?v=zjpV5HsAS1I", "陳皮 鴨/陳皮鴨腿/好下飯/超低成本/不用炸/少油/簡單 家做/新手 入門/廣東話/中字")</f>
        <v>陳皮 鴨/陳皮鴨腿/好下飯/超低成本/不用炸/少油/簡單 家做/新手 入門/廣東話/中字</v>
      </c>
      <c r="E4587" s="82">
        <v>44463.0</v>
      </c>
      <c r="F4587" s="80">
        <v>556.0</v>
      </c>
      <c r="G4587" s="80" t="s">
        <v>63</v>
      </c>
      <c r="I4587" s="80" t="s">
        <v>63</v>
      </c>
      <c r="J4587" s="80">
        <v>741.0</v>
      </c>
      <c r="K4587" s="80">
        <v>0.977572559366754</v>
      </c>
      <c r="L4587" s="80" t="s">
        <v>64</v>
      </c>
    </row>
    <row r="4588">
      <c r="A4588" s="80" t="s">
        <v>288</v>
      </c>
      <c r="B4588" s="81" t="str">
        <f>HYPERLINK("https://www.youtube.com/channel/UCDWOYEhVnyD4IHZGVAMLc0g", "Brendan 毛爸")</f>
        <v>Brendan 毛爸</v>
      </c>
      <c r="C4588" s="80" t="s">
        <v>5008</v>
      </c>
      <c r="D4588" s="81" t="str">
        <f>HYPERLINK("https://youtube.com/watch?v=zm_eFiBZ51k", "【新三國 漢室復興 #1】遊戲重點介紹！下載前必看！（請打開CC 中文字幕）")</f>
        <v>【新三國 漢室復興 #1】遊戲重點介紹！下載前必看！（請打開CC 中文字幕）</v>
      </c>
      <c r="E4588" s="82">
        <v>43931.0</v>
      </c>
      <c r="F4588" s="80">
        <v>603.0</v>
      </c>
      <c r="G4588" s="80" t="s">
        <v>63</v>
      </c>
      <c r="I4588" s="80" t="s">
        <v>63</v>
      </c>
      <c r="J4588" s="80">
        <v>1779.0</v>
      </c>
      <c r="K4588" s="80">
        <v>0.976399560922063</v>
      </c>
      <c r="L4588" s="80" t="s">
        <v>64</v>
      </c>
    </row>
    <row r="4589">
      <c r="A4589" s="80" t="s">
        <v>3865</v>
      </c>
      <c r="B4589" s="81" t="str">
        <f>HYPERLINK("https://www.youtube.com/channel/UCLE4O4nN6oSFkxSmfm18h3g", "HayCanWhat👫 ")</f>
        <v>HayCanWhat👫 </v>
      </c>
      <c r="C4589" s="80" t="s">
        <v>5009</v>
      </c>
      <c r="D4589" s="81" t="str">
        <f>HYPERLINK("https://youtube.com/watch?v=zmmcz9ihWIw", "移民回流船運教學⛴️ | 移民搬運📦 | 移民搬屋🏠 | 請開啟cc字幕｜#HayCanTalk")</f>
        <v>移民回流船運教學⛴️ | 移民搬運📦 | 移民搬屋🏠 | 請開啟cc字幕｜#HayCanTalk</v>
      </c>
      <c r="E4589" s="82">
        <v>44078.0</v>
      </c>
      <c r="F4589" s="80">
        <v>816.0</v>
      </c>
      <c r="G4589" s="80" t="s">
        <v>63</v>
      </c>
      <c r="I4589" s="80" t="s">
        <v>63</v>
      </c>
      <c r="J4589" s="80">
        <v>2201.0</v>
      </c>
      <c r="K4589" s="80">
        <v>0.895443449959316</v>
      </c>
      <c r="L4589" s="80" t="s">
        <v>64</v>
      </c>
    </row>
    <row r="4590">
      <c r="A4590" s="80" t="s">
        <v>238</v>
      </c>
      <c r="B4590" s="81" t="str">
        <f>HYPERLINK("https://www.youtube.com/channel/UCSBkm4LwpgBmcA3MCtO8vqg", "Post76影音玩樂")</f>
        <v>Post76影音玩樂</v>
      </c>
      <c r="C4590" s="80" t="s">
        <v>5010</v>
      </c>
      <c r="D4590" s="81" t="str">
        <f>HYPERLINK("https://youtube.com/watch?v=znAmIrtHrCs", "Creative Stage 360 Dolby Atmos Soundbar 實試：納米房恩物！坊間最小巧 2.1 杜比全景聲喇叭 (😍附入手優惠碼)（CC字幕）【Soundbar 評測】")</f>
        <v>Creative Stage 360 Dolby Atmos Soundbar 實試：納米房恩物！坊間最小巧 2.1 杜比全景聲喇叭 (😍附入手優惠碼)（CC字幕）【Soundbar 評測】</v>
      </c>
      <c r="E4590" s="82">
        <v>44467.0</v>
      </c>
      <c r="F4590" s="80">
        <v>390.0</v>
      </c>
      <c r="G4590" s="80" t="s">
        <v>63</v>
      </c>
      <c r="H4590" s="80" t="s">
        <v>63</v>
      </c>
      <c r="I4590" s="80" t="s">
        <v>63</v>
      </c>
      <c r="J4590" s="80">
        <v>1458.0</v>
      </c>
      <c r="K4590" s="80">
        <v>0.779689234184239</v>
      </c>
      <c r="L4590" s="80" t="s">
        <v>66</v>
      </c>
    </row>
    <row r="4591">
      <c r="A4591" s="80" t="s">
        <v>293</v>
      </c>
      <c r="B4591" s="81" t="str">
        <f>HYPERLINK("https://www.youtube.com/channel/UCXRcbXqjORdIvl63I7MtOLQ", "趁熱 Kerry 's kitchen")</f>
        <v>趁熱 Kerry 's kitchen</v>
      </c>
      <c r="C4591" s="80" t="s">
        <v>5011</v>
      </c>
      <c r="D4591" s="81" t="str">
        <f>HYPERLINK("https://youtube.com/watch?v=zo67xO11tk8", "蝦醬啫芥蘭/炒 芥蘭/爽脆 竅門/超 惹味/好食過蘆旬/重點 講解/簡單 家做/廣東話/中字")</f>
        <v>蝦醬啫芥蘭/炒 芥蘭/爽脆 竅門/超 惹味/好食過蘆旬/重點 講解/簡單 家做/廣東話/中字</v>
      </c>
      <c r="E4591" s="82">
        <v>44496.0</v>
      </c>
      <c r="F4591" s="80">
        <v>546.0</v>
      </c>
      <c r="G4591" s="80" t="s">
        <v>63</v>
      </c>
      <c r="I4591" s="80" t="s">
        <v>63</v>
      </c>
      <c r="J4591" s="80">
        <v>780.0</v>
      </c>
      <c r="K4591" s="80">
        <v>0.964153275648949</v>
      </c>
      <c r="L4591" s="80" t="s">
        <v>64</v>
      </c>
    </row>
    <row r="4592">
      <c r="A4592" s="80" t="s">
        <v>124</v>
      </c>
      <c r="B4592" s="81" t="str">
        <f>HYPERLINK("https://www.youtube.com/channel/UCg0vuSE0fBF_NvodyYhMcWg", "Wallace Studio HK")</f>
        <v>Wallace Studio HK</v>
      </c>
      <c r="C4592" s="80" t="s">
        <v>5012</v>
      </c>
      <c r="D4592" s="81" t="str">
        <f>HYPERLINK("https://youtube.com/watch?v=zoGUxWOHR7M", "[NAS] NAS選購 Part 2 你不可不知的基本概念2(硬碟選購，網絡架設)")</f>
        <v>[NAS] NAS選購 Part 2 你不可不知的基本概念2(硬碟選購，網絡架設)</v>
      </c>
      <c r="E4592" s="82">
        <v>44383.0</v>
      </c>
      <c r="F4592" s="80">
        <v>917.0</v>
      </c>
      <c r="G4592" s="80" t="s">
        <v>63</v>
      </c>
      <c r="I4592" s="80" t="s">
        <v>63</v>
      </c>
      <c r="J4592" s="80">
        <v>3183.0</v>
      </c>
      <c r="K4592" s="80">
        <v>0.701101321585903</v>
      </c>
      <c r="L4592" s="80" t="s">
        <v>64</v>
      </c>
    </row>
    <row r="4593">
      <c r="A4593" s="80" t="s">
        <v>1987</v>
      </c>
      <c r="B4593" s="81" t="str">
        <f>HYPERLINK("https://www.youtube.com/channel/UCgGUmm04nVyj-ftaCxVcyBg", "MangoHK大馬獅家")</f>
        <v>MangoHK大馬獅家</v>
      </c>
      <c r="C4593" s="80" t="s">
        <v>5013</v>
      </c>
      <c r="D4593" s="81" t="str">
        <f>HYPERLINK("https://youtube.com/watch?v=zrIpVt_v4V0", "【59】💫失傳神鞭手🌈大都會公園！{中英字幕}  Subtitled | Malaysia Metropolitan Park | Malaysia Vlog | mm2h")</f>
        <v>【59】💫失傳神鞭手🌈大都會公園！{中英字幕}  Subtitled | Malaysia Metropolitan Park | Malaysia Vlog | mm2h</v>
      </c>
      <c r="E4593" s="82">
        <v>44486.0</v>
      </c>
      <c r="F4593" s="80">
        <v>533.0</v>
      </c>
      <c r="G4593" s="80" t="s">
        <v>63</v>
      </c>
      <c r="I4593" s="80" t="s">
        <v>63</v>
      </c>
      <c r="J4593" s="80">
        <v>1269.0</v>
      </c>
      <c r="K4593" s="80">
        <v>0.929670329670329</v>
      </c>
      <c r="L4593" s="80" t="s">
        <v>896</v>
      </c>
    </row>
    <row r="4594">
      <c r="A4594" s="80" t="s">
        <v>291</v>
      </c>
      <c r="B4594" s="81" t="str">
        <f>HYPERLINK("https://www.youtube.com/channel/UClSNJbCUCp_W4yrS3DlCmjw", "飛馬 PEGASUS")</f>
        <v>飛馬 PEGASUS</v>
      </c>
      <c r="C4594" s="80" t="s">
        <v>5014</v>
      </c>
      <c r="D4594" s="81" t="str">
        <f>HYPERLINK("https://youtube.com/watch?v=zux0LbyYB4Q", "暑假砌機，如何避免中伏? ft. 腦控 (CC中文字幕)")</f>
        <v>暑假砌機，如何避免中伏? ft. 腦控 (CC中文字幕)</v>
      </c>
      <c r="E4594" s="82">
        <v>43300.0</v>
      </c>
      <c r="F4594" s="80">
        <v>1366.0</v>
      </c>
      <c r="G4594" s="80" t="s">
        <v>63</v>
      </c>
      <c r="I4594" s="80" t="s">
        <v>63</v>
      </c>
      <c r="J4594" s="80">
        <v>4127.0</v>
      </c>
      <c r="K4594" s="80">
        <v>0.817875544986127</v>
      </c>
      <c r="L4594" s="80" t="s">
        <v>64</v>
      </c>
    </row>
    <row r="4595">
      <c r="A4595" s="80" t="s">
        <v>2829</v>
      </c>
      <c r="B4595" s="81" t="str">
        <f>HYPERLINK("https://www.youtube.com/channel/UC7GnES6AEQlDzaP04UqtyjA", "SOLID IDEA")</f>
        <v>SOLID IDEA</v>
      </c>
      <c r="C4595" s="80" t="s">
        <v>5015</v>
      </c>
      <c r="D4595" s="81" t="str">
        <f>HYPERLINK("https://youtube.com/watch?v=zwNcpTv07xM", "[#設計概念] #尚珒溋 #泥水牆 #衣帽間 | 室內設計 | 空間擺位 | SOLID IDEA | (CC中文字幕)")</f>
        <v>[#設計概念] #尚珒溋 #泥水牆 #衣帽間 | 室內設計 | 空間擺位 | SOLID IDEA | (CC中文字幕)</v>
      </c>
      <c r="E4595" s="82">
        <v>44421.0</v>
      </c>
      <c r="F4595" s="80">
        <v>214.0</v>
      </c>
      <c r="G4595" s="80" t="s">
        <v>63</v>
      </c>
      <c r="I4595" s="80" t="s">
        <v>63</v>
      </c>
      <c r="J4595" s="80">
        <v>645.0</v>
      </c>
      <c r="K4595" s="80">
        <v>0.932080924855491</v>
      </c>
      <c r="L4595" s="80" t="s">
        <v>64</v>
      </c>
    </row>
    <row r="4596">
      <c r="A4596" s="80" t="s">
        <v>2870</v>
      </c>
      <c r="B4596" s="81" t="str">
        <f>HYPERLINK("https://www.youtube.com/channel/UCD9J1GJowhJBq_yrJ7mdUHQ", "odyleung")</f>
        <v>odyleung</v>
      </c>
      <c r="C4596" s="80" t="s">
        <v>5016</v>
      </c>
      <c r="D4596" s="81" t="str">
        <f>HYPERLINK("https://youtube.com/watch?v=zyA8aGTWlu0", "上環大麻CAFE☕?! Weed420🍀? THC? CBD咖啡?!★請開CC字幕")</f>
        <v>上環大麻CAFE☕?! Weed420🍀? THC? CBD咖啡?!★請開CC字幕</v>
      </c>
      <c r="E4596" s="82">
        <v>44211.0</v>
      </c>
      <c r="F4596" s="80">
        <v>573.0</v>
      </c>
      <c r="G4596" s="80" t="s">
        <v>63</v>
      </c>
      <c r="I4596" s="80" t="s">
        <v>63</v>
      </c>
      <c r="J4596" s="80">
        <v>1434.0</v>
      </c>
      <c r="K4596" s="80">
        <v>0.861261261261261</v>
      </c>
      <c r="L4596" s="80" t="s">
        <v>64</v>
      </c>
    </row>
    <row r="4597">
      <c r="A4597" s="80" t="s">
        <v>5017</v>
      </c>
      <c r="B4597" s="81" t="str">
        <f>HYPERLINK("https://www.youtube.com/channel/UCVAUtDUarzrjTzhSMiLvK6w", "YankiDin")</f>
        <v>YankiDin</v>
      </c>
      <c r="C4597" s="80" t="s">
        <v>5018</v>
      </c>
      <c r="D4597" s="81" t="str">
        <f>HYPERLINK("https://youtube.com/watch?v=-32dUGG-mRk", "YANKIDIN  | 火雞姐系列 | 姊妹難做 BY SHE.COM")</f>
        <v>YANKIDIN  | 火雞姐系列 | 姊妹難做 BY SHE.COM</v>
      </c>
      <c r="E4597" s="82">
        <v>42662.0</v>
      </c>
      <c r="F4597" s="80">
        <v>85.0</v>
      </c>
      <c r="G4597" s="80" t="s">
        <v>63</v>
      </c>
      <c r="I4597" s="80" t="s">
        <v>63</v>
      </c>
      <c r="J4597" s="80">
        <v>377.0</v>
      </c>
      <c r="K4597" s="80">
        <v>0.921760391198044</v>
      </c>
      <c r="L4597" s="80" t="s">
        <v>64</v>
      </c>
    </row>
    <row r="4598">
      <c r="A4598" s="80" t="s">
        <v>5019</v>
      </c>
      <c r="B4598" s="81" t="str">
        <f>HYPERLINK("https://www.youtube.com/channel/UCbsM9POBZ0TVvG74xL3WH0A", "Cherry 小美")</f>
        <v>Cherry 小美</v>
      </c>
      <c r="C4598" s="80" t="s">
        <v>5020</v>
      </c>
      <c r="D4598" s="81" t="str">
        <f>HYPERLINK("https://youtube.com/watch?v=-FveT8VwkR4", "淘寶衫平影寫真？！[開箱篇]")</f>
        <v>淘寶衫平影寫真？！[開箱篇]</v>
      </c>
      <c r="E4598" s="82">
        <v>42624.0</v>
      </c>
      <c r="F4598" s="80">
        <v>328.0</v>
      </c>
      <c r="G4598" s="80" t="s">
        <v>63</v>
      </c>
      <c r="H4598" s="80" t="s">
        <v>63</v>
      </c>
      <c r="I4598" s="80" t="s">
        <v>63</v>
      </c>
      <c r="J4598" s="80">
        <v>1099.0</v>
      </c>
      <c r="K4598" s="80">
        <v>0.891321978913219</v>
      </c>
      <c r="L4598" s="80" t="s">
        <v>86</v>
      </c>
    </row>
    <row r="4599">
      <c r="A4599" s="80" t="s">
        <v>5021</v>
      </c>
      <c r="B4599" s="81" t="str">
        <f>HYPERLINK("https://www.youtube.com/channel/UCXI73R-C4EI8U_rISlD1S2w", "三個小生愛回加DnJ")</f>
        <v>三個小生愛回加DnJ</v>
      </c>
      <c r="C4599" s="80" t="s">
        <v>5022</v>
      </c>
      <c r="D4599" s="81" t="str">
        <f>HYPERLINK("https://youtube.com/watch?v=0W657_86fxU", "移民溫哥華｜終於可以飲茶啦！Re-opening後，市面情況｜快閃Lansdowne Centre 202005")</f>
        <v>移民溫哥華｜終於可以飲茶啦！Re-opening後，市面情況｜快閃Lansdowne Centre 202005</v>
      </c>
      <c r="E4599" s="82">
        <v>43977.0</v>
      </c>
      <c r="F4599" s="80">
        <v>771.0</v>
      </c>
      <c r="G4599" s="80" t="s">
        <v>63</v>
      </c>
      <c r="I4599" s="80" t="s">
        <v>63</v>
      </c>
      <c r="J4599" s="80">
        <v>1963.0</v>
      </c>
      <c r="K4599" s="80">
        <v>0.825483599663582</v>
      </c>
      <c r="L4599" s="80" t="s">
        <v>64</v>
      </c>
    </row>
    <row r="4600">
      <c r="A4600" s="80" t="s">
        <v>5023</v>
      </c>
      <c r="B4600" s="81" t="str">
        <f>HYPERLINK("https://www.youtube.com/channel/UCnwki8IA26JP-E4-xovIgQQ", "Heyo Fok")</f>
        <v>Heyo Fok</v>
      </c>
      <c r="C4600" s="80" t="s">
        <v>5024</v>
      </c>
      <c r="D4600" s="81" t="str">
        <f>HYPERLINK("https://youtube.com/watch?v=0_D78TQfB08", "Heyo - 24")</f>
        <v>Heyo - 24</v>
      </c>
      <c r="E4600" s="82">
        <v>41211.0</v>
      </c>
      <c r="F4600" s="80">
        <v>218.0</v>
      </c>
      <c r="G4600" s="80" t="s">
        <v>63</v>
      </c>
      <c r="I4600" s="80" t="s">
        <v>63</v>
      </c>
      <c r="J4600" s="80">
        <v>608.0</v>
      </c>
      <c r="K4600" s="80">
        <v>0.995090016366612</v>
      </c>
      <c r="L4600" s="80" t="s">
        <v>64</v>
      </c>
    </row>
    <row r="4601">
      <c r="A4601" s="80" t="s">
        <v>5025</v>
      </c>
      <c r="B4601" s="81" t="str">
        <f>HYPERLINK("https://www.youtube.com/channel/UCxCZqbizSsnntlz6w0fN8hA", "Coffee林芊妤")</f>
        <v>Coffee林芊妤</v>
      </c>
      <c r="C4601" s="80" t="s">
        <v>5026</v>
      </c>
      <c r="D4601" s="81" t="str">
        <f>HYPERLINK("https://youtube.com/watch?v=130J6eUpYVo", "每日豐胸按摩手法 // My daily breast massage")</f>
        <v>每日豐胸按摩手法 // My daily breast massage</v>
      </c>
      <c r="E4601" s="82">
        <v>42812.0</v>
      </c>
      <c r="F4601" s="80">
        <v>519.0</v>
      </c>
      <c r="G4601" s="80" t="s">
        <v>63</v>
      </c>
      <c r="I4601" s="80" t="s">
        <v>63</v>
      </c>
      <c r="J4601" s="80">
        <v>1395.0</v>
      </c>
      <c r="K4601" s="80">
        <v>0.896529562982005</v>
      </c>
      <c r="L4601" s="80" t="s">
        <v>64</v>
      </c>
    </row>
    <row r="4602">
      <c r="A4602" s="80" t="s">
        <v>5027</v>
      </c>
      <c r="B4602" s="81" t="str">
        <f>HYPERLINK("https://www.youtube.com/channel/UCZgs3pLaFisZ-TKVOwFEe8Q", "嘉芙姐姐 - 兒歌童謠 - 故事動畫 - Miss Ka Foo Kids Channel")</f>
        <v>嘉芙姐姐 - 兒歌童謠 - 故事動畫 - Miss Ka Foo Kids Channel</v>
      </c>
      <c r="C4602" s="80" t="s">
        <v>5028</v>
      </c>
      <c r="D4602" s="81" t="str">
        <f>HYPERLINK("https://youtube.com/watch?v=1G6_kR-s-1Y", "消防車 新音樂風格版本 | 香港交通工具系列中文兒歌 | 粵語廣東話歌曲 | 幼稚園認識消防車教材 | 嘉芙姐姐兒歌")</f>
        <v>消防車 新音樂風格版本 | 香港交通工具系列中文兒歌 | 粵語廣東話歌曲 | 幼稚園認識消防車教材 | 嘉芙姐姐兒歌</v>
      </c>
      <c r="E4602" s="82">
        <v>44562.0</v>
      </c>
      <c r="F4602" s="80">
        <v>154.0</v>
      </c>
      <c r="G4602" s="80" t="s">
        <v>63</v>
      </c>
      <c r="I4602" s="80" t="s">
        <v>63</v>
      </c>
      <c r="J4602" s="80">
        <v>198.0</v>
      </c>
      <c r="K4602" s="80">
        <v>1.0</v>
      </c>
      <c r="L4602" s="80" t="s">
        <v>91</v>
      </c>
    </row>
    <row r="4603">
      <c r="A4603" s="80" t="s">
        <v>5017</v>
      </c>
      <c r="B4603" s="81" t="str">
        <f>HYPERLINK("https://www.youtube.com/channel/UCVAUtDUarzrjTzhSMiLvK6w", "YankiDin")</f>
        <v>YankiDin</v>
      </c>
      <c r="C4603" s="80" t="s">
        <v>5029</v>
      </c>
      <c r="D4603" s="81" t="str">
        <f>HYPERLINK("https://youtube.com/watch?v=1qoMauIfsMQ", "YANKIDIN  | 火雞姐系列 | 豐胸方法 &amp; 翹臀秘訣大公開")</f>
        <v>YANKIDIN  | 火雞姐系列 | 豐胸方法 &amp; 翹臀秘訣大公開</v>
      </c>
      <c r="E4603" s="82">
        <v>42802.0</v>
      </c>
      <c r="F4603" s="80">
        <v>253.0</v>
      </c>
      <c r="G4603" s="80" t="s">
        <v>63</v>
      </c>
      <c r="I4603" s="80" t="s">
        <v>63</v>
      </c>
      <c r="J4603" s="80">
        <v>1379.0</v>
      </c>
      <c r="K4603" s="80">
        <v>0.887958789439793</v>
      </c>
      <c r="L4603" s="80" t="s">
        <v>64</v>
      </c>
    </row>
    <row r="4604">
      <c r="A4604" s="80" t="s">
        <v>5023</v>
      </c>
      <c r="B4604" s="81" t="str">
        <f>HYPERLINK("https://www.youtube.com/channel/UCnwki8IA26JP-E4-xovIgQQ", "Heyo Fok")</f>
        <v>Heyo Fok</v>
      </c>
      <c r="C4604" s="80" t="s">
        <v>5030</v>
      </c>
      <c r="D4604" s="81" t="str">
        <f>HYPERLINK("https://youtube.com/watch?v=1suokXIHqfA", "Heyo x Vyan -《慢慢來》 MV")</f>
        <v>Heyo x Vyan -《慢慢來》 MV</v>
      </c>
      <c r="E4604" s="82">
        <v>43256.0</v>
      </c>
      <c r="F4604" s="80">
        <v>251.0</v>
      </c>
      <c r="G4604" s="80" t="s">
        <v>63</v>
      </c>
      <c r="I4604" s="80" t="s">
        <v>63</v>
      </c>
      <c r="J4604" s="80">
        <v>350.0</v>
      </c>
      <c r="K4604" s="80">
        <v>0.708502024291498</v>
      </c>
      <c r="L4604" s="80" t="s">
        <v>64</v>
      </c>
    </row>
    <row r="4605">
      <c r="A4605" s="80" t="s">
        <v>5017</v>
      </c>
      <c r="B4605" s="81" t="str">
        <f>HYPERLINK("https://www.youtube.com/channel/UCVAUtDUarzrjTzhSMiLvK6w", "YankiDin")</f>
        <v>YankiDin</v>
      </c>
      <c r="C4605" s="80" t="s">
        <v>5031</v>
      </c>
      <c r="D4605" s="81" t="str">
        <f>HYPERLINK("https://youtube.com/watch?v=1yVJ9bXgyL8", "YANKIDIN  | 火雞姐系列 | 我要飛甩雞毛！")</f>
        <v>YANKIDIN  | 火雞姐系列 | 我要飛甩雞毛！</v>
      </c>
      <c r="E4605" s="82">
        <v>42669.0</v>
      </c>
      <c r="F4605" s="80">
        <v>71.0</v>
      </c>
      <c r="G4605" s="80" t="s">
        <v>63</v>
      </c>
      <c r="I4605" s="80" t="s">
        <v>63</v>
      </c>
      <c r="J4605" s="80">
        <v>391.0</v>
      </c>
      <c r="K4605" s="80">
        <v>0.774257425742574</v>
      </c>
      <c r="L4605" s="80" t="s">
        <v>64</v>
      </c>
    </row>
    <row r="4606">
      <c r="A4606" s="80" t="s">
        <v>5027</v>
      </c>
      <c r="B4606" s="81" t="str">
        <f t="shared" ref="B4606:B4607" si="248">HYPERLINK("https://www.youtube.com/channel/UCZgs3pLaFisZ-TKVOwFEe8Q", "嘉芙姐姐 - 兒歌童謠 - 故事動畫 - Miss Ka Foo Kids Channel")</f>
        <v>嘉芙姐姐 - 兒歌童謠 - 故事動畫 - Miss Ka Foo Kids Channel</v>
      </c>
      <c r="C4606" s="80" t="s">
        <v>5032</v>
      </c>
      <c r="D4606" s="81" t="str">
        <f>HYPERLINK("https://youtube.com/watch?v=1ziRyz6FLMI", "每一句話 | 媽媽之歌爸爸之歌 | 母親節父親節快樂")</f>
        <v>每一句話 | 媽媽之歌爸爸之歌 | 母親節父親節快樂</v>
      </c>
      <c r="E4606" s="82">
        <v>44316.0</v>
      </c>
      <c r="F4606" s="80">
        <v>199.0</v>
      </c>
      <c r="G4606" s="80" t="s">
        <v>63</v>
      </c>
      <c r="I4606" s="80" t="s">
        <v>63</v>
      </c>
      <c r="J4606" s="80">
        <v>443.0</v>
      </c>
      <c r="K4606" s="80">
        <v>0.982261640798226</v>
      </c>
      <c r="L4606" s="80" t="s">
        <v>91</v>
      </c>
    </row>
    <row r="4607">
      <c r="A4607" s="80" t="s">
        <v>5027</v>
      </c>
      <c r="B4607" s="81" t="str">
        <f t="shared" si="248"/>
        <v>嘉芙姐姐 - 兒歌童謠 - 故事動畫 - Miss Ka Foo Kids Channel</v>
      </c>
      <c r="C4607" s="80" t="s">
        <v>5033</v>
      </c>
      <c r="D4607" s="81" t="str">
        <f>HYPERLINK("https://youtube.com/watch?v=2egilpfPRtM", "救護車 | 救傷車中文兒歌 | 香港交通工具粵語廣東話歌曲 | 幼稚園認識救護車教材 | 嘉芙姐姐兒歌")</f>
        <v>救護車 | 救傷車中文兒歌 | 香港交通工具粵語廣東話歌曲 | 幼稚園認識救護車教材 | 嘉芙姐姐兒歌</v>
      </c>
      <c r="E4607" s="82">
        <v>44365.0</v>
      </c>
      <c r="F4607" s="80">
        <v>79.0</v>
      </c>
      <c r="G4607" s="80" t="s">
        <v>63</v>
      </c>
      <c r="I4607" s="80" t="s">
        <v>63</v>
      </c>
      <c r="J4607" s="80">
        <v>64.0</v>
      </c>
      <c r="K4607" s="80">
        <v>0.8</v>
      </c>
      <c r="L4607" s="80" t="s">
        <v>91</v>
      </c>
    </row>
    <row r="4608">
      <c r="A4608" s="80" t="s">
        <v>5021</v>
      </c>
      <c r="B4608" s="81" t="str">
        <f>HYPERLINK("https://www.youtube.com/channel/UCXI73R-C4EI8U_rISlD1S2w", "三個小生愛回加DnJ")</f>
        <v>三個小生愛回加DnJ</v>
      </c>
      <c r="C4608" s="80" t="s">
        <v>5034</v>
      </c>
      <c r="D4608" s="81" t="str">
        <f>HYPERLINK("https://youtube.com/watch?v=48Vs1gBnKCc", "移民溫哥華｜Edmonton購物、歡樂、刺激好去處｜快閃愛民頓唐人超市和購物商場？202005")</f>
        <v>移民溫哥華｜Edmonton購物、歡樂、刺激好去處｜快閃愛民頓唐人超市和購物商場？202005</v>
      </c>
      <c r="E4608" s="82">
        <v>43958.0</v>
      </c>
      <c r="F4608" s="80">
        <v>664.0</v>
      </c>
      <c r="G4608" s="80" t="s">
        <v>63</v>
      </c>
      <c r="I4608" s="80" t="s">
        <v>63</v>
      </c>
      <c r="J4608" s="80">
        <v>1498.0</v>
      </c>
      <c r="K4608" s="80">
        <v>0.8359375</v>
      </c>
      <c r="L4608" s="80" t="s">
        <v>64</v>
      </c>
    </row>
    <row r="4609">
      <c r="A4609" s="80" t="s">
        <v>5023</v>
      </c>
      <c r="B4609" s="81" t="str">
        <f>HYPERLINK("https://www.youtube.com/channel/UCnwki8IA26JP-E4-xovIgQQ", "Heyo Fok")</f>
        <v>Heyo Fok</v>
      </c>
      <c r="C4609" s="80" t="s">
        <v>5035</v>
      </c>
      <c r="D4609" s="81" t="str">
        <f>HYPERLINK("https://youtube.com/watch?v=4FOWfE_vpB0", "Heyo－《 我玩「固我」在  》 Feat. Doughboy (Audio)")</f>
        <v>Heyo－《 我玩「固我」在  》 Feat. Doughboy (Audio)</v>
      </c>
      <c r="E4609" s="82">
        <v>42374.0</v>
      </c>
      <c r="F4609" s="80">
        <v>238.0</v>
      </c>
      <c r="G4609" s="80" t="s">
        <v>63</v>
      </c>
      <c r="I4609" s="80" t="s">
        <v>63</v>
      </c>
      <c r="J4609" s="80">
        <v>252.0</v>
      </c>
      <c r="K4609" s="80">
        <v>0.223206377325066</v>
      </c>
      <c r="L4609" s="80" t="s">
        <v>64</v>
      </c>
    </row>
    <row r="4610">
      <c r="A4610" s="80" t="s">
        <v>5036</v>
      </c>
      <c r="B4610" s="81" t="str">
        <f>HYPERLINK("https://www.youtube.com/channel/UCNCPYSqReQl2lQEShit-tLg", "Freeminder Emi")</f>
        <v>Freeminder Emi</v>
      </c>
      <c r="C4610" s="80" t="s">
        <v>5037</v>
      </c>
      <c r="D4610" s="81" t="str">
        <f>HYPERLINK("https://youtube.com/watch?v=4P9ykpLARR0", "Pink October x That's Mi Beauty 粉紅十月｜ 首次慈善義賣 **中文字幕**")</f>
        <v>Pink October x That's Mi Beauty 粉紅十月｜ 首次慈善義賣 **中文字幕**</v>
      </c>
      <c r="E4610" s="82">
        <v>43373.0</v>
      </c>
      <c r="F4610" s="80">
        <v>100.0</v>
      </c>
      <c r="G4610" s="80" t="s">
        <v>63</v>
      </c>
      <c r="I4610" s="80" t="s">
        <v>63</v>
      </c>
      <c r="J4610" s="80">
        <v>377.0</v>
      </c>
      <c r="K4610" s="80">
        <v>0.80901287553648</v>
      </c>
      <c r="L4610" s="80" t="s">
        <v>64</v>
      </c>
    </row>
    <row r="4611">
      <c r="A4611" s="80" t="s">
        <v>5023</v>
      </c>
      <c r="B4611" s="81" t="str">
        <f>HYPERLINK("https://www.youtube.com/channel/UCnwki8IA26JP-E4-xovIgQQ", "Heyo Fok")</f>
        <v>Heyo Fok</v>
      </c>
      <c r="C4611" s="80" t="s">
        <v>5038</v>
      </c>
      <c r="D4611" s="81" t="str">
        <f>HYPERLINK("https://youtube.com/watch?v=4zvqxTUcgB8", "heyo－秋雨 (小品)")</f>
        <v>heyo－秋雨 (小品)</v>
      </c>
      <c r="E4611" s="82">
        <v>40796.0</v>
      </c>
      <c r="F4611" s="80">
        <v>82.0</v>
      </c>
      <c r="G4611" s="80" t="s">
        <v>63</v>
      </c>
      <c r="I4611" s="80" t="s">
        <v>63</v>
      </c>
      <c r="J4611" s="80">
        <v>224.0</v>
      </c>
      <c r="K4611" s="80">
        <v>0.978165938864628</v>
      </c>
      <c r="L4611" s="80" t="s">
        <v>64</v>
      </c>
    </row>
    <row r="4612">
      <c r="A4612" s="80" t="s">
        <v>5039</v>
      </c>
      <c r="B4612" s="81" t="str">
        <f>HYPERLINK("https://www.youtube.com/channel/UC7fISB1mlKcudvvKIszN_nw", "Healthy Brains")</f>
        <v>Healthy Brains</v>
      </c>
      <c r="C4612" s="80" t="s">
        <v>5040</v>
      </c>
      <c r="D4612" s="81" t="str">
        <f>HYPERLINK("https://youtube.com/watch?v=68rI7UR4ob4", "95 Society (Yi Yan &amp; Ning Lee) - 廢仔敏感 Fai Jai Allergy (Official Audio)")</f>
        <v>95 Society (Yi Yan &amp; Ning Lee) - 廢仔敏感 Fai Jai Allergy (Official Audio)</v>
      </c>
      <c r="E4612" s="82">
        <v>43845.0</v>
      </c>
      <c r="F4612" s="80">
        <v>193.0</v>
      </c>
      <c r="G4612" s="80" t="s">
        <v>63</v>
      </c>
      <c r="I4612" s="80" t="s">
        <v>63</v>
      </c>
      <c r="J4612" s="80">
        <v>418.0</v>
      </c>
      <c r="K4612" s="80">
        <v>0.416749750747756</v>
      </c>
      <c r="L4612" s="80" t="s">
        <v>64</v>
      </c>
    </row>
    <row r="4613">
      <c r="A4613" s="80" t="s">
        <v>5041</v>
      </c>
      <c r="B4613" s="81" t="str">
        <f>HYPERLINK("https://www.youtube.com/channel/UCHPhAP0i8BxEF2lBgNfLB1g", "溫哥華地產經紀 Carrie Kwai PREC* l 大溫住好D 基仔&amp;Carrie")</f>
        <v>溫哥華地產經紀 Carrie Kwai PREC* l 大溫住好D 基仔&amp;Carrie</v>
      </c>
      <c r="C4613" s="80" t="s">
        <v>5042</v>
      </c>
      <c r="D4613" s="81" t="str">
        <f>HYPERLINK("https://youtube.com/watch?v=6NPFiQNeJDc", "[溫哥華買樓] Richmond Walmart 超巿附近商圈和Condo社區 - 大溫住好D")</f>
        <v>[溫哥華買樓] Richmond Walmart 超巿附近商圈和Condo社區 - 大溫住好D</v>
      </c>
      <c r="E4613" s="82">
        <v>44091.0</v>
      </c>
      <c r="F4613" s="80">
        <v>583.0</v>
      </c>
      <c r="G4613" s="80" t="s">
        <v>63</v>
      </c>
      <c r="I4613" s="80" t="s">
        <v>63</v>
      </c>
      <c r="J4613" s="80">
        <v>1368.0</v>
      </c>
      <c r="K4613" s="80">
        <v>0.798133022170361</v>
      </c>
      <c r="L4613" s="80" t="s">
        <v>64</v>
      </c>
    </row>
    <row r="4614">
      <c r="A4614" s="80" t="s">
        <v>5021</v>
      </c>
      <c r="B4614" s="81" t="str">
        <f>HYPERLINK("https://www.youtube.com/channel/UCXI73R-C4EI8U_rISlD1S2w", "三個小生愛回加DnJ")</f>
        <v>三個小生愛回加DnJ</v>
      </c>
      <c r="C4614" s="80" t="s">
        <v>5043</v>
      </c>
      <c r="D4614" s="81" t="str">
        <f>HYPERLINK("https://youtube.com/watch?v=6q2LKaPShvk", "移民溫哥華 | 有阿Ben、唔駛驚| Surrey好唔好住？| 南素里好還是北素里好啲？｜入大學前的英文班是怎樣安排？202006")</f>
        <v>移民溫哥華 | 有阿Ben、唔駛驚| Surrey好唔好住？| 南素里好還是北素里好啲？｜入大學前的英文班是怎樣安排？202006</v>
      </c>
      <c r="E4614" s="82">
        <v>44005.0</v>
      </c>
      <c r="F4614" s="80">
        <v>980.0</v>
      </c>
      <c r="G4614" s="80" t="s">
        <v>63</v>
      </c>
      <c r="I4614" s="80" t="s">
        <v>63</v>
      </c>
      <c r="J4614" s="80">
        <v>3237.0</v>
      </c>
      <c r="K4614" s="80">
        <v>0.886120996441281</v>
      </c>
      <c r="L4614" s="80" t="s">
        <v>64</v>
      </c>
    </row>
    <row r="4615">
      <c r="A4615" s="80" t="s">
        <v>5023</v>
      </c>
      <c r="B4615" s="81" t="str">
        <f>HYPERLINK("https://www.youtube.com/channel/UCnwki8IA26JP-E4-xovIgQQ", "Heyo Fok")</f>
        <v>Heyo Fok</v>
      </c>
      <c r="C4615" s="80" t="s">
        <v>5044</v>
      </c>
      <c r="D4615" s="81" t="str">
        <f>HYPERLINK("https://youtube.com/watch?v=6unXEl-XsHk", "Heyo - 《修正檔》 Lyrics Video")</f>
        <v>Heyo - 《修正檔》 Lyrics Video</v>
      </c>
      <c r="E4615" s="82">
        <v>43759.0</v>
      </c>
      <c r="F4615" s="80">
        <v>158.0</v>
      </c>
      <c r="G4615" s="80" t="s">
        <v>63</v>
      </c>
      <c r="I4615" s="80" t="s">
        <v>63</v>
      </c>
      <c r="J4615" s="80">
        <v>408.0</v>
      </c>
      <c r="K4615" s="80">
        <v>0.948837209302325</v>
      </c>
      <c r="L4615" s="80" t="s">
        <v>64</v>
      </c>
    </row>
    <row r="4616">
      <c r="A4616" s="80" t="s">
        <v>5045</v>
      </c>
      <c r="B4616" s="81" t="str">
        <f>HYPERLINK("https://www.youtube.com/channel/UC5LH_cGEFwywuAxuEVRHriQ", "Sunshine Nursery Rhyme")</f>
        <v>Sunshine Nursery Rhyme</v>
      </c>
      <c r="C4616" s="80" t="s">
        <v>5046</v>
      </c>
      <c r="D4616" s="81" t="str">
        <f>HYPERLINK("https://youtube.com/watch?v=71wrBhkRwT4", "故事時間：勤力螞蟻懶蟋蟀｜廣東話故事｜睡前故事｜粵語故事｜伊索寓言｜故事兒歌｜")</f>
        <v>故事時間：勤力螞蟻懶蟋蟀｜廣東話故事｜睡前故事｜粵語故事｜伊索寓言｜故事兒歌｜</v>
      </c>
      <c r="E4616" s="82">
        <v>43966.0</v>
      </c>
      <c r="F4616" s="80">
        <v>612.0</v>
      </c>
      <c r="G4616" s="80" t="s">
        <v>63</v>
      </c>
      <c r="I4616" s="80" t="s">
        <v>63</v>
      </c>
      <c r="J4616" s="80">
        <v>1111.0</v>
      </c>
      <c r="K4616" s="80">
        <v>0.994628469113697</v>
      </c>
      <c r="L4616" s="80" t="s">
        <v>102</v>
      </c>
    </row>
    <row r="4617">
      <c r="A4617" s="80" t="s">
        <v>5027</v>
      </c>
      <c r="B4617" s="81" t="str">
        <f>HYPERLINK("https://www.youtube.com/channel/UCZgs3pLaFisZ-TKVOwFEe8Q", "嘉芙姐姐 - 兒歌童謠 - 故事動畫 - Miss Ka Foo Kids Channel")</f>
        <v>嘉芙姐姐 - 兒歌童謠 - 故事動畫 - Miss Ka Foo Kids Channel</v>
      </c>
      <c r="C4617" s="80" t="s">
        <v>5047</v>
      </c>
      <c r="D4617" s="81" t="str">
        <f>HYPERLINK("https://youtube.com/watch?v=7aJufvl-hAA", "消防車 | 香港交通工具系列中文兒歌 | 粵語廣東話歌曲 | 幼稚園認識消防車教材 | 嘉芙姐姐兒歌")</f>
        <v>消防車 | 香港交通工具系列中文兒歌 | 粵語廣東話歌曲 | 幼稚園認識消防車教材 | 嘉芙姐姐兒歌</v>
      </c>
      <c r="E4617" s="82">
        <v>44376.0</v>
      </c>
      <c r="F4617" s="80">
        <v>144.0</v>
      </c>
      <c r="G4617" s="80" t="s">
        <v>63</v>
      </c>
      <c r="I4617" s="80" t="s">
        <v>63</v>
      </c>
      <c r="J4617" s="80">
        <v>198.0</v>
      </c>
      <c r="K4617" s="80">
        <v>1.0</v>
      </c>
      <c r="L4617" s="80" t="s">
        <v>91</v>
      </c>
    </row>
    <row r="4618">
      <c r="A4618" s="80" t="s">
        <v>5017</v>
      </c>
      <c r="B4618" s="81" t="str">
        <f t="shared" ref="B4618:B4619" si="249">HYPERLINK("https://www.youtube.com/channel/UCVAUtDUarzrjTzhSMiLvK6w", "YankiDin")</f>
        <v>YankiDin</v>
      </c>
      <c r="C4618" s="80" t="s">
        <v>5048</v>
      </c>
      <c r="D4618" s="81" t="str">
        <f>HYPERLINK("https://youtube.com/watch?v=7nJRNF4r1-c", "YANKIDIN 丁可欣《撫心自問》OFFICIAL MUSIC VIDEO")</f>
        <v>YANKIDIN 丁可欣《撫心自問》OFFICIAL MUSIC VIDEO</v>
      </c>
      <c r="E4618" s="82">
        <v>42938.0</v>
      </c>
      <c r="F4618" s="80">
        <v>282.0</v>
      </c>
      <c r="G4618" s="80" t="s">
        <v>63</v>
      </c>
      <c r="I4618" s="80" t="s">
        <v>63</v>
      </c>
      <c r="J4618" s="80">
        <v>420.0</v>
      </c>
      <c r="K4618" s="80">
        <v>0.886075949367088</v>
      </c>
      <c r="L4618" s="80" t="s">
        <v>64</v>
      </c>
    </row>
    <row r="4619">
      <c r="A4619" s="80" t="s">
        <v>5017</v>
      </c>
      <c r="B4619" s="81" t="str">
        <f t="shared" si="249"/>
        <v>YankiDin</v>
      </c>
      <c r="C4619" s="80" t="s">
        <v>5049</v>
      </c>
      <c r="D4619" s="81" t="str">
        <f>HYPERLINK("https://youtube.com/watch?v=7pfxFxC9bsI", "YANKIDIN | 火雞姐系列 | WTAPPS最X討厭既行為")</f>
        <v>YANKIDIN | 火雞姐系列 | WTAPPS最X討厭既行為</v>
      </c>
      <c r="E4619" s="82">
        <v>42594.0</v>
      </c>
      <c r="F4619" s="80">
        <v>181.0</v>
      </c>
      <c r="G4619" s="80" t="s">
        <v>63</v>
      </c>
      <c r="H4619" s="80" t="s">
        <v>63</v>
      </c>
      <c r="I4619" s="80" t="s">
        <v>63</v>
      </c>
      <c r="J4619" s="80">
        <v>1151.0</v>
      </c>
      <c r="K4619" s="80">
        <v>0.842696629213483</v>
      </c>
      <c r="L4619" s="80" t="s">
        <v>5050</v>
      </c>
    </row>
    <row r="4620">
      <c r="A4620" s="80" t="s">
        <v>5021</v>
      </c>
      <c r="B4620" s="81" t="str">
        <f>HYPERLINK("https://www.youtube.com/channel/UCXI73R-C4EI8U_rISlD1S2w", "三個小生愛回加DnJ")</f>
        <v>三個小生愛回加DnJ</v>
      </c>
      <c r="C4620" s="80" t="s">
        <v>5051</v>
      </c>
      <c r="D4620" s="81" t="str">
        <f>HYPERLINK("https://youtube.com/watch?v=7yhUgfxfIek", "移民溫哥華 | 有阿Ben、唔駛驚｜SSAT VS SAT | 考溫哥華中學需要SSAT嗎？｜西北溫學校看法 202006")</f>
        <v>移民溫哥華 | 有阿Ben、唔駛驚｜SSAT VS SAT | 考溫哥華中學需要SSAT嗎？｜西北溫學校看法 202006</v>
      </c>
      <c r="E4620" s="82">
        <v>43998.0</v>
      </c>
      <c r="F4620" s="80">
        <v>928.0</v>
      </c>
      <c r="G4620" s="80" t="s">
        <v>63</v>
      </c>
      <c r="I4620" s="80" t="s">
        <v>63</v>
      </c>
      <c r="J4620" s="80">
        <v>2657.0</v>
      </c>
      <c r="K4620" s="80">
        <v>0.940864022662889</v>
      </c>
      <c r="L4620" s="80" t="s">
        <v>64</v>
      </c>
    </row>
    <row r="4621">
      <c r="A4621" s="80" t="s">
        <v>5017</v>
      </c>
      <c r="B4621" s="81" t="str">
        <f>HYPERLINK("https://www.youtube.com/channel/UCVAUtDUarzrjTzhSMiLvK6w", "YankiDin")</f>
        <v>YankiDin</v>
      </c>
      <c r="C4621" s="80" t="s">
        <v>5052</v>
      </c>
      <c r="D4621" s="81" t="str">
        <f>HYPERLINK("https://youtube.com/watch?v=9BSIz_uf1wA", "YANKIDIN | 火雞姐系列 | 火雞姐搭地鐵好X嬲")</f>
        <v>YANKIDIN | 火雞姐系列 | 火雞姐搭地鐵好X嬲</v>
      </c>
      <c r="E4621" s="82">
        <v>42627.0</v>
      </c>
      <c r="F4621" s="80">
        <v>301.0</v>
      </c>
      <c r="G4621" s="80" t="s">
        <v>63</v>
      </c>
      <c r="H4621" s="80" t="s">
        <v>63</v>
      </c>
      <c r="I4621" s="80" t="s">
        <v>63</v>
      </c>
      <c r="J4621" s="80">
        <v>2052.0</v>
      </c>
      <c r="K4621" s="80">
        <v>0.919354838709677</v>
      </c>
      <c r="L4621" s="80" t="s">
        <v>1074</v>
      </c>
    </row>
    <row r="4622">
      <c r="A4622" s="80" t="s">
        <v>5023</v>
      </c>
      <c r="B4622" s="81" t="str">
        <f>HYPERLINK("https://www.youtube.com/channel/UCnwki8IA26JP-E4-xovIgQQ", "Heyo Fok")</f>
        <v>Heyo Fok</v>
      </c>
      <c r="C4622" s="80" t="s">
        <v>5053</v>
      </c>
      <c r="D4622" s="81" t="str">
        <f>HYPERLINK("https://youtube.com/watch?v=9NY8zeWVV0I", "Heyo - 半杯水 Official MV")</f>
        <v>Heyo - 半杯水 Official MV</v>
      </c>
      <c r="E4622" s="82">
        <v>41850.0</v>
      </c>
      <c r="F4622" s="80">
        <v>224.0</v>
      </c>
      <c r="G4622" s="80" t="s">
        <v>63</v>
      </c>
      <c r="I4622" s="80" t="s">
        <v>63</v>
      </c>
      <c r="J4622" s="80">
        <v>661.0</v>
      </c>
      <c r="K4622" s="80">
        <v>0.857328145265888</v>
      </c>
      <c r="L4622" s="80" t="s">
        <v>64</v>
      </c>
    </row>
    <row r="4623">
      <c r="A4623" s="80" t="s">
        <v>5017</v>
      </c>
      <c r="B4623" s="81" t="str">
        <f>HYPERLINK("https://www.youtube.com/channel/UCVAUtDUarzrjTzhSMiLvK6w", "YankiDin")</f>
        <v>YankiDin</v>
      </c>
      <c r="C4623" s="80" t="s">
        <v>5054</v>
      </c>
      <c r="D4623" s="81" t="str">
        <f>HYPERLINK("https://youtube.com/watch?v=9e5mDKA7kGw", "YANKIDIN  | 火雞姐系列 | 雞太教你煮雞雞")</f>
        <v>YANKIDIN  | 火雞姐系列 | 雞太教你煮雞雞</v>
      </c>
      <c r="E4623" s="82">
        <v>42646.0</v>
      </c>
      <c r="F4623" s="80">
        <v>114.0</v>
      </c>
      <c r="G4623" s="80" t="s">
        <v>63</v>
      </c>
      <c r="I4623" s="80" t="s">
        <v>63</v>
      </c>
      <c r="J4623" s="80">
        <v>544.0</v>
      </c>
      <c r="K4623" s="80">
        <v>0.903654485049833</v>
      </c>
      <c r="L4623" s="80" t="s">
        <v>64</v>
      </c>
    </row>
    <row r="4624">
      <c r="A4624" s="80" t="s">
        <v>5023</v>
      </c>
      <c r="B4624" s="81" t="str">
        <f>HYPERLINK("https://www.youtube.com/channel/UCnwki8IA26JP-E4-xovIgQQ", "Heyo Fok")</f>
        <v>Heyo Fok</v>
      </c>
      <c r="C4624" s="80" t="s">
        <v>5055</v>
      </c>
      <c r="D4624" s="81" t="str">
        <f>HYPERLINK("https://youtube.com/watch?v=9gbJ48itxqM", "叱咤 903  - 《不存在主義》 Jingle")</f>
        <v>叱咤 903  - 《不存在主義》 Jingle</v>
      </c>
      <c r="E4624" s="82">
        <v>43453.0</v>
      </c>
      <c r="F4624" s="80">
        <v>59.0</v>
      </c>
      <c r="G4624" s="80" t="s">
        <v>63</v>
      </c>
      <c r="I4624" s="80" t="s">
        <v>63</v>
      </c>
      <c r="J4624" s="80">
        <v>172.0</v>
      </c>
      <c r="K4624" s="80">
        <v>0.945054945054945</v>
      </c>
      <c r="L4624" s="80" t="s">
        <v>64</v>
      </c>
    </row>
    <row r="4625">
      <c r="A4625" s="80" t="s">
        <v>5021</v>
      </c>
      <c r="B4625" s="81" t="str">
        <f>HYPERLINK("https://www.youtube.com/channel/UCXI73R-C4EI8U_rISlD1S2w", "三個小生愛回加DnJ")</f>
        <v>三個小生愛回加DnJ</v>
      </c>
      <c r="C4625" s="80" t="s">
        <v>5056</v>
      </c>
      <c r="D4625" s="81" t="str">
        <f>HYPERLINK("https://youtube.com/watch?v=AbDPcrMBqB4", "移民溫哥華 | 輕輕鬆鬆聽阿Joe - 打工仔移民心態｜為了小朋友移民對嗎？ 202005")</f>
        <v>移民溫哥華 | 輕輕鬆鬆聽阿Joe - 打工仔移民心態｜為了小朋友移民對嗎？ 202005</v>
      </c>
      <c r="E4625" s="82">
        <v>43956.0</v>
      </c>
      <c r="F4625" s="80">
        <v>813.0</v>
      </c>
      <c r="G4625" s="80" t="s">
        <v>63</v>
      </c>
      <c r="I4625" s="80" t="s">
        <v>63</v>
      </c>
      <c r="J4625" s="80">
        <v>2722.0</v>
      </c>
      <c r="K4625" s="80">
        <v>0.914957983193277</v>
      </c>
      <c r="L4625" s="80" t="s">
        <v>64</v>
      </c>
    </row>
    <row r="4626">
      <c r="A4626" s="80" t="s">
        <v>5017</v>
      </c>
      <c r="B4626" s="81" t="str">
        <f>HYPERLINK("https://www.youtube.com/channel/UCVAUtDUarzrjTzhSMiLvK6w", "YankiDin")</f>
        <v>YankiDin</v>
      </c>
      <c r="C4626" s="80" t="s">
        <v>5057</v>
      </c>
      <c r="D4626" s="81" t="str">
        <f>HYPERLINK("https://youtube.com/watch?v=AuFQ0OGxr9k", "YANKIDIN | 火雞姐系列 | 火雞姐教你開心過聖誕節")</f>
        <v>YANKIDIN | 火雞姐系列 | 火雞姐教你開心過聖誕節</v>
      </c>
      <c r="E4626" s="82">
        <v>42727.0</v>
      </c>
      <c r="F4626" s="80">
        <v>337.0</v>
      </c>
      <c r="G4626" s="80" t="s">
        <v>63</v>
      </c>
      <c r="I4626" s="80" t="s">
        <v>63</v>
      </c>
      <c r="J4626" s="80">
        <v>1382.0</v>
      </c>
      <c r="K4626" s="80">
        <v>0.707629288274449</v>
      </c>
      <c r="L4626" s="80" t="s">
        <v>64</v>
      </c>
    </row>
    <row r="4627">
      <c r="A4627" s="80" t="s">
        <v>5021</v>
      </c>
      <c r="B4627" s="81" t="str">
        <f>HYPERLINK("https://www.youtube.com/channel/UCXI73R-C4EI8U_rISlD1S2w", "三個小生愛回加DnJ")</f>
        <v>三個小生愛回加DnJ</v>
      </c>
      <c r="C4627" s="80" t="s">
        <v>5058</v>
      </c>
      <c r="D4627" s="81" t="str">
        <f>HYPERLINK("https://youtube.com/watch?v=BwQxdnN_8E4", "移民溫哥華 | 大溫哥華移民回流落腳好地方巡禮- Port Coquitlam &amp; Coquitlam | 很多移民朋友的另一個落腳點 202005")</f>
        <v>移民溫哥華 | 大溫哥華移民回流落腳好地方巡禮- Port Coquitlam &amp; Coquitlam | 很多移民朋友的另一個落腳點 202005</v>
      </c>
      <c r="E4627" s="82">
        <v>43980.0</v>
      </c>
      <c r="F4627" s="80">
        <v>1143.0</v>
      </c>
      <c r="G4627" s="80" t="s">
        <v>63</v>
      </c>
      <c r="I4627" s="80" t="s">
        <v>63</v>
      </c>
      <c r="J4627" s="80">
        <v>3191.0</v>
      </c>
      <c r="K4627" s="80">
        <v>0.699780701754386</v>
      </c>
      <c r="L4627" s="80" t="s">
        <v>64</v>
      </c>
    </row>
    <row r="4628">
      <c r="A4628" s="80" t="s">
        <v>5041</v>
      </c>
      <c r="B4628" s="81" t="str">
        <f>HYPERLINK("https://www.youtube.com/channel/UCHPhAP0i8BxEF2lBgNfLB1g", "溫哥華地產經紀 Carrie Kwai PREC* l 大溫住好D 基仔&amp;Carrie")</f>
        <v>溫哥華地產經紀 Carrie Kwai PREC* l 大溫住好D 基仔&amp;Carrie</v>
      </c>
      <c r="C4628" s="80" t="s">
        <v>5059</v>
      </c>
      <c r="D4628" s="81" t="str">
        <f>HYPERLINK("https://youtube.com/watch?v=CM-82U9Au74", "温哥華裝修DIY - 牆壁隔音Part 2 裝隔音綿 牆身還原 各種工具運用")</f>
        <v>温哥華裝修DIY - 牆壁隔音Part 2 裝隔音綿 牆身還原 各種工具運用</v>
      </c>
      <c r="E4628" s="82">
        <v>44128.0</v>
      </c>
      <c r="F4628" s="80">
        <v>1027.0</v>
      </c>
      <c r="G4628" s="80" t="s">
        <v>63</v>
      </c>
      <c r="I4628" s="80" t="s">
        <v>63</v>
      </c>
      <c r="J4628" s="80">
        <v>2103.0</v>
      </c>
      <c r="K4628" s="80">
        <v>0.953741496598639</v>
      </c>
      <c r="L4628" s="80" t="s">
        <v>64</v>
      </c>
    </row>
    <row r="4629">
      <c r="A4629" s="80" t="s">
        <v>5023</v>
      </c>
      <c r="B4629" s="81" t="str">
        <f>HYPERLINK("https://www.youtube.com/channel/UCnwki8IA26JP-E4-xovIgQQ", "Heyo Fok")</f>
        <v>Heyo Fok</v>
      </c>
      <c r="C4629" s="80" t="s">
        <v>5060</v>
      </c>
      <c r="D4629" s="81" t="str">
        <f>HYPERLINK("https://youtube.com/watch?v=CMQHvhMNMdw", "屎忽鬼 －音樂錄像（字幕版）")</f>
        <v>屎忽鬼 －音樂錄像（字幕版）</v>
      </c>
      <c r="E4629" s="82">
        <v>41781.0</v>
      </c>
      <c r="F4629" s="80">
        <v>271.0</v>
      </c>
      <c r="G4629" s="80" t="s">
        <v>63</v>
      </c>
      <c r="I4629" s="80" t="s">
        <v>63</v>
      </c>
      <c r="J4629" s="80">
        <v>781.0</v>
      </c>
      <c r="K4629" s="80">
        <v>0.933094384707287</v>
      </c>
      <c r="L4629" s="80" t="s">
        <v>64</v>
      </c>
    </row>
    <row r="4630">
      <c r="A4630" s="80" t="s">
        <v>5017</v>
      </c>
      <c r="B4630" s="81" t="str">
        <f>HYPERLINK("https://www.youtube.com/channel/UCVAUtDUarzrjTzhSMiLvK6w", "YankiDin")</f>
        <v>YankiDin</v>
      </c>
      <c r="C4630" s="80" t="s">
        <v>5061</v>
      </c>
      <c r="D4630" s="81" t="str">
        <f>HYPERLINK("https://youtube.com/watch?v=CVkQVXsRLXA", "YANKIDIN |  火雞姐系列 | 討厭既路人")</f>
        <v>YANKIDIN |  火雞姐系列 | 討厭既路人</v>
      </c>
      <c r="E4630" s="82">
        <v>42581.0</v>
      </c>
      <c r="F4630" s="80">
        <v>198.0</v>
      </c>
      <c r="G4630" s="80" t="s">
        <v>63</v>
      </c>
      <c r="I4630" s="80" t="s">
        <v>63</v>
      </c>
      <c r="J4630" s="80">
        <v>1336.0</v>
      </c>
      <c r="K4630" s="80">
        <v>0.919476944253269</v>
      </c>
      <c r="L4630" s="80" t="s">
        <v>64</v>
      </c>
    </row>
    <row r="4631">
      <c r="A4631" s="80" t="s">
        <v>5021</v>
      </c>
      <c r="B4631" s="81" t="str">
        <f>HYPERLINK("https://www.youtube.com/channel/UCXI73R-C4EI8U_rISlD1S2w", "三個小生愛回加DnJ")</f>
        <v>三個小生愛回加DnJ</v>
      </c>
      <c r="C4631" s="80" t="s">
        <v>5062</v>
      </c>
      <c r="D4631" s="81" t="str">
        <f>HYPERLINK("https://youtube.com/watch?v=DGmTM8zdv88", "移民溫哥華｜小生愛健身｜拒絕變肥佬 | 大鑊！「網球手」舊患復發｜正確姿勢好重要202005")</f>
        <v>移民溫哥華｜小生愛健身｜拒絕變肥佬 | 大鑊！「網球手」舊患復發｜正確姿勢好重要202005</v>
      </c>
      <c r="E4631" s="82">
        <v>43964.0</v>
      </c>
      <c r="F4631" s="80">
        <v>900.0</v>
      </c>
      <c r="G4631" s="80" t="s">
        <v>63</v>
      </c>
      <c r="I4631" s="80" t="s">
        <v>63</v>
      </c>
      <c r="J4631" s="80">
        <v>2083.0</v>
      </c>
      <c r="K4631" s="80">
        <v>0.860743801652892</v>
      </c>
      <c r="L4631" s="80" t="s">
        <v>64</v>
      </c>
    </row>
    <row r="4632">
      <c r="A4632" s="80" t="s">
        <v>5023</v>
      </c>
      <c r="B4632" s="81" t="str">
        <f>HYPERLINK("https://www.youtube.com/channel/UCnwki8IA26JP-E4-xovIgQQ", "Heyo Fok")</f>
        <v>Heyo Fok</v>
      </c>
      <c r="C4632" s="80" t="s">
        <v>5063</v>
      </c>
      <c r="D4632" s="81" t="str">
        <f>HYPERLINK("https://youtube.com/watch?v=DJAPDEBmO5E", "Heyo - 人民公僕 @ 草民音樂節 2015")</f>
        <v>Heyo - 人民公僕 @ 草民音樂節 2015</v>
      </c>
      <c r="E4632" s="82">
        <v>42086.0</v>
      </c>
      <c r="F4632" s="80">
        <v>195.0</v>
      </c>
      <c r="G4632" s="80" t="s">
        <v>63</v>
      </c>
      <c r="I4632" s="80" t="s">
        <v>63</v>
      </c>
      <c r="J4632" s="80">
        <v>462.0</v>
      </c>
      <c r="K4632" s="80">
        <v>0.978813559322033</v>
      </c>
      <c r="L4632" s="80" t="s">
        <v>64</v>
      </c>
    </row>
    <row r="4633">
      <c r="A4633" s="80" t="s">
        <v>5021</v>
      </c>
      <c r="B4633" s="81" t="str">
        <f>HYPERLINK("https://www.youtube.com/channel/UCXI73R-C4EI8U_rISlD1S2w", "三個小生愛回加DnJ")</f>
        <v>三個小生愛回加DnJ</v>
      </c>
      <c r="C4633" s="80" t="s">
        <v>5064</v>
      </c>
      <c r="D4633" s="81" t="str">
        <f>HYPERLINK("https://youtube.com/watch?v=D_wgKMLmq2E", "移民溫哥華 | Derek會客室 - Gary移民啓示錄  之  新移民搵工漩渦 202006")</f>
        <v>移民溫哥華 | Derek會客室 - Gary移民啓示錄  之  新移民搵工漩渦 202006</v>
      </c>
      <c r="E4633" s="82">
        <v>44000.0</v>
      </c>
      <c r="F4633" s="80">
        <v>1552.0</v>
      </c>
      <c r="G4633" s="80" t="s">
        <v>63</v>
      </c>
      <c r="I4633" s="80" t="s">
        <v>63</v>
      </c>
      <c r="J4633" s="80">
        <v>6043.0</v>
      </c>
      <c r="K4633" s="80">
        <v>0.875797101449275</v>
      </c>
      <c r="L4633" s="80" t="s">
        <v>64</v>
      </c>
    </row>
    <row r="4634">
      <c r="A4634" s="80" t="s">
        <v>5017</v>
      </c>
      <c r="B4634" s="81" t="str">
        <f>HYPERLINK("https://www.youtube.com/channel/UCVAUtDUarzrjTzhSMiLvK6w", "YankiDin")</f>
        <v>YankiDin</v>
      </c>
      <c r="C4634" s="80" t="s">
        <v>5065</v>
      </c>
      <c r="D4634" s="81" t="str">
        <f>HYPERLINK("https://youtube.com/watch?v=EaCIBECWAlM", "YANKIDIN  | 火雞姐系列 | 討厭既SALES！")</f>
        <v>YANKIDIN  | 火雞姐系列 | 討厭既SALES！</v>
      </c>
      <c r="E4634" s="82">
        <v>42655.0</v>
      </c>
      <c r="F4634" s="80">
        <v>235.0</v>
      </c>
      <c r="G4634" s="80" t="s">
        <v>63</v>
      </c>
      <c r="H4634" s="80" t="s">
        <v>63</v>
      </c>
      <c r="I4634" s="80" t="s">
        <v>63</v>
      </c>
      <c r="J4634" s="80">
        <v>1440.0</v>
      </c>
      <c r="K4634" s="80">
        <v>0.990819209039548</v>
      </c>
      <c r="L4634" s="80" t="s">
        <v>5066</v>
      </c>
    </row>
    <row r="4635">
      <c r="A4635" s="80" t="s">
        <v>5023</v>
      </c>
      <c r="B4635" s="81" t="str">
        <f t="shared" ref="B4635:B4636" si="250">HYPERLINK("https://www.youtube.com/channel/UCnwki8IA26JP-E4-xovIgQQ", "Heyo Fok")</f>
        <v>Heyo Fok</v>
      </c>
      <c r="C4635" s="80" t="s">
        <v>5067</v>
      </c>
      <c r="D4635" s="81" t="str">
        <f>HYPERLINK("https://youtube.com/watch?v=FWZ6bYzj2Ws", "Heyo x Vyan【老表大奔走】-09 Tripping (feat. Zeca)")</f>
        <v>Heyo x Vyan【老表大奔走】-09 Tripping (feat. Zeca)</v>
      </c>
      <c r="E4635" s="82">
        <v>43284.0</v>
      </c>
      <c r="F4635" s="80">
        <v>213.0</v>
      </c>
      <c r="G4635" s="80" t="s">
        <v>63</v>
      </c>
      <c r="I4635" s="80" t="s">
        <v>63</v>
      </c>
      <c r="J4635" s="80">
        <v>467.0</v>
      </c>
      <c r="K4635" s="80">
        <v>0.561298076923076</v>
      </c>
      <c r="L4635" s="80" t="s">
        <v>64</v>
      </c>
    </row>
    <row r="4636">
      <c r="A4636" s="80" t="s">
        <v>5023</v>
      </c>
      <c r="B4636" s="81" t="str">
        <f t="shared" si="250"/>
        <v>Heyo Fok</v>
      </c>
      <c r="C4636" s="80" t="s">
        <v>5068</v>
      </c>
      <c r="D4636" s="81" t="str">
        <f>HYPERLINK("https://youtube.com/watch?v=G3H0mEs79Rg", "Heyo【花華】－11 我的Hip Hop")</f>
        <v>Heyo【花華】－11 我的Hip Hop</v>
      </c>
      <c r="E4636" s="82">
        <v>42674.0</v>
      </c>
      <c r="F4636" s="80">
        <v>226.0</v>
      </c>
      <c r="G4636" s="80" t="s">
        <v>63</v>
      </c>
      <c r="I4636" s="80" t="s">
        <v>63</v>
      </c>
      <c r="J4636" s="80">
        <v>658.0</v>
      </c>
      <c r="K4636" s="80">
        <v>0.92027972027972</v>
      </c>
      <c r="L4636" s="80" t="s">
        <v>64</v>
      </c>
    </row>
    <row r="4637">
      <c r="A4637" s="80" t="s">
        <v>5017</v>
      </c>
      <c r="B4637" s="81" t="str">
        <f>HYPERLINK("https://www.youtube.com/channel/UCVAUtDUarzrjTzhSMiLvK6w", "YankiDin")</f>
        <v>YankiDin</v>
      </c>
      <c r="C4637" s="80" t="s">
        <v>5069</v>
      </c>
      <c r="D4637" s="81" t="str">
        <f>HYPERLINK("https://youtube.com/watch?v=GhaCVpJ2Gk0", "YANKIDIN  | 火雞姐系列 | 中環古天樂有野問火雞姐？")</f>
        <v>YANKIDIN  | 火雞姐系列 | 中環古天樂有野問火雞姐？</v>
      </c>
      <c r="E4637" s="82">
        <v>42647.0</v>
      </c>
      <c r="F4637" s="80">
        <v>115.0</v>
      </c>
      <c r="G4637" s="80" t="s">
        <v>63</v>
      </c>
      <c r="H4637" s="80" t="s">
        <v>63</v>
      </c>
      <c r="I4637" s="80" t="s">
        <v>63</v>
      </c>
      <c r="J4637" s="80">
        <v>726.0</v>
      </c>
      <c r="K4637" s="80">
        <v>1.0</v>
      </c>
      <c r="L4637" s="80" t="s">
        <v>236</v>
      </c>
    </row>
    <row r="4638">
      <c r="A4638" s="80" t="s">
        <v>5023</v>
      </c>
      <c r="B4638" s="81" t="str">
        <f>HYPERLINK("https://www.youtube.com/channel/UCnwki8IA26JP-E4-xovIgQQ", "Heyo Fok")</f>
        <v>Heyo Fok</v>
      </c>
      <c r="C4638" s="80" t="s">
        <v>5070</v>
      </c>
      <c r="D4638" s="81" t="str">
        <f>HYPERLINK("https://youtube.com/watch?v=HX0S7q9XPGU", "Heyo - Can We Go Back @ 草民音樂節 2015")</f>
        <v>Heyo - Can We Go Back @ 草民音樂節 2015</v>
      </c>
      <c r="E4638" s="82">
        <v>42086.0</v>
      </c>
      <c r="F4638" s="80">
        <v>555.0</v>
      </c>
      <c r="G4638" s="80" t="s">
        <v>63</v>
      </c>
      <c r="I4638" s="80" t="s">
        <v>63</v>
      </c>
      <c r="J4638" s="80">
        <v>453.0</v>
      </c>
      <c r="K4638" s="80">
        <v>0.427762039660056</v>
      </c>
      <c r="L4638" s="80" t="s">
        <v>64</v>
      </c>
    </row>
    <row r="4639">
      <c r="A4639" s="80" t="s">
        <v>5017</v>
      </c>
      <c r="B4639" s="81" t="str">
        <f t="shared" ref="B4639:B4640" si="251">HYPERLINK("https://www.youtube.com/channel/UCVAUtDUarzrjTzhSMiLvK6w", "YankiDin")</f>
        <v>YankiDin</v>
      </c>
      <c r="C4639" s="80" t="s">
        <v>5071</v>
      </c>
      <c r="D4639" s="81" t="str">
        <f>HYPERLINK("https://youtube.com/watch?v=Hrh0jmxCSF4", "YANKIDIN | 火雞姐系列 | 一百萬點用好？")</f>
        <v>YANKIDIN | 火雞姐系列 | 一百萬點用好？</v>
      </c>
      <c r="E4639" s="82">
        <v>42621.0</v>
      </c>
      <c r="F4639" s="80">
        <v>141.0</v>
      </c>
      <c r="G4639" s="80" t="s">
        <v>63</v>
      </c>
      <c r="I4639" s="80" t="s">
        <v>63</v>
      </c>
      <c r="J4639" s="80">
        <v>822.0</v>
      </c>
      <c r="K4639" s="80">
        <v>0.872611464968152</v>
      </c>
      <c r="L4639" s="80" t="s">
        <v>5072</v>
      </c>
    </row>
    <row r="4640">
      <c r="A4640" s="80" t="s">
        <v>5017</v>
      </c>
      <c r="B4640" s="81" t="str">
        <f t="shared" si="251"/>
        <v>YankiDin</v>
      </c>
      <c r="C4640" s="80" t="s">
        <v>5073</v>
      </c>
      <c r="D4640" s="81" t="str">
        <f>HYPERLINK("https://youtube.com/watch?v=I2FM4BNSklM", "火雞姐之港女拍拖雙聲道 （下）BY SHE.COM")</f>
        <v>火雞姐之港女拍拖雙聲道 （下）BY SHE.COM</v>
      </c>
      <c r="E4640" s="82">
        <v>42609.0</v>
      </c>
      <c r="F4640" s="80">
        <v>112.0</v>
      </c>
      <c r="G4640" s="80" t="s">
        <v>63</v>
      </c>
      <c r="I4640" s="80" t="s">
        <v>63</v>
      </c>
      <c r="J4640" s="80">
        <v>444.0</v>
      </c>
      <c r="K4640" s="80">
        <v>0.961038961038961</v>
      </c>
      <c r="L4640" s="80" t="s">
        <v>1889</v>
      </c>
    </row>
    <row r="4641">
      <c r="A4641" s="80" t="s">
        <v>5021</v>
      </c>
      <c r="B4641" s="81" t="str">
        <f>HYPERLINK("https://www.youtube.com/channel/UCXI73R-C4EI8U_rISlD1S2w", "三個小生愛回加DnJ")</f>
        <v>三個小生愛回加DnJ</v>
      </c>
      <c r="C4641" s="80" t="s">
        <v>5074</v>
      </c>
      <c r="D4641" s="81" t="str">
        <f>HYPERLINK("https://youtube.com/watch?v=Iy05gwgMcEA", "移民溫哥華 | 輕輕鬆鬆聽阿Joe｜終於可以上學了，但是我仍然有點猶豫 202006")</f>
        <v>移民溫哥華 | 輕輕鬆鬆聽阿Joe｜終於可以上學了，但是我仍然有點猶豫 202006</v>
      </c>
      <c r="E4641" s="82">
        <v>43984.0</v>
      </c>
      <c r="F4641" s="80">
        <v>369.0</v>
      </c>
      <c r="G4641" s="80" t="s">
        <v>63</v>
      </c>
      <c r="I4641" s="80" t="s">
        <v>63</v>
      </c>
      <c r="J4641" s="80">
        <v>1256.0</v>
      </c>
      <c r="K4641" s="80">
        <v>0.910144927536231</v>
      </c>
      <c r="L4641" s="80" t="s">
        <v>64</v>
      </c>
    </row>
    <row r="4642">
      <c r="A4642" s="80" t="s">
        <v>5041</v>
      </c>
      <c r="B4642" s="81" t="str">
        <f>HYPERLINK("https://www.youtube.com/channel/UCHPhAP0i8BxEF2lBgNfLB1g", "溫哥華地產經紀 Carrie Kwai PREC* l 大溫住好D 基仔&amp;Carrie")</f>
        <v>溫哥華地產經紀 Carrie Kwai PREC* l 大溫住好D 基仔&amp;Carrie</v>
      </c>
      <c r="C4642" s="80" t="s">
        <v>5075</v>
      </c>
      <c r="D4642" s="81" t="str">
        <f>HYPERLINK("https://youtube.com/watch?v=JDalBirl1u0", "突發！加拿大推出【香港人移民加拿大】新政策 有利年青人+ 已移居溫哥華80後分享衣食住行")</f>
        <v>突發！加拿大推出【香港人移民加拿大】新政策 有利年青人+ 已移居溫哥華80後分享衣食住行</v>
      </c>
      <c r="E4642" s="82">
        <v>44147.0</v>
      </c>
      <c r="F4642" s="80">
        <v>779.0</v>
      </c>
      <c r="G4642" s="80" t="s">
        <v>63</v>
      </c>
      <c r="I4642" s="80" t="s">
        <v>63</v>
      </c>
      <c r="J4642" s="80">
        <v>2113.0</v>
      </c>
      <c r="K4642" s="80">
        <v>0.859641985353946</v>
      </c>
      <c r="L4642" s="80" t="s">
        <v>64</v>
      </c>
    </row>
    <row r="4643">
      <c r="A4643" s="80" t="s">
        <v>5023</v>
      </c>
      <c r="B4643" s="81" t="str">
        <f>HYPERLINK("https://www.youtube.com/channel/UCnwki8IA26JP-E4-xovIgQQ", "Heyo Fok")</f>
        <v>Heyo Fok</v>
      </c>
      <c r="C4643" s="80" t="s">
        <v>5076</v>
      </c>
      <c r="D4643" s="81" t="str">
        <f>HYPERLINK("https://youtube.com/watch?v=Ju-6vYJN8iw", "Heyo【花華】－02 我玩「固我」在 Feat. Doughboy")</f>
        <v>Heyo【花華】－02 我玩「固我」在 Feat. Doughboy</v>
      </c>
      <c r="E4643" s="82">
        <v>42674.0</v>
      </c>
      <c r="F4643" s="80">
        <v>237.0</v>
      </c>
      <c r="G4643" s="80" t="s">
        <v>63</v>
      </c>
      <c r="I4643" s="80" t="s">
        <v>63</v>
      </c>
      <c r="J4643" s="80">
        <v>251.0</v>
      </c>
      <c r="K4643" s="80">
        <v>0.223907225691347</v>
      </c>
      <c r="L4643" s="80" t="s">
        <v>64</v>
      </c>
    </row>
    <row r="4644">
      <c r="A4644" s="80" t="s">
        <v>5017</v>
      </c>
      <c r="B4644" s="81" t="str">
        <f>HYPERLINK("https://www.youtube.com/channel/UCVAUtDUarzrjTzhSMiLvK6w", "YankiDin")</f>
        <v>YankiDin</v>
      </c>
      <c r="C4644" s="80" t="s">
        <v>5077</v>
      </c>
      <c r="D4644" s="81" t="str">
        <f>HYPERLINK("https://youtube.com/watch?v=KCwlGZhDCpM", "YANKIDIN  | 火雞姐系列 | 打機打到我發脾氣囉！")</f>
        <v>YANKIDIN  | 火雞姐系列 | 打機打到我發脾氣囉！</v>
      </c>
      <c r="E4644" s="82">
        <v>42601.0</v>
      </c>
      <c r="F4644" s="80">
        <v>150.0</v>
      </c>
      <c r="G4644" s="80" t="s">
        <v>63</v>
      </c>
      <c r="H4644" s="80" t="s">
        <v>63</v>
      </c>
      <c r="I4644" s="80" t="s">
        <v>63</v>
      </c>
      <c r="J4644" s="80">
        <v>899.0</v>
      </c>
      <c r="K4644" s="80">
        <v>0.908080808080808</v>
      </c>
      <c r="L4644" s="80" t="s">
        <v>1503</v>
      </c>
    </row>
    <row r="4645">
      <c r="A4645" s="80" t="s">
        <v>5019</v>
      </c>
      <c r="B4645" s="81" t="str">
        <f>HYPERLINK("https://www.youtube.com/channel/UCbsM9POBZ0TVvG74xL3WH0A", "Cherry 小美")</f>
        <v>Cherry 小美</v>
      </c>
      <c r="C4645" s="80" t="s">
        <v>5078</v>
      </c>
      <c r="D4645" s="81" t="str">
        <f>HYPERLINK("https://youtube.com/watch?v=KTpkI7Ktuxc", "泰國街市學粗口Cooking Class")</f>
        <v>泰國街市學粗口Cooking Class</v>
      </c>
      <c r="E4645" s="82">
        <v>42595.0</v>
      </c>
      <c r="F4645" s="80">
        <v>504.0</v>
      </c>
      <c r="G4645" s="80" t="s">
        <v>63</v>
      </c>
      <c r="H4645" s="80" t="s">
        <v>63</v>
      </c>
      <c r="I4645" s="80" t="s">
        <v>63</v>
      </c>
      <c r="J4645" s="80">
        <v>1196.0</v>
      </c>
      <c r="K4645" s="80">
        <v>0.869166029074215</v>
      </c>
      <c r="L4645" s="80" t="s">
        <v>86</v>
      </c>
    </row>
    <row r="4646">
      <c r="A4646" s="80" t="s">
        <v>5041</v>
      </c>
      <c r="B4646" s="81" t="str">
        <f>HYPERLINK("https://www.youtube.com/channel/UCHPhAP0i8BxEF2lBgNfLB1g", "溫哥華地產經紀 Carrie Kwai PREC* l 大溫住好D 基仔&amp;Carrie")</f>
        <v>溫哥華地產經紀 Carrie Kwai PREC* l 大溫住好D 基仔&amp;Carrie</v>
      </c>
      <c r="C4646" s="80" t="s">
        <v>5079</v>
      </c>
      <c r="D4646" s="81" t="str">
        <f>HYPERLINK("https://youtube.com/watch?v=LCmyAYT-a98", "温哥華樓花率先睇👉新盤明天開售 SOCO by Anthem 高層項目 南高貴林")</f>
        <v>温哥華樓花率先睇👉新盤明天開售 SOCO by Anthem 高層項目 南高貴林</v>
      </c>
      <c r="E4646" s="82">
        <v>44084.0</v>
      </c>
      <c r="F4646" s="80">
        <v>960.0</v>
      </c>
      <c r="G4646" s="80" t="s">
        <v>63</v>
      </c>
      <c r="I4646" s="80" t="s">
        <v>63</v>
      </c>
      <c r="J4646" s="80">
        <v>1997.0</v>
      </c>
      <c r="K4646" s="80">
        <v>0.752732755371277</v>
      </c>
      <c r="L4646" s="80" t="s">
        <v>64</v>
      </c>
    </row>
    <row r="4647">
      <c r="A4647" s="80" t="s">
        <v>5019</v>
      </c>
      <c r="B4647" s="81" t="str">
        <f>HYPERLINK("https://www.youtube.com/channel/UCbsM9POBZ0TVvG74xL3WH0A", "Cherry 小美")</f>
        <v>Cherry 小美</v>
      </c>
      <c r="C4647" s="80" t="s">
        <v>5080</v>
      </c>
      <c r="D4647" s="81" t="str">
        <f>HYPERLINK("https://youtube.com/watch?v=LayGaK8A8H4", "日本長野好好玩1 (滑雪/蕎麥面/溫泉/浴衣/射的)")</f>
        <v>日本長野好好玩1 (滑雪/蕎麥面/溫泉/浴衣/射的)</v>
      </c>
      <c r="E4647" s="82">
        <v>42574.0</v>
      </c>
      <c r="F4647" s="80">
        <v>682.0</v>
      </c>
      <c r="G4647" s="80" t="s">
        <v>63</v>
      </c>
      <c r="H4647" s="80" t="s">
        <v>63</v>
      </c>
      <c r="I4647" s="80" t="s">
        <v>63</v>
      </c>
      <c r="J4647" s="80">
        <v>1241.0</v>
      </c>
      <c r="K4647" s="80">
        <v>0.946605644546147</v>
      </c>
      <c r="L4647" s="80" t="s">
        <v>86</v>
      </c>
    </row>
    <row r="4648">
      <c r="A4648" s="80" t="s">
        <v>5023</v>
      </c>
      <c r="B4648" s="81" t="str">
        <f>HYPERLINK("https://www.youtube.com/channel/UCnwki8IA26JP-E4-xovIgQQ", "Heyo Fok")</f>
        <v>Heyo Fok</v>
      </c>
      <c r="C4648" s="80" t="s">
        <v>5081</v>
      </c>
      <c r="D4648" s="81" t="str">
        <f>HYPERLINK("https://youtube.com/watch?v=LdYAHVYTO1U", "【嬉怒的維度】Heyo － 人民公僕")</f>
        <v>【嬉怒的維度】Heyo － 人民公僕</v>
      </c>
      <c r="E4648" s="82">
        <v>42201.0</v>
      </c>
      <c r="F4648" s="80">
        <v>150.0</v>
      </c>
      <c r="G4648" s="80" t="s">
        <v>63</v>
      </c>
      <c r="I4648" s="80" t="s">
        <v>63</v>
      </c>
      <c r="J4648" s="80">
        <v>507.0</v>
      </c>
      <c r="K4648" s="80">
        <v>0.971264367816091</v>
      </c>
      <c r="L4648" s="80" t="s">
        <v>64</v>
      </c>
    </row>
    <row r="4649">
      <c r="A4649" s="80" t="s">
        <v>5019</v>
      </c>
      <c r="B4649" s="81" t="str">
        <f>HYPERLINK("https://www.youtube.com/channel/UCbsM9POBZ0TVvG74xL3WH0A", "Cherry 小美")</f>
        <v>Cherry 小美</v>
      </c>
      <c r="C4649" s="80" t="s">
        <v>5082</v>
      </c>
      <c r="D4649" s="81" t="str">
        <f>HYPERLINK("https://youtube.com/watch?v=Movo8Cfiv60", "9估通勝英文翻譯(ft. 阿Me)")</f>
        <v>9估通勝英文翻譯(ft. 阿Me)</v>
      </c>
      <c r="E4649" s="82">
        <v>42519.0</v>
      </c>
      <c r="F4649" s="80">
        <v>591.0</v>
      </c>
      <c r="G4649" s="80" t="s">
        <v>63</v>
      </c>
      <c r="I4649" s="80" t="s">
        <v>63</v>
      </c>
      <c r="J4649" s="80">
        <v>1638.0</v>
      </c>
      <c r="K4649" s="80">
        <v>0.699402220324508</v>
      </c>
      <c r="L4649" s="80" t="s">
        <v>64</v>
      </c>
    </row>
    <row r="4650">
      <c r="A4650" s="80" t="s">
        <v>5041</v>
      </c>
      <c r="B4650" s="81" t="str">
        <f>HYPERLINK("https://www.youtube.com/channel/UCHPhAP0i8BxEF2lBgNfLB1g", "溫哥華地產經紀 Carrie Kwai PREC* l 大溫住好D 基仔&amp;Carrie")</f>
        <v>溫哥華地產經紀 Carrie Kwai PREC* l 大溫住好D 基仔&amp;Carrie</v>
      </c>
      <c r="C4650" s="80" t="s">
        <v>5083</v>
      </c>
      <c r="D4650" s="81" t="str">
        <f>HYPERLINK("https://youtube.com/watch?v=N7li-v1kygQ", "温哥華裝修 - 分享隔音牆壁、隔音房門的改造過程、技巧和所需工具。")</f>
        <v>温哥華裝修 - 分享隔音牆壁、隔音房門的改造過程、技巧和所需工具。</v>
      </c>
      <c r="E4650" s="82">
        <v>44123.0</v>
      </c>
      <c r="F4650" s="80">
        <v>685.0</v>
      </c>
      <c r="G4650" s="80" t="s">
        <v>63</v>
      </c>
      <c r="I4650" s="80" t="s">
        <v>63</v>
      </c>
      <c r="J4650" s="80">
        <v>1333.0</v>
      </c>
      <c r="K4650" s="80">
        <v>0.981590574374079</v>
      </c>
      <c r="L4650" s="80" t="s">
        <v>64</v>
      </c>
    </row>
    <row r="4651">
      <c r="A4651" s="80" t="s">
        <v>5023</v>
      </c>
      <c r="B4651" s="81" t="str">
        <f t="shared" ref="B4651:B4652" si="252">HYPERLINK("https://www.youtube.com/channel/UCnwki8IA26JP-E4-xovIgQQ", "Heyo Fok")</f>
        <v>Heyo Fok</v>
      </c>
      <c r="C4651" s="80" t="s">
        <v>5084</v>
      </c>
      <c r="D4651" s="81" t="str">
        <f>HYPERLINK("https://youtube.com/watch?v=NefIu1QJiNE", "Heyo - 喜愛射毛")</f>
        <v>Heyo - 喜愛射毛</v>
      </c>
      <c r="E4651" s="82">
        <v>41476.0</v>
      </c>
      <c r="F4651" s="80">
        <v>176.0</v>
      </c>
      <c r="G4651" s="80" t="s">
        <v>63</v>
      </c>
      <c r="I4651" s="80" t="s">
        <v>63</v>
      </c>
      <c r="J4651" s="80">
        <v>548.0</v>
      </c>
      <c r="K4651" s="80">
        <v>0.825301204819277</v>
      </c>
      <c r="L4651" s="80" t="s">
        <v>64</v>
      </c>
    </row>
    <row r="4652">
      <c r="A4652" s="80" t="s">
        <v>5023</v>
      </c>
      <c r="B4652" s="81" t="str">
        <f t="shared" si="252"/>
        <v>Heyo Fok</v>
      </c>
      <c r="C4652" s="80" t="s">
        <v>5085</v>
      </c>
      <c r="D4652" s="81" t="str">
        <f>HYPERLINK("https://youtube.com/watch?v=Nr0RTLfiiy0", "【嬉怒的維度】Heyo － 懶")</f>
        <v>【嬉怒的維度】Heyo － 懶</v>
      </c>
      <c r="E4652" s="82">
        <v>42201.0</v>
      </c>
      <c r="F4652" s="80">
        <v>269.0</v>
      </c>
      <c r="G4652" s="80" t="s">
        <v>63</v>
      </c>
      <c r="I4652" s="80" t="s">
        <v>63</v>
      </c>
      <c r="J4652" s="80">
        <v>518.0</v>
      </c>
      <c r="K4652" s="80">
        <v>0.82615629984051</v>
      </c>
      <c r="L4652" s="80" t="s">
        <v>64</v>
      </c>
    </row>
    <row r="4653">
      <c r="A4653" s="80" t="s">
        <v>5021</v>
      </c>
      <c r="B4653" s="81" t="str">
        <f>HYPERLINK("https://www.youtube.com/channel/UCXI73R-C4EI8U_rISlD1S2w", "三個小生愛回加DnJ")</f>
        <v>三個小生愛回加DnJ</v>
      </c>
      <c r="C4653" s="80" t="s">
        <v>5086</v>
      </c>
      <c r="D4653" s="81" t="str">
        <f>HYPERLINK("https://youtube.com/watch?v=Nxe-ZTi_YX4", "移民溫哥華｜溫哥華樓盤巡禮 ｜Richmond列治文方便之選 |  有平台花園的Condo，燒烤得，曬太陽亦得｜衣食住行都唔駛開車  202008")</f>
        <v>移民溫哥華｜溫哥華樓盤巡禮 ｜Richmond列治文方便之選 |  有平台花園的Condo，燒烤得，曬太陽亦得｜衣食住行都唔駛開車  202008</v>
      </c>
      <c r="E4653" s="82">
        <v>44061.0</v>
      </c>
      <c r="F4653" s="80">
        <v>746.0</v>
      </c>
      <c r="G4653" s="80" t="s">
        <v>63</v>
      </c>
      <c r="I4653" s="80" t="s">
        <v>63</v>
      </c>
      <c r="J4653" s="80">
        <v>1746.0</v>
      </c>
      <c r="K4653" s="80">
        <v>0.754863813229572</v>
      </c>
      <c r="L4653" s="80" t="s">
        <v>64</v>
      </c>
    </row>
    <row r="4654">
      <c r="A4654" s="80" t="s">
        <v>5041</v>
      </c>
      <c r="B4654" s="81" t="str">
        <f>HYPERLINK("https://www.youtube.com/channel/UCHPhAP0i8BxEF2lBgNfLB1g", "溫哥華地產經紀 Carrie Kwai PREC* l 大溫住好D 基仔&amp;Carrie")</f>
        <v>溫哥華地產經紀 Carrie Kwai PREC* l 大溫住好D 基仔&amp;Carrie</v>
      </c>
      <c r="C4654" s="80" t="s">
        <v>5087</v>
      </c>
      <c r="D4654" s="81" t="str">
        <f>HYPERLINK("https://youtube.com/watch?v=OAdZbS5g7DE", "【加拿大樓花presale】溫哥華Concord Metrotown 睇示範單位前網上登記2步曲 解答問題本 拿比Burnaby新盤 海外物業 投資收租自住[中英字幕 / EN subtitles]")</f>
        <v>【加拿大樓花presale】溫哥華Concord Metrotown 睇示範單位前網上登記2步曲 解答問題本 拿比Burnaby新盤 海外物業 投資收租自住[中英字幕 / EN subtitles]</v>
      </c>
      <c r="E4654" s="82">
        <v>44145.0</v>
      </c>
      <c r="F4654" s="80">
        <v>530.0</v>
      </c>
      <c r="G4654" s="80" t="s">
        <v>63</v>
      </c>
      <c r="I4654" s="80" t="s">
        <v>63</v>
      </c>
      <c r="J4654" s="80">
        <v>1387.0</v>
      </c>
      <c r="K4654" s="80">
        <v>0.709825997952917</v>
      </c>
      <c r="L4654" s="80" t="s">
        <v>521</v>
      </c>
    </row>
    <row r="4655">
      <c r="A4655" s="80" t="s">
        <v>5023</v>
      </c>
      <c r="B4655" s="81" t="str">
        <f>HYPERLINK("https://www.youtube.com/channel/UCnwki8IA26JP-E4-xovIgQQ", "Heyo Fok")</f>
        <v>Heyo Fok</v>
      </c>
      <c r="C4655" s="80" t="s">
        <v>5088</v>
      </c>
      <c r="D4655" s="81" t="str">
        <f>HYPERLINK("https://youtube.com/watch?v=Ojz62OKGxOY", "Heyo x Vyan【老表大奔走】-04 馬騮精")</f>
        <v>Heyo x Vyan【老表大奔走】-04 馬騮精</v>
      </c>
      <c r="E4655" s="82">
        <v>43284.0</v>
      </c>
      <c r="F4655" s="80">
        <v>257.0</v>
      </c>
      <c r="G4655" s="80" t="s">
        <v>63</v>
      </c>
      <c r="I4655" s="80" t="s">
        <v>63</v>
      </c>
      <c r="J4655" s="80">
        <v>520.0</v>
      </c>
      <c r="K4655" s="80">
        <v>0.971962616822429</v>
      </c>
      <c r="L4655" s="80" t="s">
        <v>64</v>
      </c>
    </row>
    <row r="4656">
      <c r="A4656" s="80" t="s">
        <v>5089</v>
      </c>
      <c r="B4656" s="81" t="str">
        <f>HYPERLINK("https://www.youtube.com/channel/UCoYTqgjIEplB9SLB74794TA", "Goomusic")</f>
        <v>Goomusic</v>
      </c>
      <c r="C4656" s="80" t="s">
        <v>5090</v>
      </c>
      <c r="D4656" s="81" t="str">
        <f>HYPERLINK("https://youtube.com/watch?v=OpjvRMyoAAs", "何韻詩《行旅・往後》—— 卡式帶青春")</f>
        <v>何韻詩《行旅・往後》—— 卡式帶青春</v>
      </c>
      <c r="E4656" s="82">
        <v>42937.0</v>
      </c>
      <c r="F4656" s="80">
        <v>481.0</v>
      </c>
      <c r="G4656" s="80" t="s">
        <v>63</v>
      </c>
      <c r="H4656" s="80" t="s">
        <v>63</v>
      </c>
      <c r="I4656" s="80" t="s">
        <v>63</v>
      </c>
      <c r="J4656" s="80">
        <v>1008.0</v>
      </c>
      <c r="K4656" s="80">
        <v>0.881889763779527</v>
      </c>
      <c r="L4656" s="80" t="s">
        <v>120</v>
      </c>
    </row>
    <row r="4657">
      <c r="A4657" s="80" t="s">
        <v>5023</v>
      </c>
      <c r="B4657" s="81" t="str">
        <f t="shared" ref="B4657:B4658" si="253">HYPERLINK("https://www.youtube.com/channel/UCnwki8IA26JP-E4-xovIgQQ", "Heyo Fok")</f>
        <v>Heyo Fok</v>
      </c>
      <c r="C4657" s="80" t="s">
        <v>5091</v>
      </c>
      <c r="D4657" s="81" t="str">
        <f>HYPERLINK("https://youtube.com/watch?v=P4vMJKdKaTE", "Heyo－走 (2009)")</f>
        <v>Heyo－走 (2009)</v>
      </c>
      <c r="E4657" s="82">
        <v>41862.0</v>
      </c>
      <c r="F4657" s="80">
        <v>200.0</v>
      </c>
      <c r="G4657" s="80" t="s">
        <v>63</v>
      </c>
      <c r="I4657" s="80" t="s">
        <v>63</v>
      </c>
      <c r="J4657" s="80">
        <v>569.0</v>
      </c>
      <c r="K4657" s="80">
        <v>0.987847222222222</v>
      </c>
      <c r="L4657" s="80" t="s">
        <v>64</v>
      </c>
    </row>
    <row r="4658">
      <c r="A4658" s="80" t="s">
        <v>5023</v>
      </c>
      <c r="B4658" s="81" t="str">
        <f t="shared" si="253"/>
        <v>Heyo Fok</v>
      </c>
      <c r="C4658" s="80" t="s">
        <v>5092</v>
      </c>
      <c r="D4658" s="81" t="str">
        <f>HYPERLINK("https://youtube.com/watch?v=PSHpfs1dn3E", "【嬉怒的維度】Heyo － 剝牙（Remix）")</f>
        <v>【嬉怒的維度】Heyo － 剝牙（Remix）</v>
      </c>
      <c r="E4658" s="82">
        <v>42201.0</v>
      </c>
      <c r="F4658" s="80">
        <v>195.0</v>
      </c>
      <c r="G4658" s="80" t="s">
        <v>63</v>
      </c>
      <c r="I4658" s="80" t="s">
        <v>63</v>
      </c>
      <c r="J4658" s="80">
        <v>621.0</v>
      </c>
      <c r="K4658" s="80">
        <v>0.878359264497878</v>
      </c>
      <c r="L4658" s="80" t="s">
        <v>64</v>
      </c>
    </row>
    <row r="4659">
      <c r="A4659" s="80" t="s">
        <v>5041</v>
      </c>
      <c r="B4659" s="81" t="str">
        <f>HYPERLINK("https://www.youtube.com/channel/UCHPhAP0i8BxEF2lBgNfLB1g", "溫哥華地產經紀 Carrie Kwai PREC* l 大溫住好D 基仔&amp;Carrie")</f>
        <v>溫哥華地產經紀 Carrie Kwai PREC* l 大溫住好D 基仔&amp;Carrie</v>
      </c>
      <c r="C4659" s="80" t="s">
        <v>5093</v>
      </c>
      <c r="D4659" s="81" t="str">
        <f>HYPERLINK("https://youtube.com/watch?v=Q1uDXzN7WuA", "【已售】大温哥華睇樓 - Richmond 少有混凝土Townhouse 兩層Corner unit 大兩房任你睇!【多邊窗】")</f>
        <v>【已售】大温哥華睇樓 - Richmond 少有混凝土Townhouse 兩層Corner unit 大兩房任你睇!【多邊窗】</v>
      </c>
      <c r="E4659" s="82">
        <v>44126.0</v>
      </c>
      <c r="F4659" s="80">
        <v>643.0</v>
      </c>
      <c r="G4659" s="80" t="s">
        <v>63</v>
      </c>
      <c r="I4659" s="80" t="s">
        <v>63</v>
      </c>
      <c r="J4659" s="80">
        <v>1286.0</v>
      </c>
      <c r="K4659" s="80">
        <v>0.79431747992588</v>
      </c>
      <c r="L4659" s="80" t="s">
        <v>64</v>
      </c>
    </row>
    <row r="4660">
      <c r="A4660" s="80" t="s">
        <v>5019</v>
      </c>
      <c r="B4660" s="81" t="str">
        <f>HYPERLINK("https://www.youtube.com/channel/UCbsM9POBZ0TVvG74xL3WH0A", "Cherry 小美")</f>
        <v>Cherry 小美</v>
      </c>
      <c r="C4660" s="80" t="s">
        <v>5094</v>
      </c>
      <c r="D4660" s="81" t="str">
        <f>HYPERLINK("https://youtube.com/watch?v=QGR3A6Vro_M", "日本長野好好玩 3(雪景/小布施/栗子甜品)")</f>
        <v>日本長野好好玩 3(雪景/小布施/栗子甜品)</v>
      </c>
      <c r="E4660" s="82">
        <v>42583.0</v>
      </c>
      <c r="F4660" s="80">
        <v>540.0</v>
      </c>
      <c r="G4660" s="80" t="s">
        <v>63</v>
      </c>
      <c r="H4660" s="80" t="s">
        <v>63</v>
      </c>
      <c r="I4660" s="80" t="s">
        <v>63</v>
      </c>
      <c r="J4660" s="80">
        <v>1157.0</v>
      </c>
      <c r="K4660" s="80">
        <v>0.914624505928853</v>
      </c>
      <c r="L4660" s="80" t="s">
        <v>86</v>
      </c>
    </row>
    <row r="4661">
      <c r="A4661" s="80" t="s">
        <v>5027</v>
      </c>
      <c r="B4661" s="81" t="str">
        <f>HYPERLINK("https://www.youtube.com/channel/UCZgs3pLaFisZ-TKVOwFEe8Q", "嘉芙姐姐 - 兒歌童謠 - 故事動畫 - Miss Ka Foo Kids Channel")</f>
        <v>嘉芙姐姐 - 兒歌童謠 - 故事動畫 - Miss Ka Foo Kids Channel</v>
      </c>
      <c r="C4661" s="80" t="s">
        <v>5095</v>
      </c>
      <c r="D4661" s="81" t="str">
        <f>HYPERLINK("https://youtube.com/watch?v=QHHQzJbhzuw", "我係霸王龍 | 恐龍兒歌 | 雷克斯暴龍T Rex中文兒歌 | 嘉芙姐姐粵語廣東話兒歌")</f>
        <v>我係霸王龍 | 恐龍兒歌 | 雷克斯暴龍T Rex中文兒歌 | 嘉芙姐姐粵語廣東話兒歌</v>
      </c>
      <c r="E4661" s="82">
        <v>44507.0</v>
      </c>
      <c r="F4661" s="80">
        <v>173.0</v>
      </c>
      <c r="G4661" s="80" t="s">
        <v>63</v>
      </c>
      <c r="I4661" s="80" t="s">
        <v>63</v>
      </c>
      <c r="J4661" s="80">
        <v>240.0</v>
      </c>
      <c r="K4661" s="80">
        <v>0.833333333333333</v>
      </c>
      <c r="L4661" s="80" t="s">
        <v>91</v>
      </c>
    </row>
    <row r="4662">
      <c r="A4662" s="80" t="s">
        <v>5017</v>
      </c>
      <c r="B4662" s="81" t="str">
        <f t="shared" ref="B4662:B4663" si="254">HYPERLINK("https://www.youtube.com/channel/UCVAUtDUarzrjTzhSMiLvK6w", "YankiDin")</f>
        <v>YankiDin</v>
      </c>
      <c r="C4662" s="80" t="s">
        <v>5096</v>
      </c>
      <c r="D4662" s="81" t="str">
        <f>HYPERLINK("https://youtube.com/watch?v=QWkzEpD-PtY", "YANKIDIN  | 期待已久既♥十萬訂閱♥ &amp; ♥ ASK FOR HELP♥")</f>
        <v>YANKIDIN  | 期待已久既♥十萬訂閱♥ &amp; ♥ ASK FOR HELP♥</v>
      </c>
      <c r="E4662" s="82">
        <v>42636.0</v>
      </c>
      <c r="F4662" s="80">
        <v>149.0</v>
      </c>
      <c r="G4662" s="80" t="s">
        <v>63</v>
      </c>
      <c r="H4662" s="80" t="s">
        <v>63</v>
      </c>
      <c r="I4662" s="80" t="s">
        <v>63</v>
      </c>
      <c r="J4662" s="80">
        <v>558.0</v>
      </c>
      <c r="K4662" s="80">
        <v>0.919275123558484</v>
      </c>
      <c r="L4662" s="80" t="s">
        <v>120</v>
      </c>
    </row>
    <row r="4663">
      <c r="A4663" s="80" t="s">
        <v>5017</v>
      </c>
      <c r="B4663" s="81" t="str">
        <f t="shared" si="254"/>
        <v>YankiDin</v>
      </c>
      <c r="C4663" s="80" t="s">
        <v>5097</v>
      </c>
      <c r="D4663" s="81" t="str">
        <f>HYPERLINK("https://youtube.com/watch?v=RI-BzAd9M5E", "YANKIDIN  | 10 樣關於我既事( 喜好/習慣/怪癖 )")</f>
        <v>YANKIDIN  | 10 樣關於我既事( 喜好/習慣/怪癖 )</v>
      </c>
      <c r="E4663" s="82">
        <v>42622.0</v>
      </c>
      <c r="F4663" s="80">
        <v>615.0</v>
      </c>
      <c r="G4663" s="80" t="s">
        <v>63</v>
      </c>
      <c r="I4663" s="80" t="s">
        <v>63</v>
      </c>
      <c r="J4663" s="80">
        <v>2916.0</v>
      </c>
      <c r="K4663" s="80">
        <v>0.971352431712191</v>
      </c>
      <c r="L4663" s="80" t="s">
        <v>64</v>
      </c>
    </row>
    <row r="4664">
      <c r="A4664" s="80" t="s">
        <v>5019</v>
      </c>
      <c r="B4664" s="81" t="str">
        <f>HYPERLINK("https://www.youtube.com/channel/UCbsM9POBZ0TVvG74xL3WH0A", "Cherry 小美")</f>
        <v>Cherry 小美</v>
      </c>
      <c r="C4664" s="80" t="s">
        <v>5098</v>
      </c>
      <c r="D4664" s="81" t="str">
        <f>HYPERLINK("https://youtube.com/watch?v=RI5YyHEpjZ0", "IG照騙達人速成教室")</f>
        <v>IG照騙達人速成教室</v>
      </c>
      <c r="E4664" s="82">
        <v>42535.0</v>
      </c>
      <c r="F4664" s="80">
        <v>486.0</v>
      </c>
      <c r="G4664" s="80" t="s">
        <v>63</v>
      </c>
      <c r="H4664" s="80" t="s">
        <v>63</v>
      </c>
      <c r="I4664" s="80" t="s">
        <v>63</v>
      </c>
      <c r="J4664" s="80">
        <v>1760.0</v>
      </c>
      <c r="K4664" s="80">
        <v>0.889338049519959</v>
      </c>
      <c r="L4664" s="80" t="s">
        <v>86</v>
      </c>
    </row>
    <row r="4665">
      <c r="A4665" s="80" t="s">
        <v>5027</v>
      </c>
      <c r="B4665" s="81" t="str">
        <f>HYPERLINK("https://www.youtube.com/channel/UCZgs3pLaFisZ-TKVOwFEe8Q", "嘉芙姐姐 - 兒歌童謠 - 故事動畫 - Miss Ka Foo Kids Channel")</f>
        <v>嘉芙姐姐 - 兒歌童謠 - 故事動畫 - Miss Ka Foo Kids Channel</v>
      </c>
      <c r="C4665" s="80" t="s">
        <v>5099</v>
      </c>
      <c r="D4665" s="81" t="str">
        <f>HYPERLINK("https://youtube.com/watch?v=RTM6Nro8jQw", "電單車 | 香港交通工具系列中文兒歌 | 摩托車粵語廣東話歌曲 | 幼稚園認識電單車教材 | 嘉芙姐姐兒歌")</f>
        <v>電單車 | 香港交通工具系列中文兒歌 | 摩托車粵語廣東話歌曲 | 幼稚園認識電單車教材 | 嘉芙姐姐兒歌</v>
      </c>
      <c r="E4665" s="82">
        <v>44388.0</v>
      </c>
      <c r="F4665" s="80">
        <v>108.0</v>
      </c>
      <c r="G4665" s="80" t="s">
        <v>63</v>
      </c>
      <c r="I4665" s="80" t="s">
        <v>63</v>
      </c>
      <c r="J4665" s="80">
        <v>129.0</v>
      </c>
      <c r="K4665" s="80">
        <v>1.0</v>
      </c>
      <c r="L4665" s="80" t="s">
        <v>91</v>
      </c>
    </row>
    <row r="4666">
      <c r="A4666" s="80" t="s">
        <v>5017</v>
      </c>
      <c r="B4666" s="81" t="str">
        <f>HYPERLINK("https://www.youtube.com/channel/UCVAUtDUarzrjTzhSMiLvK6w", "YankiDin")</f>
        <v>YankiDin</v>
      </c>
      <c r="C4666" s="80" t="s">
        <v>5100</v>
      </c>
      <c r="D4666" s="81" t="str">
        <f>HYPERLINK("https://youtube.com/watch?v=Sz8v-2VeIQk", "YANKIDIN  | 火雞姐系列 | 唔係呀又黎女神妝？？？？？？？")</f>
        <v>YANKIDIN  | 火雞姐系列 | 唔係呀又黎女神妝？？？？？？？</v>
      </c>
      <c r="E4666" s="82">
        <v>42606.0</v>
      </c>
      <c r="F4666" s="80">
        <v>276.0</v>
      </c>
      <c r="G4666" s="80" t="s">
        <v>63</v>
      </c>
      <c r="I4666" s="80" t="s">
        <v>63</v>
      </c>
      <c r="J4666" s="80">
        <v>1446.0</v>
      </c>
      <c r="K4666" s="80">
        <v>0.824871648602395</v>
      </c>
      <c r="L4666" s="80" t="s">
        <v>1889</v>
      </c>
    </row>
    <row r="4667">
      <c r="A4667" s="80" t="s">
        <v>5021</v>
      </c>
      <c r="B4667" s="81" t="str">
        <f>HYPERLINK("https://www.youtube.com/channel/UCXI73R-C4EI8U_rISlD1S2w", "三個小生愛回加DnJ")</f>
        <v>三個小生愛回加DnJ</v>
      </c>
      <c r="C4667" s="80" t="s">
        <v>5101</v>
      </c>
      <c r="D4667" s="81" t="str">
        <f>HYPERLINK("https://youtube.com/watch?v=TGOPSWxk0wM", "移民溫哥華 | 母親節特別版｜疫情下媽媽的辛勞｜怎樣處理日常生活和家中大小朋友｜電台節目- 「三個爸爸三個家，三個小生愛回加」YouTube特別版   第十三集 20200510")</f>
        <v>移民溫哥華 | 母親節特別版｜疫情下媽媽的辛勞｜怎樣處理日常生活和家中大小朋友｜電台節目- 「三個爸爸三個家，三個小生愛回加」YouTube特別版   第十三集 20200510</v>
      </c>
      <c r="E4667" s="82">
        <v>43961.0</v>
      </c>
      <c r="F4667" s="80">
        <v>1113.0</v>
      </c>
      <c r="G4667" s="80" t="s">
        <v>63</v>
      </c>
      <c r="I4667" s="80" t="s">
        <v>63</v>
      </c>
      <c r="J4667" s="80">
        <v>3267.0</v>
      </c>
      <c r="K4667" s="80">
        <v>0.857930672268907</v>
      </c>
      <c r="L4667" s="80" t="s">
        <v>64</v>
      </c>
    </row>
    <row r="4668">
      <c r="A4668" s="80" t="s">
        <v>5023</v>
      </c>
      <c r="B4668" s="81" t="str">
        <f>HYPERLINK("https://www.youtube.com/channel/UCnwki8IA26JP-E4-xovIgQQ", "Heyo Fok")</f>
        <v>Heyo Fok</v>
      </c>
      <c r="C4668" s="80" t="s">
        <v>5102</v>
      </c>
      <c r="D4668" s="81" t="str">
        <f>HYPERLINK("https://youtube.com/watch?v=TNsyIQl25VI", "Dough Boy - 大師父 (feat. Heyo)")</f>
        <v>Dough Boy - 大師父 (feat. Heyo)</v>
      </c>
      <c r="E4668" s="82">
        <v>41240.0</v>
      </c>
      <c r="F4668" s="80">
        <v>234.0</v>
      </c>
      <c r="G4668" s="80" t="s">
        <v>63</v>
      </c>
      <c r="I4668" s="80" t="s">
        <v>63</v>
      </c>
      <c r="J4668" s="80">
        <v>307.0</v>
      </c>
      <c r="K4668" s="80">
        <v>0.179742388758782</v>
      </c>
      <c r="L4668" s="80" t="s">
        <v>64</v>
      </c>
    </row>
    <row r="4669">
      <c r="A4669" s="80" t="s">
        <v>5041</v>
      </c>
      <c r="B4669" s="81" t="str">
        <f>HYPERLINK("https://www.youtube.com/channel/UCHPhAP0i8BxEF2lBgNfLB1g", "溫哥華地產經紀 Carrie Kwai PREC* l 大溫住好D 基仔&amp;Carrie")</f>
        <v>溫哥華地產經紀 Carrie Kwai PREC* l 大溫住好D 基仔&amp;Carrie</v>
      </c>
      <c r="C4669" s="80" t="s">
        <v>5103</v>
      </c>
      <c r="D4669" s="81" t="str">
        <f>HYPERLINK("https://youtube.com/watch?v=TiNhRd8xPeA", "【温哥華買樓睇樓】從Richmond列治文 16樓 Penthouse高處遠眺巿區生活圏。")</f>
        <v>【温哥華買樓睇樓】從Richmond列治文 16樓 Penthouse高處遠眺巿區生活圏。</v>
      </c>
      <c r="E4669" s="82">
        <v>44119.0</v>
      </c>
      <c r="F4669" s="80">
        <v>831.0</v>
      </c>
      <c r="G4669" s="80" t="s">
        <v>63</v>
      </c>
      <c r="I4669" s="80" t="s">
        <v>63</v>
      </c>
      <c r="J4669" s="80">
        <v>1640.0</v>
      </c>
      <c r="K4669" s="80">
        <v>0.768149882903981</v>
      </c>
      <c r="L4669" s="80" t="s">
        <v>64</v>
      </c>
    </row>
    <row r="4670">
      <c r="A4670" s="80" t="s">
        <v>5021</v>
      </c>
      <c r="B4670" s="81" t="str">
        <f>HYPERLINK("https://www.youtube.com/channel/UCXI73R-C4EI8U_rISlD1S2w", "三個小生愛回加DnJ")</f>
        <v>三個小生愛回加DnJ</v>
      </c>
      <c r="C4670" s="80" t="s">
        <v>5104</v>
      </c>
      <c r="D4670" s="81" t="str">
        <f>HYPERLINK("https://youtube.com/watch?v=UIcVrJIS128", "移民溫哥華 | Gary移民啟示錄 | 初到溫哥華Part 1｜心理道路上的衝擊和變化 202008")</f>
        <v>移民溫哥華 | Gary移民啟示錄 | 初到溫哥華Part 1｜心理道路上的衝擊和變化 202008</v>
      </c>
      <c r="E4670" s="82">
        <v>44047.0</v>
      </c>
      <c r="F4670" s="80">
        <v>1128.0</v>
      </c>
      <c r="G4670" s="80" t="s">
        <v>63</v>
      </c>
      <c r="I4670" s="80" t="s">
        <v>63</v>
      </c>
      <c r="J4670" s="80">
        <v>3666.0</v>
      </c>
      <c r="K4670" s="80">
        <v>0.906528189910979</v>
      </c>
      <c r="L4670" s="80" t="s">
        <v>64</v>
      </c>
    </row>
    <row r="4671">
      <c r="A4671" s="80" t="s">
        <v>5041</v>
      </c>
      <c r="B4671" s="81" t="str">
        <f>HYPERLINK("https://www.youtube.com/channel/UCHPhAP0i8BxEF2lBgNfLB1g", "溫哥華地產經紀 Carrie Kwai PREC* l 大溫住好D 基仔&amp;Carrie")</f>
        <v>溫哥華地產經紀 Carrie Kwai PREC* l 大溫住好D 基仔&amp;Carrie</v>
      </c>
      <c r="C4671" s="80" t="s">
        <v>5105</v>
      </c>
      <c r="D4671" s="81" t="str">
        <f>HYPERLINK("https://youtube.com/watch?v=VXbMYmhJxG8", "温哥華裝修DIY - 室內隔音Part 3 換實心門 開門鉸位 開門鎖孔 router運用")</f>
        <v>温哥華裝修DIY - 室內隔音Part 3 換實心門 開門鉸位 開門鎖孔 router運用</v>
      </c>
      <c r="E4671" s="82">
        <v>44135.0</v>
      </c>
      <c r="F4671" s="80">
        <v>693.0</v>
      </c>
      <c r="G4671" s="80" t="s">
        <v>63</v>
      </c>
      <c r="I4671" s="80" t="s">
        <v>63</v>
      </c>
      <c r="J4671" s="80">
        <v>1301.0</v>
      </c>
      <c r="K4671" s="80">
        <v>0.968726731198808</v>
      </c>
      <c r="L4671" s="80" t="s">
        <v>64</v>
      </c>
    </row>
    <row r="4672">
      <c r="A4672" s="80" t="s">
        <v>5019</v>
      </c>
      <c r="B4672" s="81" t="str">
        <f>HYPERLINK("https://www.youtube.com/channel/UCbsM9POBZ0TVvG74xL3WH0A", "Cherry 小美")</f>
        <v>Cherry 小美</v>
      </c>
      <c r="C4672" s="80" t="s">
        <v>5106</v>
      </c>
      <c r="D4672" s="81" t="str">
        <f>HYPERLINK("https://youtube.com/watch?v=VsVqOdYLHNo", "正皮無伏淘寶開箱(旅行/家品+化妝箱/鏡)")</f>
        <v>正皮無伏淘寶開箱(旅行/家品+化妝箱/鏡)</v>
      </c>
      <c r="E4672" s="82">
        <v>42540.0</v>
      </c>
      <c r="F4672" s="80">
        <v>452.0</v>
      </c>
      <c r="G4672" s="80" t="s">
        <v>63</v>
      </c>
      <c r="I4672" s="80" t="s">
        <v>63</v>
      </c>
      <c r="J4672" s="80">
        <v>1562.0</v>
      </c>
      <c r="K4672" s="80">
        <v>0.910787172011661</v>
      </c>
      <c r="L4672" s="80" t="s">
        <v>64</v>
      </c>
    </row>
    <row r="4673">
      <c r="A4673" s="80" t="s">
        <v>5017</v>
      </c>
      <c r="B4673" s="81" t="str">
        <f>HYPERLINK("https://www.youtube.com/channel/UCVAUtDUarzrjTzhSMiLvK6w", "YankiDin")</f>
        <v>YankiDin</v>
      </c>
      <c r="C4673" s="80" t="s">
        <v>5107</v>
      </c>
      <c r="D4673" s="81" t="str">
        <f>HYPERLINK("https://youtube.com/watch?v=W0iVB2DikGM", "YANKIDIN  | What's in my bag?")</f>
        <v>YANKIDIN  | What's in my bag?</v>
      </c>
      <c r="E4673" s="82">
        <v>42635.0</v>
      </c>
      <c r="F4673" s="80">
        <v>259.0</v>
      </c>
      <c r="G4673" s="80" t="s">
        <v>63</v>
      </c>
      <c r="I4673" s="80" t="s">
        <v>63</v>
      </c>
      <c r="J4673" s="80">
        <v>1156.0</v>
      </c>
      <c r="K4673" s="80">
        <v>0.927024859663191</v>
      </c>
      <c r="L4673" s="80" t="s">
        <v>1889</v>
      </c>
    </row>
    <row r="4674">
      <c r="A4674" s="80" t="s">
        <v>5089</v>
      </c>
      <c r="B4674" s="81" t="str">
        <f>HYPERLINK("https://www.youtube.com/channel/UCoYTqgjIEplB9SLB74794TA", "Goomusic")</f>
        <v>Goomusic</v>
      </c>
      <c r="C4674" s="80" t="s">
        <v>5108</v>
      </c>
      <c r="D4674" s="81" t="str">
        <f>HYPERLINK("https://youtube.com/watch?v=WUdseXxXuLU", "菇仔廚房：如何明火煮日本米飯？ How to cook japanese rice on stovetop")</f>
        <v>菇仔廚房：如何明火煮日本米飯？ How to cook japanese rice on stovetop</v>
      </c>
      <c r="E4674" s="82">
        <v>42809.0</v>
      </c>
      <c r="F4674" s="80">
        <v>440.0</v>
      </c>
      <c r="G4674" s="80" t="s">
        <v>63</v>
      </c>
      <c r="I4674" s="80" t="s">
        <v>63</v>
      </c>
      <c r="J4674" s="80">
        <v>1130.0</v>
      </c>
      <c r="K4674" s="80">
        <v>0.977508650519031</v>
      </c>
      <c r="L4674" s="80" t="s">
        <v>521</v>
      </c>
    </row>
    <row r="4675">
      <c r="A4675" s="80" t="s">
        <v>5023</v>
      </c>
      <c r="B4675" s="81" t="str">
        <f>HYPERLINK("https://www.youtube.com/channel/UCnwki8IA26JP-E4-xovIgQQ", "Heyo Fok")</f>
        <v>Heyo Fok</v>
      </c>
      <c r="C4675" s="80" t="s">
        <v>5109</v>
      </c>
      <c r="D4675" s="81" t="str">
        <f>HYPERLINK("https://youtube.com/watch?v=Wks-aqvb5Jg", "Heyo -《我的 Hip Hop 》MV")</f>
        <v>Heyo -《我的 Hip Hop 》MV</v>
      </c>
      <c r="E4675" s="82">
        <v>42718.0</v>
      </c>
      <c r="F4675" s="80">
        <v>236.0</v>
      </c>
      <c r="G4675" s="80" t="s">
        <v>63</v>
      </c>
      <c r="I4675" s="80" t="s">
        <v>63</v>
      </c>
      <c r="J4675" s="80">
        <v>658.0</v>
      </c>
      <c r="K4675" s="80">
        <v>0.92156862745098</v>
      </c>
      <c r="L4675" s="80" t="s">
        <v>64</v>
      </c>
    </row>
    <row r="4676">
      <c r="A4676" s="80" t="s">
        <v>5021</v>
      </c>
      <c r="B4676" s="81" t="str">
        <f>HYPERLINK("https://www.youtube.com/channel/UCXI73R-C4EI8U_rISlD1S2w", "三個小生愛回加DnJ")</f>
        <v>三個小生愛回加DnJ</v>
      </c>
      <c r="C4676" s="80" t="s">
        <v>5110</v>
      </c>
      <c r="D4676" s="81" t="str">
        <f>HYPERLINK("https://youtube.com/watch?v=WwAHiUunla0", "移民溫哥華 | Derek會客室｜Gary移民啟示錄之新移民搵工篇 | 工作文化差異｜傲慢與態度 202007")</f>
        <v>移民溫哥華 | Derek會客室｜Gary移民啟示錄之新移民搵工篇 | 工作文化差異｜傲慢與態度 202007</v>
      </c>
      <c r="E4676" s="82">
        <v>44027.0</v>
      </c>
      <c r="F4676" s="80">
        <v>860.0</v>
      </c>
      <c r="G4676" s="80" t="s">
        <v>63</v>
      </c>
      <c r="I4676" s="80" t="s">
        <v>63</v>
      </c>
      <c r="J4676" s="80">
        <v>2829.0</v>
      </c>
      <c r="K4676" s="80">
        <v>0.91258064516129</v>
      </c>
      <c r="L4676" s="80" t="s">
        <v>64</v>
      </c>
    </row>
    <row r="4677">
      <c r="A4677" s="80" t="s">
        <v>5023</v>
      </c>
      <c r="B4677" s="81" t="str">
        <f>HYPERLINK("https://www.youtube.com/channel/UCnwki8IA26JP-E4-xovIgQQ", "Heyo Fok")</f>
        <v>Heyo Fok</v>
      </c>
      <c r="C4677" s="80" t="s">
        <v>5111</v>
      </c>
      <c r="D4677" s="81" t="str">
        <f>HYPERLINK("https://youtube.com/watch?v=XVa4_EhIyB4", "Heyo【花華】－12 難得糊塗")</f>
        <v>Heyo【花華】－12 難得糊塗</v>
      </c>
      <c r="E4677" s="82">
        <v>42674.0</v>
      </c>
      <c r="F4677" s="80">
        <v>163.0</v>
      </c>
      <c r="G4677" s="80" t="s">
        <v>63</v>
      </c>
      <c r="I4677" s="80" t="s">
        <v>63</v>
      </c>
      <c r="J4677" s="80">
        <v>346.0</v>
      </c>
      <c r="K4677" s="80">
        <v>0.980169971671388</v>
      </c>
      <c r="L4677" s="80" t="s">
        <v>64</v>
      </c>
    </row>
    <row r="4678">
      <c r="A4678" s="80" t="s">
        <v>5021</v>
      </c>
      <c r="B4678" s="81" t="str">
        <f t="shared" ref="B4678:B4679" si="255">HYPERLINK("https://www.youtube.com/channel/UCXI73R-C4EI8U_rISlD1S2w", "三個小生愛回加DnJ")</f>
        <v>三個小生愛回加DnJ</v>
      </c>
      <c r="C4678" s="80" t="s">
        <v>5112</v>
      </c>
      <c r="D4678" s="81" t="str">
        <f>HYPERLINK("https://youtube.com/watch?v=XVnFDoH-hck", "移民溫哥華 | 有阿Ben、唔駛驚｜怎樣報讀公校Grade11 ？香港Form4怎樣跟加拿大Grade11接軌？我讀文科的，點算好？ 202008")</f>
        <v>移民溫哥華 | 有阿Ben、唔駛驚｜怎樣報讀公校Grade11 ？香港Form4怎樣跟加拿大Grade11接軌？我讀文科的，點算好？ 202008</v>
      </c>
      <c r="E4678" s="82">
        <v>44054.0</v>
      </c>
      <c r="F4678" s="80">
        <v>674.0</v>
      </c>
      <c r="G4678" s="80" t="s">
        <v>63</v>
      </c>
      <c r="I4678" s="80" t="s">
        <v>63</v>
      </c>
      <c r="J4678" s="80">
        <v>1987.0</v>
      </c>
      <c r="K4678" s="80">
        <v>0.893837156995051</v>
      </c>
      <c r="L4678" s="80" t="s">
        <v>64</v>
      </c>
    </row>
    <row r="4679">
      <c r="A4679" s="80" t="s">
        <v>5021</v>
      </c>
      <c r="B4679" s="81" t="str">
        <f t="shared" si="255"/>
        <v>三個小生愛回加DnJ</v>
      </c>
      <c r="C4679" s="80" t="s">
        <v>5113</v>
      </c>
      <c r="D4679" s="81" t="str">
        <f>HYPERLINK("https://youtube.com/watch?v=Xfe4b5e1hvE", "移民溫哥華 | 輕輕鬆鬆聽阿Joe｜聽聽女人心 | 老婆大人的心事｜原來工人姐姐真的太重要了 202007")</f>
        <v>移民溫哥華 | 輕輕鬆鬆聽阿Joe｜聽聽女人心 | 老婆大人的心事｜原來工人姐姐真的太重要了 202007</v>
      </c>
      <c r="E4679" s="82">
        <v>44021.0</v>
      </c>
      <c r="F4679" s="80">
        <v>621.0</v>
      </c>
      <c r="G4679" s="80" t="s">
        <v>63</v>
      </c>
      <c r="I4679" s="80" t="s">
        <v>63</v>
      </c>
      <c r="J4679" s="80">
        <v>1921.0</v>
      </c>
      <c r="K4679" s="80">
        <v>0.887707948243992</v>
      </c>
      <c r="L4679" s="80" t="s">
        <v>64</v>
      </c>
    </row>
    <row r="4680">
      <c r="A4680" s="80" t="s">
        <v>5027</v>
      </c>
      <c r="B4680" s="81" t="str">
        <f>HYPERLINK("https://www.youtube.com/channel/UCZgs3pLaFisZ-TKVOwFEe8Q", "嘉芙姐姐 - 兒歌童謠 - 故事動畫 - Miss Ka Foo Kids Channel")</f>
        <v>嘉芙姐姐 - 兒歌童謠 - 故事動畫 - Miss Ka Foo Kids Channel</v>
      </c>
      <c r="C4680" s="80" t="s">
        <v>5114</v>
      </c>
      <c r="D4680" s="81" t="str">
        <f>HYPERLINK("https://youtube.com/watch?v=XgKH7xOvUQU", "三角龍Triceratops | 恐龍中文兒歌 | 嘉芙姐姐粵語廣東話兒歌")</f>
        <v>三角龍Triceratops | 恐龍中文兒歌 | 嘉芙姐姐粵語廣東話兒歌</v>
      </c>
      <c r="E4680" s="82">
        <v>44557.0</v>
      </c>
      <c r="F4680" s="80">
        <v>109.0</v>
      </c>
      <c r="G4680" s="80" t="s">
        <v>63</v>
      </c>
      <c r="I4680" s="80" t="s">
        <v>63</v>
      </c>
      <c r="J4680" s="80">
        <v>124.0</v>
      </c>
      <c r="K4680" s="80">
        <v>1.0</v>
      </c>
      <c r="L4680" s="80" t="s">
        <v>91</v>
      </c>
    </row>
    <row r="4681">
      <c r="A4681" s="80" t="s">
        <v>5017</v>
      </c>
      <c r="B4681" s="81" t="str">
        <f>HYPERLINK("https://www.youtube.com/channel/UCVAUtDUarzrjTzhSMiLvK6w", "YankiDin")</f>
        <v>YankiDin</v>
      </c>
      <c r="C4681" s="80" t="s">
        <v>5115</v>
      </c>
      <c r="D4681" s="81" t="str">
        <f>HYPERLINK("https://youtube.com/watch?v=XmMcNlRHJps", "YANKIDIN | 火雞姐系列 | 最X討厭既同事！")</f>
        <v>YANKIDIN | 火雞姐系列 | 最X討厭既同事！</v>
      </c>
      <c r="E4681" s="82">
        <v>42725.0</v>
      </c>
      <c r="F4681" s="80">
        <v>589.0</v>
      </c>
      <c r="G4681" s="80" t="s">
        <v>63</v>
      </c>
      <c r="I4681" s="80" t="s">
        <v>63</v>
      </c>
      <c r="J4681" s="80">
        <v>3024.0</v>
      </c>
      <c r="K4681" s="80">
        <v>0.923923006416132</v>
      </c>
      <c r="L4681" s="80" t="s">
        <v>64</v>
      </c>
    </row>
    <row r="4682">
      <c r="A4682" s="80" t="s">
        <v>5019</v>
      </c>
      <c r="B4682" s="81" t="str">
        <f>HYPERLINK("https://www.youtube.com/channel/UCbsM9POBZ0TVvG74xL3WH0A", "Cherry 小美")</f>
        <v>Cherry 小美</v>
      </c>
      <c r="C4682" s="80" t="s">
        <v>5116</v>
      </c>
      <c r="D4682" s="81" t="str">
        <f>HYPERLINK("https://youtube.com/watch?v=YHhj4D7A5W4", "泰國自煮輕鬆遊 X 全泰國最長Zipline挑戰")</f>
        <v>泰國自煮輕鬆遊 X 全泰國最長Zipline挑戰</v>
      </c>
      <c r="E4682" s="82">
        <v>42603.0</v>
      </c>
      <c r="F4682" s="80">
        <v>534.0</v>
      </c>
      <c r="G4682" s="80" t="s">
        <v>63</v>
      </c>
      <c r="H4682" s="80" t="s">
        <v>63</v>
      </c>
      <c r="I4682" s="80" t="s">
        <v>63</v>
      </c>
      <c r="J4682" s="80">
        <v>1416.0</v>
      </c>
      <c r="K4682" s="80">
        <v>0.87027027027027</v>
      </c>
      <c r="L4682" s="80" t="s">
        <v>86</v>
      </c>
    </row>
    <row r="4683">
      <c r="A4683" s="80" t="s">
        <v>5023</v>
      </c>
      <c r="B4683" s="81" t="str">
        <f t="shared" ref="B4683:B4685" si="256">HYPERLINK("https://www.youtube.com/channel/UCnwki8IA26JP-E4-xovIgQQ", "Heyo Fok")</f>
        <v>Heyo Fok</v>
      </c>
      <c r="C4683" s="80" t="s">
        <v>5117</v>
      </c>
      <c r="D4683" s="81" t="str">
        <f>HYPERLINK("https://youtube.com/watch?v=YriOEibgLEk", "Heyo【花華】－04 未必、Maybe、未知")</f>
        <v>Heyo【花華】－04 未必、Maybe、未知</v>
      </c>
      <c r="E4683" s="82">
        <v>42674.0</v>
      </c>
      <c r="F4683" s="80">
        <v>277.0</v>
      </c>
      <c r="G4683" s="80" t="s">
        <v>63</v>
      </c>
      <c r="I4683" s="80" t="s">
        <v>63</v>
      </c>
      <c r="J4683" s="80">
        <v>598.0</v>
      </c>
      <c r="K4683" s="80">
        <v>0.930015552099533</v>
      </c>
      <c r="L4683" s="80" t="s">
        <v>64</v>
      </c>
    </row>
    <row r="4684">
      <c r="A4684" s="80" t="s">
        <v>5023</v>
      </c>
      <c r="B4684" s="81" t="str">
        <f t="shared" si="256"/>
        <v>Heyo Fok</v>
      </c>
      <c r="C4684" s="80" t="s">
        <v>5118</v>
      </c>
      <c r="D4684" s="81" t="str">
        <f>HYPERLINK("https://youtube.com/watch?v=ZBNUVTNAsQc", "Heyo【花華】－10 我歌 Feat.  Sammy@Kolor")</f>
        <v>Heyo【花華】－10 我歌 Feat.  Sammy@Kolor</v>
      </c>
      <c r="E4684" s="82">
        <v>42674.0</v>
      </c>
      <c r="F4684" s="80">
        <v>227.0</v>
      </c>
      <c r="G4684" s="80" t="s">
        <v>63</v>
      </c>
      <c r="I4684" s="80" t="s">
        <v>63</v>
      </c>
      <c r="J4684" s="80">
        <v>651.0</v>
      </c>
      <c r="K4684" s="80">
        <v>0.973094170403587</v>
      </c>
      <c r="L4684" s="80" t="s">
        <v>64</v>
      </c>
    </row>
    <row r="4685">
      <c r="A4685" s="80" t="s">
        <v>5023</v>
      </c>
      <c r="B4685" s="81" t="str">
        <f t="shared" si="256"/>
        <v>Heyo Fok</v>
      </c>
      <c r="C4685" s="80" t="s">
        <v>5119</v>
      </c>
      <c r="D4685" s="81" t="str">
        <f>HYPERLINK("https://youtube.com/watch?v=ZM801NxnRvw", "Heyo x Vyan【老表大奔走】-11老表大奔走")</f>
        <v>Heyo x Vyan【老表大奔走】-11老表大奔走</v>
      </c>
      <c r="E4685" s="82">
        <v>43284.0</v>
      </c>
      <c r="F4685" s="80">
        <v>182.0</v>
      </c>
      <c r="G4685" s="80" t="s">
        <v>63</v>
      </c>
      <c r="I4685" s="80" t="s">
        <v>63</v>
      </c>
      <c r="J4685" s="80">
        <v>207.0</v>
      </c>
      <c r="K4685" s="80">
        <v>1.0</v>
      </c>
      <c r="L4685" s="80" t="s">
        <v>64</v>
      </c>
    </row>
    <row r="4686">
      <c r="A4686" s="80" t="s">
        <v>5021</v>
      </c>
      <c r="B4686" s="81" t="str">
        <f>HYPERLINK("https://www.youtube.com/channel/UCXI73R-C4EI8U_rISlD1S2w", "三個小生愛回加DnJ")</f>
        <v>三個小生愛回加DnJ</v>
      </c>
      <c r="C4686" s="80" t="s">
        <v>5120</v>
      </c>
      <c r="D4686" s="81" t="str">
        <f>HYPERLINK("https://youtube.com/watch?v=ZdBHLESPmtg", "移民溫哥華｜另一角度看加拿大教育｜小學生看教育｜最誠實的作答 202006")</f>
        <v>移民溫哥華｜另一角度看加拿大教育｜小學生看教育｜最誠實的作答 202006</v>
      </c>
      <c r="E4686" s="82">
        <v>44006.0</v>
      </c>
      <c r="F4686" s="80">
        <v>820.0</v>
      </c>
      <c r="G4686" s="80" t="s">
        <v>63</v>
      </c>
      <c r="I4686" s="80" t="s">
        <v>63</v>
      </c>
      <c r="J4686" s="80">
        <v>2832.0</v>
      </c>
      <c r="K4686" s="80">
        <v>0.858441952106699</v>
      </c>
      <c r="L4686" s="80" t="s">
        <v>64</v>
      </c>
    </row>
    <row r="4687">
      <c r="A4687" s="80" t="s">
        <v>5023</v>
      </c>
      <c r="B4687" s="81" t="str">
        <f>HYPERLINK("https://www.youtube.com/channel/UCnwki8IA26JP-E4-xovIgQQ", "Heyo Fok")</f>
        <v>Heyo Fok</v>
      </c>
      <c r="C4687" s="80" t="s">
        <v>5121</v>
      </c>
      <c r="D4687" s="81" t="str">
        <f>HYPERLINK("https://youtube.com/watch?v=_va_A66oGLg", "Heyo - ARKA")</f>
        <v>Heyo - ARKA</v>
      </c>
      <c r="E4687" s="82">
        <v>41529.0</v>
      </c>
      <c r="F4687" s="80">
        <v>265.0</v>
      </c>
      <c r="G4687" s="80" t="s">
        <v>63</v>
      </c>
      <c r="I4687" s="80" t="s">
        <v>63</v>
      </c>
      <c r="J4687" s="80">
        <v>753.0</v>
      </c>
      <c r="K4687" s="80">
        <v>0.983028720626631</v>
      </c>
      <c r="L4687" s="80" t="s">
        <v>64</v>
      </c>
    </row>
    <row r="4688">
      <c r="A4688" s="80" t="s">
        <v>5036</v>
      </c>
      <c r="B4688" s="81" t="str">
        <f>HYPERLINK("https://www.youtube.com/channel/UCNCPYSqReQl2lQEShit-tLg", "Freeminder Emi")</f>
        <v>Freeminder Emi</v>
      </c>
      <c r="C4688" s="80" t="s">
        <v>5122</v>
      </c>
      <c r="D4688" s="81" t="str">
        <f>HYPERLINK("https://youtube.com/watch?v=b-tnfL1yRyg", "面膜知多啲Orgaid（中文字幕）｜**網店好物分享**")</f>
        <v>面膜知多啲Orgaid（中文字幕）｜**網店好物分享**</v>
      </c>
      <c r="E4688" s="82">
        <v>43413.0</v>
      </c>
      <c r="F4688" s="80">
        <v>431.0</v>
      </c>
      <c r="G4688" s="80" t="s">
        <v>63</v>
      </c>
      <c r="I4688" s="80" t="s">
        <v>63</v>
      </c>
      <c r="J4688" s="80">
        <v>1879.0</v>
      </c>
      <c r="K4688" s="80">
        <v>0.858775137111517</v>
      </c>
      <c r="L4688" s="80" t="s">
        <v>64</v>
      </c>
    </row>
    <row r="4689">
      <c r="A4689" s="80" t="s">
        <v>5023</v>
      </c>
      <c r="B4689" s="81" t="str">
        <f>HYPERLINK("https://www.youtube.com/channel/UCnwki8IA26JP-E4-xovIgQQ", "Heyo Fok")</f>
        <v>Heyo Fok</v>
      </c>
      <c r="C4689" s="80" t="s">
        <v>5123</v>
      </c>
      <c r="D4689" s="81" t="str">
        <f>HYPERLINK("https://youtube.com/watch?v=bkKEkmROduw", "HEYO - 睇醫生MV(HD)")</f>
        <v>HEYO - 睇醫生MV(HD)</v>
      </c>
      <c r="E4689" s="82">
        <v>41022.0</v>
      </c>
      <c r="F4689" s="80">
        <v>253.0</v>
      </c>
      <c r="G4689" s="80" t="s">
        <v>63</v>
      </c>
      <c r="I4689" s="80" t="s">
        <v>63</v>
      </c>
      <c r="J4689" s="80">
        <v>788.0</v>
      </c>
      <c r="K4689" s="80">
        <v>0.98870765370138</v>
      </c>
      <c r="L4689" s="80" t="s">
        <v>64</v>
      </c>
    </row>
    <row r="4690">
      <c r="A4690" s="80" t="s">
        <v>5021</v>
      </c>
      <c r="B4690" s="81" t="str">
        <f>HYPERLINK("https://www.youtube.com/channel/UCXI73R-C4EI8U_rISlD1S2w", "三個小生愛回加DnJ")</f>
        <v>三個小生愛回加DnJ</v>
      </c>
      <c r="C4690" s="80" t="s">
        <v>5124</v>
      </c>
      <c r="D4690" s="81" t="str">
        <f>HYPERLINK("https://youtube.com/watch?v=bvTxvcXgmBE", "移民溫哥華｜溫哥華樓盤巡禮 ｜Coquitlam高貴林Burke Mountain全新Townhouse介紹 | 約100萬的Townhouse選擇 202007")</f>
        <v>移民溫哥華｜溫哥華樓盤巡禮 ｜Coquitlam高貴林Burke Mountain全新Townhouse介紹 | 約100萬的Townhouse選擇 202007</v>
      </c>
      <c r="E4690" s="82">
        <v>44012.0</v>
      </c>
      <c r="F4690" s="80">
        <v>1283.0</v>
      </c>
      <c r="G4690" s="80" t="s">
        <v>63</v>
      </c>
      <c r="I4690" s="80" t="s">
        <v>63</v>
      </c>
      <c r="J4690" s="80">
        <v>2864.0</v>
      </c>
      <c r="K4690" s="80">
        <v>0.75667107001321</v>
      </c>
      <c r="L4690" s="80" t="s">
        <v>64</v>
      </c>
    </row>
    <row r="4691">
      <c r="A4691" s="80" t="s">
        <v>5036</v>
      </c>
      <c r="B4691" s="81" t="str">
        <f>HYPERLINK("https://www.youtube.com/channel/UCNCPYSqReQl2lQEShit-tLg", "Freeminder Emi")</f>
        <v>Freeminder Emi</v>
      </c>
      <c r="C4691" s="80" t="s">
        <v>5125</v>
      </c>
      <c r="D4691" s="81" t="str">
        <f>HYPERLINK("https://youtube.com/watch?v=c1hnfsBYgdA", "我愛夏日熱辣辣推介｜無印良品 風扇【中文字幕】Emi")</f>
        <v>我愛夏日熱辣辣推介｜無印良品 風扇【中文字幕】Emi</v>
      </c>
      <c r="E4691" s="82">
        <v>43581.0</v>
      </c>
      <c r="F4691" s="80">
        <v>463.0</v>
      </c>
      <c r="G4691" s="80" t="s">
        <v>63</v>
      </c>
      <c r="I4691" s="80" t="s">
        <v>63</v>
      </c>
      <c r="J4691" s="80">
        <v>1504.0</v>
      </c>
      <c r="K4691" s="80">
        <v>0.948297604035308</v>
      </c>
      <c r="L4691" s="80" t="s">
        <v>64</v>
      </c>
    </row>
    <row r="4692">
      <c r="A4692" s="80" t="s">
        <v>5023</v>
      </c>
      <c r="B4692" s="81" t="str">
        <f>HYPERLINK("https://www.youtube.com/channel/UCnwki8IA26JP-E4-xovIgQQ", "Heyo Fok")</f>
        <v>Heyo Fok</v>
      </c>
      <c r="C4692" s="80" t="s">
        <v>5126</v>
      </c>
      <c r="D4692" s="81" t="str">
        <f>HYPERLINK("https://youtube.com/watch?v=cxYycB0bZus", "Heyo - 24 @ 草民音樂節 2015")</f>
        <v>Heyo - 24 @ 草民音樂節 2015</v>
      </c>
      <c r="E4692" s="82">
        <v>42086.0</v>
      </c>
      <c r="F4692" s="80">
        <v>333.0</v>
      </c>
      <c r="G4692" s="80" t="s">
        <v>63</v>
      </c>
      <c r="I4692" s="80" t="s">
        <v>63</v>
      </c>
      <c r="J4692" s="80">
        <v>601.0</v>
      </c>
      <c r="K4692" s="80">
        <v>0.995033112582781</v>
      </c>
      <c r="L4692" s="80" t="s">
        <v>64</v>
      </c>
    </row>
    <row r="4693">
      <c r="A4693" s="80" t="s">
        <v>5017</v>
      </c>
      <c r="B4693" s="81" t="str">
        <f>HYPERLINK("https://www.youtube.com/channel/UCVAUtDUarzrjTzhSMiLvK6w", "YankiDin")</f>
        <v>YankiDin</v>
      </c>
      <c r="C4693" s="80" t="s">
        <v>5127</v>
      </c>
      <c r="D4693" s="81" t="str">
        <f>HYPERLINK("https://youtube.com/watch?v=fJmBOHroeNY", "YANKIDIN | 火雞姐系列 | 美容院最X黑人憎既地方 ( 已有中文字幕 )")</f>
        <v>YANKIDIN | 火雞姐系列 | 美容院最X黑人憎既地方 ( 已有中文字幕 )</v>
      </c>
      <c r="E4693" s="82">
        <v>42593.0</v>
      </c>
      <c r="F4693" s="80">
        <v>176.0</v>
      </c>
      <c r="G4693" s="80" t="s">
        <v>63</v>
      </c>
      <c r="H4693" s="80" t="s">
        <v>63</v>
      </c>
      <c r="I4693" s="80" t="s">
        <v>63</v>
      </c>
      <c r="J4693" s="80">
        <v>1153.0</v>
      </c>
      <c r="K4693" s="80">
        <v>0.975465313028764</v>
      </c>
      <c r="L4693" s="80" t="s">
        <v>5066</v>
      </c>
    </row>
    <row r="4694">
      <c r="A4694" s="80" t="s">
        <v>5023</v>
      </c>
      <c r="B4694" s="81" t="str">
        <f>HYPERLINK("https://www.youtube.com/channel/UCnwki8IA26JP-E4-xovIgQQ", "Heyo Fok")</f>
        <v>Heyo Fok</v>
      </c>
      <c r="C4694" s="80" t="s">
        <v>5128</v>
      </c>
      <c r="D4694" s="81" t="str">
        <f>HYPERLINK("https://youtube.com/watch?v=glDY2ViYmig", "Heyo - Back To 852")</f>
        <v>Heyo - Back To 852</v>
      </c>
      <c r="E4694" s="82">
        <v>40689.0</v>
      </c>
      <c r="F4694" s="80">
        <v>161.0</v>
      </c>
      <c r="G4694" s="80" t="s">
        <v>63</v>
      </c>
      <c r="I4694" s="80" t="s">
        <v>63</v>
      </c>
      <c r="J4694" s="80">
        <v>369.0</v>
      </c>
      <c r="K4694" s="80">
        <v>0.653097345132743</v>
      </c>
      <c r="L4694" s="80" t="s">
        <v>64</v>
      </c>
    </row>
    <row r="4695">
      <c r="A4695" s="80" t="s">
        <v>5017</v>
      </c>
      <c r="B4695" s="81" t="str">
        <f t="shared" ref="B4695:B4696" si="257">HYPERLINK("https://www.youtube.com/channel/UCVAUtDUarzrjTzhSMiLvK6w", "YankiDin")</f>
        <v>YankiDin</v>
      </c>
      <c r="C4695" s="80" t="s">
        <v>5129</v>
      </c>
      <c r="D4695" s="81" t="str">
        <f>HYPERLINK("https://youtube.com/watch?v=gzau3dztZus", "YANKIDIN  | 火雞姐系列 | Q＆A 回應 ◆PART 2問題收集◆")</f>
        <v>YANKIDIN  | 火雞姐系列 | Q＆A 回應 ◆PART 2問題收集◆</v>
      </c>
      <c r="E4695" s="82">
        <v>42620.0</v>
      </c>
      <c r="F4695" s="80">
        <v>82.0</v>
      </c>
      <c r="G4695" s="80" t="s">
        <v>63</v>
      </c>
      <c r="I4695" s="80" t="s">
        <v>63</v>
      </c>
      <c r="J4695" s="80">
        <v>413.0</v>
      </c>
      <c r="K4695" s="80">
        <v>0.797297297297297</v>
      </c>
      <c r="L4695" s="80" t="s">
        <v>521</v>
      </c>
    </row>
    <row r="4696">
      <c r="A4696" s="80" t="s">
        <v>5017</v>
      </c>
      <c r="B4696" s="81" t="str">
        <f t="shared" si="257"/>
        <v>YankiDin</v>
      </c>
      <c r="C4696" s="80" t="s">
        <v>5130</v>
      </c>
      <c r="D4696" s="81" t="str">
        <f>HYPERLINK("https://youtube.com/watch?v=h1xoDjuua_s", "YANKIDIN | 火雞姐系列 | 健身室最X討厭既人")</f>
        <v>YANKIDIN | 火雞姐系列 | 健身室最X討厭既人</v>
      </c>
      <c r="E4696" s="82">
        <v>42613.0</v>
      </c>
      <c r="F4696" s="80">
        <v>287.0</v>
      </c>
      <c r="G4696" s="80" t="s">
        <v>63</v>
      </c>
      <c r="H4696" s="80" t="s">
        <v>63</v>
      </c>
      <c r="I4696" s="80" t="s">
        <v>63</v>
      </c>
      <c r="J4696" s="80">
        <v>1814.0</v>
      </c>
      <c r="K4696" s="80">
        <v>0.900695134061569</v>
      </c>
      <c r="L4696" s="80" t="s">
        <v>5066</v>
      </c>
    </row>
    <row r="4697">
      <c r="A4697" s="80" t="s">
        <v>5023</v>
      </c>
      <c r="B4697" s="81" t="str">
        <f>HYPERLINK("https://www.youtube.com/channel/UCnwki8IA26JP-E4-xovIgQQ", "Heyo Fok")</f>
        <v>Heyo Fok</v>
      </c>
      <c r="C4697" s="80" t="s">
        <v>5131</v>
      </c>
      <c r="D4697" s="81" t="str">
        <f>HYPERLINK("https://youtube.com/watch?v=hLH2foQ682M", "Heyo - 走 2018 Feat. 陳藝之 @ TVB 樂勢力")</f>
        <v>Heyo - 走 2018 Feat. 陳藝之 @ TVB 樂勢力</v>
      </c>
      <c r="E4697" s="82">
        <v>43340.0</v>
      </c>
      <c r="F4697" s="80">
        <v>233.0</v>
      </c>
      <c r="G4697" s="80" t="s">
        <v>63</v>
      </c>
      <c r="I4697" s="80" t="s">
        <v>63</v>
      </c>
      <c r="J4697" s="80">
        <v>706.0</v>
      </c>
      <c r="K4697" s="80">
        <v>0.981919332406119</v>
      </c>
      <c r="L4697" s="80" t="s">
        <v>64</v>
      </c>
    </row>
    <row r="4698">
      <c r="A4698" s="80" t="s">
        <v>5017</v>
      </c>
      <c r="B4698" s="81" t="str">
        <f>HYPERLINK("https://www.youtube.com/channel/UCVAUtDUarzrjTzhSMiLvK6w", "YankiDin")</f>
        <v>YankiDin</v>
      </c>
      <c r="C4698" s="80" t="s">
        <v>5132</v>
      </c>
      <c r="D4698" s="81" t="str">
        <f>HYPERLINK("https://youtube.com/watch?v=hhccsH1fs54", "YANKIDIN  | 火雞姐系列 | Q＆A 回應")</f>
        <v>YANKIDIN  | 火雞姐系列 | Q＆A 回應</v>
      </c>
      <c r="E4698" s="82">
        <v>42601.0</v>
      </c>
      <c r="F4698" s="80">
        <v>462.0</v>
      </c>
      <c r="G4698" s="80" t="s">
        <v>63</v>
      </c>
      <c r="I4698" s="80" t="s">
        <v>63</v>
      </c>
      <c r="J4698" s="80">
        <v>2350.0</v>
      </c>
      <c r="K4698" s="80">
        <v>0.909794812233836</v>
      </c>
      <c r="L4698" s="80" t="s">
        <v>236</v>
      </c>
    </row>
    <row r="4699">
      <c r="A4699" s="80" t="s">
        <v>5021</v>
      </c>
      <c r="B4699" s="81" t="str">
        <f>HYPERLINK("https://www.youtube.com/channel/UCXI73R-C4EI8U_rISlD1S2w", "三個小生愛回加DnJ")</f>
        <v>三個小生愛回加DnJ</v>
      </c>
      <c r="C4699" s="80" t="s">
        <v>5133</v>
      </c>
      <c r="D4699" s="81" t="str">
        <f>HYPERLINK("https://youtube.com/watch?v=iNmv0G8am9A", "移民溫哥華 | Gary移民啟示錄 | 溫哥華初哥Part 2｜心理道路上的衝擊和變化 202008")</f>
        <v>移民溫哥華 | Gary移民啟示錄 | 溫哥華初哥Part 2｜心理道路上的衝擊和變化 202008</v>
      </c>
      <c r="E4699" s="82">
        <v>44056.0</v>
      </c>
      <c r="F4699" s="80">
        <v>1141.0</v>
      </c>
      <c r="G4699" s="80" t="s">
        <v>63</v>
      </c>
      <c r="I4699" s="80" t="s">
        <v>63</v>
      </c>
      <c r="J4699" s="80">
        <v>3621.0</v>
      </c>
      <c r="K4699" s="80">
        <v>0.90321776003991</v>
      </c>
      <c r="L4699" s="80" t="s">
        <v>64</v>
      </c>
    </row>
    <row r="4700">
      <c r="A4700" s="80" t="s">
        <v>5134</v>
      </c>
      <c r="B4700" s="81" t="str">
        <f>HYPERLINK("https://www.youtube.com/channel/UCGq7xle9PrLHpmdxrk0IlLw", "磚加專家 Danny Ching Top10%地產局金牌經紀百萬圓桌")</f>
        <v>磚加專家 Danny Ching Top10%地產局金牌經紀百萬圓桌</v>
      </c>
      <c r="C4700" s="80" t="s">
        <v>5135</v>
      </c>
      <c r="D4700" s="81" t="str">
        <f>HYPERLINK("https://youtube.com/watch?v=iPQLLUX6BRQ", "[溫哥華買樓] 傳統港人區 近地鐵站 內街125萬獨立地權 Danny筍盤系列 自己花園 畫般市山景 最正就係Corner位置 超市生活餐廳娛樂近在咫尺 靜中帶旺 全新屋有10年保養 不需管理費")</f>
        <v>[溫哥華買樓] 傳統港人區 近地鐵站 內街125萬獨立地權 Danny筍盤系列 自己花園 畫般市山景 最正就係Corner位置 超市生活餐廳娛樂近在咫尺 靜中帶旺 全新屋有10年保養 不需管理費</v>
      </c>
      <c r="E4700" s="82">
        <v>44288.0</v>
      </c>
      <c r="F4700" s="80">
        <v>1256.0</v>
      </c>
      <c r="G4700" s="80" t="s">
        <v>63</v>
      </c>
      <c r="I4700" s="80" t="s">
        <v>63</v>
      </c>
      <c r="J4700" s="80">
        <v>2030.0</v>
      </c>
      <c r="K4700" s="80">
        <v>0.955743879472693</v>
      </c>
      <c r="L4700" s="80" t="s">
        <v>102</v>
      </c>
    </row>
    <row r="4701">
      <c r="A4701" s="80" t="s">
        <v>5023</v>
      </c>
      <c r="B4701" s="81" t="str">
        <f>HYPERLINK("https://www.youtube.com/channel/UCnwki8IA26JP-E4-xovIgQQ", "Heyo Fok")</f>
        <v>Heyo Fok</v>
      </c>
      <c r="C4701" s="80" t="s">
        <v>5136</v>
      </c>
      <c r="D4701" s="81" t="str">
        <f>HYPERLINK("https://youtube.com/watch?v=iR0HfkAdf6E", "獨客行 － 霍嬉怒 aka HEYO")</f>
        <v>獨客行 － 霍嬉怒 aka HEYO</v>
      </c>
      <c r="E4701" s="82">
        <v>41190.0</v>
      </c>
      <c r="F4701" s="80">
        <v>167.0</v>
      </c>
      <c r="G4701" s="80" t="s">
        <v>63</v>
      </c>
      <c r="I4701" s="80" t="s">
        <v>63</v>
      </c>
      <c r="J4701" s="80">
        <v>417.0</v>
      </c>
      <c r="K4701" s="80">
        <v>1.0</v>
      </c>
      <c r="L4701" s="80" t="s">
        <v>64</v>
      </c>
    </row>
    <row r="4702">
      <c r="A4702" s="80" t="s">
        <v>5021</v>
      </c>
      <c r="B4702" s="81" t="str">
        <f>HYPERLINK("https://www.youtube.com/channel/UCXI73R-C4EI8U_rISlD1S2w", "三個小生愛回加DnJ")</f>
        <v>三個小生愛回加DnJ</v>
      </c>
      <c r="C4702" s="80" t="s">
        <v>5137</v>
      </c>
      <c r="D4702" s="81" t="str">
        <f>HYPERLINK("https://youtube.com/watch?v=jtj0AbLW95M", "移民溫哥華 | 輕輕鬆鬆聽阿Joe｜我的搵工過程 | 好工唔易搵｜阿Joe的情深剖白和感受 202007")</f>
        <v>移民溫哥華 | 輕輕鬆鬆聽阿Joe｜我的搵工過程 | 好工唔易搵｜阿Joe的情深剖白和感受 202007</v>
      </c>
      <c r="E4702" s="82">
        <v>44034.0</v>
      </c>
      <c r="F4702" s="80">
        <v>864.0</v>
      </c>
      <c r="G4702" s="80" t="s">
        <v>63</v>
      </c>
      <c r="I4702" s="80" t="s">
        <v>63</v>
      </c>
      <c r="J4702" s="80">
        <v>2720.0</v>
      </c>
      <c r="K4702" s="80">
        <v>0.869843300287815</v>
      </c>
      <c r="L4702" s="80" t="s">
        <v>64</v>
      </c>
    </row>
    <row r="4703">
      <c r="A4703" s="80" t="s">
        <v>260</v>
      </c>
      <c r="B4703" s="81" t="str">
        <f>HYPERLINK("https://www.youtube.com/channel/UC-HXOikkLx7BGEfILGIpYOg", "港短 . 英移")</f>
        <v>港短 . 英移</v>
      </c>
      <c r="C4703" s="80" t="s">
        <v>5138</v>
      </c>
      <c r="D4703" s="81" t="str">
        <f>HYPERLINK("https://youtube.com/watch?v=kWYSnF_O2zs", "英國牛津好唔好住? | 劍橋同牛津邊個好D? |  哈利波特原來係呢度取景?🏰 | 英國牛津介紹 | 港短.英移  #英國租樓 #英國移民 #英國生活")</f>
        <v>英國牛津好唔好住? | 劍橋同牛津邊個好D? |  哈利波特原來係呢度取景?🏰 | 英國牛津介紹 | 港短.英移  #英國租樓 #英國移民 #英國生活</v>
      </c>
      <c r="E4703" s="82">
        <v>44581.0</v>
      </c>
      <c r="F4703" s="80">
        <v>694.0</v>
      </c>
      <c r="G4703" s="80" t="s">
        <v>63</v>
      </c>
      <c r="I4703" s="80" t="s">
        <v>63</v>
      </c>
      <c r="J4703" s="80">
        <v>2365.0</v>
      </c>
      <c r="K4703" s="80">
        <v>0.75150937400699</v>
      </c>
      <c r="L4703" s="80" t="s">
        <v>102</v>
      </c>
    </row>
    <row r="4704">
      <c r="A4704" s="80" t="s">
        <v>5041</v>
      </c>
      <c r="B4704" s="81" t="str">
        <f t="shared" ref="B4704:B4705" si="258">HYPERLINK("https://www.youtube.com/channel/UCHPhAP0i8BxEF2lBgNfLB1g", "溫哥華地產經紀 Carrie Kwai PREC* l 大溫住好D 基仔&amp;Carrie")</f>
        <v>溫哥華地產經紀 Carrie Kwai PREC* l 大溫住好D 基仔&amp;Carrie</v>
      </c>
      <c r="C4704" s="80" t="s">
        <v>5139</v>
      </c>
      <c r="D4704" s="81" t="str">
        <f>HYPERLINK("https://youtube.com/watch?v=kjO5Z5o6XgA", "溫哥華新推出的townhouse 城市屋樓花預售，地點位於Burquitlam站附近(Burnaby同Coquitlam交界North Road旁邊的內街社區)")</f>
        <v>溫哥華新推出的townhouse 城市屋樓花預售，地點位於Burquitlam站附近(Burnaby同Coquitlam交界North Road旁邊的內街社區)</v>
      </c>
      <c r="E4704" s="82">
        <v>44104.0</v>
      </c>
      <c r="F4704" s="80">
        <v>702.0</v>
      </c>
      <c r="G4704" s="80" t="s">
        <v>63</v>
      </c>
      <c r="I4704" s="80" t="s">
        <v>63</v>
      </c>
      <c r="J4704" s="80">
        <v>1550.0</v>
      </c>
      <c r="K4704" s="80">
        <v>0.71198897565457</v>
      </c>
      <c r="L4704" s="80" t="s">
        <v>64</v>
      </c>
    </row>
    <row r="4705">
      <c r="A4705" s="80" t="s">
        <v>5041</v>
      </c>
      <c r="B4705" s="81" t="str">
        <f t="shared" si="258"/>
        <v>溫哥華地產經紀 Carrie Kwai PREC* l 大溫住好D 基仔&amp;Carrie</v>
      </c>
      <c r="C4705" s="80" t="s">
        <v>5140</v>
      </c>
      <c r="D4705" s="81" t="str">
        <f>HYPERLINK("https://youtube.com/watch?v=lEhH6uuw8WY", "大溫住好D - 我做裝修用的個人防護裝備")</f>
        <v>大溫住好D - 我做裝修用的個人防護裝備</v>
      </c>
      <c r="E4705" s="82">
        <v>44093.0</v>
      </c>
      <c r="F4705" s="80">
        <v>1087.0</v>
      </c>
      <c r="G4705" s="80" t="s">
        <v>63</v>
      </c>
      <c r="I4705" s="80" t="s">
        <v>63</v>
      </c>
      <c r="J4705" s="80">
        <v>3135.0</v>
      </c>
      <c r="K4705" s="80">
        <v>0.959889773423147</v>
      </c>
      <c r="L4705" s="80" t="s">
        <v>64</v>
      </c>
    </row>
    <row r="4706">
      <c r="A4706" s="80" t="s">
        <v>5019</v>
      </c>
      <c r="B4706" s="81" t="str">
        <f>HYPERLINK("https://www.youtube.com/channel/UCbsM9POBZ0TVvG74xL3WH0A", "Cherry 小美")</f>
        <v>Cherry 小美</v>
      </c>
      <c r="C4706" s="80" t="s">
        <v>5141</v>
      </c>
      <c r="D4706" s="81" t="str">
        <f>HYPERLINK("https://youtube.com/watch?v=lORPzYyXtx8", "日本長野好好玩2 (溫泉/野猿公苑/尋找雪猿/滑雪)")</f>
        <v>日本長野好好玩2 (溫泉/野猿公苑/尋找雪猿/滑雪)</v>
      </c>
      <c r="E4706" s="82">
        <v>42579.0</v>
      </c>
      <c r="F4706" s="80">
        <v>603.0</v>
      </c>
      <c r="G4706" s="80" t="s">
        <v>63</v>
      </c>
      <c r="H4706" s="80" t="s">
        <v>63</v>
      </c>
      <c r="I4706" s="80" t="s">
        <v>63</v>
      </c>
      <c r="J4706" s="80">
        <v>1822.0</v>
      </c>
      <c r="K4706" s="80">
        <v>0.984782608695652</v>
      </c>
      <c r="L4706" s="80" t="s">
        <v>86</v>
      </c>
    </row>
    <row r="4707">
      <c r="A4707" s="80" t="s">
        <v>5039</v>
      </c>
      <c r="B4707" s="81" t="str">
        <f>HYPERLINK("https://www.youtube.com/channel/UC7fISB1mlKcudvvKIszN_nw", "Healthy Brains")</f>
        <v>Healthy Brains</v>
      </c>
      <c r="C4707" s="80" t="s">
        <v>5142</v>
      </c>
      <c r="D4707" s="81" t="str">
        <f>HYPERLINK("https://youtube.com/watch?v=ldw0oqxkCaY", "95 Society (Yi Yan &amp; Ning Lee) - Mental Healing Service (Audio)")</f>
        <v>95 Society (Yi Yan &amp; Ning Lee) - Mental Healing Service (Audio)</v>
      </c>
      <c r="E4707" s="82">
        <v>43883.0</v>
      </c>
      <c r="F4707" s="80">
        <v>161.0</v>
      </c>
      <c r="G4707" s="80" t="s">
        <v>63</v>
      </c>
      <c r="I4707" s="80" t="s">
        <v>63</v>
      </c>
      <c r="J4707" s="80">
        <v>369.0</v>
      </c>
      <c r="K4707" s="80">
        <v>0.546666666666666</v>
      </c>
      <c r="L4707" s="80" t="s">
        <v>745</v>
      </c>
    </row>
    <row r="4708">
      <c r="A4708" s="80" t="s">
        <v>5023</v>
      </c>
      <c r="B4708" s="81" t="str">
        <f>HYPERLINK("https://www.youtube.com/channel/UCnwki8IA26JP-E4-xovIgQQ", "Heyo Fok")</f>
        <v>Heyo Fok</v>
      </c>
      <c r="C4708" s="80" t="s">
        <v>5143</v>
      </c>
      <c r="D4708" s="81" t="str">
        <f>HYPERLINK("https://youtube.com/watch?v=m7E8Mea-l80", "Heyo x Vyan -《距離》Lyrics Video")</f>
        <v>Heyo x Vyan -《距離》Lyrics Video</v>
      </c>
      <c r="E4708" s="82">
        <v>43284.0</v>
      </c>
      <c r="F4708" s="80">
        <v>217.0</v>
      </c>
      <c r="G4708" s="80" t="s">
        <v>63</v>
      </c>
      <c r="I4708" s="80" t="s">
        <v>63</v>
      </c>
      <c r="J4708" s="80">
        <v>420.0</v>
      </c>
      <c r="K4708" s="80">
        <v>0.988235294117647</v>
      </c>
      <c r="L4708" s="80" t="s">
        <v>64</v>
      </c>
    </row>
    <row r="4709">
      <c r="A4709" s="80" t="s">
        <v>5021</v>
      </c>
      <c r="B4709" s="81" t="str">
        <f>HYPERLINK("https://www.youtube.com/channel/UCXI73R-C4EI8U_rISlD1S2w", "三個小生愛回加DnJ")</f>
        <v>三個小生愛回加DnJ</v>
      </c>
      <c r="C4709" s="80" t="s">
        <v>5144</v>
      </c>
      <c r="D4709" s="81" t="str">
        <f>HYPERLINK("https://youtube.com/watch?v=mi_jr--EYfI", "移民溫哥華 | 新移民搵工篇 | 要跳出條條框框｜需要更大的想像空間 | 人生下半場應該怎樣開始？202007")</f>
        <v>移民溫哥華 | 新移民搵工篇 | 要跳出條條框框｜需要更大的想像空間 | 人生下半場應該怎樣開始？202007</v>
      </c>
      <c r="E4709" s="82">
        <v>44019.0</v>
      </c>
      <c r="F4709" s="80">
        <v>885.0</v>
      </c>
      <c r="G4709" s="80" t="s">
        <v>63</v>
      </c>
      <c r="I4709" s="80" t="s">
        <v>63</v>
      </c>
      <c r="J4709" s="80">
        <v>3106.0</v>
      </c>
      <c r="K4709" s="80">
        <v>0.864458669635402</v>
      </c>
      <c r="L4709" s="80" t="s">
        <v>64</v>
      </c>
    </row>
    <row r="4710">
      <c r="A4710" s="80" t="s">
        <v>5041</v>
      </c>
      <c r="B4710" s="81" t="str">
        <f>HYPERLINK("https://www.youtube.com/channel/UCHPhAP0i8BxEF2lBgNfLB1g", "溫哥華地產經紀 Carrie Kwai PREC* l 大溫住好D 基仔&amp;Carrie")</f>
        <v>溫哥華地產經紀 Carrie Kwai PREC* l 大溫住好D 基仔&amp;Carrie</v>
      </c>
      <c r="C4710" s="80" t="s">
        <v>5145</v>
      </c>
      <c r="D4710" s="81" t="str">
        <f>HYPERLINK("https://youtube.com/watch?v=n1gJRS8SxO0", "【溫哥華買樓睇樓】Coquitlam高貴林 - Burke Mountain Townhouse城市屋(Part 1) 加紙109萬")</f>
        <v>【溫哥華買樓睇樓】Coquitlam高貴林 - Burke Mountain Townhouse城市屋(Part 1) 加紙109萬</v>
      </c>
      <c r="E4710" s="82">
        <v>44137.0</v>
      </c>
      <c r="F4710" s="80">
        <v>667.0</v>
      </c>
      <c r="G4710" s="80" t="s">
        <v>63</v>
      </c>
      <c r="I4710" s="80" t="s">
        <v>63</v>
      </c>
      <c r="J4710" s="80">
        <v>1455.0</v>
      </c>
      <c r="K4710" s="80">
        <v>0.776</v>
      </c>
      <c r="L4710" s="80" t="s">
        <v>64</v>
      </c>
    </row>
    <row r="4711">
      <c r="A4711" s="80" t="s">
        <v>5023</v>
      </c>
      <c r="B4711" s="81" t="str">
        <f>HYPERLINK("https://www.youtube.com/channel/UCnwki8IA26JP-E4-xovIgQQ", "Heyo Fok")</f>
        <v>Heyo Fok</v>
      </c>
      <c r="C4711" s="80" t="s">
        <v>5146</v>
      </c>
      <c r="D4711" s="81" t="str">
        <f>HYPERLINK("https://youtube.com/watch?v=nnJ3U9OJIYY", "Heyo x Vyan【老表大奔走】-05獨弦琴 ft. Mc Yan")</f>
        <v>Heyo x Vyan【老表大奔走】-05獨弦琴 ft. Mc Yan</v>
      </c>
      <c r="E4711" s="82">
        <v>43284.0</v>
      </c>
      <c r="F4711" s="80">
        <v>206.0</v>
      </c>
      <c r="G4711" s="80" t="s">
        <v>63</v>
      </c>
      <c r="I4711" s="80" t="s">
        <v>63</v>
      </c>
      <c r="J4711" s="80">
        <v>699.0</v>
      </c>
      <c r="K4711" s="80">
        <v>0.973537604456824</v>
      </c>
      <c r="L4711" s="80" t="s">
        <v>64</v>
      </c>
    </row>
    <row r="4712">
      <c r="A4712" s="80" t="s">
        <v>5027</v>
      </c>
      <c r="B4712" s="81" t="str">
        <f>HYPERLINK("https://www.youtube.com/channel/UCZgs3pLaFisZ-TKVOwFEe8Q", "嘉芙姐姐 - 兒歌童謠 - 故事動畫 - Miss Ka Foo Kids Channel")</f>
        <v>嘉芙姐姐 - 兒歌童謠 - 故事動畫 - Miss Ka Foo Kids Channel</v>
      </c>
      <c r="C4712" s="80" t="s">
        <v>5147</v>
      </c>
      <c r="D4712" s="81" t="str">
        <f>HYPERLINK("https://youtube.com/watch?v=no72YGh0tts", "帶你遊香港 九龍篇 | Hong Kong Attractions(Kowloon) | 遊覽香港粵語兒歌 | 認識香港景點中文兒歌 | 香港旅遊粵語廣東話歌曲 | 嘉芙姐姐兒歌")</f>
        <v>帶你遊香港 九龍篇 | Hong Kong Attractions(Kowloon) | 遊覽香港粵語兒歌 | 認識香港景點中文兒歌 | 香港旅遊粵語廣東話歌曲 | 嘉芙姐姐兒歌</v>
      </c>
      <c r="E4712" s="82">
        <v>44459.0</v>
      </c>
      <c r="F4712" s="80">
        <v>143.0</v>
      </c>
      <c r="G4712" s="80" t="s">
        <v>63</v>
      </c>
      <c r="I4712" s="80" t="s">
        <v>63</v>
      </c>
      <c r="J4712" s="80">
        <v>187.0</v>
      </c>
      <c r="K4712" s="80">
        <v>0.912195121951219</v>
      </c>
      <c r="L4712" s="80" t="s">
        <v>91</v>
      </c>
    </row>
    <row r="4713">
      <c r="A4713" s="80" t="s">
        <v>5023</v>
      </c>
      <c r="B4713" s="81" t="str">
        <f t="shared" ref="B4713:B4715" si="259">HYPERLINK("https://www.youtube.com/channel/UCnwki8IA26JP-E4-xovIgQQ", "Heyo Fok")</f>
        <v>Heyo Fok</v>
      </c>
      <c r="C4713" s="80" t="s">
        <v>5148</v>
      </c>
      <c r="D4713" s="81" t="str">
        <f>HYPERLINK("https://youtube.com/watch?v=ojm-jLTwZLw", "Heyo－我歌 Feat. Sammy@Kolor [MV]")</f>
        <v>Heyo－我歌 Feat. Sammy@Kolor [MV]</v>
      </c>
      <c r="E4713" s="82">
        <v>43278.0</v>
      </c>
      <c r="F4713" s="80">
        <v>259.0</v>
      </c>
      <c r="G4713" s="80" t="s">
        <v>63</v>
      </c>
      <c r="I4713" s="80" t="s">
        <v>63</v>
      </c>
      <c r="J4713" s="80">
        <v>658.0</v>
      </c>
      <c r="K4713" s="80">
        <v>0.971935007385524</v>
      </c>
      <c r="L4713" s="80" t="s">
        <v>64</v>
      </c>
    </row>
    <row r="4714">
      <c r="A4714" s="80" t="s">
        <v>5023</v>
      </c>
      <c r="B4714" s="81" t="str">
        <f t="shared" si="259"/>
        <v>Heyo Fok</v>
      </c>
      <c r="C4714" s="80" t="s">
        <v>5149</v>
      </c>
      <c r="D4714" s="81" t="str">
        <f>HYPERLINK("https://youtube.com/watch?v=pN2PojZE9X8", "Heyo - 大世代 Feat. JFung")</f>
        <v>Heyo - 大世代 Feat. JFung</v>
      </c>
      <c r="E4714" s="82">
        <v>41865.0</v>
      </c>
      <c r="F4714" s="80">
        <v>96.0</v>
      </c>
      <c r="G4714" s="80" t="s">
        <v>63</v>
      </c>
      <c r="I4714" s="80" t="s">
        <v>63</v>
      </c>
      <c r="J4714" s="80">
        <v>262.0</v>
      </c>
      <c r="K4714" s="80">
        <v>0.9812734082397</v>
      </c>
      <c r="L4714" s="80" t="s">
        <v>64</v>
      </c>
    </row>
    <row r="4715">
      <c r="A4715" s="80" t="s">
        <v>5023</v>
      </c>
      <c r="B4715" s="81" t="str">
        <f t="shared" si="259"/>
        <v>Heyo Fok</v>
      </c>
      <c r="C4715" s="80" t="s">
        <v>5150</v>
      </c>
      <c r="D4715" s="81" t="str">
        <f>HYPERLINK("https://youtube.com/watch?v=pRaVPpvpZ7U", "Heyo - 反洗腦教育")</f>
        <v>Heyo - 反洗腦教育</v>
      </c>
      <c r="E4715" s="82">
        <v>41155.0</v>
      </c>
      <c r="F4715" s="80">
        <v>145.0</v>
      </c>
      <c r="G4715" s="80" t="s">
        <v>63</v>
      </c>
      <c r="I4715" s="80" t="s">
        <v>63</v>
      </c>
      <c r="J4715" s="80">
        <v>413.0</v>
      </c>
      <c r="K4715" s="80">
        <v>0.949425287356321</v>
      </c>
      <c r="L4715" s="80" t="s">
        <v>64</v>
      </c>
    </row>
    <row r="4716">
      <c r="A4716" s="80" t="s">
        <v>5151</v>
      </c>
      <c r="B4716" s="81" t="str">
        <f>HYPERLINK("https://www.youtube.com/channel/UCgMBZ9epGac-dKeoZ4vsX8A", "Dottie Hidee")</f>
        <v>Dottie Hidee</v>
      </c>
      <c r="C4716" s="80" t="s">
        <v>5152</v>
      </c>
      <c r="D4716" s="81" t="str">
        <f>HYPERLINK("https://youtube.com/watch?v=pdHDtra1QJs", "⍣不專業廚房⍣ 永不失敗---  韓式炆豬軟骨 【 中文字幕】")</f>
        <v>⍣不專業廚房⍣ 永不失敗---  韓式炆豬軟骨 【 中文字幕】</v>
      </c>
      <c r="E4716" s="82">
        <v>43351.0</v>
      </c>
      <c r="F4716" s="80">
        <v>342.0</v>
      </c>
      <c r="G4716" s="80" t="s">
        <v>63</v>
      </c>
      <c r="I4716" s="80" t="s">
        <v>63</v>
      </c>
      <c r="J4716" s="80">
        <v>1038.0</v>
      </c>
      <c r="K4716" s="80">
        <v>0.912126537785588</v>
      </c>
      <c r="L4716" s="80" t="s">
        <v>64</v>
      </c>
    </row>
    <row r="4717">
      <c r="A4717" s="80" t="s">
        <v>5041</v>
      </c>
      <c r="B4717" s="81" t="str">
        <f>HYPERLINK("https://www.youtube.com/channel/UCHPhAP0i8BxEF2lBgNfLB1g", "溫哥華地產經紀 Carrie Kwai PREC* l 大溫住好D 基仔&amp;Carrie")</f>
        <v>溫哥華地產經紀 Carrie Kwai PREC* l 大溫住好D 基仔&amp;Carrie</v>
      </c>
      <c r="C4717" s="80" t="s">
        <v>5153</v>
      </c>
      <c r="D4717" s="81" t="str">
        <f>HYPERLINK("https://youtube.com/watch?v=pweqwFu9XsA", "大溫住好D - 獨立屋戶外路面倒水泥全過程, 施工要點, 材料價錢. 混合水泥的DIY工具")</f>
        <v>大溫住好D - 獨立屋戶外路面倒水泥全過程, 施工要點, 材料價錢. 混合水泥的DIY工具</v>
      </c>
      <c r="E4717" s="82">
        <v>44086.0</v>
      </c>
      <c r="F4717" s="80">
        <v>1085.0</v>
      </c>
      <c r="G4717" s="80" t="s">
        <v>63</v>
      </c>
      <c r="I4717" s="80" t="s">
        <v>63</v>
      </c>
      <c r="J4717" s="80">
        <v>2298.0</v>
      </c>
      <c r="K4717" s="80">
        <v>0.97704081632653</v>
      </c>
      <c r="L4717" s="80" t="s">
        <v>64</v>
      </c>
    </row>
    <row r="4718">
      <c r="A4718" s="80" t="s">
        <v>5017</v>
      </c>
      <c r="B4718" s="81" t="str">
        <f>HYPERLINK("https://www.youtube.com/channel/UCVAUtDUarzrjTzhSMiLvK6w", "YankiDin")</f>
        <v>YankiDin</v>
      </c>
      <c r="C4718" s="80" t="s">
        <v>5154</v>
      </c>
      <c r="D4718" s="81" t="str">
        <f>HYPERLINK("https://youtube.com/watch?v=qFaPjOJY7YI", "火雞姐之港女拍拖雙聲道（上）BY SHE.COM")</f>
        <v>火雞姐之港女拍拖雙聲道（上）BY SHE.COM</v>
      </c>
      <c r="E4718" s="82">
        <v>42608.0</v>
      </c>
      <c r="F4718" s="80">
        <v>150.0</v>
      </c>
      <c r="G4718" s="80" t="s">
        <v>63</v>
      </c>
      <c r="I4718" s="80" t="s">
        <v>63</v>
      </c>
      <c r="J4718" s="80">
        <v>716.0</v>
      </c>
      <c r="K4718" s="80">
        <v>1.0</v>
      </c>
      <c r="L4718" s="80" t="s">
        <v>521</v>
      </c>
    </row>
    <row r="4719">
      <c r="A4719" s="80" t="s">
        <v>5021</v>
      </c>
      <c r="B4719" s="81" t="str">
        <f t="shared" ref="B4719:B4720" si="260">HYPERLINK("https://www.youtube.com/channel/UCXI73R-C4EI8U_rISlD1S2w", "三個小生愛回加DnJ")</f>
        <v>三個小生愛回加DnJ</v>
      </c>
      <c r="C4719" s="80" t="s">
        <v>5155</v>
      </c>
      <c r="D4719" s="81" t="str">
        <f>HYPERLINK("https://youtube.com/watch?v=qjfTgT5fp6I", "移民溫哥華 | 溫哥華小區巡禮｜溫西區Oakridge Centre | 非市中心的名店商場202004")</f>
        <v>移民溫哥華 | 溫哥華小區巡禮｜溫西區Oakridge Centre | 非市中心的名店商場202004</v>
      </c>
      <c r="E4719" s="82">
        <v>43951.0</v>
      </c>
      <c r="F4719" s="80">
        <v>601.0</v>
      </c>
      <c r="G4719" s="80" t="s">
        <v>63</v>
      </c>
      <c r="I4719" s="80" t="s">
        <v>63</v>
      </c>
      <c r="J4719" s="80">
        <v>1389.0</v>
      </c>
      <c r="K4719" s="80">
        <v>0.762349066959385</v>
      </c>
      <c r="L4719" s="80" t="s">
        <v>64</v>
      </c>
    </row>
    <row r="4720">
      <c r="A4720" s="80" t="s">
        <v>5021</v>
      </c>
      <c r="B4720" s="81" t="str">
        <f t="shared" si="260"/>
        <v>三個小生愛回加DnJ</v>
      </c>
      <c r="C4720" s="80" t="s">
        <v>5156</v>
      </c>
      <c r="D4720" s="81" t="str">
        <f>HYPERLINK("https://youtube.com/watch?v=rL9OoVjLUp4", "移民溫哥華 | 大溫哥華移民回流落腳好地方巡禮- Port Moody 滿地寶｜一個感覺有點似西貢，既方便又舒服的地區 202005")</f>
        <v>移民溫哥華 | 大溫哥華移民回流落腳好地方巡禮- Port Moody 滿地寶｜一個感覺有點似西貢，既方便又舒服的地區 202005</v>
      </c>
      <c r="E4720" s="82">
        <v>43972.0</v>
      </c>
      <c r="F4720" s="80">
        <v>1023.0</v>
      </c>
      <c r="G4720" s="80" t="s">
        <v>63</v>
      </c>
      <c r="I4720" s="80" t="s">
        <v>63</v>
      </c>
      <c r="J4720" s="80">
        <v>2724.0</v>
      </c>
      <c r="K4720" s="80">
        <v>0.678286852589641</v>
      </c>
      <c r="L4720" s="80" t="s">
        <v>64</v>
      </c>
    </row>
    <row r="4721">
      <c r="A4721" s="80" t="s">
        <v>5019</v>
      </c>
      <c r="B4721" s="81" t="str">
        <f>HYPERLINK("https://www.youtube.com/channel/UCbsM9POBZ0TVvG74xL3WH0A", "Cherry 小美")</f>
        <v>Cherry 小美</v>
      </c>
      <c r="C4721" s="80" t="s">
        <v>5157</v>
      </c>
      <c r="D4721" s="81" t="str">
        <f>HYPERLINK("https://youtube.com/watch?v=rRG0byFL_D8", "[青山走犯]開箱實測唱k神器 K068 x 唱K app推介")</f>
        <v>[青山走犯]開箱實測唱k神器 K068 x 唱K app推介</v>
      </c>
      <c r="E4721" s="82">
        <v>42612.0</v>
      </c>
      <c r="F4721" s="80">
        <v>501.0</v>
      </c>
      <c r="G4721" s="80" t="s">
        <v>63</v>
      </c>
      <c r="H4721" s="80" t="s">
        <v>63</v>
      </c>
      <c r="I4721" s="80" t="s">
        <v>63</v>
      </c>
      <c r="J4721" s="80">
        <v>1583.0</v>
      </c>
      <c r="K4721" s="80">
        <v>0.862916439104314</v>
      </c>
      <c r="L4721" s="80" t="s">
        <v>86</v>
      </c>
    </row>
    <row r="4722">
      <c r="A4722" s="80" t="s">
        <v>5021</v>
      </c>
      <c r="B4722" s="81" t="str">
        <f>HYPERLINK("https://www.youtube.com/channel/UCXI73R-C4EI8U_rISlD1S2w", "三個小生愛回加DnJ")</f>
        <v>三個小生愛回加DnJ</v>
      </c>
      <c r="C4722" s="80" t="s">
        <v>5158</v>
      </c>
      <c r="D4722" s="81" t="str">
        <f>HYPERLINK("https://youtube.com/watch?v=seF2TIRObBs", "移民溫哥華 | 輕輕鬆鬆聽阿Joe - 解封有望｜最想去飲茶？ 202005")</f>
        <v>移民溫哥華 | 輕輕鬆鬆聽阿Joe - 解封有望｜最想去飲茶？ 202005</v>
      </c>
      <c r="E4722" s="82">
        <v>43970.0</v>
      </c>
      <c r="F4722" s="80">
        <v>534.0</v>
      </c>
      <c r="G4722" s="80" t="s">
        <v>63</v>
      </c>
      <c r="I4722" s="80" t="s">
        <v>63</v>
      </c>
      <c r="J4722" s="80">
        <v>1931.0</v>
      </c>
      <c r="K4722" s="80">
        <v>0.917775665399239</v>
      </c>
      <c r="L4722" s="80" t="s">
        <v>64</v>
      </c>
    </row>
    <row r="4723">
      <c r="A4723" s="80" t="s">
        <v>5041</v>
      </c>
      <c r="B4723" s="81" t="str">
        <f t="shared" ref="B4723:B4724" si="261">HYPERLINK("https://www.youtube.com/channel/UCHPhAP0i8BxEF2lBgNfLB1g", "溫哥華地產經紀 Carrie Kwai PREC* l 大溫住好D 基仔&amp;Carrie")</f>
        <v>溫哥華地產經紀 Carrie Kwai PREC* l 大溫住好D 基仔&amp;Carrie</v>
      </c>
      <c r="C4723" s="80" t="s">
        <v>5159</v>
      </c>
      <c r="D4723" s="81" t="str">
        <f>HYPERLINK("https://youtube.com/watch?v=tj0shOJx5xI", "【溫哥華房地產】Richmond 列治文 townhouse樓盤 Georgia Townhouse 第二集- 週邊環境 價錢 工程進度 第二期即將開賣 (字幕)")</f>
        <v>【溫哥華房地產】Richmond 列治文 townhouse樓盤 Georgia Townhouse 第二集- 週邊環境 價錢 工程進度 第二期即將開賣 (字幕)</v>
      </c>
      <c r="E4723" s="82">
        <v>44149.0</v>
      </c>
      <c r="F4723" s="80">
        <v>878.0</v>
      </c>
      <c r="G4723" s="80" t="s">
        <v>63</v>
      </c>
      <c r="I4723" s="80" t="s">
        <v>63</v>
      </c>
      <c r="J4723" s="80">
        <v>1467.0</v>
      </c>
      <c r="K4723" s="80">
        <v>0.672318973418881</v>
      </c>
      <c r="L4723" s="80" t="s">
        <v>64</v>
      </c>
    </row>
    <row r="4724">
      <c r="A4724" s="80" t="s">
        <v>5041</v>
      </c>
      <c r="B4724" s="81" t="str">
        <f t="shared" si="261"/>
        <v>溫哥華地產經紀 Carrie Kwai PREC* l 大溫住好D 基仔&amp;Carrie</v>
      </c>
      <c r="C4724" s="80" t="s">
        <v>5160</v>
      </c>
      <c r="D4724" s="81" t="str">
        <f>HYPERLINK("https://youtube.com/watch?v=tjw_6PCZnyM", "温哥華舊獨立屋地下室結構與設備及裝修細節，廚櫃安裝，間格，水電，供暖")</f>
        <v>温哥華舊獨立屋地下室結構與設備及裝修細節，廚櫃安裝，間格，水電，供暖</v>
      </c>
      <c r="E4724" s="82">
        <v>44106.0</v>
      </c>
      <c r="F4724" s="80">
        <v>1618.0</v>
      </c>
      <c r="G4724" s="80" t="s">
        <v>63</v>
      </c>
      <c r="I4724" s="80" t="s">
        <v>63</v>
      </c>
      <c r="J4724" s="80">
        <v>3775.0</v>
      </c>
      <c r="K4724" s="80">
        <v>0.933020266930301</v>
      </c>
      <c r="L4724" s="80" t="s">
        <v>64</v>
      </c>
    </row>
    <row r="4725">
      <c r="A4725" s="80" t="s">
        <v>5023</v>
      </c>
      <c r="B4725" s="81" t="str">
        <f t="shared" ref="B4725:B4726" si="262">HYPERLINK("https://www.youtube.com/channel/UCnwki8IA26JP-E4-xovIgQQ", "Heyo Fok")</f>
        <v>Heyo Fok</v>
      </c>
      <c r="C4725" s="80" t="s">
        <v>5161</v>
      </c>
      <c r="D4725" s="81" t="str">
        <f>HYPERLINK("https://youtube.com/watch?v=tp35mmxtbes", "Heyo - 同一天空下 @ 草民音樂節 2015")</f>
        <v>Heyo - 同一天空下 @ 草民音樂節 2015</v>
      </c>
      <c r="E4725" s="82">
        <v>42086.0</v>
      </c>
      <c r="F4725" s="80">
        <v>224.0</v>
      </c>
      <c r="G4725" s="80" t="s">
        <v>63</v>
      </c>
      <c r="I4725" s="80" t="s">
        <v>63</v>
      </c>
      <c r="J4725" s="80">
        <v>393.0</v>
      </c>
      <c r="K4725" s="80">
        <v>0.9825</v>
      </c>
      <c r="L4725" s="80" t="s">
        <v>64</v>
      </c>
    </row>
    <row r="4726">
      <c r="A4726" s="80" t="s">
        <v>5023</v>
      </c>
      <c r="B4726" s="81" t="str">
        <f t="shared" si="262"/>
        <v>Heyo Fok</v>
      </c>
      <c r="C4726" s="80" t="s">
        <v>5162</v>
      </c>
      <c r="D4726" s="81" t="str">
        <f>HYPERLINK("https://youtube.com/watch?v=uXNV-uQ8gYc", "【嬉怒的維度】Heyo － 繼續走")</f>
        <v>【嬉怒的維度】Heyo － 繼續走</v>
      </c>
      <c r="E4726" s="82">
        <v>42201.0</v>
      </c>
      <c r="F4726" s="80">
        <v>265.0</v>
      </c>
      <c r="G4726" s="80" t="s">
        <v>63</v>
      </c>
      <c r="I4726" s="80" t="s">
        <v>63</v>
      </c>
      <c r="J4726" s="80">
        <v>739.0</v>
      </c>
      <c r="K4726" s="80">
        <v>0.990616621983914</v>
      </c>
      <c r="L4726" s="80" t="s">
        <v>64</v>
      </c>
    </row>
    <row r="4727">
      <c r="A4727" s="80" t="s">
        <v>5019</v>
      </c>
      <c r="B4727" s="81" t="str">
        <f>HYPERLINK("https://www.youtube.com/channel/UCbsM9POBZ0TVvG74xL3WH0A", "Cherry 小美")</f>
        <v>Cherry 小美</v>
      </c>
      <c r="C4727" s="80" t="s">
        <v>5163</v>
      </c>
      <c r="D4727" s="81" t="str">
        <f>HYPERLINK("https://youtube.com/watch?v=v1-JBZrVEww", "[妝容] 第一次約會 First Date Makeup")</f>
        <v>[妝容] 第一次約會 First Date Makeup</v>
      </c>
      <c r="E4727" s="82">
        <v>42586.0</v>
      </c>
      <c r="F4727" s="80">
        <v>365.0</v>
      </c>
      <c r="G4727" s="80" t="s">
        <v>63</v>
      </c>
      <c r="H4727" s="80" t="s">
        <v>63</v>
      </c>
      <c r="I4727" s="80" t="s">
        <v>63</v>
      </c>
      <c r="J4727" s="80">
        <v>1413.0</v>
      </c>
      <c r="K4727" s="80">
        <v>0.892698412698412</v>
      </c>
      <c r="L4727" s="80" t="s">
        <v>86</v>
      </c>
    </row>
    <row r="4728">
      <c r="A4728" s="80" t="s">
        <v>5023</v>
      </c>
      <c r="B4728" s="81" t="str">
        <f>HYPERLINK("https://www.youtube.com/channel/UCnwki8IA26JP-E4-xovIgQQ", "Heyo Fok")</f>
        <v>Heyo Fok</v>
      </c>
      <c r="C4728" s="80" t="s">
        <v>5164</v>
      </c>
      <c r="D4728" s="81" t="str">
        <f>HYPERLINK("https://youtube.com/watch?v=v5Su3USlNbs", "Heyo - 《未必、Maybe、未知 》MV")</f>
        <v>Heyo - 《未必、Maybe、未知 》MV</v>
      </c>
      <c r="E4728" s="82">
        <v>42550.0</v>
      </c>
      <c r="F4728" s="80">
        <v>283.0</v>
      </c>
      <c r="G4728" s="80" t="s">
        <v>63</v>
      </c>
      <c r="I4728" s="80" t="s">
        <v>63</v>
      </c>
      <c r="J4728" s="80">
        <v>597.0</v>
      </c>
      <c r="K4728" s="80">
        <v>0.925581395348837</v>
      </c>
      <c r="L4728" s="80" t="s">
        <v>64</v>
      </c>
    </row>
    <row r="4729">
      <c r="A4729" s="80" t="s">
        <v>5021</v>
      </c>
      <c r="B4729" s="81" t="str">
        <f>HYPERLINK("https://www.youtube.com/channel/UCXI73R-C4EI8U_rISlD1S2w", "三個小生愛回加DnJ")</f>
        <v>三個小生愛回加DnJ</v>
      </c>
      <c r="C4729" s="80" t="s">
        <v>5165</v>
      </c>
      <c r="D4729" s="81" t="str">
        <f>HYPERLINK("https://youtube.com/watch?v=v6NpkO4OlT8", "移民溫哥華｜加拿大留學教育系列｜留學加拿大的優勢｜什麼事留學移民政策？202006")</f>
        <v>移民溫哥華｜加拿大留學教育系列｜留學加拿大的優勢｜什麼事留學移民政策？202006</v>
      </c>
      <c r="E4729" s="82">
        <v>43986.0</v>
      </c>
      <c r="F4729" s="80">
        <v>1062.0</v>
      </c>
      <c r="G4729" s="80" t="s">
        <v>63</v>
      </c>
      <c r="I4729" s="80" t="s">
        <v>63</v>
      </c>
      <c r="J4729" s="80">
        <v>3787.0</v>
      </c>
      <c r="K4729" s="80">
        <v>0.878654292343387</v>
      </c>
      <c r="L4729" s="80" t="s">
        <v>64</v>
      </c>
    </row>
    <row r="4730">
      <c r="A4730" s="80" t="s">
        <v>5166</v>
      </c>
      <c r="B4730" s="81" t="str">
        <f>HYPERLINK("https://www.youtube.com/channel/UCeL19f2UTTlwHf95hPxsr1A", "MastaMic")</f>
        <v>MastaMic</v>
      </c>
      <c r="C4730" s="80" t="s">
        <v>5167</v>
      </c>
      <c r="D4730" s="81" t="str">
        <f>HYPERLINK("https://youtube.com/watch?v=vLaZFdvPlus", "MastaMic - 16 HK Rap Up")</f>
        <v>MastaMic - 16 HK Rap Up</v>
      </c>
      <c r="E4730" s="82">
        <v>42762.0</v>
      </c>
      <c r="F4730" s="80">
        <v>475.0</v>
      </c>
      <c r="G4730" s="80" t="s">
        <v>63</v>
      </c>
      <c r="I4730" s="80" t="s">
        <v>63</v>
      </c>
      <c r="J4730" s="80">
        <v>2167.0</v>
      </c>
      <c r="K4730" s="80">
        <v>0.925672789406236</v>
      </c>
      <c r="L4730" s="80" t="s">
        <v>521</v>
      </c>
    </row>
    <row r="4731">
      <c r="A4731" s="80" t="s">
        <v>5023</v>
      </c>
      <c r="B4731" s="81" t="str">
        <f>HYPERLINK("https://www.youtube.com/channel/UCnwki8IA26JP-E4-xovIgQQ", "Heyo Fok")</f>
        <v>Heyo Fok</v>
      </c>
      <c r="C4731" s="80" t="s">
        <v>5168</v>
      </c>
      <c r="D4731" s="81" t="str">
        <f>HYPERLINK("https://youtube.com/watch?v=x5V5ySxgXQI", "Heyo－未必、Maybe、未知 （Audio）")</f>
        <v>Heyo－未必、Maybe、未知 （Audio）</v>
      </c>
      <c r="E4731" s="82">
        <v>42536.0</v>
      </c>
      <c r="F4731" s="80">
        <v>280.0</v>
      </c>
      <c r="G4731" s="80" t="s">
        <v>63</v>
      </c>
      <c r="I4731" s="80" t="s">
        <v>63</v>
      </c>
      <c r="J4731" s="80">
        <v>597.0</v>
      </c>
      <c r="K4731" s="80">
        <v>0.925581395348837</v>
      </c>
      <c r="L4731" s="80" t="s">
        <v>64</v>
      </c>
    </row>
    <row r="4732">
      <c r="A4732" s="80" t="s">
        <v>1312</v>
      </c>
      <c r="B4732" s="81" t="str">
        <f>HYPERLINK("https://www.youtube.com/channel/UC1NxU2rbVZW0Rq6VHmaqoEQ", "Jarvis &amp; Isabella")</f>
        <v>Jarvis &amp; Isabella</v>
      </c>
      <c r="C4732" s="80" t="s">
        <v>5169</v>
      </c>
      <c r="D4732" s="81" t="str">
        <f>HYPERLINK("https://youtube.com/watch?v=xG6UbKPXbzY", "【 分享 】我哋喺英國嘅第一部車｜申請車牌會遇到嘅問題｜要成三個半月 ? ｜有咩方法可以加快進度 ?｜CC 中文字幕｜Jarvis &amp; Isabella")</f>
        <v>【 分享 】我哋喺英國嘅第一部車｜申請車牌會遇到嘅問題｜要成三個半月 ? ｜有咩方法可以加快進度 ?｜CC 中文字幕｜Jarvis &amp; Isabella</v>
      </c>
      <c r="E4732" s="82">
        <v>44572.0</v>
      </c>
      <c r="F4732" s="80">
        <v>802.0</v>
      </c>
      <c r="G4732" s="80" t="s">
        <v>63</v>
      </c>
      <c r="I4732" s="80" t="s">
        <v>63</v>
      </c>
      <c r="J4732" s="80">
        <v>2901.0</v>
      </c>
      <c r="K4732" s="80">
        <v>0.846760070052539</v>
      </c>
      <c r="L4732" s="80" t="s">
        <v>64</v>
      </c>
    </row>
    <row r="4733">
      <c r="A4733" s="80" t="s">
        <v>5170</v>
      </c>
      <c r="B4733" s="81" t="str">
        <f>HYPERLINK("https://www.youtube.com/channel/UCdkZStyZBhw59KE6vMe1MJA", "Hong Kongese Speak Cantonese")</f>
        <v>Hong Kongese Speak Cantonese</v>
      </c>
      <c r="C4733" s="80" t="s">
        <v>5171</v>
      </c>
      <c r="D4733" s="81" t="str">
        <f>HYPERLINK("https://youtube.com/watch?v=xdxT1OEAbvg", "How to read Nine ""Tones"" of Cantonese? （粵語九聲調）")</f>
        <v>How to read Nine "Tones" of Cantonese? （粵語九聲調）</v>
      </c>
      <c r="E4733" s="82">
        <v>42827.0</v>
      </c>
      <c r="F4733" s="80">
        <v>764.0</v>
      </c>
      <c r="G4733" s="80" t="s">
        <v>63</v>
      </c>
      <c r="H4733" s="80" t="s">
        <v>63</v>
      </c>
      <c r="I4733" s="80" t="s">
        <v>63</v>
      </c>
      <c r="J4733" s="80">
        <v>1744.0</v>
      </c>
      <c r="K4733" s="80">
        <v>0.729707112970711</v>
      </c>
      <c r="L4733" s="80" t="s">
        <v>413</v>
      </c>
    </row>
    <row r="4734">
      <c r="A4734" s="80" t="s">
        <v>5017</v>
      </c>
      <c r="B4734" s="81" t="str">
        <f>HYPERLINK("https://www.youtube.com/channel/UCVAUtDUarzrjTzhSMiLvK6w", "YankiDin")</f>
        <v>YankiDin</v>
      </c>
      <c r="C4734" s="80" t="s">
        <v>5172</v>
      </c>
      <c r="D4734" s="81" t="str">
        <f>HYPERLINK("https://youtube.com/watch?v=z8eoOwo3UsE", "YANKIDIN | 火雞姐系列 | 火雞姐教你化個女神裝 ( 請開字幕 )")</f>
        <v>YANKIDIN | 火雞姐系列 | 火雞姐教你化個女神裝 ( 請開字幕 )</v>
      </c>
      <c r="E4734" s="82">
        <v>42570.0</v>
      </c>
      <c r="F4734" s="80">
        <v>477.0</v>
      </c>
      <c r="G4734" s="80" t="s">
        <v>63</v>
      </c>
      <c r="I4734" s="80" t="s">
        <v>63</v>
      </c>
      <c r="J4734" s="80">
        <v>2340.0</v>
      </c>
      <c r="K4734" s="80">
        <v>0.795918367346938</v>
      </c>
      <c r="L4734" s="80" t="s">
        <v>64</v>
      </c>
    </row>
    <row r="4735">
      <c r="A4735" s="80" t="s">
        <v>260</v>
      </c>
      <c r="B4735" s="81" t="str">
        <f>HYPERLINK("https://www.youtube.com/channel/UC-HXOikkLx7BGEfILGIpYOg", "港短 . 英移")</f>
        <v>港短 . 英移</v>
      </c>
      <c r="C4735" s="80" t="s">
        <v>5173</v>
      </c>
      <c r="D4735" s="81" t="str">
        <f>HYPERLINK("https://youtube.com/watch?v=z8er-N_sIQ4", "[英國生活] 英國講英文好難? | 英文唔錯係學唔到野😎| 最緊要係唔好怕俾人笑🔥 | 港短.英移 #英國移民 #英國生活")</f>
        <v>[英國生活] 英國講英文好難? | 英文唔錯係學唔到野😎| 最緊要係唔好怕俾人笑🔥 | 港短.英移 #英國移民 #英國生活</v>
      </c>
      <c r="E4735" s="82">
        <v>44574.0</v>
      </c>
      <c r="F4735" s="80">
        <v>498.0</v>
      </c>
      <c r="G4735" s="80" t="s">
        <v>63</v>
      </c>
      <c r="I4735" s="80" t="s">
        <v>63</v>
      </c>
      <c r="J4735" s="80">
        <v>1306.0</v>
      </c>
      <c r="K4735" s="80">
        <v>0.592827961870177</v>
      </c>
      <c r="L4735" s="80" t="s">
        <v>102</v>
      </c>
    </row>
    <row r="4736">
      <c r="A4736" s="80" t="s">
        <v>5023</v>
      </c>
      <c r="B4736" s="81" t="str">
        <f>HYPERLINK("https://www.youtube.com/channel/UCnwki8IA26JP-E4-xovIgQQ", "Heyo Fok")</f>
        <v>Heyo Fok</v>
      </c>
      <c r="C4736" s="80" t="s">
        <v>5174</v>
      </c>
      <c r="D4736" s="81" t="str">
        <f>HYPERLINK("https://youtube.com/watch?v=zijOzpues4o", "Heyo - 喜愛射毛 MV (bottoms up cover)")</f>
        <v>Heyo - 喜愛射毛 MV (bottoms up cover)</v>
      </c>
      <c r="E4736" s="82">
        <v>41673.0</v>
      </c>
      <c r="F4736" s="80">
        <v>291.0</v>
      </c>
      <c r="G4736" s="80" t="s">
        <v>63</v>
      </c>
      <c r="I4736" s="80" t="s">
        <v>63</v>
      </c>
      <c r="J4736" s="80">
        <v>547.0</v>
      </c>
      <c r="K4736" s="80">
        <v>0.85602503912363</v>
      </c>
      <c r="L4736" s="80" t="s">
        <v>64</v>
      </c>
    </row>
    <row r="4737">
      <c r="A4737" s="80" t="s">
        <v>5017</v>
      </c>
      <c r="B4737" s="81" t="str">
        <f>HYPERLINK("https://www.youtube.com/channel/UCVAUtDUarzrjTzhSMiLvK6w", "YankiDin")</f>
        <v>YankiDin</v>
      </c>
      <c r="C4737" s="80" t="s">
        <v>5175</v>
      </c>
      <c r="D4737" s="81" t="str">
        <f>HYPERLINK("https://youtube.com/watch?v=znYTxzAhjR0", "YANKIDIN  | DAILY VLOG | 跟我去工作")</f>
        <v>YANKIDIN  | DAILY VLOG | 跟我去工作</v>
      </c>
      <c r="E4737" s="82">
        <v>42657.0</v>
      </c>
      <c r="F4737" s="80">
        <v>577.0</v>
      </c>
      <c r="G4737" s="80" t="s">
        <v>63</v>
      </c>
      <c r="I4737" s="80" t="s">
        <v>63</v>
      </c>
      <c r="J4737" s="80">
        <v>1515.0</v>
      </c>
      <c r="K4737" s="80">
        <v>0.895390070921985</v>
      </c>
      <c r="L4737" s="80" t="s">
        <v>64</v>
      </c>
    </row>
    <row r="4738">
      <c r="A4738" s="80" t="s">
        <v>248</v>
      </c>
      <c r="B4738" s="81" t="str">
        <f>HYPERLINK("https://www.youtube.com/channel/UCUEJok-GiWaGlv5nIPwk-GQ", "Price.com.hk 香港格價網")</f>
        <v>Price.com.hk 香港格價網</v>
      </c>
      <c r="C4738" s="80" t="s">
        <v>5176</v>
      </c>
      <c r="D4738" s="81" t="str">
        <f>HYPERLINK("https://youtube.com/watch?v=1fVett_o4ck", "呈現真實色彩ASUS Vivobook Pro 16X OLED｜護眼認證、4K、3050、DialPad｜同場介紹 ASUS OLED手提電腦｜廣東話｜特約專題 【Price.com.hk產品介紹】")</f>
        <v>呈現真實色彩ASUS Vivobook Pro 16X OLED｜護眼認證、4K、3050、DialPad｜同場介紹 ASUS OLED手提電腦｜廣東話｜特約專題 【Price.com.hk產品介紹】</v>
      </c>
      <c r="E4738" s="82">
        <v>44578.0</v>
      </c>
      <c r="F4738" s="80">
        <v>474.0</v>
      </c>
      <c r="G4738" s="80" t="s">
        <v>63</v>
      </c>
      <c r="I4738" s="80" t="s">
        <v>63</v>
      </c>
      <c r="J4738" s="80">
        <v>1457.0</v>
      </c>
      <c r="K4738" s="80">
        <v>0.633202955236853</v>
      </c>
      <c r="L4738" s="80" t="s">
        <v>64</v>
      </c>
    </row>
    <row r="4739">
      <c r="A4739" s="80" t="s">
        <v>61</v>
      </c>
      <c r="B4739" s="81" t="str">
        <f>HYPERLINK("https://www.youtube.com/channel/UCJ4XVrJuqKHbc9yF9oUFseg", "MEeeep More")</f>
        <v>MEeeep More</v>
      </c>
      <c r="C4739" s="80" t="s">
        <v>5177</v>
      </c>
      <c r="D4739" s="81" t="str">
        <f>HYPERLINK("https://youtube.com/watch?v=2plce0TF9_4", "Samsung Galaxy S21 FE 5G | 輕旗艦 5G 雙卡雙待 120Hz + Galaxy 系列最快晶片 極速新體驗 | galaxy s21 fe 5g review s21fe5g")</f>
        <v>Samsung Galaxy S21 FE 5G | 輕旗艦 5G 雙卡雙待 120Hz + Galaxy 系列最快晶片 極速新體驗 | galaxy s21 fe 5g review s21fe5g</v>
      </c>
      <c r="E4739" s="82">
        <v>44571.0</v>
      </c>
      <c r="F4739" s="80">
        <v>174.0</v>
      </c>
      <c r="G4739" s="80" t="s">
        <v>63</v>
      </c>
      <c r="I4739" s="80" t="s">
        <v>63</v>
      </c>
      <c r="J4739" s="80">
        <v>384.0</v>
      </c>
      <c r="K4739" s="80">
        <v>0.570579494799405</v>
      </c>
      <c r="L4739" s="80" t="s">
        <v>64</v>
      </c>
    </row>
    <row r="4740">
      <c r="A4740" s="80" t="s">
        <v>2841</v>
      </c>
      <c r="B4740" s="81" t="str">
        <f>HYPERLINK("https://www.youtube.com/channel/UCBYGm7Iz6ck8jeno5AFiriw", "Seafront TV")</f>
        <v>Seafront TV</v>
      </c>
      <c r="C4740" s="80" t="s">
        <v>5178</v>
      </c>
      <c r="D4740" s="81" t="str">
        <f>HYPERLINK("https://youtube.com/watch?v=3JE9GCYTqcY", "【JUPAS面試OEA SLP貼士大放送！】港大理學士(言語及聽覺科學) HKU BSC(SPEECH) [JS6157] | #大學Major系列 Seafront TV🌊")</f>
        <v>【JUPAS面試OEA SLP貼士大放送！】港大理學士(言語及聽覺科學) HKU BSC(SPEECH) [JS6157] | #大學Major系列 Seafront TV🌊</v>
      </c>
      <c r="E4740" s="82">
        <v>44582.0</v>
      </c>
      <c r="F4740" s="80">
        <v>1063.0</v>
      </c>
      <c r="G4740" s="80" t="s">
        <v>63</v>
      </c>
      <c r="I4740" s="80" t="s">
        <v>63</v>
      </c>
      <c r="J4740" s="80">
        <v>3089.0</v>
      </c>
      <c r="K4740" s="80">
        <v>0.75990159901599</v>
      </c>
      <c r="L4740" s="80" t="s">
        <v>434</v>
      </c>
    </row>
    <row r="4741">
      <c r="A4741" s="80" t="s">
        <v>248</v>
      </c>
      <c r="B4741" s="81" t="str">
        <f>HYPERLINK("https://www.youtube.com/channel/UCUEJok-GiWaGlv5nIPwk-GQ", "Price.com.hk 香港格價網")</f>
        <v>Price.com.hk 香港格價網</v>
      </c>
      <c r="C4741" s="80" t="s">
        <v>5179</v>
      </c>
      <c r="D4741" s="81" t="str">
        <f>HYPERLINK("https://youtube.com/watch?v=5SEE5qFjj7s", "傳Galaxy S22系列2月初發佈．iPhone 14棄M字額改用打窿芒．LG無線熒幕登陸香港｜廣東話【Price Weekly #97 2022年1月 】")</f>
        <v>傳Galaxy S22系列2月初發佈．iPhone 14棄M字額改用打窿芒．LG無線熒幕登陸香港｜廣東話【Price Weekly #97 2022年1月 】</v>
      </c>
      <c r="E4741" s="82">
        <v>44576.0</v>
      </c>
      <c r="F4741" s="80">
        <v>422.0</v>
      </c>
      <c r="G4741" s="80" t="s">
        <v>63</v>
      </c>
      <c r="I4741" s="80" t="s">
        <v>63</v>
      </c>
      <c r="J4741" s="80">
        <v>1560.0</v>
      </c>
      <c r="K4741" s="80">
        <v>0.732394366197183</v>
      </c>
      <c r="L4741" s="80" t="s">
        <v>64</v>
      </c>
    </row>
    <row r="4742">
      <c r="A4742" s="80" t="s">
        <v>238</v>
      </c>
      <c r="B4742" s="81" t="str">
        <f>HYPERLINK("https://www.youtube.com/channel/UCSBkm4LwpgBmcA3MCtO8vqg", "Post76影音玩樂")</f>
        <v>Post76影音玩樂</v>
      </c>
      <c r="C4742" s="80" t="s">
        <v>5180</v>
      </c>
      <c r="D4742" s="81" t="str">
        <f>HYPERLINK("https://youtube.com/watch?v=5rGrhYRtneo", "索價 $26,800 的入耳式耳機 : Vision Ears EXT (Elysium EXTENDED) 靜電混合單元耳機 來自德國的發燒味道！ （附設cc字幕）【耳機評測】")</f>
        <v>索價 $26,800 的入耳式耳機 : Vision Ears EXT (Elysium EXTENDED) 靜電混合單元耳機 來自德國的發燒味道！ （附設cc字幕）【耳機評測】</v>
      </c>
      <c r="E4742" s="82">
        <v>44584.0</v>
      </c>
      <c r="F4742" s="80">
        <v>332.0</v>
      </c>
      <c r="G4742" s="80" t="s">
        <v>63</v>
      </c>
      <c r="H4742" s="80" t="s">
        <v>63</v>
      </c>
      <c r="I4742" s="80" t="s">
        <v>63</v>
      </c>
      <c r="J4742" s="80">
        <v>1276.0</v>
      </c>
      <c r="K4742" s="80">
        <v>0.837270341207349</v>
      </c>
      <c r="L4742" s="80" t="s">
        <v>240</v>
      </c>
    </row>
    <row r="4743">
      <c r="A4743" s="80" t="s">
        <v>248</v>
      </c>
      <c r="B4743" s="81" t="str">
        <f>HYPERLINK("https://www.youtube.com/channel/UCUEJok-GiWaGlv5nIPwk-GQ", "Price.com.hk 香港格價網")</f>
        <v>Price.com.hk 香港格價網</v>
      </c>
      <c r="C4743" s="80" t="s">
        <v>5181</v>
      </c>
      <c r="D4743" s="81" t="str">
        <f>HYPERLINK("https://youtube.com/watch?v=9W2JxgA3BX8", "Microsoft 5千億收購暴雪 破遊戲界紀錄．MediaTek首度展示Wi-Fi 7技術．Baby Shark突100億Views｜廣東話【Price Weekly #98 2022年1月 】")</f>
        <v>Microsoft 5千億收購暴雪 破遊戲界紀錄．MediaTek首度展示Wi-Fi 7技術．Baby Shark突100億Views｜廣東話【Price Weekly #98 2022年1月 】</v>
      </c>
      <c r="E4743" s="82">
        <v>44583.0</v>
      </c>
      <c r="F4743" s="80">
        <v>485.0</v>
      </c>
      <c r="G4743" s="80" t="s">
        <v>63</v>
      </c>
      <c r="I4743" s="80" t="s">
        <v>63</v>
      </c>
      <c r="J4743" s="80">
        <v>1729.0</v>
      </c>
      <c r="K4743" s="80">
        <v>0.699150828952689</v>
      </c>
      <c r="L4743" s="80" t="s">
        <v>64</v>
      </c>
    </row>
    <row r="4744">
      <c r="A4744" s="80" t="s">
        <v>217</v>
      </c>
      <c r="B4744" s="81" t="str">
        <f>HYPERLINK("https://www.youtube.com/channel/UCXKg0qPRz32bs5Z4mTGF3TQ", "Stormtrooper白兵")</f>
        <v>Stormtrooper白兵</v>
      </c>
      <c r="C4744" s="80" t="s">
        <v>5182</v>
      </c>
      <c r="D4744" s="81" t="str">
        <f>HYPERLINK("https://youtube.com/watch?v=A3C7oB_p6ZA", "[純劇場]《也許相愛很黃》｜Speed Dating 要注意D咩……？｜")</f>
        <v>[純劇場]《也許相愛很黃》｜Speed Dating 要注意D咩……？｜</v>
      </c>
      <c r="E4744" s="82">
        <v>44579.0</v>
      </c>
      <c r="F4744" s="80">
        <v>1043.0</v>
      </c>
      <c r="G4744" s="80" t="s">
        <v>63</v>
      </c>
      <c r="I4744" s="80" t="s">
        <v>63</v>
      </c>
      <c r="J4744" s="80">
        <v>3841.0</v>
      </c>
      <c r="K4744" s="80">
        <v>0.920440929786724</v>
      </c>
      <c r="L4744" s="80" t="s">
        <v>64</v>
      </c>
    </row>
    <row r="4745">
      <c r="A4745" s="80" t="s">
        <v>1390</v>
      </c>
      <c r="B4745" s="81" t="str">
        <f>HYPERLINK("https://www.youtube.com/channel/UCgwEJflQi4WnZ8PU0xdibZQ", "Kinson Ho")</f>
        <v>Kinson Ho</v>
      </c>
      <c r="C4745" s="80" t="s">
        <v>5183</v>
      </c>
      <c r="D4745" s="81" t="str">
        <f>HYPERLINK("https://youtube.com/watch?v=AqKpqNqNEpY", "K神任我行 - [CC字幕4K] 白虎山露營｜日落日出｜白腊灣｜鎖匙扣｜馬頭環｜企頭角頂｜行山遠足｜航拍")</f>
        <v>K神任我行 - [CC字幕4K] 白虎山露營｜日落日出｜白腊灣｜鎖匙扣｜馬頭環｜企頭角頂｜行山遠足｜航拍</v>
      </c>
      <c r="E4745" s="82">
        <v>44576.0</v>
      </c>
      <c r="F4745" s="80">
        <v>1887.0</v>
      </c>
      <c r="G4745" s="80" t="s">
        <v>63</v>
      </c>
      <c r="I4745" s="80" t="s">
        <v>63</v>
      </c>
      <c r="J4745" s="80">
        <v>1720.0</v>
      </c>
      <c r="K4745" s="80">
        <v>0.985108820160366</v>
      </c>
      <c r="L4745" s="80" t="s">
        <v>64</v>
      </c>
    </row>
    <row r="4746">
      <c r="A4746" s="80" t="s">
        <v>2753</v>
      </c>
      <c r="B4746" s="81" t="str">
        <f>HYPERLINK("https://www.youtube.com/channel/UCxRXNy5P6fLtHYpawxoiqJQ", "焦點視頻")</f>
        <v>焦點視頻</v>
      </c>
      <c r="C4746" s="80" t="s">
        <v>5184</v>
      </c>
      <c r="D4746" s="81" t="str">
        <f>HYPERLINK("https://youtube.com/watch?v=ArdnBi1PEr0", "(中字) 虎、蛇、猴、豬犯太歲如何化解？ 2022暴雨天災特別多？ 虎年開市日吉日建議！ #犯太歲 #開市日 #虎年運程 #香港運勢 #天災預測《天玄解密》 EP2 20220117")</f>
        <v>(中字) 虎、蛇、猴、豬犯太歲如何化解？ 2022暴雨天災特別多？ 虎年開市日吉日建議！ #犯太歲 #開市日 #虎年運程 #香港運勢 #天災預測《天玄解密》 EP2 20220117</v>
      </c>
      <c r="E4746" s="82">
        <v>44577.0</v>
      </c>
      <c r="F4746" s="80">
        <v>1753.0</v>
      </c>
      <c r="G4746" s="80" t="s">
        <v>63</v>
      </c>
      <c r="I4746" s="80" t="s">
        <v>63</v>
      </c>
      <c r="J4746" s="80">
        <v>7567.0</v>
      </c>
      <c r="K4746" s="80">
        <v>0.994741685289864</v>
      </c>
      <c r="L4746" s="80" t="s">
        <v>5185</v>
      </c>
    </row>
    <row r="4747">
      <c r="A4747" s="80" t="s">
        <v>124</v>
      </c>
      <c r="B4747" s="81" t="str">
        <f>HYPERLINK("https://www.youtube.com/channel/UCg0vuSE0fBF_NvodyYhMcWg", "Wallace Studio HK")</f>
        <v>Wallace Studio HK</v>
      </c>
      <c r="C4747" s="80" t="s">
        <v>5186</v>
      </c>
      <c r="D4747" s="81" t="str">
        <f>HYPERLINK("https://youtube.com/watch?v=B2GsKJF71c4", "CES 2022 電競電腦最完整資訊! (Intel, AMD, Nvidia, ASUS ROG, Lenovo, MSI, Alienware, Razer, Acer, Gigabyte)")</f>
        <v>CES 2022 電競電腦最完整資訊! (Intel, AMD, Nvidia, ASUS ROG, Lenovo, MSI, Alienware, Razer, Acer, Gigabyte)</v>
      </c>
      <c r="E4747" s="82">
        <v>44581.0</v>
      </c>
      <c r="F4747" s="80">
        <v>1206.0</v>
      </c>
      <c r="G4747" s="80" t="s">
        <v>63</v>
      </c>
      <c r="I4747" s="80" t="s">
        <v>63</v>
      </c>
      <c r="J4747" s="80">
        <v>4150.0</v>
      </c>
      <c r="K4747" s="80">
        <v>0.690515806988352</v>
      </c>
      <c r="L4747" s="80" t="s">
        <v>64</v>
      </c>
    </row>
    <row r="4748">
      <c r="A4748" s="80" t="s">
        <v>593</v>
      </c>
      <c r="B4748" s="81" t="str">
        <f>HYPERLINK("https://www.youtube.com/channel/UCsSO44XVYhs_fQU2zDR82CA", "餓底男女")</f>
        <v>餓底男女</v>
      </c>
      <c r="C4748" s="80" t="s">
        <v>5187</v>
      </c>
      <c r="D4748" s="81" t="str">
        <f>HYPERLINK("https://youtube.com/watch?v=Cv1631DzOF4", "[新餐廳試伏🚁] 超人氣! 大大件醉雞米線🐔 芫茜山☘  🍜米線關注組 | 鳳鳴居 | 餓遊･香港 #86 [4K]")</f>
        <v>[新餐廳試伏🚁] 超人氣! 大大件醉雞米線🐔 芫茜山☘  🍜米線關注組 | 鳳鳴居 | 餓遊･香港 #86 [4K]</v>
      </c>
      <c r="E4748" s="82">
        <v>44572.0</v>
      </c>
      <c r="F4748" s="80">
        <v>217.0</v>
      </c>
      <c r="G4748" s="80" t="s">
        <v>63</v>
      </c>
      <c r="I4748" s="80" t="s">
        <v>63</v>
      </c>
      <c r="J4748" s="80">
        <v>892.0</v>
      </c>
      <c r="K4748" s="80">
        <v>0.992213570634037</v>
      </c>
      <c r="L4748" s="80" t="s">
        <v>102</v>
      </c>
    </row>
    <row r="4749">
      <c r="A4749" s="80" t="s">
        <v>61</v>
      </c>
      <c r="B4749" s="81" t="str">
        <f>HYPERLINK("https://www.youtube.com/channel/UCJ4XVrJuqKHbc9yF9oUFseg", "MEeeep More")</f>
        <v>MEeeep More</v>
      </c>
      <c r="C4749" s="80" t="s">
        <v>5188</v>
      </c>
      <c r="D4749" s="81" t="str">
        <f>HYPERLINK("https://youtube.com/watch?v=DcZ6nt9FPn0", "Honor Magic V | 首部 Snapdragon 8 Gen 1 摺屏手機 2022摺屏手機最強指標 | 榮耀magic v honor magic v 香港")</f>
        <v>Honor Magic V | 首部 Snapdragon 8 Gen 1 摺屏手機 2022摺屏手機最強指標 | 榮耀magic v honor magic v 香港</v>
      </c>
      <c r="E4749" s="82">
        <v>44572.0</v>
      </c>
      <c r="F4749" s="80">
        <v>192.0</v>
      </c>
      <c r="G4749" s="80" t="s">
        <v>63</v>
      </c>
      <c r="I4749" s="80" t="s">
        <v>63</v>
      </c>
      <c r="J4749" s="80">
        <v>459.0</v>
      </c>
      <c r="K4749" s="80">
        <v>0.663294797687861</v>
      </c>
      <c r="L4749" s="80" t="s">
        <v>64</v>
      </c>
    </row>
    <row r="4750">
      <c r="A4750" s="80" t="s">
        <v>74</v>
      </c>
      <c r="B4750" s="81" t="str">
        <f>HYPERLINK("https://www.youtube.com/channel/UCO_5XP-qd-udNxBlzzSzgvw", "Handline Fishing")</f>
        <v>Handline Fishing</v>
      </c>
      <c r="C4750" s="80" t="s">
        <v>5189</v>
      </c>
      <c r="D4750" s="81" t="str">
        <f>HYPERLINK("https://youtube.com/watch?v=ESfVwxZ9w-w", "#269 為新手解毒開始?! | 香港釣魚 | 艇釣 | 維港東 {粵語旁白+中英文字幕}")</f>
        <v>#269 為新手解毒開始?! | 香港釣魚 | 艇釣 | 維港東 {粵語旁白+中英文字幕}</v>
      </c>
      <c r="E4750" s="82">
        <v>44582.0</v>
      </c>
      <c r="F4750" s="80">
        <v>647.0</v>
      </c>
      <c r="G4750" s="80" t="s">
        <v>63</v>
      </c>
      <c r="H4750" s="80" t="s">
        <v>63</v>
      </c>
      <c r="I4750" s="80" t="s">
        <v>63</v>
      </c>
      <c r="J4750" s="80">
        <v>430.0</v>
      </c>
      <c r="K4750" s="80">
        <v>0.949227373068432</v>
      </c>
      <c r="L4750" s="80" t="s">
        <v>88</v>
      </c>
    </row>
    <row r="4751">
      <c r="A4751" s="80" t="s">
        <v>1670</v>
      </c>
      <c r="B4751" s="81" t="str">
        <f>HYPERLINK("https://www.youtube.com/channel/UC-PIt5m-WOg8UVBkt2RnN0g", "阿JACK睇樓團")</f>
        <v>阿JACK睇樓團</v>
      </c>
      <c r="C4751" s="80" t="s">
        <v>5190</v>
      </c>
      <c r="D4751" s="81" t="str">
        <f>HYPERLINK("https://youtube.com/watch?v=G6vcNaVvQp4", "又有筍野 呎價唔過萬 連車位仲要靚裝修😍 ((開字幕))新鴻基樓 低密度住宅 可九成按揭")</f>
        <v>又有筍野 呎價唔過萬 連車位仲要靚裝修😍 ((開字幕))新鴻基樓 低密度住宅 可九成按揭</v>
      </c>
      <c r="E4751" s="82">
        <v>44579.0</v>
      </c>
      <c r="F4751" s="80">
        <v>436.0</v>
      </c>
      <c r="G4751" s="80" t="s">
        <v>63</v>
      </c>
      <c r="I4751" s="80" t="s">
        <v>63</v>
      </c>
      <c r="J4751" s="80">
        <v>1610.0</v>
      </c>
      <c r="K4751" s="80">
        <v>0.997521685254027</v>
      </c>
      <c r="L4751" s="80" t="s">
        <v>64</v>
      </c>
    </row>
    <row r="4752">
      <c r="A4752" s="80" t="s">
        <v>74</v>
      </c>
      <c r="B4752" s="81" t="str">
        <f>HYPERLINK("https://www.youtube.com/channel/UCO_5XP-qd-udNxBlzzSzgvw", "Handline Fishing")</f>
        <v>Handline Fishing</v>
      </c>
      <c r="C4752" s="80" t="s">
        <v>5191</v>
      </c>
      <c r="D4752" s="81" t="str">
        <f>HYPERLINK("https://youtube.com/watch?v=HhpOs1sgWLE", "#268 呢班傻佬上法國號 | 香港釣魚 | 艇釣 | 機場頭 {粵語旁白+中英文字幕}")</f>
        <v>#268 呢班傻佬上法國號 | 香港釣魚 | 艇釣 | 機場頭 {粵語旁白+中英文字幕}</v>
      </c>
      <c r="E4752" s="82">
        <v>44579.0</v>
      </c>
      <c r="F4752" s="80">
        <v>480.0</v>
      </c>
      <c r="G4752" s="80" t="s">
        <v>63</v>
      </c>
      <c r="H4752" s="80" t="s">
        <v>63</v>
      </c>
      <c r="I4752" s="80" t="s">
        <v>63</v>
      </c>
      <c r="J4752" s="80">
        <v>436.0</v>
      </c>
      <c r="K4752" s="80">
        <v>0.958241758241758</v>
      </c>
      <c r="L4752" s="80" t="s">
        <v>88</v>
      </c>
    </row>
    <row r="4753">
      <c r="A4753" s="80" t="s">
        <v>2041</v>
      </c>
      <c r="B4753" s="81" t="str">
        <f>HYPERLINK("https://www.youtube.com/channel/UCO6pB-ZN4XJ6MVkibvuEe0A", "SingSingTracker 星昇財經指標")</f>
        <v>SingSingTracker 星昇財經指標</v>
      </c>
      <c r="C4753" s="80" t="s">
        <v>5192</v>
      </c>
      <c r="D4753" s="81" t="str">
        <f>HYPERLINK("https://youtube.com/watch?v=HqAhwG9g05s", "【投資app：長橋證券大起底】  開戶必看 真係終生免佣？實時出入金？｜股票app推介｜新手投資app｜劵商比較｜迎新獎賞點先攞到｜一個月輕鬆穩賺過千蚊 #Longbridge #長橋 #美股開戶")</f>
        <v>【投資app：長橋證券大起底】  開戶必看 真係終生免佣？實時出入金？｜股票app推介｜新手投資app｜劵商比較｜迎新獎賞點先攞到｜一個月輕鬆穩賺過千蚊 #Longbridge #長橋 #美股開戶</v>
      </c>
      <c r="E4753" s="82">
        <v>44582.0</v>
      </c>
      <c r="F4753" s="80">
        <v>475.0</v>
      </c>
      <c r="G4753" s="80" t="s">
        <v>63</v>
      </c>
      <c r="I4753" s="80" t="s">
        <v>63</v>
      </c>
      <c r="J4753" s="80">
        <v>1591.0</v>
      </c>
      <c r="K4753" s="80">
        <v>0.941977501480165</v>
      </c>
      <c r="L4753" s="80" t="s">
        <v>64</v>
      </c>
    </row>
    <row r="4754">
      <c r="A4754" s="80" t="s">
        <v>108</v>
      </c>
      <c r="B4754" s="81" t="str">
        <f>HYPERLINK("https://www.youtube.com/channel/UCZL6QN6Xs-ZrKY3y6Pv6Emg", "廢青 - 日賺3000")</f>
        <v>廢青 - 日賺3000</v>
      </c>
      <c r="C4754" s="80" t="s">
        <v>5193</v>
      </c>
      <c r="D4754" s="81" t="str">
        <f>HYPERLINK("https://youtube.com/watch?v=ITFcyfmfeik", "Wowwww! 🧧 新年 ! 傻的媽瘋狂優惠 🎁|【廢青 日賺3000】【點CC看中文字幕】")</f>
        <v>Wowwww! 🧧 新年 ! 傻的媽瘋狂優惠 🎁|【廢青 日賺3000】【點CC看中文字幕】</v>
      </c>
      <c r="E4754" s="82">
        <v>44576.0</v>
      </c>
      <c r="F4754" s="80">
        <v>285.0</v>
      </c>
      <c r="G4754" s="80" t="s">
        <v>63</v>
      </c>
      <c r="I4754" s="80" t="s">
        <v>63</v>
      </c>
      <c r="J4754" s="80">
        <v>1347.0</v>
      </c>
      <c r="K4754" s="80">
        <v>0.891462607544672</v>
      </c>
      <c r="L4754" s="80" t="s">
        <v>64</v>
      </c>
    </row>
    <row r="4755">
      <c r="A4755" s="80" t="s">
        <v>98</v>
      </c>
      <c r="B4755" s="81" t="str">
        <f>HYPERLINK("https://www.youtube.com/channel/UCrquuQB6v1Ued2xyRKZreGQ", "Stephen Leung ")</f>
        <v>Stephen Leung </v>
      </c>
      <c r="C4755" s="80" t="s">
        <v>5194</v>
      </c>
      <c r="D4755" s="81" t="str">
        <f>HYPERLINK("https://youtube.com/watch?v=IXcHcQvi8h4", "【過年行花市】香港旺角花墟行情🌸 本地花農減價止蝕!!! 低價入手出發前必睇💰 蘭花 水仙 桃花 百合 桔仔 最新年花品種 一齊行花市 Hong Kong Flower Market  | 吃喝玩樂")</f>
        <v>【過年行花市】香港旺角花墟行情🌸 本地花農減價止蝕!!! 低價入手出發前必睇💰 蘭花 水仙 桃花 百合 桔仔 最新年花品種 一齊行花市 Hong Kong Flower Market  | 吃喝玩樂</v>
      </c>
      <c r="E4755" s="82">
        <v>44582.0</v>
      </c>
      <c r="F4755" s="80">
        <v>630.0</v>
      </c>
      <c r="G4755" s="80" t="s">
        <v>63</v>
      </c>
      <c r="I4755" s="80" t="s">
        <v>63</v>
      </c>
      <c r="J4755" s="80">
        <v>1827.0</v>
      </c>
      <c r="K4755" s="80">
        <v>0.980676328502415</v>
      </c>
      <c r="L4755" s="80" t="s">
        <v>64</v>
      </c>
    </row>
    <row r="4756">
      <c r="A4756" s="80" t="s">
        <v>593</v>
      </c>
      <c r="B4756" s="81" t="str">
        <f>HYPERLINK("https://www.youtube.com/channel/UCsSO44XVYhs_fQU2zDR82CA", "餓底男女")</f>
        <v>餓底男女</v>
      </c>
      <c r="C4756" s="80" t="s">
        <v>5195</v>
      </c>
      <c r="D4756" s="81" t="str">
        <f>HYPERLINK("https://youtube.com/watch?v=J6ISqwyQrj0", "[新餐廳試伏🚁] Chill食日系車仔麵 | 何車車仔麵 | 餓遊･香港 #85 [4K]")</f>
        <v>[新餐廳試伏🚁] Chill食日系車仔麵 | 何車車仔麵 | 餓遊･香港 #85 [4K]</v>
      </c>
      <c r="E4756" s="82">
        <v>44570.0</v>
      </c>
      <c r="F4756" s="80">
        <v>269.0</v>
      </c>
      <c r="G4756" s="80" t="s">
        <v>63</v>
      </c>
      <c r="I4756" s="80" t="s">
        <v>63</v>
      </c>
      <c r="J4756" s="80">
        <v>907.0</v>
      </c>
      <c r="K4756" s="80">
        <v>0.990174672489083</v>
      </c>
      <c r="L4756" s="80" t="s">
        <v>102</v>
      </c>
    </row>
    <row r="4757">
      <c r="A4757" s="80" t="s">
        <v>2829</v>
      </c>
      <c r="B4757" s="81" t="str">
        <f>HYPERLINK("https://www.youtube.com/channel/UC7GnES6AEQlDzaP04UqtyjA", "SOLID IDEA")</f>
        <v>SOLID IDEA</v>
      </c>
      <c r="C4757" s="80" t="s">
        <v>5196</v>
      </c>
      <c r="D4757" s="81" t="str">
        <f>HYPERLINK("https://youtube.com/watch?v=JR3pB6zjLhM", "[#設計概念] #山麗苑 型格居屋打造！ | 室內設計 | 空間擺位 | SOLID IDEA | (CC中文字幕)")</f>
        <v>[#設計概念] #山麗苑 型格居屋打造！ | 室內設計 | 空間擺位 | SOLID IDEA | (CC中文字幕)</v>
      </c>
      <c r="E4757" s="82">
        <v>44582.0</v>
      </c>
      <c r="F4757" s="80">
        <v>223.0</v>
      </c>
      <c r="G4757" s="80" t="s">
        <v>63</v>
      </c>
      <c r="I4757" s="80" t="s">
        <v>63</v>
      </c>
      <c r="J4757" s="80">
        <v>535.0</v>
      </c>
      <c r="K4757" s="80">
        <v>0.9402460456942</v>
      </c>
      <c r="L4757" s="80" t="s">
        <v>64</v>
      </c>
    </row>
    <row r="4758">
      <c r="A4758" s="80" t="s">
        <v>98</v>
      </c>
      <c r="B4758" s="81" t="str">
        <f>HYPERLINK("https://www.youtube.com/channel/UCrquuQB6v1Ued2xyRKZreGQ", "Stephen Leung ")</f>
        <v>Stephen Leung </v>
      </c>
      <c r="C4758" s="80" t="s">
        <v>5197</v>
      </c>
      <c r="D4758" s="81" t="str">
        <f>HYPERLINK("https://youtube.com/watch?v=JsEK7q5ny0Q", "【過年辦年貨】香港海味街貨品行情價格 名貴海味 清貨大平賣 臘腸 花膠 乾瑤柱 日本花菇 金蠔 蝦乾 髮菜 蠔豉 巨大海參 香港海味集散地 | 吃喝玩樂")</f>
        <v>【過年辦年貨】香港海味街貨品行情價格 名貴海味 清貨大平賣 臘腸 花膠 乾瑤柱 日本花菇 金蠔 蝦乾 髮菜 蠔豉 巨大海參 香港海味集散地 | 吃喝玩樂</v>
      </c>
      <c r="E4758" s="82">
        <v>44578.0</v>
      </c>
      <c r="F4758" s="80">
        <v>627.0</v>
      </c>
      <c r="G4758" s="80" t="s">
        <v>63</v>
      </c>
      <c r="I4758" s="80" t="s">
        <v>63</v>
      </c>
      <c r="J4758" s="80">
        <v>1955.0</v>
      </c>
      <c r="K4758" s="80">
        <v>0.990374873353596</v>
      </c>
      <c r="L4758" s="80" t="s">
        <v>64</v>
      </c>
    </row>
    <row r="4759">
      <c r="A4759" s="80" t="s">
        <v>238</v>
      </c>
      <c r="B4759" s="81" t="str">
        <f>HYPERLINK("https://www.youtube.com/channel/UCSBkm4LwpgBmcA3MCtO8vqg", "Post76影音玩樂")</f>
        <v>Post76影音玩樂</v>
      </c>
      <c r="C4759" s="80" t="s">
        <v>5198</v>
      </c>
      <c r="D4759" s="81" t="str">
        <f>HYPERLINK("https://youtube.com/watch?v=MatxIdZrLcs", "Austrian Audio Hi-X65 專業級開放式耳機 : 44mm Hi-X技術單元  展現奧地利製造開揚聲音！（附設cc字幕）【耳機評測】")</f>
        <v>Austrian Audio Hi-X65 專業級開放式耳機 : 44mm Hi-X技術單元  展現奧地利製造開揚聲音！（附設cc字幕）【耳機評測】</v>
      </c>
      <c r="E4759" s="82">
        <v>44581.0</v>
      </c>
      <c r="F4759" s="80">
        <v>941.0</v>
      </c>
      <c r="G4759" s="80" t="s">
        <v>63</v>
      </c>
      <c r="H4759" s="80" t="s">
        <v>63</v>
      </c>
      <c r="I4759" s="80" t="s">
        <v>63</v>
      </c>
      <c r="J4759" s="80">
        <v>3560.0</v>
      </c>
      <c r="K4759" s="80">
        <v>0.902408111533586</v>
      </c>
      <c r="L4759" s="80" t="s">
        <v>240</v>
      </c>
    </row>
    <row r="4760">
      <c r="A4760" s="80" t="s">
        <v>2898</v>
      </c>
      <c r="B4760" s="81" t="str">
        <f>HYPERLINK("https://www.youtube.com/channel/UCy5bjMXbFPglSBNDXfivtOA", "消費者委員會")</f>
        <v>消費者委員會</v>
      </c>
      <c r="C4760" s="80" t="s">
        <v>5199</v>
      </c>
      <c r="D4760" s="81" t="str">
        <f>HYPERLINK("https://youtube.com/watch?v=NxoyHEg_CSo", "【廖碧兒 X 肉丸基因營養全面睇】")</f>
        <v>【廖碧兒 X 肉丸基因營養全面睇】</v>
      </c>
      <c r="E4760" s="82">
        <v>44581.0</v>
      </c>
      <c r="F4760" s="80">
        <v>209.0</v>
      </c>
      <c r="G4760" s="80" t="s">
        <v>63</v>
      </c>
      <c r="I4760" s="80" t="s">
        <v>63</v>
      </c>
      <c r="J4760" s="80">
        <v>759.0</v>
      </c>
      <c r="K4760" s="80">
        <v>0.983160621761658</v>
      </c>
      <c r="L4760" s="80" t="s">
        <v>102</v>
      </c>
    </row>
    <row r="4761">
      <c r="A4761" s="80" t="s">
        <v>293</v>
      </c>
      <c r="B4761" s="81" t="str">
        <f>HYPERLINK("https://www.youtube.com/channel/UCXRcbXqjORdIvl63I7MtOLQ", "趁熱 Kerry 's kitchen")</f>
        <v>趁熱 Kerry 's kitchen</v>
      </c>
      <c r="C4761" s="80" t="s">
        <v>5200</v>
      </c>
      <c r="D4761" s="81" t="str">
        <f>HYPERLINK("https://youtube.com/watch?v=O99Y2V7guLo", "羅漢竹笙上素/其實好簡單/調味 竅門/過年菜/簡單 家做/新手 入門/廣東話/中字")</f>
        <v>羅漢竹笙上素/其實好簡單/調味 竅門/過年菜/簡單 家做/新手 入門/廣東話/中字</v>
      </c>
      <c r="E4761" s="82">
        <v>44582.0</v>
      </c>
      <c r="F4761" s="80">
        <v>597.0</v>
      </c>
      <c r="G4761" s="80" t="s">
        <v>63</v>
      </c>
      <c r="I4761" s="80" t="s">
        <v>63</v>
      </c>
      <c r="J4761" s="80">
        <v>788.0</v>
      </c>
      <c r="K4761" s="80">
        <v>0.978881987577639</v>
      </c>
      <c r="L4761" s="80" t="s">
        <v>64</v>
      </c>
    </row>
    <row r="4762">
      <c r="A4762" s="80" t="s">
        <v>238</v>
      </c>
      <c r="B4762" s="81" t="str">
        <f>HYPERLINK("https://www.youtube.com/channel/UCSBkm4LwpgBmcA3MCtO8vqg", "Post76影音玩樂")</f>
        <v>Post76影音玩樂</v>
      </c>
      <c r="C4762" s="80" t="s">
        <v>5201</v>
      </c>
      <c r="D4762" s="81" t="str">
        <f>HYPERLINK("https://youtube.com/watch?v=QA3w6Y1uHzg", "新年買咩新玩具！？推介四件入門『睇戲+聽歌』玩具！( ft. B&amp;W PI7 | B&amp;W PI5 | Polk Audio Signa S4 Soundbar | Denon Home 150喇叭 )")</f>
        <v>新年買咩新玩具！？推介四件入門『睇戲+聽歌』玩具！( ft. B&amp;W PI7 | B&amp;W PI5 | Polk Audio Signa S4 Soundbar | Denon Home 150喇叭 )</v>
      </c>
      <c r="E4762" s="82">
        <v>44582.0</v>
      </c>
      <c r="F4762" s="80">
        <v>375.0</v>
      </c>
      <c r="G4762" s="80" t="s">
        <v>63</v>
      </c>
      <c r="H4762" s="80" t="s">
        <v>63</v>
      </c>
      <c r="I4762" s="80" t="s">
        <v>63</v>
      </c>
      <c r="J4762" s="80">
        <v>1469.0</v>
      </c>
      <c r="K4762" s="80">
        <v>0.791487068965517</v>
      </c>
      <c r="L4762" s="80" t="s">
        <v>240</v>
      </c>
    </row>
    <row r="4763">
      <c r="A4763" s="80" t="s">
        <v>1390</v>
      </c>
      <c r="B4763" s="81" t="str">
        <f>HYPERLINK("https://www.youtube.com/channel/UCgwEJflQi4WnZ8PU0xdibZQ", "Kinson Ho")</f>
        <v>Kinson Ho</v>
      </c>
      <c r="C4763" s="80" t="s">
        <v>5202</v>
      </c>
      <c r="D4763" s="81" t="str">
        <f>HYPERLINK("https://youtube.com/watch?v=RD-egd3AtB8", "K神任我行 -  [CC字幕4K] 白石扒獨木舟過燈洲｜海馬島｜航拍")</f>
        <v>K神任我行 -  [CC字幕4K] 白石扒獨木舟過燈洲｜海馬島｜航拍</v>
      </c>
      <c r="E4763" s="82">
        <v>44584.0</v>
      </c>
      <c r="F4763" s="80">
        <v>356.0</v>
      </c>
      <c r="G4763" s="80" t="s">
        <v>63</v>
      </c>
      <c r="I4763" s="80" t="s">
        <v>63</v>
      </c>
      <c r="J4763" s="80">
        <v>284.0</v>
      </c>
      <c r="K4763" s="80">
        <v>0.959459459459459</v>
      </c>
      <c r="L4763" s="80" t="s">
        <v>64</v>
      </c>
    </row>
    <row r="4764">
      <c r="A4764" s="80" t="s">
        <v>61</v>
      </c>
      <c r="B4764" s="81" t="str">
        <f t="shared" ref="B4764:B4765" si="263">HYPERLINK("https://www.youtube.com/channel/UCJ4XVrJuqKHbc9yF9oUFseg", "MEeeep More")</f>
        <v>MEeeep More</v>
      </c>
      <c r="C4764" s="80" t="s">
        <v>5203</v>
      </c>
      <c r="D4764" s="81" t="str">
        <f>HYPERLINK("https://youtube.com/watch?v=Tn2frPdVIa8", "Sudio T2 ANC 主動降噪 真無線藍牙耳機 開箱評測 | 快充降噪全面升級 全日聽歌聽電話無難度 | sudio t2 評價 anc 耳機 推薦")</f>
        <v>Sudio T2 ANC 主動降噪 真無線藍牙耳機 開箱評測 | 快充降噪全面升級 全日聽歌聽電話無難度 | sudio t2 評價 anc 耳機 推薦</v>
      </c>
      <c r="E4764" s="82">
        <v>44580.0</v>
      </c>
      <c r="F4764" s="80">
        <v>168.0</v>
      </c>
      <c r="G4764" s="80" t="s">
        <v>63</v>
      </c>
      <c r="I4764" s="80" t="s">
        <v>63</v>
      </c>
      <c r="J4764" s="80">
        <v>503.0</v>
      </c>
      <c r="K4764" s="80">
        <v>0.807383627608346</v>
      </c>
      <c r="L4764" s="80" t="s">
        <v>64</v>
      </c>
    </row>
    <row r="4765">
      <c r="A4765" s="80" t="s">
        <v>61</v>
      </c>
      <c r="B4765" s="81" t="str">
        <f t="shared" si="263"/>
        <v>MEeeep More</v>
      </c>
      <c r="C4765" s="80" t="s">
        <v>5204</v>
      </c>
      <c r="D4765" s="81" t="str">
        <f>HYPERLINK("https://youtube.com/watch?v=Tv7itP8sVYs", "小米智能家居 小米空氣淨化器 4 Pro + 小米掃拖機器人 2 Pro 開箱評測 | 防疫措施小幫手 家居清潔好輕鬆 | 消毒用品 空氣淨化器 掃地機器人小米 Mi Smart Home")</f>
        <v>小米智能家居 小米空氣淨化器 4 Pro + 小米掃拖機器人 2 Pro 開箱評測 | 防疫措施小幫手 家居清潔好輕鬆 | 消毒用品 空氣淨化器 掃地機器人小米 Mi Smart Home</v>
      </c>
      <c r="E4765" s="82">
        <v>44578.0</v>
      </c>
      <c r="F4765" s="80">
        <v>225.0</v>
      </c>
      <c r="G4765" s="80" t="s">
        <v>63</v>
      </c>
      <c r="I4765" s="80" t="s">
        <v>63</v>
      </c>
      <c r="J4765" s="80">
        <v>747.0</v>
      </c>
      <c r="K4765" s="80">
        <v>0.855670103092783</v>
      </c>
      <c r="L4765" s="80" t="s">
        <v>64</v>
      </c>
    </row>
    <row r="4766">
      <c r="A4766" s="80" t="s">
        <v>140</v>
      </c>
      <c r="B4766" s="81" t="str">
        <f>HYPERLINK("https://www.youtube.com/channel/UCHK0CZf9HEXs42qIO1GUouA", "TechiCardia")</f>
        <v>TechiCardia</v>
      </c>
      <c r="C4766" s="80" t="s">
        <v>5205</v>
      </c>
      <c r="D4766" s="81" t="str">
        <f>HYPERLINK("https://youtube.com/watch?v=VkwRAGpsG4g", "超細部「廠機」裝到枱機 RTX 3060 Ti？ | IronClad Corvette 詳細開箱試用、4K遊戲、效能測試！| 兩年後回到起點！ //4K 【TechiCardia】[CC廣東話字幕]")</f>
        <v>超細部「廠機」裝到枱機 RTX 3060 Ti？ | IronClad Corvette 詳細開箱試用、4K遊戲、效能測試！| 兩年後回到起點！ //4K 【TechiCardia】[CC廣東話字幕]</v>
      </c>
      <c r="E4766" s="82">
        <v>44583.0</v>
      </c>
      <c r="F4766" s="80">
        <v>1042.0</v>
      </c>
      <c r="G4766" s="80" t="s">
        <v>63</v>
      </c>
      <c r="I4766" s="80" t="s">
        <v>63</v>
      </c>
      <c r="J4766" s="80">
        <v>3272.0</v>
      </c>
      <c r="K4766" s="80">
        <v>0.676872155564749</v>
      </c>
      <c r="L4766" s="80" t="s">
        <v>102</v>
      </c>
    </row>
    <row r="4767">
      <c r="A4767" s="80" t="s">
        <v>3048</v>
      </c>
      <c r="B4767" s="81" t="str">
        <f>HYPERLINK("https://www.youtube.com/channel/UCHiP6GctzJdIkYP20_9k-zg", "英倫。美景 about.the.england")</f>
        <v>英倫。美景 about.the.england</v>
      </c>
      <c r="C4767" s="80" t="s">
        <v>5206</v>
      </c>
      <c r="D4767" s="81" t="str">
        <f>HYPERLINK("https://youtube.com/watch?v=ZEoqXt5Ex7s", "英國Harry Potter Fans必去【哈利波特9¾月台商店】🥰&amp;【大英博物館British Museum part 2】😎")</f>
        <v>英國Harry Potter Fans必去【哈利波特9¾月台商店】🥰&amp;【大英博物館British Museum part 2】😎</v>
      </c>
      <c r="E4767" s="82">
        <v>44578.0</v>
      </c>
      <c r="F4767" s="80">
        <v>568.0</v>
      </c>
      <c r="G4767" s="80" t="s">
        <v>63</v>
      </c>
      <c r="I4767" s="80" t="s">
        <v>63</v>
      </c>
      <c r="J4767" s="80">
        <v>1355.0</v>
      </c>
      <c r="K4767" s="80">
        <v>0.85759493670886</v>
      </c>
      <c r="L4767" s="80" t="s">
        <v>64</v>
      </c>
    </row>
    <row r="4768">
      <c r="A4768" s="80" t="s">
        <v>217</v>
      </c>
      <c r="B4768" s="81" t="str">
        <f>HYPERLINK("https://www.youtube.com/channel/UCXKg0qPRz32bs5Z4mTGF3TQ", "Stormtrooper白兵")</f>
        <v>Stormtrooper白兵</v>
      </c>
      <c r="C4768" s="80" t="s">
        <v>5207</v>
      </c>
      <c r="D4768" s="81" t="str">
        <f>HYPERLINK("https://youtube.com/watch?v=ZFYo5xziG_U", "[懶人包]暉瑞大解構－全球最大藥廠如何操控政府、媒體｜意外發明壯陽藥造福男士！｜他們不見得光的事｜如何不人道、造假、收買、滅聲｜粵語中字")</f>
        <v>[懶人包]暉瑞大解構－全球最大藥廠如何操控政府、媒體｜意外發明壯陽藥造福男士！｜他們不見得光的事｜如何不人道、造假、收買、滅聲｜粵語中字</v>
      </c>
      <c r="E4768" s="82">
        <v>44581.0</v>
      </c>
      <c r="F4768" s="80">
        <v>935.0</v>
      </c>
      <c r="G4768" s="80" t="s">
        <v>63</v>
      </c>
      <c r="I4768" s="80" t="s">
        <v>63</v>
      </c>
      <c r="J4768" s="80">
        <v>3211.0</v>
      </c>
      <c r="K4768" s="80">
        <v>0.71562291063071</v>
      </c>
      <c r="L4768" s="80" t="s">
        <v>64</v>
      </c>
    </row>
    <row r="4769">
      <c r="A4769" s="80" t="s">
        <v>293</v>
      </c>
      <c r="B4769" s="81" t="str">
        <f>HYPERLINK("https://www.youtube.com/channel/UCXRcbXqjORdIvl63I7MtOLQ", "趁熱 Kerry 's kitchen")</f>
        <v>趁熱 Kerry 's kitchen</v>
      </c>
      <c r="C4769" s="80" t="s">
        <v>5208</v>
      </c>
      <c r="D4769" s="81" t="str">
        <f>HYPERLINK("https://youtube.com/watch?v=_KjuKr81Hv0", "咕嚕 肉/生炒 排骨/堅脆 竅門/重點 講解/酒樓糖醋汁秘方公開/在家做好簡單/新手 入門/廣東話/中字")</f>
        <v>咕嚕 肉/生炒 排骨/堅脆 竅門/重點 講解/酒樓糖醋汁秘方公開/在家做好簡單/新手 入門/廣東話/中字</v>
      </c>
      <c r="E4769" s="82">
        <v>44578.0</v>
      </c>
      <c r="F4769" s="80">
        <v>680.0</v>
      </c>
      <c r="G4769" s="80" t="s">
        <v>63</v>
      </c>
      <c r="I4769" s="80" t="s">
        <v>63</v>
      </c>
      <c r="J4769" s="80">
        <v>701.0</v>
      </c>
      <c r="K4769" s="80">
        <v>0.960273972602739</v>
      </c>
      <c r="L4769" s="80" t="s">
        <v>64</v>
      </c>
    </row>
    <row r="4770">
      <c r="A4770" s="80" t="s">
        <v>414</v>
      </c>
      <c r="B4770" s="81" t="str">
        <f>HYPERLINK("https://www.youtube.com/channel/UCCVn38j5xSJZN-II-TeyomA", "Uncle Calvin Cantonese Class")</f>
        <v>Uncle Calvin Cantonese Class</v>
      </c>
      <c r="C4770" s="80" t="s">
        <v>5209</v>
      </c>
      <c r="D4770" s="81" t="str">
        <f>HYPERLINK("https://youtube.com/watch?v=bliR1ixv9cc", "【15種常見水果】15 FRUITS in Cantonese I 幼兒認字 for Toddlers I 廣東話教室 I 字幕/Subtitles")</f>
        <v>【15種常見水果】15 FRUITS in Cantonese I 幼兒認字 for Toddlers I 廣東話教室 I 字幕/Subtitles</v>
      </c>
      <c r="E4770" s="82">
        <v>44582.0</v>
      </c>
      <c r="F4770" s="80">
        <v>392.0</v>
      </c>
      <c r="G4770" s="80" t="s">
        <v>63</v>
      </c>
      <c r="H4770" s="80" t="s">
        <v>63</v>
      </c>
      <c r="I4770" s="80" t="s">
        <v>63</v>
      </c>
      <c r="J4770" s="80">
        <v>606.0</v>
      </c>
      <c r="K4770" s="80">
        <v>0.686296715741789</v>
      </c>
      <c r="L4770" s="80" t="s">
        <v>426</v>
      </c>
    </row>
    <row r="4771">
      <c r="A4771" s="80" t="s">
        <v>140</v>
      </c>
      <c r="B4771" s="81" t="str">
        <f>HYPERLINK("https://www.youtube.com/channel/UCHK0CZf9HEXs42qIO1GUouA", "TechiCardia")</f>
        <v>TechiCardia</v>
      </c>
      <c r="C4771" s="80" t="s">
        <v>5210</v>
      </c>
      <c r="D4771" s="81" t="str">
        <f>HYPERLINK("https://youtube.com/watch?v=bvWMPSpxPhM", "我的專屬機械鍵盤！係唔係最方便上手嘅自組鍵盤？10蚊超簡單改裝？Keychron Q1 完整版、Barebone 詳細試玩評測//4K 【TechiCardia】[CC廣東話字幕]")</f>
        <v>我的專屬機械鍵盤！係唔係最方便上手嘅自組鍵盤？10蚊超簡單改裝？Keychron Q1 完整版、Barebone 詳細試玩評測//4K 【TechiCardia】[CC廣東話字幕]</v>
      </c>
      <c r="E4771" s="82">
        <v>44576.0</v>
      </c>
      <c r="F4771" s="80">
        <v>985.0</v>
      </c>
      <c r="G4771" s="80" t="s">
        <v>63</v>
      </c>
      <c r="I4771" s="80" t="s">
        <v>63</v>
      </c>
      <c r="J4771" s="80">
        <v>2975.0</v>
      </c>
      <c r="K4771" s="80">
        <v>0.705812574139976</v>
      </c>
      <c r="L4771" s="80" t="s">
        <v>102</v>
      </c>
    </row>
    <row r="4772">
      <c r="A4772" s="80" t="s">
        <v>74</v>
      </c>
      <c r="B4772" s="81" t="str">
        <f>HYPERLINK("https://www.youtube.com/channel/UCO_5XP-qd-udNxBlzzSzgvw", "Handline Fishing")</f>
        <v>Handline Fishing</v>
      </c>
      <c r="C4772" s="80" t="s">
        <v>5211</v>
      </c>
      <c r="D4772" s="81" t="str">
        <f>HYPERLINK("https://youtube.com/watch?v=cA9CuvYEEx4", "#267 尋找高級食材 達成 | 香港釣魚 | 岸釣 | 南丫島洪聖爺灣 {粵語旁白+中英文字幕}")</f>
        <v>#267 尋找高級食材 達成 | 香港釣魚 | 岸釣 | 南丫島洪聖爺灣 {粵語旁白+中英文字幕}</v>
      </c>
      <c r="E4772" s="82">
        <v>44575.0</v>
      </c>
      <c r="F4772" s="80">
        <v>483.0</v>
      </c>
      <c r="G4772" s="80" t="s">
        <v>63</v>
      </c>
      <c r="H4772" s="80" t="s">
        <v>63</v>
      </c>
      <c r="I4772" s="80" t="s">
        <v>63</v>
      </c>
      <c r="J4772" s="80">
        <v>415.0</v>
      </c>
      <c r="K4772" s="80">
        <v>0.986945169712793</v>
      </c>
      <c r="L4772" s="80" t="s">
        <v>88</v>
      </c>
    </row>
    <row r="4773">
      <c r="A4773" s="80" t="s">
        <v>414</v>
      </c>
      <c r="B4773" s="81" t="str">
        <f>HYPERLINK("https://www.youtube.com/channel/UCCVn38j5xSJZN-II-TeyomA", "Uncle Calvin Cantonese Class")</f>
        <v>Uncle Calvin Cantonese Class</v>
      </c>
      <c r="C4773" s="80" t="s">
        <v>5212</v>
      </c>
      <c r="D4773" s="81" t="str">
        <f>HYPERLINK("https://youtube.com/watch?v=ddDeBN0tHvs", "【5個農曆新年小知識】5 things about Chinese New Year in Cantonese I 兒童 節日 for Family I 廣東話教室 I 字幕/Subtitles")</f>
        <v>【5個農曆新年小知識】5 things about Chinese New Year in Cantonese I 兒童 節日 for Family I 廣東話教室 I 字幕/Subtitles</v>
      </c>
      <c r="E4773" s="82">
        <v>44576.0</v>
      </c>
      <c r="F4773" s="80">
        <v>375.0</v>
      </c>
      <c r="G4773" s="80" t="s">
        <v>63</v>
      </c>
      <c r="H4773" s="80" t="s">
        <v>63</v>
      </c>
      <c r="I4773" s="80" t="s">
        <v>63</v>
      </c>
      <c r="J4773" s="80">
        <v>889.0</v>
      </c>
      <c r="K4773" s="80">
        <v>0.889224572004028</v>
      </c>
      <c r="L4773" s="80" t="s">
        <v>426</v>
      </c>
    </row>
    <row r="4774">
      <c r="A4774" s="80" t="s">
        <v>248</v>
      </c>
      <c r="B4774" s="81" t="str">
        <f>HYPERLINK("https://www.youtube.com/channel/UCUEJok-GiWaGlv5nIPwk-GQ", "Price.com.hk 香港格價網")</f>
        <v>Price.com.hk 香港格價網</v>
      </c>
      <c r="C4774" s="80" t="s">
        <v>5213</v>
      </c>
      <c r="D4774" s="81" t="str">
        <f>HYPERLINK("https://youtube.com/watch?v=dfPDoW4sGgo", "迎接農曆新年必備！虎年大掃除，平價實用裝備推介 | 年廿八洗邋遢 | 實物開箱｜中文字幕 | 廣東話【Price.com.hk產品介紹】")</f>
        <v>迎接農曆新年必備！虎年大掃除，平價實用裝備推介 | 年廿八洗邋遢 | 實物開箱｜中文字幕 | 廣東話【Price.com.hk產品介紹】</v>
      </c>
      <c r="E4774" s="82">
        <v>44579.0</v>
      </c>
      <c r="F4774" s="80">
        <v>266.0</v>
      </c>
      <c r="G4774" s="80" t="s">
        <v>63</v>
      </c>
      <c r="I4774" s="80" t="s">
        <v>63</v>
      </c>
      <c r="J4774" s="80">
        <v>957.0</v>
      </c>
      <c r="K4774" s="80">
        <v>0.899436090225563</v>
      </c>
      <c r="L4774" s="80" t="s">
        <v>64</v>
      </c>
    </row>
    <row r="4775">
      <c r="A4775" s="80" t="s">
        <v>306</v>
      </c>
      <c r="B4775" s="81" t="str">
        <f>HYPERLINK("https://www.youtube.com/channel/UCMIcGwp4ssZHqz-nSbkO0yw", "Yuet Lab 粵語詞𢑥研究所")</f>
        <v>Yuet Lab 粵語詞𢑥研究所</v>
      </c>
      <c r="C4775" s="80" t="s">
        <v>5214</v>
      </c>
      <c r="D4775" s="81" t="str">
        <f>HYPERLINK("https://youtube.com/watch?v=gqc-Y6aZ8zQ", "粵語詞彙研究所: 袋")</f>
        <v>粵語詞彙研究所: 袋</v>
      </c>
      <c r="E4775" s="82">
        <v>44578.0</v>
      </c>
      <c r="F4775" s="80">
        <v>163.0</v>
      </c>
      <c r="G4775" s="80" t="s">
        <v>63</v>
      </c>
      <c r="I4775" s="80" t="s">
        <v>63</v>
      </c>
      <c r="J4775" s="80">
        <v>604.0</v>
      </c>
      <c r="K4775" s="80">
        <v>0.939346811819595</v>
      </c>
      <c r="L4775" s="80" t="s">
        <v>102</v>
      </c>
    </row>
    <row r="4776">
      <c r="A4776" s="80" t="s">
        <v>2780</v>
      </c>
      <c r="B4776" s="81" t="str">
        <f>HYPERLINK("https://www.youtube.com/channel/UC0CojhLcc0VESgaG633m5kA", "RainErs")</f>
        <v>RainErs</v>
      </c>
      <c r="C4776" s="80" t="s">
        <v>5215</v>
      </c>
      <c r="D4776" s="81" t="str">
        <f>HYPERLINK("https://youtube.com/watch?v=hqNN3SaeLUo", "Hot Toys IT PennyWise 開箱 🤡‼️--- 個人認為本年度最高質hot toys⁉️// IT迷必入❓❓[有CC字幕]")</f>
        <v>Hot Toys IT PennyWise 開箱 🤡‼️--- 個人認為本年度最高質hot toys⁉️// IT迷必入❓❓[有CC字幕]</v>
      </c>
      <c r="E4776" s="82">
        <v>44579.0</v>
      </c>
      <c r="F4776" s="80">
        <v>704.0</v>
      </c>
      <c r="G4776" s="80" t="s">
        <v>63</v>
      </c>
      <c r="I4776" s="80" t="s">
        <v>63</v>
      </c>
      <c r="J4776" s="80">
        <v>3163.0</v>
      </c>
      <c r="K4776" s="80">
        <v>0.929473993535116</v>
      </c>
      <c r="L4776" s="80" t="s">
        <v>64</v>
      </c>
    </row>
    <row r="4777">
      <c r="A4777" s="80" t="s">
        <v>1016</v>
      </c>
      <c r="B4777" s="81" t="str">
        <f>HYPERLINK("https://www.youtube.com/channel/UCSbiR1l-cfzk44iTJVSAZVQ", "Rhapsody in Lingo")</f>
        <v>Rhapsody in Lingo</v>
      </c>
      <c r="C4777" s="80" t="s">
        <v>5216</v>
      </c>
      <c r="D4777" s="81" t="str">
        <f>HYPERLINK("https://youtube.com/watch?v=iQ1vKJL9RuY", "曼徹斯特兩日一夜睇樓團【粵字】英國生活旅遊vlog")</f>
        <v>曼徹斯特兩日一夜睇樓團【粵字】英國生活旅遊vlog</v>
      </c>
      <c r="E4777" s="82">
        <v>44584.0</v>
      </c>
      <c r="F4777" s="80">
        <v>508.0</v>
      </c>
      <c r="G4777" s="80" t="s">
        <v>63</v>
      </c>
      <c r="I4777" s="80" t="s">
        <v>63</v>
      </c>
      <c r="J4777" s="80">
        <v>1203.0</v>
      </c>
      <c r="K4777" s="80">
        <v>0.823972602739726</v>
      </c>
      <c r="L4777" s="80" t="s">
        <v>1142</v>
      </c>
    </row>
    <row r="4778">
      <c r="A4778" s="80" t="s">
        <v>2585</v>
      </c>
      <c r="B4778" s="81" t="str">
        <f>HYPERLINK("https://www.youtube.com/channel/UCyyruuN0VecuYxPNR4un88Q", "混血肥仔")</f>
        <v>混血肥仔</v>
      </c>
      <c r="C4778" s="80" t="s">
        <v>5217</v>
      </c>
      <c r="D4778" s="81" t="str">
        <f>HYPERLINK("https://youtube.com/watch?v=mIaj5wC7t1k", "【偽科幻】Don't Look Down 千萬別低頭 | 小劇場#04")</f>
        <v>【偽科幻】Don't Look Down 千萬別低頭 | 小劇場#04</v>
      </c>
      <c r="E4778" s="82">
        <v>44578.0</v>
      </c>
      <c r="F4778" s="80">
        <v>292.0</v>
      </c>
      <c r="G4778" s="80" t="s">
        <v>63</v>
      </c>
      <c r="I4778" s="80" t="s">
        <v>63</v>
      </c>
      <c r="J4778" s="80">
        <v>459.0</v>
      </c>
      <c r="K4778" s="80">
        <v>0.952282157676348</v>
      </c>
      <c r="L4778" s="80" t="s">
        <v>64</v>
      </c>
    </row>
    <row r="4779">
      <c r="A4779" s="80" t="s">
        <v>248</v>
      </c>
      <c r="B4779" s="81" t="str">
        <f>HYPERLINK("https://www.youtube.com/channel/UCUEJok-GiWaGlv5nIPwk-GQ", "Price.com.hk 香港格價網")</f>
        <v>Price.com.hk 香港格價網</v>
      </c>
      <c r="C4779" s="80" t="s">
        <v>5218</v>
      </c>
      <c r="D4779" s="81" t="str">
        <f>HYPERLINK("https://youtube.com/watch?v=mSnyoVbZwmE", "疫情下的皮膚救星！在家做Facial？MiiN iMask美肌LED面罩 抗衰老、祛暗瘡、美白、保濕｜男女適用｜特約專題｜廣東話【Price.com.hk產品介紹】")</f>
        <v>疫情下的皮膚救星！在家做Facial？MiiN iMask美肌LED面罩 抗衰老、祛暗瘡、美白、保濕｜男女適用｜特約專題｜廣東話【Price.com.hk產品介紹】</v>
      </c>
      <c r="E4779" s="82">
        <v>44582.0</v>
      </c>
      <c r="F4779" s="80">
        <v>382.0</v>
      </c>
      <c r="G4779" s="80" t="s">
        <v>63</v>
      </c>
      <c r="I4779" s="80" t="s">
        <v>63</v>
      </c>
      <c r="J4779" s="80">
        <v>1449.0</v>
      </c>
      <c r="K4779" s="80">
        <v>0.886780905752753</v>
      </c>
      <c r="L4779" s="80" t="s">
        <v>64</v>
      </c>
    </row>
    <row r="4780">
      <c r="A4780" s="80" t="s">
        <v>3587</v>
      </c>
      <c r="B4780" s="81" t="str">
        <f>HYPERLINK("https://www.youtube.com/channel/UCLYDpGywwns7EhzIgxSKqDw", "宅大大")</f>
        <v>宅大大</v>
      </c>
      <c r="C4780" s="80" t="s">
        <v>5219</v>
      </c>
      <c r="D4780" s="81" t="str">
        <f>HYPERLINK("https://youtube.com/watch?v=nhLVRSR2yh0", "回顧2021，佈局2022 (含字幕）")</f>
        <v>回顧2021，佈局2022 (含字幕）</v>
      </c>
      <c r="E4780" s="82">
        <v>44580.0</v>
      </c>
      <c r="F4780" s="80">
        <v>2120.0</v>
      </c>
      <c r="G4780" s="80" t="s">
        <v>63</v>
      </c>
      <c r="I4780" s="80" t="s">
        <v>63</v>
      </c>
      <c r="J4780" s="80">
        <v>6317.0</v>
      </c>
      <c r="K4780" s="80">
        <v>0.959155784998481</v>
      </c>
      <c r="L4780" s="80" t="s">
        <v>3589</v>
      </c>
    </row>
    <row r="4781">
      <c r="A4781" s="80" t="s">
        <v>1594</v>
      </c>
      <c r="B4781" s="81" t="str">
        <f>HYPERLINK("https://www.youtube.com/channel/UCUtm1awT2EO9D7uJ2OlMcTQ", "黐住這一家 Sticky Love Family")</f>
        <v>黐住這一家 Sticky Love Family</v>
      </c>
      <c r="C4781" s="80" t="s">
        <v>5220</v>
      </c>
      <c r="D4781" s="81" t="str">
        <f>HYPERLINK("https://youtube.com/watch?v=oMqaB_R8dxo", "【粵語 | 廣東話  原創故事👦🏻💬🧒🏻】3 歲妹妹和媽媽一起講故事！ ❝農曆新年有咩習俗？❞   [ Eng Sub| 繁簡粵語字幕 ]")</f>
        <v>【粵語 | 廣東話  原創故事👦🏻💬🧒🏻】3 歲妹妹和媽媽一起講故事！ ❝農曆新年有咩習俗？❞   [ Eng Sub| 繁簡粵語字幕 ]</v>
      </c>
      <c r="E4781" s="82">
        <v>44576.0</v>
      </c>
      <c r="F4781" s="80">
        <v>203.0</v>
      </c>
      <c r="G4781" s="80" t="s">
        <v>63</v>
      </c>
      <c r="H4781" s="80" t="s">
        <v>63</v>
      </c>
      <c r="I4781" s="80" t="s">
        <v>63</v>
      </c>
      <c r="J4781" s="80">
        <v>696.0</v>
      </c>
      <c r="K4781" s="80">
        <v>0.992354740061162</v>
      </c>
      <c r="L4781" s="80" t="s">
        <v>1596</v>
      </c>
    </row>
    <row r="4782">
      <c r="A4782" s="80" t="s">
        <v>1670</v>
      </c>
      <c r="B4782" s="81" t="str">
        <f>HYPERLINK("https://www.youtube.com/channel/UC-PIt5m-WOg8UVBkt2RnN0g", "阿JACK睇樓團")</f>
        <v>阿JACK睇樓團</v>
      </c>
      <c r="C4782" s="80" t="s">
        <v>5221</v>
      </c>
      <c r="D4782" s="81" t="str">
        <f>HYPERLINK("https://youtube.com/watch?v=oq5HzGmTgeM", "原來上車盤都有地方大又方便嘅 😊60萬首期 😊屯門新墟雅都花園")</f>
        <v>原來上車盤都有地方大又方便嘅 😊60萬首期 😊屯門新墟雅都花園</v>
      </c>
      <c r="E4782" s="82">
        <v>44581.0</v>
      </c>
      <c r="F4782" s="80">
        <v>356.0</v>
      </c>
      <c r="G4782" s="80" t="s">
        <v>63</v>
      </c>
      <c r="I4782" s="80" t="s">
        <v>63</v>
      </c>
      <c r="J4782" s="80">
        <v>1252.0</v>
      </c>
      <c r="K4782" s="80">
        <v>0.992076069730586</v>
      </c>
      <c r="L4782" s="80" t="s">
        <v>64</v>
      </c>
    </row>
    <row r="4783">
      <c r="A4783" s="80" t="s">
        <v>124</v>
      </c>
      <c r="B4783" s="81" t="str">
        <f>HYPERLINK("https://www.youtube.com/channel/UCg0vuSE0fBF_NvodyYhMcWg", "Wallace Studio HK")</f>
        <v>Wallace Studio HK</v>
      </c>
      <c r="C4783" s="80" t="s">
        <v>5222</v>
      </c>
      <c r="D4783" s="81" t="str">
        <f>HYPERLINK("https://youtube.com/watch?v=ovfbHHjlxhc", "Galaxy S21 FE 上手體驗，平價旗艦機！？ (Vs S21 Ultra)")</f>
        <v>Galaxy S21 FE 上手體驗，平價旗艦機！？ (Vs S21 Ultra)</v>
      </c>
      <c r="E4783" s="82">
        <v>44584.0</v>
      </c>
      <c r="F4783" s="80">
        <v>422.0</v>
      </c>
      <c r="G4783" s="80" t="s">
        <v>63</v>
      </c>
      <c r="H4783" s="80" t="s">
        <v>63</v>
      </c>
      <c r="I4783" s="80" t="s">
        <v>63</v>
      </c>
      <c r="J4783" s="80">
        <v>1636.0</v>
      </c>
      <c r="K4783" s="80">
        <v>0.847229414810978</v>
      </c>
      <c r="L4783" s="80" t="s">
        <v>86</v>
      </c>
    </row>
    <row r="4784">
      <c r="A4784" s="80" t="s">
        <v>2800</v>
      </c>
      <c r="B4784" s="81" t="str">
        <f>HYPERLINK("https://www.youtube.com/channel/UCMqrlsr-AECPc6_3oDr8m9w", "Unicorn 獸哥")</f>
        <v>Unicorn 獸哥</v>
      </c>
      <c r="C4784" s="80" t="s">
        <v>5223</v>
      </c>
      <c r="D4784" s="81" t="str">
        <f>HYPERLINK("https://youtube.com/watch?v=qCo_VETN9oc", "條肥仔有乜咁勁？Marvel世界最強黑社會 kingpin角色介紹")</f>
        <v>條肥仔有乜咁勁？Marvel世界最強黑社會 kingpin角色介紹</v>
      </c>
      <c r="E4784" s="82">
        <v>44579.0</v>
      </c>
      <c r="F4784" s="80">
        <v>424.0</v>
      </c>
      <c r="G4784" s="80" t="s">
        <v>63</v>
      </c>
      <c r="I4784" s="80" t="s">
        <v>63</v>
      </c>
      <c r="J4784" s="80">
        <v>1901.0</v>
      </c>
      <c r="K4784" s="80">
        <v>0.774338085539714</v>
      </c>
      <c r="L4784" s="80" t="s">
        <v>64</v>
      </c>
    </row>
    <row r="4785">
      <c r="A4785" s="80" t="s">
        <v>74</v>
      </c>
      <c r="B4785" s="81" t="str">
        <f>HYPERLINK("https://www.youtube.com/channel/UCO_5XP-qd-udNxBlzzSzgvw", "Handline Fishing")</f>
        <v>Handline Fishing</v>
      </c>
      <c r="C4785" s="80" t="s">
        <v>5224</v>
      </c>
      <c r="D4785" s="81" t="str">
        <f>HYPERLINK("https://youtube.com/watch?v=qv3BGKLHXTA", "#266 久違了的石澳 沙灘拖釣 | 香港釣魚 | 岸釣 | 石澳海灣 {粵語旁白+中英文字幕}")</f>
        <v>#266 久違了的石澳 沙灘拖釣 | 香港釣魚 | 岸釣 | 石澳海灣 {粵語旁白+中英文字幕}</v>
      </c>
      <c r="E4785" s="82">
        <v>44571.0</v>
      </c>
      <c r="F4785" s="80">
        <v>438.0</v>
      </c>
      <c r="G4785" s="80" t="s">
        <v>63</v>
      </c>
      <c r="H4785" s="80" t="s">
        <v>63</v>
      </c>
      <c r="I4785" s="80" t="s">
        <v>63</v>
      </c>
      <c r="J4785" s="80">
        <v>588.0</v>
      </c>
      <c r="K4785" s="80">
        <v>0.991568296795952</v>
      </c>
      <c r="L4785" s="80" t="s">
        <v>88</v>
      </c>
    </row>
    <row r="4786">
      <c r="A4786" s="80" t="s">
        <v>61</v>
      </c>
      <c r="B4786" s="81" t="str">
        <f>HYPERLINK("https://www.youtube.com/channel/UCJ4XVrJuqKHbc9yF9oUFseg", "MEeeep More")</f>
        <v>MEeeep More</v>
      </c>
      <c r="C4786" s="80" t="s">
        <v>5225</v>
      </c>
      <c r="D4786" s="81" t="str">
        <f>HYPERLINK("https://youtube.com/watch?v=rqvuQ_SCKUw", "AMAZFIT GTR 3 開箱評測 | 一鍵測量 測出心率血氧 大圓特亮錶面 20天長續航 | amazfit gtr 3 review amazfit t-rex pro")</f>
        <v>AMAZFIT GTR 3 開箱評測 | 一鍵測量 測出心率血氧 大圓特亮錶面 20天長續航 | amazfit gtr 3 review amazfit t-rex pro</v>
      </c>
      <c r="E4786" s="82">
        <v>44570.0</v>
      </c>
      <c r="F4786" s="80">
        <v>265.0</v>
      </c>
      <c r="G4786" s="80" t="s">
        <v>63</v>
      </c>
      <c r="I4786" s="80" t="s">
        <v>63</v>
      </c>
      <c r="J4786" s="80">
        <v>779.0</v>
      </c>
      <c r="K4786" s="80">
        <v>0.762230919765166</v>
      </c>
      <c r="L4786" s="80" t="s">
        <v>64</v>
      </c>
    </row>
    <row r="4787">
      <c r="A4787" s="80" t="s">
        <v>1390</v>
      </c>
      <c r="B4787" s="81" t="str">
        <f>HYPERLINK("https://www.youtube.com/channel/UCgwEJflQi4WnZ8PU0xdibZQ", "Kinson Ho")</f>
        <v>Kinson Ho</v>
      </c>
      <c r="C4787" s="80" t="s">
        <v>5226</v>
      </c>
      <c r="D4787" s="81" t="str">
        <f>HYPERLINK("https://youtube.com/watch?v=sXJ8grj3rzs", "K神任我行 - [CC字幕4K] 中文大學｜合一亭｜天人合一｜天空之鏡｜落羽松｜未圓湖｜賞紅葉｜航拍")</f>
        <v>K神任我行 - [CC字幕4K] 中文大學｜合一亭｜天人合一｜天空之鏡｜落羽松｜未圓湖｜賞紅葉｜航拍</v>
      </c>
      <c r="E4787" s="82">
        <v>44579.0</v>
      </c>
      <c r="F4787" s="80">
        <v>686.0</v>
      </c>
      <c r="G4787" s="80" t="s">
        <v>63</v>
      </c>
      <c r="I4787" s="80" t="s">
        <v>63</v>
      </c>
      <c r="J4787" s="80">
        <v>684.0</v>
      </c>
      <c r="K4787" s="80">
        <v>0.991304347826087</v>
      </c>
      <c r="L4787" s="80" t="s">
        <v>64</v>
      </c>
    </row>
    <row r="4788">
      <c r="A4788" s="80" t="s">
        <v>2753</v>
      </c>
      <c r="B4788" s="81" t="str">
        <f>HYPERLINK("https://www.youtube.com/channel/UCxRXNy5P6fLtHYpawxoiqJQ", "焦點視頻")</f>
        <v>焦點視頻</v>
      </c>
      <c r="C4788" s="80" t="s">
        <v>5227</v>
      </c>
      <c r="D4788" s="81" t="str">
        <f>HYPERLINK("https://youtube.com/watch?v=shNXXw0mIhM", "(中字) 新春拜財神迎春接福！ 新年第一天，爲一整年攢下好運氣！ 2022虎年開運攻略 #接財神 #新春開運 #流年運勢《洪宗玉風水命理》 EP13 20220121")</f>
        <v>(中字) 新春拜財神迎春接福！ 新年第一天，爲一整年攢下好運氣！ 2022虎年開運攻略 #接財神 #新春開運 #流年運勢《洪宗玉風水命理》 EP13 20220121</v>
      </c>
      <c r="E4788" s="82">
        <v>44581.0</v>
      </c>
      <c r="F4788" s="80">
        <v>488.0</v>
      </c>
      <c r="G4788" s="80" t="s">
        <v>63</v>
      </c>
      <c r="I4788" s="80" t="s">
        <v>63</v>
      </c>
      <c r="J4788" s="80">
        <v>1867.0</v>
      </c>
      <c r="K4788" s="80">
        <v>0.998929909042268</v>
      </c>
      <c r="L4788" s="80" t="s">
        <v>2755</v>
      </c>
    </row>
    <row r="4789">
      <c r="A4789" s="80" t="s">
        <v>1390</v>
      </c>
      <c r="B4789" s="81" t="str">
        <f>HYPERLINK("https://www.youtube.com/channel/UCgwEJflQi4WnZ8PU0xdibZQ", "Kinson Ho")</f>
        <v>Kinson Ho</v>
      </c>
      <c r="C4789" s="80" t="s">
        <v>5228</v>
      </c>
      <c r="D4789" s="81" t="str">
        <f>HYPERLINK("https://youtube.com/watch?v=srUN0tx4anY", "K神任我行 -  [CC字幕4K] 大棠｜大棠有機生態園｜楓香林｜三粒鑽石｜黃泥墩水塘｜神仙轍｜遊隼石｜紅葉｜航拍｜遠足路線分享")</f>
        <v>K神任我行 -  [CC字幕4K] 大棠｜大棠有機生態園｜楓香林｜三粒鑽石｜黃泥墩水塘｜神仙轍｜遊隼石｜紅葉｜航拍｜遠足路線分享</v>
      </c>
      <c r="E4789" s="82">
        <v>44581.0</v>
      </c>
      <c r="F4789" s="80">
        <v>1227.0</v>
      </c>
      <c r="G4789" s="80" t="s">
        <v>63</v>
      </c>
      <c r="I4789" s="80" t="s">
        <v>63</v>
      </c>
      <c r="J4789" s="80">
        <v>1343.0</v>
      </c>
      <c r="K4789" s="80">
        <v>0.993343195266272</v>
      </c>
      <c r="L4789" s="80" t="s">
        <v>64</v>
      </c>
    </row>
    <row r="4790">
      <c r="A4790" s="80" t="s">
        <v>293</v>
      </c>
      <c r="B4790" s="81" t="str">
        <f>HYPERLINK("https://www.youtube.com/channel/UCXRcbXqjORdIvl63I7MtOLQ", "趁熱 Kerry 's kitchen")</f>
        <v>趁熱 Kerry 's kitchen</v>
      </c>
      <c r="C4790" s="80" t="s">
        <v>5229</v>
      </c>
      <c r="D4790" s="81" t="str">
        <f>HYPERLINK("https://youtube.com/watch?v=u8P6yThSkxk", "豉油 雞/肉滑嫩骨頭冇血水竅門/省錢低成本做法/重點 講解/簡單 家做/新手 入門/廣東話/中字")</f>
        <v>豉油 雞/肉滑嫩骨頭冇血水竅門/省錢低成本做法/重點 講解/簡單 家做/新手 入門/廣東話/中字</v>
      </c>
      <c r="E4790" s="82">
        <v>44580.0</v>
      </c>
      <c r="F4790" s="80">
        <v>595.0</v>
      </c>
      <c r="G4790" s="80" t="s">
        <v>63</v>
      </c>
      <c r="I4790" s="80" t="s">
        <v>63</v>
      </c>
      <c r="J4790" s="80">
        <v>815.0</v>
      </c>
      <c r="K4790" s="80">
        <v>0.989077669902912</v>
      </c>
      <c r="L4790" s="80" t="s">
        <v>64</v>
      </c>
    </row>
    <row r="4791">
      <c r="A4791" s="80" t="s">
        <v>3051</v>
      </c>
      <c r="B4791" s="81" t="str">
        <f>HYPERLINK("https://www.youtube.com/channel/UCvE0FPIL24o2mnUQIqcSHYA", "柴犬春卷的英國日常 Shiba Harumaki in UK")</f>
        <v>柴犬春卷的英國日常 Shiba Harumaki in UK</v>
      </c>
      <c r="C4791" s="80" t="s">
        <v>5230</v>
      </c>
      <c r="D4791" s="81" t="str">
        <f>HYPERLINK("https://youtube.com/watch?v=uXmxxgA01h4", "曼城最大公園Heaton Park｜春爸架車返原廠做咩?｜春卷去公園玩到成隻泥鴨咁 ｜柴犬春卷移民英國曼城｜寵物移民｜Shiba Inu Manchester｜【廣東話】UK GB")</f>
        <v>曼城最大公園Heaton Park｜春爸架車返原廠做咩?｜春卷去公園玩到成隻泥鴨咁 ｜柴犬春卷移民英國曼城｜寵物移民｜Shiba Inu Manchester｜【廣東話】UK GB</v>
      </c>
      <c r="E4791" s="82">
        <v>44577.0</v>
      </c>
      <c r="F4791" s="80">
        <v>989.0</v>
      </c>
      <c r="G4791" s="80" t="s">
        <v>63</v>
      </c>
      <c r="I4791" s="80" t="s">
        <v>63</v>
      </c>
      <c r="J4791" s="80">
        <v>2269.0</v>
      </c>
      <c r="K4791" s="80">
        <v>0.933744855967078</v>
      </c>
      <c r="L4791" s="80" t="s">
        <v>64</v>
      </c>
    </row>
    <row r="4792">
      <c r="A4792" s="80" t="s">
        <v>4470</v>
      </c>
      <c r="B4792" s="81" t="str">
        <f>HYPERLINK("https://www.youtube.com/channel/UC4VI_WmdfVMTkT4vKCiZA4A", "BossMind")</f>
        <v>BossMind</v>
      </c>
      <c r="C4792" s="80" t="s">
        <v>5231</v>
      </c>
      <c r="D4792" s="81" t="str">
        <f>HYPERLINK("https://youtube.com/watch?v=xC1KpXtCsys", "美股ASML業績指引預期少一截？先送貨後收錢好蝕底｜Intel爭先買新機又如何呢｜市況分析 加息周期歷史數據︰股票係會升的｜#華爾街戰線｜#杜昇")</f>
        <v>美股ASML業績指引預期少一截？先送貨後收錢好蝕底｜Intel爭先買新機又如何呢｜市況分析 加息周期歷史數據︰股票係會升的｜#華爾街戰線｜#杜昇</v>
      </c>
      <c r="E4792" s="82">
        <v>44581.0</v>
      </c>
      <c r="F4792" s="80">
        <v>636.0</v>
      </c>
      <c r="G4792" s="80" t="s">
        <v>63</v>
      </c>
      <c r="I4792" s="80" t="s">
        <v>63</v>
      </c>
      <c r="J4792" s="80">
        <v>1427.0</v>
      </c>
      <c r="K4792" s="80">
        <v>0.878153846153846</v>
      </c>
      <c r="L4792" s="80" t="s">
        <v>64</v>
      </c>
    </row>
    <row r="4793">
      <c r="A4793" s="80" t="s">
        <v>217</v>
      </c>
      <c r="B4793" s="81" t="str">
        <f>HYPERLINK("https://www.youtube.com/channel/UCXKg0qPRz32bs5Z4mTGF3TQ", "Stormtrooper白兵")</f>
        <v>Stormtrooper白兵</v>
      </c>
      <c r="C4793" s="80" t="s">
        <v>5232</v>
      </c>
      <c r="D4793" s="81" t="str">
        <f>HYPERLINK("https://youtube.com/watch?v=zh13E0xxdHM", "[人物誌]美國袁國勇－福奇 Anthony Fauci｜服務多任美國總統，被指有份資助研發武肺！？｜防疫措施前後矛盾｜最不尊重科學的科學家｜粵語中字")</f>
        <v>[人物誌]美國袁國勇－福奇 Anthony Fauci｜服務多任美國總統，被指有份資助研發武肺！？｜防疫措施前後矛盾｜最不尊重科學的科學家｜粵語中字</v>
      </c>
      <c r="E4793" s="82">
        <v>44574.0</v>
      </c>
      <c r="F4793" s="80">
        <v>799.0</v>
      </c>
      <c r="G4793" s="80" t="s">
        <v>63</v>
      </c>
      <c r="I4793" s="80" t="s">
        <v>63</v>
      </c>
      <c r="J4793" s="80">
        <v>2772.0</v>
      </c>
      <c r="K4793" s="80">
        <v>0.625028184892897</v>
      </c>
      <c r="L4793" s="80" t="s">
        <v>64</v>
      </c>
    </row>
    <row r="4794">
      <c r="A4794" s="80" t="s">
        <v>1118</v>
      </c>
      <c r="B4794" s="81" t="str">
        <f>HYPERLINK("https://www.youtube.com/channel/UCeyXZA7ofepOhL9Z9BATC1w", "80後夫婦移英日記 80s Couple UK Diary")</f>
        <v>80後夫婦移英日記 80s Couple UK Diary</v>
      </c>
      <c r="C4794" s="80" t="s">
        <v>5233</v>
      </c>
      <c r="D4794" s="81" t="str">
        <f>HYPERLINK("https://youtube.com/watch?v=zmUTNQIl6p0", "分享在英國工作借錢給同事懷疑被騙經歷!!! 防人之心不可無，希望大家帶眼識人!!!!錯誤示範，唔好學我呀! 在英香港 youtuber 聯乘召集!!!!")</f>
        <v>分享在英國工作借錢給同事懷疑被騙經歷!!! 防人之心不可無，希望大家帶眼識人!!!!錯誤示範，唔好學我呀! 在英香港 youtuber 聯乘召集!!!!</v>
      </c>
      <c r="E4794" s="82">
        <v>44582.0</v>
      </c>
      <c r="F4794" s="80">
        <v>991.0</v>
      </c>
      <c r="G4794" s="80" t="s">
        <v>63</v>
      </c>
      <c r="I4794" s="80" t="s">
        <v>63</v>
      </c>
      <c r="J4794" s="80">
        <v>2986.0</v>
      </c>
      <c r="K4794" s="80">
        <v>0.883955002960331</v>
      </c>
      <c r="L4794" s="80" t="s">
        <v>64</v>
      </c>
    </row>
    <row r="4795">
      <c r="A4795" s="80" t="s">
        <v>61</v>
      </c>
      <c r="B4795" s="81" t="str">
        <f>HYPERLINK("https://www.youtube.com/channel/UCJ4XVrJuqKHbc9yF9oUFseg", "MEeeep More")</f>
        <v>MEeeep More</v>
      </c>
      <c r="C4795" s="80" t="s">
        <v>5234</v>
      </c>
      <c r="D4795" s="81" t="str">
        <f>HYPERLINK("https://youtube.com/watch?v=fJyMUYy-RFU", "[小米新手機2022] 紅米 Redmi Note 11 Pro 5G 國際版 | 1億像素 Samsung Sensor 鏡頭 雙卡雙待 5G 賣價大約 $2000 !? | 高性價比5g手機")</f>
        <v>[小米新手機2022] 紅米 Redmi Note 11 Pro 5G 國際版 | 1億像素 Samsung Sensor 鏡頭 雙卡雙待 5G 賣價大約 $2000 !? | 高性價比5g手機</v>
      </c>
      <c r="E4795" s="82">
        <v>44588.0</v>
      </c>
      <c r="F4795" s="80">
        <v>206.0</v>
      </c>
      <c r="G4795" s="80" t="s">
        <v>63</v>
      </c>
      <c r="I4795" s="80" t="s">
        <v>63</v>
      </c>
      <c r="J4795" s="80">
        <v>512.0</v>
      </c>
      <c r="K4795" s="80">
        <v>0.673684210526315</v>
      </c>
      <c r="L4795" s="80" t="s">
        <v>64</v>
      </c>
    </row>
    <row r="4796">
      <c r="A4796" s="80" t="s">
        <v>2753</v>
      </c>
      <c r="B4796" s="81" t="str">
        <f>HYPERLINK("https://www.youtube.com/channel/UCxRXNy5P6fLtHYpawxoiqJQ", "焦點視頻")</f>
        <v>焦點視頻</v>
      </c>
      <c r="C4796" s="80" t="s">
        <v>5235</v>
      </c>
      <c r="D4796" s="81" t="str">
        <f>HYPERLINK("https://youtube.com/watch?v=smh3Xx7wm-Q", "(CC中字) 虎年「從殺格」天災特別多！ 股市波動全球經濟不穩？ 2022秋季動盪，台海危機勢升溫！ 中國東北極端天氣危機加劇！ 《陳俊燊風水命理》 #預言2022 #立春八字 #流年運勢 EP51")</f>
        <v>(CC中字) 虎年「從殺格」天災特別多！ 股市波動全球經濟不穩？ 2022秋季動盪，台海危機勢升溫！ 中國東北極端天氣危機加劇！ 《陳俊燊風水命理》 #預言2022 #立春八字 #流年運勢 EP51</v>
      </c>
      <c r="E4796" s="82">
        <v>44589.0</v>
      </c>
      <c r="F4796" s="80">
        <v>739.0</v>
      </c>
      <c r="G4796" s="80" t="s">
        <v>63</v>
      </c>
      <c r="I4796" s="80" t="s">
        <v>63</v>
      </c>
      <c r="J4796" s="80">
        <v>2648.0</v>
      </c>
      <c r="K4796" s="80">
        <v>0.991017964071856</v>
      </c>
      <c r="L4796" s="80" t="s">
        <v>820</v>
      </c>
    </row>
    <row r="4797">
      <c r="A4797" s="80" t="s">
        <v>755</v>
      </c>
      <c r="B4797" s="81" t="str">
        <f>HYPERLINK("https://www.youtube.com/channel/UCBiJDTc82IM68KVH873VeAw", "Live in Kwangsi廣西人·情·味")</f>
        <v>Live in Kwangsi廣西人·情·味</v>
      </c>
      <c r="C4797" s="80" t="s">
        <v>5236</v>
      </c>
      <c r="D4797" s="81" t="str">
        <f>HYPERLINK("https://youtube.com/watch?v=WmjHJRl2QEI", "繼續喺平南膠遊 行龔州公園 行河堤 睇「世界第一拱橋」平南三橋 明珠樓 夜遊平南「奶茶街」｜廣西vlog 20220122")</f>
        <v>繼續喺平南膠遊 行龔州公園 行河堤 睇「世界第一拱橋」平南三橋 明珠樓 夜遊平南「奶茶街」｜廣西vlog 20220122</v>
      </c>
      <c r="E4797" s="82">
        <v>44584.0</v>
      </c>
      <c r="F4797" s="80">
        <v>583.0</v>
      </c>
      <c r="G4797" s="80" t="s">
        <v>63</v>
      </c>
      <c r="I4797" s="80" t="s">
        <v>63</v>
      </c>
      <c r="J4797" s="80">
        <v>1013.0</v>
      </c>
      <c r="K4797" s="80">
        <v>0.992164544564152</v>
      </c>
      <c r="L4797" s="80" t="s">
        <v>757</v>
      </c>
    </row>
    <row r="4798">
      <c r="A4798" s="80" t="s">
        <v>238</v>
      </c>
      <c r="B4798" s="81" t="str">
        <f>HYPERLINK("https://www.youtube.com/channel/UCSBkm4LwpgBmcA3MCtO8vqg", "Post76影音玩樂")</f>
        <v>Post76影音玩樂</v>
      </c>
      <c r="C4798" s="80" t="s">
        <v>5237</v>
      </c>
      <c r="D4798" s="81" t="str">
        <f>HYPERLINK("https://youtube.com/watch?v=gw77ME9zYXY", "Technics EAH-AZ60 支援 LDAC 真無線降噪耳機：音色與通話並重！JustMyVoice 智能語音技術有料到！（附設cc字幕）【耳機評測】")</f>
        <v>Technics EAH-AZ60 支援 LDAC 真無線降噪耳機：音色與通話並重！JustMyVoice 智能語音技術有料到！（附設cc字幕）【耳機評測】</v>
      </c>
      <c r="E4798" s="82">
        <v>44587.0</v>
      </c>
      <c r="F4798" s="80">
        <v>1103.0</v>
      </c>
      <c r="G4798" s="80" t="s">
        <v>63</v>
      </c>
      <c r="H4798" s="80" t="s">
        <v>63</v>
      </c>
      <c r="I4798" s="80" t="s">
        <v>63</v>
      </c>
      <c r="J4798" s="80">
        <v>4119.0</v>
      </c>
      <c r="K4798" s="80">
        <v>0.834481361426256</v>
      </c>
      <c r="L4798" s="80" t="s">
        <v>240</v>
      </c>
    </row>
    <row r="4799">
      <c r="A4799" s="80" t="s">
        <v>593</v>
      </c>
      <c r="B4799" s="81" t="str">
        <f>HYPERLINK("https://www.youtube.com/channel/UCsSO44XVYhs_fQU2zDR82CA", "餓底男女")</f>
        <v>餓底男女</v>
      </c>
      <c r="C4799" s="80" t="s">
        <v>5238</v>
      </c>
      <c r="D4799" s="81" t="str">
        <f>HYPERLINK("https://youtube.com/watch?v=HjNgayX2Hfs", "[新餐廳試伏🚁] 鬧市中的摩洛哥 異國風打卡露天cafe | 餓遊･香港 #87 [4K]")</f>
        <v>[新餐廳試伏🚁] 鬧市中的摩洛哥 異國風打卡露天cafe | 餓遊･香港 #87 [4K]</v>
      </c>
      <c r="E4799" s="82">
        <v>44586.0</v>
      </c>
      <c r="F4799" s="80">
        <v>276.0</v>
      </c>
      <c r="G4799" s="80" t="s">
        <v>63</v>
      </c>
      <c r="I4799" s="80" t="s">
        <v>63</v>
      </c>
      <c r="J4799" s="80">
        <v>821.0</v>
      </c>
      <c r="K4799" s="80">
        <v>0.918344519015659</v>
      </c>
      <c r="L4799" s="80" t="s">
        <v>102</v>
      </c>
    </row>
    <row r="4800">
      <c r="A4800" s="80" t="s">
        <v>74</v>
      </c>
      <c r="B4800" s="81" t="str">
        <f>HYPERLINK("https://www.youtube.com/channel/UCO_5XP-qd-udNxBlzzSzgvw", "Handline Fishing")</f>
        <v>Handline Fishing</v>
      </c>
      <c r="C4800" s="80" t="s">
        <v>5239</v>
      </c>
      <c r="D4800" s="81" t="str">
        <f>HYPERLINK("https://youtube.com/watch?v=qacwo-N_tCM", "#270 東星，老虎斑開派對 | 基哥 | 香港釣魚 | 艇釣 | 維港 {粵語旁白+中英文字幕}")</f>
        <v>#270 東星，老虎斑開派對 | 基哥 | 香港釣魚 | 艇釣 | 維港 {粵語旁白+中英文字幕}</v>
      </c>
      <c r="E4800" s="82">
        <v>44587.0</v>
      </c>
      <c r="F4800" s="80">
        <v>381.0</v>
      </c>
      <c r="G4800" s="80" t="s">
        <v>63</v>
      </c>
      <c r="H4800" s="80" t="s">
        <v>63</v>
      </c>
      <c r="I4800" s="80" t="s">
        <v>63</v>
      </c>
      <c r="J4800" s="80">
        <v>361.0</v>
      </c>
      <c r="K4800" s="80">
        <v>0.951515151515151</v>
      </c>
      <c r="L4800" s="80" t="s">
        <v>88</v>
      </c>
    </row>
    <row r="4801">
      <c r="A4801" s="80" t="s">
        <v>248</v>
      </c>
      <c r="B4801" s="81" t="str">
        <f>HYPERLINK("https://www.youtube.com/channel/UCUEJok-GiWaGlv5nIPwk-GQ", "Price.com.hk 香港格價網")</f>
        <v>Price.com.hk 香港格價網</v>
      </c>
      <c r="C4801" s="80" t="s">
        <v>5240</v>
      </c>
      <c r="D4801" s="81" t="str">
        <f>HYPERLINK("https://youtube.com/watch?v=wHyO9gIoGXo", "好用過Apple AirPods？！Beats Fit Pro 外形、佩戴感、音色、空間音訊、降噪、通話全面評測｜對比 AirPods 3｜真無線耳機｜廣東話【Price.com.hk產品比較】")</f>
        <v>好用過Apple AirPods？！Beats Fit Pro 外形、佩戴感、音色、空間音訊、降噪、通話全面評測｜對比 AirPods 3｜真無線耳機｜廣東話【Price.com.hk產品比較】</v>
      </c>
      <c r="E4801" s="82">
        <v>44585.0</v>
      </c>
      <c r="F4801" s="80">
        <v>536.0</v>
      </c>
      <c r="G4801" s="80" t="s">
        <v>63</v>
      </c>
      <c r="I4801" s="80" t="s">
        <v>63</v>
      </c>
      <c r="J4801" s="80">
        <v>1506.0</v>
      </c>
      <c r="K4801" s="80">
        <v>0.698515769944341</v>
      </c>
      <c r="L4801" s="80" t="s">
        <v>64</v>
      </c>
    </row>
    <row r="4802">
      <c r="A4802" s="80" t="s">
        <v>1670</v>
      </c>
      <c r="B4802" s="81" t="str">
        <f>HYPERLINK("https://www.youtube.com/channel/UC-PIt5m-WOg8UVBkt2RnN0g", "阿JACK睇樓團")</f>
        <v>阿JACK睇樓團</v>
      </c>
      <c r="C4802" s="80" t="s">
        <v>5241</v>
      </c>
      <c r="D4802" s="81" t="str">
        <f>HYPERLINK("https://youtube.com/watch?v=e9kFbVSylcI", "￼ 再嚟屯門碼頭 ⛵️睇吓海景兩房 😍靚裝租盤同大兩房賣盤🥰 l屯門碼頭l 屯門南￼((cc字幕))")</f>
        <v>￼ 再嚟屯門碼頭 ⛵️睇吓海景兩房 😍靚裝租盤同大兩房賣盤🥰 l屯門碼頭l 屯門南￼((cc字幕))</v>
      </c>
      <c r="E4802" s="82">
        <v>44587.0</v>
      </c>
      <c r="F4802" s="80">
        <v>601.0</v>
      </c>
      <c r="G4802" s="80" t="s">
        <v>63</v>
      </c>
      <c r="I4802" s="80" t="s">
        <v>63</v>
      </c>
      <c r="J4802" s="80">
        <v>2080.0</v>
      </c>
      <c r="K4802" s="80">
        <v>0.996645903210349</v>
      </c>
      <c r="L4802" s="80" t="s">
        <v>64</v>
      </c>
    </row>
    <row r="4803">
      <c r="A4803" s="80" t="s">
        <v>1594</v>
      </c>
      <c r="B4803" s="81" t="str">
        <f>HYPERLINK("https://www.youtube.com/channel/UCUtm1awT2EO9D7uJ2OlMcTQ", "黐住這一家 Sticky Love Family")</f>
        <v>黐住這一家 Sticky Love Family</v>
      </c>
      <c r="C4803" s="80" t="s">
        <v>5242</v>
      </c>
      <c r="D4803" s="81" t="str">
        <f>HYPERLINK("https://youtube.com/watch?v=9TEdYRAuDus", "【黐住學廣東話】🧧第一集！學農曆新年詞彙 Learn Cantonese CNY vocabs and pronounciations - Beginners Level 📖")</f>
        <v>【黐住學廣東話】🧧第一集！學農曆新年詞彙 Learn Cantonese CNY vocabs and pronounciations - Beginners Level 📖</v>
      </c>
      <c r="E4803" s="82">
        <v>44591.0</v>
      </c>
      <c r="F4803" s="80">
        <v>87.0</v>
      </c>
      <c r="G4803" s="80" t="s">
        <v>63</v>
      </c>
      <c r="H4803" s="80" t="s">
        <v>63</v>
      </c>
      <c r="I4803" s="80" t="s">
        <v>63</v>
      </c>
      <c r="J4803" s="80">
        <v>225.0</v>
      </c>
      <c r="K4803" s="80">
        <v>0.875486381322957</v>
      </c>
      <c r="L4803" s="80" t="s">
        <v>439</v>
      </c>
    </row>
    <row r="4804">
      <c r="A4804" s="80" t="s">
        <v>293</v>
      </c>
      <c r="B4804" s="81" t="str">
        <f>HYPERLINK("https://www.youtube.com/channel/UCXRcbXqjORdIvl63I7MtOLQ", "趁熱 Kerry 's kitchen")</f>
        <v>趁熱 Kerry 's kitchen</v>
      </c>
      <c r="C4804" s="80" t="s">
        <v>5243</v>
      </c>
      <c r="D4804" s="81" t="str">
        <f>HYPERLINK("https://youtube.com/watch?v=Cs8_5TXdQts", "閉關神菜/金銀蒜蒸大白菜/唔駛成日出街買/自制萬用金銀蒜茸醬做法/超低 成本/簡單 家做/廣東話/中文字幕")</f>
        <v>閉關神菜/金銀蒜蒸大白菜/唔駛成日出街買/自制萬用金銀蒜茸醬做法/超低 成本/簡單 家做/廣東話/中文字幕</v>
      </c>
      <c r="E4804" s="82">
        <v>44587.0</v>
      </c>
      <c r="F4804" s="80">
        <v>588.0</v>
      </c>
      <c r="G4804" s="80" t="s">
        <v>63</v>
      </c>
      <c r="I4804" s="80" t="s">
        <v>63</v>
      </c>
      <c r="J4804" s="80">
        <v>706.0</v>
      </c>
      <c r="K4804" s="80">
        <v>0.983286908077994</v>
      </c>
      <c r="L4804" s="80" t="s">
        <v>64</v>
      </c>
    </row>
    <row r="4805">
      <c r="A4805" s="80" t="s">
        <v>3587</v>
      </c>
      <c r="B4805" s="81" t="str">
        <f>HYPERLINK("https://www.youtube.com/channel/UCLYDpGywwns7EhzIgxSKqDw", "宅大大")</f>
        <v>宅大大</v>
      </c>
      <c r="C4805" s="80" t="s">
        <v>5244</v>
      </c>
      <c r="D4805" s="81" t="str">
        <f>HYPERLINK("https://youtube.com/watch?v=WSIFO9TSXxc", "2022利是股第一回 (含字幕）")</f>
        <v>2022利是股第一回 (含字幕）</v>
      </c>
      <c r="E4805" s="82">
        <v>44591.0</v>
      </c>
      <c r="F4805" s="80">
        <v>1490.0</v>
      </c>
      <c r="G4805" s="80" t="s">
        <v>63</v>
      </c>
      <c r="I4805" s="80" t="s">
        <v>63</v>
      </c>
      <c r="J4805" s="80">
        <v>4119.0</v>
      </c>
      <c r="K4805" s="80">
        <v>0.988243761996161</v>
      </c>
      <c r="L4805" s="80" t="s">
        <v>3589</v>
      </c>
    </row>
    <row r="4806">
      <c r="A4806" s="80" t="s">
        <v>4470</v>
      </c>
      <c r="B4806" s="81" t="str">
        <f>HYPERLINK("https://www.youtube.com/channel/UC4VI_WmdfVMTkT4vKCiZA4A", "BossMind")</f>
        <v>BossMind</v>
      </c>
      <c r="C4806" s="80" t="s">
        <v>5245</v>
      </c>
      <c r="D4806" s="81" t="str">
        <f>HYPERLINK("https://youtube.com/watch?v=npqq4Nl8j3E", "微軟(MSFT) 包見家鄉股 業績帶挈中小型軟件股？｜大摩分析師︰嚴冬已到 標指最差見3800點｜1月倉位跌12%部署 一動不如一靜｜#華爾街戰線 #杜昇")</f>
        <v>微軟(MSFT) 包見家鄉股 業績帶挈中小型軟件股？｜大摩分析師︰嚴冬已到 標指最差見3800點｜1月倉位跌12%部署 一動不如一靜｜#華爾街戰線 #杜昇</v>
      </c>
      <c r="E4806" s="82">
        <v>44587.0</v>
      </c>
      <c r="F4806" s="80">
        <v>480.0</v>
      </c>
      <c r="G4806" s="80" t="s">
        <v>63</v>
      </c>
      <c r="I4806" s="80" t="s">
        <v>63</v>
      </c>
      <c r="J4806" s="80">
        <v>1160.0</v>
      </c>
      <c r="K4806" s="80">
        <v>0.857354028085735</v>
      </c>
      <c r="L4806" s="80" t="s">
        <v>64</v>
      </c>
    </row>
    <row r="4807">
      <c r="A4807" s="80" t="s">
        <v>248</v>
      </c>
      <c r="B4807" s="81" t="str">
        <f>HYPERLINK("https://www.youtube.com/channel/UCUEJok-GiWaGlv5nIPwk-GQ", "Price.com.hk 香港格價網")</f>
        <v>Price.com.hk 香港格價網</v>
      </c>
      <c r="C4807" s="80" t="s">
        <v>5246</v>
      </c>
      <c r="D4807" s="81" t="str">
        <f>HYPERLINK("https://youtube.com/watch?v=NNbzULJnT3w", "Let's Party！新年8款必玩Party Game推介！多人同玩、上網對戰｜Switch、PS5、XBOX ｜廣東話｜繁中字幕【Price.com.hk 遊戲介紹】")</f>
        <v>Let's Party！新年8款必玩Party Game推介！多人同玩、上網對戰｜Switch、PS5、XBOX ｜廣東話｜繁中字幕【Price.com.hk 遊戲介紹】</v>
      </c>
      <c r="E4807" s="82">
        <v>44588.0</v>
      </c>
      <c r="F4807" s="80">
        <v>451.0</v>
      </c>
      <c r="G4807" s="80" t="s">
        <v>63</v>
      </c>
      <c r="I4807" s="80" t="s">
        <v>63</v>
      </c>
      <c r="J4807" s="80">
        <v>1804.0</v>
      </c>
      <c r="K4807" s="80">
        <v>0.784006953498478</v>
      </c>
      <c r="L4807" s="80" t="s">
        <v>64</v>
      </c>
    </row>
    <row r="4808">
      <c r="A4808" s="80" t="s">
        <v>5247</v>
      </c>
      <c r="B4808" s="81" t="str">
        <f>HYPERLINK("https://www.youtube.com/channel/UC6cnrd8SMMC2x9rud3RfqlA", "Museum of New Zealand Te Papa Tongarewa")</f>
        <v>Museum of New Zealand Te Papa Tongarewa</v>
      </c>
      <c r="C4808" s="80" t="s">
        <v>5248</v>
      </c>
      <c r="D4808" s="81" t="str">
        <f>HYPERLINK("https://youtube.com/watch?v=RKKpi_B1kh8", "Chinese Languages in Aotearoa: Cantonese, with publisher and typeface designer Jack Yan")</f>
        <v>Chinese Languages in Aotearoa: Cantonese, with publisher and typeface designer Jack Yan</v>
      </c>
      <c r="E4808" s="82">
        <v>44494.0</v>
      </c>
      <c r="F4808" s="80">
        <v>391.0</v>
      </c>
      <c r="G4808" s="80" t="s">
        <v>63</v>
      </c>
      <c r="H4808" s="80" t="s">
        <v>63</v>
      </c>
      <c r="I4808" s="80" t="s">
        <v>63</v>
      </c>
      <c r="J4808" s="80">
        <v>1392.0</v>
      </c>
      <c r="K4808" s="80">
        <v>0.980972515856236</v>
      </c>
      <c r="L4808" s="80" t="s">
        <v>1596</v>
      </c>
    </row>
    <row r="4809">
      <c r="A4809" s="80" t="s">
        <v>2519</v>
      </c>
      <c r="B4809" s="81" t="str">
        <f>HYPERLINK("https://www.youtube.com/channel/UCRaC6ToPRzGZT5nGgz9vzGw", "C90s 港仔音樂")</f>
        <v>C90s 港仔音樂</v>
      </c>
      <c r="C4809" s="80" t="s">
        <v>5249</v>
      </c>
      <c r="D4809" s="81" t="str">
        <f>HYPERLINK("https://youtube.com/watch?v=EVcs7k3roVI", "張敬軒 Hins Cheung - 酷愛 [歌詞同步/粵拼字幕]")</f>
        <v>張敬軒 Hins Cheung - 酷愛 [歌詞同步/粵拼字幕]</v>
      </c>
      <c r="E4809" s="82">
        <v>44590.0</v>
      </c>
      <c r="F4809" s="80">
        <v>232.0</v>
      </c>
      <c r="G4809" s="80" t="s">
        <v>63</v>
      </c>
      <c r="I4809" s="80" t="s">
        <v>63</v>
      </c>
      <c r="J4809" s="80">
        <v>1215.0</v>
      </c>
      <c r="K4809" s="80">
        <v>0.227912211592571</v>
      </c>
      <c r="L4809" s="80" t="s">
        <v>64</v>
      </c>
    </row>
    <row r="4810">
      <c r="A4810" s="80" t="s">
        <v>5250</v>
      </c>
      <c r="B4810" s="81" t="str">
        <f>HYPERLINK("https://www.youtube.com/channel/UCaLz7sztAy-dSGi2ovFIP8A", "Dixon Chan")</f>
        <v>Dixon Chan</v>
      </c>
      <c r="C4810" s="80" t="s">
        <v>5251</v>
      </c>
      <c r="D4810" s="81" t="str">
        <f>HYPERLINK("https://youtube.com/watch?v=GyyZTSG_7Yo", "露營香港 | 西貢野外煮食教學🍳露營廚房野炊美食🍹好用露營用品介紹👍🏻")</f>
        <v>露營香港 | 西貢野外煮食教學🍳露營廚房野炊美食🍹好用露營用品介紹👍🏻</v>
      </c>
      <c r="E4810" s="82">
        <v>43551.0</v>
      </c>
      <c r="F4810" s="80">
        <v>421.0</v>
      </c>
      <c r="G4810" s="80" t="s">
        <v>63</v>
      </c>
      <c r="I4810" s="80" t="s">
        <v>63</v>
      </c>
      <c r="J4810" s="80">
        <v>965.0</v>
      </c>
      <c r="K4810" s="80">
        <v>0.906103286384976</v>
      </c>
      <c r="L4810" s="80" t="s">
        <v>120</v>
      </c>
    </row>
    <row r="4811">
      <c r="A4811" s="80" t="s">
        <v>98</v>
      </c>
      <c r="B4811" s="81" t="str">
        <f>HYPERLINK("https://www.youtube.com/channel/UCrquuQB6v1Ued2xyRKZreGQ", "Stephen Leung ")</f>
        <v>Stephen Leung </v>
      </c>
      <c r="C4811" s="80" t="s">
        <v>5252</v>
      </c>
      <c r="D4811" s="81" t="str">
        <f>HYPERLINK("https://youtube.com/watch?v=hq6lcSGV56k", "【過年食盆菜】必食! 三間香港盆菜小店 團年新年必備盆菜合集 人均 $1xx 基隆茶餐廳 翠林辣蟹舫 漁港薈  | 吃喝玩樂")</f>
        <v>【過年食盆菜】必食! 三間香港盆菜小店 團年新年必備盆菜合集 人均 $1xx 基隆茶餐廳 翠林辣蟹舫 漁港薈  | 吃喝玩樂</v>
      </c>
      <c r="E4811" s="82">
        <v>44585.0</v>
      </c>
      <c r="F4811" s="80">
        <v>492.0</v>
      </c>
      <c r="G4811" s="80" t="s">
        <v>63</v>
      </c>
      <c r="I4811" s="80" t="s">
        <v>63</v>
      </c>
      <c r="J4811" s="80">
        <v>1598.0</v>
      </c>
      <c r="K4811" s="80">
        <v>0.987029030265596</v>
      </c>
      <c r="L4811" s="80" t="s">
        <v>64</v>
      </c>
    </row>
    <row r="4812">
      <c r="A4812" s="80" t="s">
        <v>238</v>
      </c>
      <c r="B4812" s="81" t="str">
        <f>HYPERLINK("https://www.youtube.com/channel/UCSBkm4LwpgBmcA3MCtO8vqg", "Post76影音玩樂")</f>
        <v>Post76影音玩樂</v>
      </c>
      <c r="C4812" s="80" t="s">
        <v>5253</v>
      </c>
      <c r="D4812" s="81" t="str">
        <f>HYPERLINK("https://youtube.com/watch?v=YEORoHcquAk", "全球只有 68 對 : CAMBRIDGE AUDIO 50週年限量版 EDGE S 旗艦喇叭實試   重新定義英國音色 !! （附設cc字幕）【喇叭評測】")</f>
        <v>全球只有 68 對 : CAMBRIDGE AUDIO 50週年限量版 EDGE S 旗艦喇叭實試   重新定義英國音色 !! （附設cc字幕）【喇叭評測】</v>
      </c>
      <c r="E4812" s="82">
        <v>44587.0</v>
      </c>
      <c r="F4812" s="80">
        <v>661.0</v>
      </c>
      <c r="G4812" s="80" t="s">
        <v>63</v>
      </c>
      <c r="H4812" s="80" t="s">
        <v>63</v>
      </c>
      <c r="I4812" s="80" t="s">
        <v>63</v>
      </c>
      <c r="J4812" s="80">
        <v>2308.0</v>
      </c>
      <c r="K4812" s="80">
        <v>0.858311640014875</v>
      </c>
      <c r="L4812" s="80" t="s">
        <v>240</v>
      </c>
    </row>
    <row r="4813">
      <c r="A4813" s="80" t="s">
        <v>5254</v>
      </c>
      <c r="B4813" s="81" t="str">
        <f>HYPERLINK("https://www.youtube.com/channel/UCHhCH095Bq2gVGufjYNTi6A", "Twinklebots Cantonese")</f>
        <v>Twinklebots Cantonese</v>
      </c>
      <c r="C4813" s="80" t="s">
        <v>5255</v>
      </c>
      <c r="D4813" s="81" t="str">
        <f>HYPERLINK("https://youtube.com/watch?v=VRjJqJl8Qj0", "Learn Chinese. Animals in Chinese. Animals in Cantonese - Part 1. 動物 - 粵語  / 廣東話")</f>
        <v>Learn Chinese. Animals in Chinese. Animals in Cantonese - Part 1. 動物 - 粵語  / 廣東話</v>
      </c>
      <c r="E4813" s="82">
        <v>43434.0</v>
      </c>
      <c r="F4813" s="80">
        <v>236.0</v>
      </c>
      <c r="G4813" s="80" t="s">
        <v>63</v>
      </c>
      <c r="I4813" s="80" t="s">
        <v>63</v>
      </c>
      <c r="J4813" s="80">
        <v>85.0</v>
      </c>
      <c r="K4813" s="80">
        <v>1.0</v>
      </c>
      <c r="L4813" s="80" t="s">
        <v>102</v>
      </c>
    </row>
    <row r="4814">
      <c r="A4814" s="80" t="s">
        <v>293</v>
      </c>
      <c r="B4814" s="81" t="str">
        <f>HYPERLINK("https://www.youtube.com/channel/UCXRcbXqjORdIvl63I7MtOLQ", "趁熱 Kerry 's kitchen")</f>
        <v>趁熱 Kerry 's kitchen</v>
      </c>
      <c r="C4814" s="80" t="s">
        <v>5256</v>
      </c>
      <c r="D4814" s="81" t="str">
        <f>HYPERLINK("https://youtube.com/watch?v=PYS4Gh0d_JM", "香芋 扣肉/南乳芋頭扣肉/不用炸一樣掂/廣東話/中文字幕/超 惹味/暖笠笠/簡單 家做/新手 入門")</f>
        <v>香芋 扣肉/南乳芋頭扣肉/不用炸一樣掂/廣東話/中文字幕/超 惹味/暖笠笠/簡單 家做/新手 入門</v>
      </c>
      <c r="E4814" s="82">
        <v>44585.0</v>
      </c>
      <c r="F4814" s="80">
        <v>529.0</v>
      </c>
      <c r="G4814" s="80" t="s">
        <v>63</v>
      </c>
      <c r="I4814" s="80" t="s">
        <v>63</v>
      </c>
      <c r="J4814" s="80">
        <v>786.0</v>
      </c>
      <c r="K4814" s="80">
        <v>0.972772277227722</v>
      </c>
      <c r="L4814" s="80" t="s">
        <v>64</v>
      </c>
    </row>
    <row r="4815">
      <c r="A4815" s="80" t="s">
        <v>2753</v>
      </c>
      <c r="B4815" s="81" t="str">
        <f>HYPERLINK("https://www.youtube.com/channel/UCxRXNy5P6fLtHYpawxoiqJQ", "焦點視頻")</f>
        <v>焦點視頻</v>
      </c>
      <c r="C4815" s="80" t="s">
        <v>5257</v>
      </c>
      <c r="D4815" s="81" t="str">
        <f>HYPERLINK("https://youtube.com/watch?v=gMao5aZ4cuM", "(中字) 中國中興全因「平」！ 習近平、鄧小平乃中國改革先鋒！ #推背圖 #習近平 #鄧小平 #預言 #廣東話《粵語推背圖》 EP28")</f>
        <v>(中字) 中國中興全因「平」！ 習近平、鄧小平乃中國改革先鋒！ #推背圖 #習近平 #鄧小平 #預言 #廣東話《粵語推背圖》 EP28</v>
      </c>
      <c r="E4815" s="82">
        <v>44590.0</v>
      </c>
      <c r="F4815" s="80">
        <v>561.0</v>
      </c>
      <c r="G4815" s="80" t="s">
        <v>63</v>
      </c>
      <c r="I4815" s="80" t="s">
        <v>63</v>
      </c>
      <c r="J4815" s="80">
        <v>1672.0</v>
      </c>
      <c r="K4815" s="80">
        <v>0.995830851697438</v>
      </c>
      <c r="L4815" s="80" t="s">
        <v>5258</v>
      </c>
    </row>
    <row r="4816">
      <c r="A4816" s="80" t="s">
        <v>5250</v>
      </c>
      <c r="B4816" s="81" t="str">
        <f>HYPERLINK("https://www.youtube.com/channel/UCaLz7sztAy-dSGi2ovFIP8A", "Dixon Chan")</f>
        <v>Dixon Chan</v>
      </c>
      <c r="C4816" s="80" t="s">
        <v>5259</v>
      </c>
      <c r="D4816" s="81" t="str">
        <f>HYPERLINK("https://youtube.com/watch?v=ie5wLA5o5nM", "露營香港 | 週末野炊煮食🥩韓式燒肉+紅酒牛肉🍖水源方便+少人露營地點💡")</f>
        <v>露營香港 | 週末野炊煮食🥩韓式燒肉+紅酒牛肉🍖水源方便+少人露營地點💡</v>
      </c>
      <c r="E4816" s="82">
        <v>43748.0</v>
      </c>
      <c r="F4816" s="80">
        <v>310.0</v>
      </c>
      <c r="G4816" s="80" t="s">
        <v>63</v>
      </c>
      <c r="I4816" s="80" t="s">
        <v>63</v>
      </c>
      <c r="J4816" s="80">
        <v>812.0</v>
      </c>
      <c r="K4816" s="80">
        <v>0.94090382387022</v>
      </c>
      <c r="L4816" s="80" t="s">
        <v>1132</v>
      </c>
    </row>
    <row r="4817">
      <c r="A4817" s="80" t="s">
        <v>3048</v>
      </c>
      <c r="B4817" s="81" t="str">
        <f>HYPERLINK("https://www.youtube.com/channel/UCHiP6GctzJdIkYP20_9k-zg", "英倫。美景 about.the.england")</f>
        <v>英倫。美景 about.the.england</v>
      </c>
      <c r="C4817" s="80" t="s">
        <v>5260</v>
      </c>
      <c r="D4817" s="81" t="str">
        <f>HYPERLINK("https://youtube.com/watch?v=XN1GAb6TjW0", "如何由香港HK車牌換英國GB車牌簡單教學😀How to exchange your non-British driving licence for a British licence.")</f>
        <v>如何由香港HK車牌換英國GB車牌簡單教學😀How to exchange your non-British driving licence for a British licence.</v>
      </c>
      <c r="E4817" s="82">
        <v>44590.0</v>
      </c>
      <c r="F4817" s="80">
        <v>330.0</v>
      </c>
      <c r="G4817" s="80" t="s">
        <v>63</v>
      </c>
      <c r="I4817" s="80" t="s">
        <v>63</v>
      </c>
      <c r="J4817" s="80">
        <v>1042.0</v>
      </c>
      <c r="K4817" s="80">
        <v>0.791793313069908</v>
      </c>
      <c r="L4817" s="80" t="s">
        <v>64</v>
      </c>
    </row>
    <row r="4818">
      <c r="A4818" s="80" t="s">
        <v>98</v>
      </c>
      <c r="B4818" s="81" t="str">
        <f>HYPERLINK("https://www.youtube.com/channel/UCrquuQB6v1Ued2xyRKZreGQ", "Stephen Leung ")</f>
        <v>Stephen Leung </v>
      </c>
      <c r="C4818" s="80" t="s">
        <v>5261</v>
      </c>
      <c r="D4818" s="81" t="str">
        <f>HYPERLINK("https://youtube.com/watch?v=Z6Z69mWc2zU", "【過年尋寶】香港 深水埗 清貨價 $2 新年揮春 任揀! 新年尋寶天地 賀年用品一應俱全 香港過年辦年貨必睇 🧧恭喜發財 ㊗️身體健康 🐯虎年行大運 | 吃喝玩樂 農曆新年")</f>
        <v>【過年尋寶】香港 深水埗 清貨價 $2 新年揮春 任揀! 新年尋寶天地 賀年用品一應俱全 香港過年辦年貨必睇 🧧恭喜發財 ㊗️身體健康 🐯虎年行大運 | 吃喝玩樂 農曆新年</v>
      </c>
      <c r="E4818" s="82">
        <v>44588.0</v>
      </c>
      <c r="F4818" s="80">
        <v>568.0</v>
      </c>
      <c r="G4818" s="80" t="s">
        <v>63</v>
      </c>
      <c r="I4818" s="80" t="s">
        <v>63</v>
      </c>
      <c r="J4818" s="80">
        <v>1644.0</v>
      </c>
      <c r="K4818" s="80">
        <v>0.981492537313432</v>
      </c>
      <c r="L4818" s="80" t="s">
        <v>64</v>
      </c>
    </row>
    <row r="4819">
      <c r="A4819" s="80" t="s">
        <v>124</v>
      </c>
      <c r="B4819" s="81" t="str">
        <f>HYPERLINK("https://www.youtube.com/channel/UCg0vuSE0fBF_NvodyYhMcWg", "Wallace Studio HK")</f>
        <v>Wallace Studio HK</v>
      </c>
      <c r="C4819" s="80" t="s">
        <v>5262</v>
      </c>
      <c r="D4819" s="81" t="str">
        <f>HYPERLINK("https://youtube.com/watch?v=FPX0EBqNt_Y", "iPad mini 6，依然稱霸！")</f>
        <v>iPad mini 6，依然稱霸！</v>
      </c>
      <c r="E4819" s="82">
        <v>44585.0</v>
      </c>
      <c r="F4819" s="80">
        <v>418.0</v>
      </c>
      <c r="G4819" s="80" t="s">
        <v>63</v>
      </c>
      <c r="H4819" s="80" t="s">
        <v>63</v>
      </c>
      <c r="I4819" s="80" t="s">
        <v>63</v>
      </c>
      <c r="J4819" s="80">
        <v>1578.0</v>
      </c>
      <c r="K4819" s="80">
        <v>0.76379477250726</v>
      </c>
      <c r="L4819" s="80" t="s">
        <v>86</v>
      </c>
    </row>
    <row r="4820">
      <c r="A4820" s="80" t="s">
        <v>1390</v>
      </c>
      <c r="B4820" s="81" t="str">
        <f>HYPERLINK("https://www.youtube.com/channel/UCgwEJflQi4WnZ8PU0xdibZQ", "Kinson Ho")</f>
        <v>Kinson Ho</v>
      </c>
      <c r="C4820" s="80" t="s">
        <v>5263</v>
      </c>
      <c r="D4820" s="81" t="str">
        <f>HYPERLINK("https://youtube.com/watch?v=IIs2mjEsQC8", "K神任我行 -  [CC字幕4K] 大帽山探秘｜光板田村彩虹樓梯＋壁畫｜迎仙谷｜小丑石｜雙三角石室｜石船石林｜相思石林｜大帽山雲海｜航拍")</f>
        <v>K神任我行 -  [CC字幕4K] 大帽山探秘｜光板田村彩虹樓梯＋壁畫｜迎仙谷｜小丑石｜雙三角石室｜石船石林｜相思石林｜大帽山雲海｜航拍</v>
      </c>
      <c r="E4820" s="82">
        <v>44589.0</v>
      </c>
      <c r="F4820" s="80">
        <v>1739.0</v>
      </c>
      <c r="G4820" s="80" t="s">
        <v>63</v>
      </c>
      <c r="I4820" s="80" t="s">
        <v>63</v>
      </c>
      <c r="J4820" s="80">
        <v>1651.0</v>
      </c>
      <c r="K4820" s="80">
        <v>0.98098633392751</v>
      </c>
      <c r="L4820" s="80" t="s">
        <v>64</v>
      </c>
    </row>
    <row r="4821">
      <c r="A4821" s="80" t="s">
        <v>124</v>
      </c>
      <c r="B4821" s="81" t="str">
        <f>HYPERLINK("https://www.youtube.com/channel/UCg0vuSE0fBF_NvodyYhMcWg", "Wallace Studio HK")</f>
        <v>Wallace Studio HK</v>
      </c>
      <c r="C4821" s="80" t="s">
        <v>5264</v>
      </c>
      <c r="D4821" s="81" t="str">
        <f>HYPERLINK("https://youtube.com/watch?v=v5kuXWy3KTw", "2022 Apple iPad 選購指南！")</f>
        <v>2022 Apple iPad 選購指南！</v>
      </c>
      <c r="E4821" s="82">
        <v>44591.0</v>
      </c>
      <c r="F4821" s="80">
        <v>488.0</v>
      </c>
      <c r="G4821" s="80" t="s">
        <v>63</v>
      </c>
      <c r="H4821" s="80" t="s">
        <v>63</v>
      </c>
      <c r="I4821" s="80" t="s">
        <v>63</v>
      </c>
      <c r="J4821" s="80">
        <v>1767.0</v>
      </c>
      <c r="K4821" s="80">
        <v>0.729261246388774</v>
      </c>
      <c r="L4821" s="80" t="s">
        <v>86</v>
      </c>
    </row>
    <row r="4822">
      <c r="A4822" s="80" t="s">
        <v>2041</v>
      </c>
      <c r="B4822" s="81" t="str">
        <f>HYPERLINK("https://www.youtube.com/channel/UCO6pB-ZN4XJ6MVkibvuEe0A", "SingSingTracker 星昇財經指標")</f>
        <v>SingSingTracker 星昇財經指標</v>
      </c>
      <c r="C4822" s="80" t="s">
        <v>5265</v>
      </c>
      <c r="D4822" s="81" t="str">
        <f>HYPERLINK("https://youtube.com/watch?v=HinrqiAIS1o", "【電子利是】派電子利是竟然有錢袋?! 現金獎賞$8888｜精選三間銀行 邊間最著數？｜優惠比較 使用教學 一片睇清｜PayMe搵姜濤、Marf、Day代言重磅宣傳 #payme #姜濤 #Collar")</f>
        <v>【電子利是】派電子利是竟然有錢袋?! 現金獎賞$8888｜精選三間銀行 邊間最著數？｜優惠比較 使用教學 一片睇清｜PayMe搵姜濤、Marf、Day代言重磅宣傳 #payme #姜濤 #Collar</v>
      </c>
      <c r="E4822" s="82">
        <v>44588.0</v>
      </c>
      <c r="F4822" s="80">
        <v>487.0</v>
      </c>
      <c r="G4822" s="80" t="s">
        <v>63</v>
      </c>
      <c r="I4822" s="80" t="s">
        <v>63</v>
      </c>
      <c r="J4822" s="80">
        <v>1565.0</v>
      </c>
      <c r="K4822" s="80">
        <v>0.88169014084507</v>
      </c>
      <c r="L4822" s="80" t="s">
        <v>64</v>
      </c>
    </row>
    <row r="4823">
      <c r="A4823" s="80" t="s">
        <v>248</v>
      </c>
      <c r="B4823" s="81" t="str">
        <f>HYPERLINK("https://www.youtube.com/channel/UCUEJok-GiWaGlv5nIPwk-GQ", "Price.com.hk 香港格價網")</f>
        <v>Price.com.hk 香港格價網</v>
      </c>
      <c r="C4823" s="80" t="s">
        <v>5266</v>
      </c>
      <c r="D4823" s="81" t="str">
        <f>HYPERLINK("https://youtube.com/watch?v=fZho2NX7vpw", "新iMac Pro將配備12核處理器？．Tom Cruise拍戲拍到上太空！．真人版Monster Hunter VR遊樂設施 | 廣東話【Price Weekly #99 2022年1月 】")</f>
        <v>新iMac Pro將配備12核處理器？．Tom Cruise拍戲拍到上太空！．真人版Monster Hunter VR遊樂設施 | 廣東話【Price Weekly #99 2022年1月 】</v>
      </c>
      <c r="E4823" s="82">
        <v>44590.0</v>
      </c>
      <c r="F4823" s="80">
        <v>436.0</v>
      </c>
      <c r="G4823" s="80" t="s">
        <v>63</v>
      </c>
      <c r="I4823" s="80" t="s">
        <v>63</v>
      </c>
      <c r="J4823" s="80">
        <v>1554.0</v>
      </c>
      <c r="K4823" s="80">
        <v>0.667812634293081</v>
      </c>
      <c r="L4823" s="80" t="s">
        <v>64</v>
      </c>
    </row>
    <row r="4824">
      <c r="A4824" s="80" t="s">
        <v>1139</v>
      </c>
      <c r="B4824" s="81" t="str">
        <f>HYPERLINK("https://www.youtube.com/channel/UCw51gVFijIewmXH4tIR0ufw", "Crystal Zen")</f>
        <v>Crystal Zen</v>
      </c>
      <c r="C4824" s="80" t="s">
        <v>5267</v>
      </c>
      <c r="D4824" s="81" t="str">
        <f>HYPERLINK("https://youtube.com/watch?v=wKs_Ym6Gjv8", "[水晶知多啲 番外篇] 原石近賞! 罕見大尺寸橄欖石原石現身! (中文字幕)")</f>
        <v>[水晶知多啲 番外篇] 原石近賞! 罕見大尺寸橄欖石原石現身! (中文字幕)</v>
      </c>
      <c r="E4824" s="82">
        <v>44590.0</v>
      </c>
      <c r="F4824" s="80">
        <v>435.0</v>
      </c>
      <c r="G4824" s="80" t="s">
        <v>63</v>
      </c>
      <c r="I4824" s="80" t="s">
        <v>63</v>
      </c>
      <c r="J4824" s="80">
        <v>1844.0</v>
      </c>
      <c r="K4824" s="80">
        <v>0.951005673027333</v>
      </c>
      <c r="L4824" s="80" t="s">
        <v>64</v>
      </c>
    </row>
    <row r="4825">
      <c r="A4825" s="80" t="s">
        <v>3051</v>
      </c>
      <c r="B4825" s="81" t="str">
        <f>HYPERLINK("https://www.youtube.com/channel/UCvE0FPIL24o2mnUQIqcSHYA", "柴犬春卷的英國日常 Shiba Harumaki in UK")</f>
        <v>柴犬春卷的英國日常 Shiba Harumaki in UK</v>
      </c>
      <c r="C4825" s="80" t="s">
        <v>5268</v>
      </c>
      <c r="D4825" s="81" t="str">
        <f>HYPERLINK("https://youtube.com/watch?v=-0QIFDQWg4k", "寵物一齊去睇樓｜曼城3房半獨立屋租幾錢?｜Wigan 3 Bed Semi Detached ｜柴犬春卷移民英國曼城｜寵物移民｜Shiba Inu Manchester｜廣東話中字ENG sub UK")</f>
        <v>寵物一齊去睇樓｜曼城3房半獨立屋租幾錢?｜Wigan 3 Bed Semi Detached ｜柴犬春卷移民英國曼城｜寵物移民｜Shiba Inu Manchester｜廣東話中字ENG sub UK</v>
      </c>
      <c r="E4825" s="82">
        <v>44589.0</v>
      </c>
      <c r="F4825" s="80">
        <v>665.0</v>
      </c>
      <c r="G4825" s="80" t="s">
        <v>63</v>
      </c>
      <c r="I4825" s="80" t="s">
        <v>63</v>
      </c>
      <c r="J4825" s="80">
        <v>1862.0</v>
      </c>
      <c r="K4825" s="80">
        <v>0.937091092098641</v>
      </c>
      <c r="L4825" s="80" t="s">
        <v>521</v>
      </c>
    </row>
    <row r="4826">
      <c r="A4826" s="80" t="s">
        <v>2585</v>
      </c>
      <c r="B4826" s="81" t="str">
        <f>HYPERLINK("https://www.youtube.com/channel/UCyyruuN0VecuYxPNR4un88Q", "混血肥仔")</f>
        <v>混血肥仔</v>
      </c>
      <c r="C4826" s="80" t="s">
        <v>5269</v>
      </c>
      <c r="D4826" s="81" t="str">
        <f>HYPERLINK("https://youtube.com/watch?v=IjgP9DjaXFU", "Spaceship特約：英國學生好開放? 😛 一路向北識女仔 #05")</f>
        <v>Spaceship特約：英國學生好開放? 😛 一路向北識女仔 #05</v>
      </c>
      <c r="E4826" s="82">
        <v>44585.0</v>
      </c>
      <c r="F4826" s="80">
        <v>662.0</v>
      </c>
      <c r="G4826" s="80" t="s">
        <v>63</v>
      </c>
      <c r="I4826" s="80" t="s">
        <v>63</v>
      </c>
      <c r="J4826" s="80">
        <v>1996.0</v>
      </c>
      <c r="K4826" s="80">
        <v>0.895468820098699</v>
      </c>
      <c r="L4826" s="80" t="s">
        <v>64</v>
      </c>
    </row>
    <row r="4827">
      <c r="A4827" s="80" t="s">
        <v>5250</v>
      </c>
      <c r="B4827" s="81" t="str">
        <f>HYPERLINK("https://www.youtube.com/channel/UCaLz7sztAy-dSGi2ovFIP8A", "Dixon Chan")</f>
        <v>Dixon Chan</v>
      </c>
      <c r="C4827" s="80" t="s">
        <v>5270</v>
      </c>
      <c r="D4827" s="81" t="str">
        <f>HYPERLINK("https://youtube.com/watch?v=7mxccLbf0P0", "DJI Mavic Mini實試用後感🏔新手航拍機香港用家心得🇭🇰Mini 1 vs Mini 2 比較好❓| 科技、開箱、評測、教學")</f>
        <v>DJI Mavic Mini實試用後感🏔新手航拍機香港用家心得🇭🇰Mini 1 vs Mini 2 比較好❓| 科技、開箱、評測、教學</v>
      </c>
      <c r="E4827" s="82">
        <v>43890.0</v>
      </c>
      <c r="F4827" s="80">
        <v>518.0</v>
      </c>
      <c r="G4827" s="80" t="s">
        <v>63</v>
      </c>
      <c r="I4827" s="80" t="s">
        <v>63</v>
      </c>
      <c r="J4827" s="80">
        <v>1799.0</v>
      </c>
      <c r="K4827" s="80">
        <v>0.763582342954159</v>
      </c>
      <c r="L4827" s="80" t="s">
        <v>1132</v>
      </c>
    </row>
    <row r="4828">
      <c r="A4828" s="80" t="s">
        <v>3170</v>
      </c>
      <c r="B4828" s="81" t="str">
        <f>HYPERLINK("https://www.youtube.com/channel/UC4sYIzNtzgaJudHQcDGtuJA", "CC漫遊")</f>
        <v>CC漫遊</v>
      </c>
      <c r="C4828" s="80" t="s">
        <v>5271</v>
      </c>
      <c r="D4828" s="81" t="str">
        <f>HYPERLINK("https://youtube.com/watch?v=xZajWkenLg4", "【島民Vlog】坪洲人在家工作的一天👩🏻‍💻｜排長龍的唯一超市｜ 迎接新年嘅屋企裝飾🧧｜ 夕陽下嘅海邊散步🌅 [English Subtitle]")</f>
        <v>【島民Vlog】坪洲人在家工作的一天👩🏻‍💻｜排長龍的唯一超市｜ 迎接新年嘅屋企裝飾🧧｜ 夕陽下嘅海邊散步🌅 [English Subtitle]</v>
      </c>
      <c r="E4828" s="82">
        <v>44591.0</v>
      </c>
      <c r="F4828" s="80">
        <v>579.0</v>
      </c>
      <c r="G4828" s="80" t="s">
        <v>63</v>
      </c>
      <c r="I4828" s="80" t="s">
        <v>63</v>
      </c>
      <c r="J4828" s="80">
        <v>1337.0</v>
      </c>
      <c r="K4828" s="80">
        <v>0.944876325088339</v>
      </c>
      <c r="L4828" s="80" t="s">
        <v>287</v>
      </c>
    </row>
    <row r="4829">
      <c r="A4829" s="80" t="s">
        <v>2800</v>
      </c>
      <c r="B4829" s="81" t="str">
        <f>HYPERLINK("https://www.youtube.com/channel/UCMqrlsr-AECPc6_3oDr8m9w", "Unicorn 獸哥")</f>
        <v>Unicorn 獸哥</v>
      </c>
      <c r="C4829" s="80" t="s">
        <v>5272</v>
      </c>
      <c r="D4829" s="81" t="str">
        <f>HYPERLINK("https://youtube.com/watch?v=v2jSrCb7ezE", "變身！月光騎士！Marvel 痴線佬英雄moon knight角色介紹")</f>
        <v>變身！月光騎士！Marvel 痴線佬英雄moon knight角色介紹</v>
      </c>
      <c r="E4829" s="82">
        <v>44585.0</v>
      </c>
      <c r="F4829" s="80">
        <v>432.0</v>
      </c>
      <c r="G4829" s="80" t="s">
        <v>63</v>
      </c>
      <c r="I4829" s="80" t="s">
        <v>63</v>
      </c>
      <c r="J4829" s="80">
        <v>1920.0</v>
      </c>
      <c r="K4829" s="80">
        <v>0.761602538675129</v>
      </c>
      <c r="L4829" s="80" t="s">
        <v>64</v>
      </c>
    </row>
    <row r="4830">
      <c r="A4830" s="80" t="s">
        <v>248</v>
      </c>
      <c r="B4830" s="81" t="str">
        <f>HYPERLINK("https://www.youtube.com/channel/UCUEJok-GiWaGlv5nIPwk-GQ", "Price.com.hk 香港格價網")</f>
        <v>Price.com.hk 香港格價網</v>
      </c>
      <c r="C4830" s="80" t="s">
        <v>5273</v>
      </c>
      <c r="D4830" s="81" t="str">
        <f>HYPERLINK("https://youtube.com/watch?v=nRiuBL08VgE", "入門耳機新選擇？Defunc True Audio、Entertainment、Sport｜特約專題｜廣東話【Price.com.hk產品比較】")</f>
        <v>入門耳機新選擇？Defunc True Audio、Entertainment、Sport｜特約專題｜廣東話【Price.com.hk產品比較】</v>
      </c>
      <c r="E4830" s="82">
        <v>44586.0</v>
      </c>
      <c r="F4830" s="80">
        <v>412.0</v>
      </c>
      <c r="G4830" s="80" t="s">
        <v>63</v>
      </c>
      <c r="I4830" s="80" t="s">
        <v>63</v>
      </c>
      <c r="J4830" s="80">
        <v>1422.0</v>
      </c>
      <c r="K4830" s="80">
        <v>0.796638655462184</v>
      </c>
      <c r="L4830" s="80" t="s">
        <v>64</v>
      </c>
    </row>
    <row r="4831">
      <c r="A4831" s="80" t="s">
        <v>293</v>
      </c>
      <c r="B4831" s="81" t="str">
        <f>HYPERLINK("https://www.youtube.com/channel/UCXRcbXqjORdIvl63I7MtOLQ", "趁熱 Kerry 's kitchen")</f>
        <v>趁熱 Kerry 's kitchen</v>
      </c>
      <c r="C4831" s="80" t="s">
        <v>5274</v>
      </c>
      <c r="D4831" s="81" t="str">
        <f>HYPERLINK("https://youtube.com/watch?v=_D8TKidD2IE", "油鹽水浸海魚/業內蒸魚豉油配方做法/自己做唔駛買/浸比蒸更滑更簡單/簡單 家做/新手 入門/廣東話 /中字/poach sea fish .Asia style")</f>
        <v>油鹽水浸海魚/業內蒸魚豉油配方做法/自己做唔駛買/浸比蒸更滑更簡單/簡單 家做/新手 入門/廣東話 /中字/poach sea fish .Asia style</v>
      </c>
      <c r="E4831" s="82">
        <v>44589.0</v>
      </c>
      <c r="F4831" s="80">
        <v>607.0</v>
      </c>
      <c r="G4831" s="80" t="s">
        <v>63</v>
      </c>
      <c r="I4831" s="80" t="s">
        <v>63</v>
      </c>
      <c r="J4831" s="80">
        <v>496.0</v>
      </c>
      <c r="K4831" s="80">
        <v>0.976377952755905</v>
      </c>
      <c r="L4831" s="80" t="s">
        <v>64</v>
      </c>
    </row>
    <row r="4832">
      <c r="A4832" s="80" t="s">
        <v>74</v>
      </c>
      <c r="B4832" s="81" t="str">
        <f>HYPERLINK("https://www.youtube.com/channel/UCO_5XP-qd-udNxBlzzSzgvw", "Handline Fishing")</f>
        <v>Handline Fishing</v>
      </c>
      <c r="C4832" s="80" t="s">
        <v>5275</v>
      </c>
      <c r="D4832" s="81" t="str">
        <f>HYPERLINK("https://youtube.com/watch?v=hc2D6KAlHNQ", "#271 尋找電廠的金絲鱲 | 香港釣魚 | 艇釣/岸釣 | 南丫發電廠 {粵語旁白+中英文字幕}")</f>
        <v>#271 尋找電廠的金絲鱲 | 香港釣魚 | 艇釣/岸釣 | 南丫發電廠 {粵語旁白+中英文字幕}</v>
      </c>
      <c r="E4832" s="82">
        <v>44592.0</v>
      </c>
      <c r="F4832" s="80">
        <v>304.0</v>
      </c>
      <c r="G4832" s="80" t="s">
        <v>63</v>
      </c>
      <c r="H4832" s="80" t="s">
        <v>63</v>
      </c>
      <c r="I4832" s="80" t="s">
        <v>63</v>
      </c>
      <c r="J4832" s="80">
        <v>305.0</v>
      </c>
      <c r="K4832" s="80">
        <v>0.932721712538226</v>
      </c>
      <c r="L4832" s="80" t="s">
        <v>88</v>
      </c>
    </row>
    <row r="4833">
      <c r="A4833" s="80" t="s">
        <v>238</v>
      </c>
      <c r="B4833" s="81" t="str">
        <f>HYPERLINK("https://www.youtube.com/channel/UCSBkm4LwpgBmcA3MCtO8vqg", "Post76影音玩樂")</f>
        <v>Post76影音玩樂</v>
      </c>
      <c r="C4833" s="80" t="s">
        <v>5276</v>
      </c>
      <c r="D4833" s="81" t="str">
        <f>HYPERLINK("https://youtube.com/watch?v=2PzgEeg1uc4", "Polk Audio Signa S4 Soundbar : 入門價 Dolby Atmos 3.1.2 支援對白增強功能 3D 影院實測（附設cc字幕）【Soundbar評測】")</f>
        <v>Polk Audio Signa S4 Soundbar : 入門價 Dolby Atmos 3.1.2 支援對白增強功能 3D 影院實測（附設cc字幕）【Soundbar評測】</v>
      </c>
      <c r="E4833" s="82">
        <v>44589.0</v>
      </c>
      <c r="F4833" s="80">
        <v>878.0</v>
      </c>
      <c r="G4833" s="80" t="s">
        <v>63</v>
      </c>
      <c r="H4833" s="80" t="s">
        <v>63</v>
      </c>
      <c r="I4833" s="80" t="s">
        <v>63</v>
      </c>
      <c r="J4833" s="80">
        <v>3883.0</v>
      </c>
      <c r="K4833" s="80">
        <v>0.83469475494411</v>
      </c>
      <c r="L4833" s="80" t="s">
        <v>240</v>
      </c>
    </row>
    <row r="4834">
      <c r="A4834" s="80" t="s">
        <v>1670</v>
      </c>
      <c r="B4834" s="81" t="str">
        <f>HYPERLINK("https://www.youtube.com/channel/UC-PIt5m-WOg8UVBkt2RnN0g", "阿JACK睇樓團")</f>
        <v>阿JACK睇樓團</v>
      </c>
      <c r="C4834" s="80" t="s">
        <v>5277</v>
      </c>
      <c r="D4834" s="81" t="str">
        <f>HYPERLINK("https://youtube.com/watch?v=Xhl7pXudN3g", "(真)上車盤🥲屯門三寶究竟係點嘅樣 預計俾你地彈既一集🥲輕手啲 ￼ #置樂 #萬寶 #麗寶#上車盤#利寶 #睇樓 阿Jack睇樓團￼")</f>
        <v>(真)上車盤🥲屯門三寶究竟係點嘅樣 預計俾你地彈既一集🥲輕手啲 ￼ #置樂 #萬寶 #麗寶#上車盤#利寶 #睇樓 阿Jack睇樓團￼</v>
      </c>
      <c r="E4834" s="82">
        <v>44589.0</v>
      </c>
      <c r="F4834" s="80">
        <v>402.0</v>
      </c>
      <c r="G4834" s="80" t="s">
        <v>63</v>
      </c>
      <c r="I4834" s="80" t="s">
        <v>63</v>
      </c>
      <c r="J4834" s="80">
        <v>1549.0</v>
      </c>
      <c r="K4834" s="80">
        <v>0.996141479099678</v>
      </c>
      <c r="L4834" s="80" t="s">
        <v>64</v>
      </c>
    </row>
    <row r="4835">
      <c r="A4835" s="80" t="s">
        <v>5250</v>
      </c>
      <c r="B4835" s="81" t="str">
        <f>HYPERLINK("https://www.youtube.com/channel/UCaLz7sztAy-dSGi2ovFIP8A", "Dixon Chan")</f>
        <v>Dixon Chan</v>
      </c>
      <c r="C4835" s="80" t="s">
        <v>5278</v>
      </c>
      <c r="D4835" s="81" t="str">
        <f>HYPERLINK("https://youtube.com/watch?v=RGoBjEtSDpY", "露營用品分享 | 北歐煮食爐具🥣一房一廳帳篷+睡袋地蓆🏖行山背囊+天幕⛺️實用工具介紹🎒 | 香港露營裝備開箱")</f>
        <v>露營用品分享 | 北歐煮食爐具🥣一房一廳帳篷+睡袋地蓆🏖行山背囊+天幕⛺️實用工具介紹🎒 | 香港露營裝備開箱</v>
      </c>
      <c r="E4835" s="82">
        <v>43853.0</v>
      </c>
      <c r="F4835" s="80">
        <v>716.0</v>
      </c>
      <c r="G4835" s="80" t="s">
        <v>63</v>
      </c>
      <c r="I4835" s="80" t="s">
        <v>63</v>
      </c>
      <c r="J4835" s="80">
        <v>2191.0</v>
      </c>
      <c r="K4835" s="80">
        <v>0.862938164631744</v>
      </c>
      <c r="L4835" s="80" t="s">
        <v>1132</v>
      </c>
    </row>
    <row r="4836">
      <c r="A4836" s="80" t="s">
        <v>124</v>
      </c>
      <c r="B4836" s="81" t="str">
        <f>HYPERLINK("https://www.youtube.com/channel/UCg0vuSE0fBF_NvodyYhMcWg", "Wallace Studio HK")</f>
        <v>Wallace Studio HK</v>
      </c>
      <c r="C4836" s="80" t="s">
        <v>5279</v>
      </c>
      <c r="D4836" s="81" t="str">
        <f>HYPERLINK("https://youtube.com/watch?v=x94imOZiRZM", "Surface Go 3，真・生產力小型平板！")</f>
        <v>Surface Go 3，真・生產力小型平板！</v>
      </c>
      <c r="E4836" s="82">
        <v>44587.0</v>
      </c>
      <c r="F4836" s="80">
        <v>443.0</v>
      </c>
      <c r="G4836" s="80" t="s">
        <v>63</v>
      </c>
      <c r="H4836" s="80" t="s">
        <v>63</v>
      </c>
      <c r="I4836" s="80" t="s">
        <v>63</v>
      </c>
      <c r="J4836" s="80">
        <v>1666.0</v>
      </c>
      <c r="K4836" s="80">
        <v>0.756830601092896</v>
      </c>
      <c r="L4836" s="80" t="s">
        <v>86</v>
      </c>
    </row>
    <row r="4837">
      <c r="A4837" s="80" t="s">
        <v>5280</v>
      </c>
      <c r="B4837" s="81" t="str">
        <f>HYPERLINK("https://www.youtube.com/channel/UCbC9qw58e03MLeYCacIeNcg", "Kaiyan heyMommio")</f>
        <v>Kaiyan heyMommio</v>
      </c>
      <c r="C4837" s="80" t="s">
        <v>5281</v>
      </c>
      <c r="D4837" s="81" t="str">
        <f>HYPERLINK("https://youtube.com/watch?v=cVhAlFzm3xw", "媽咪講波 NBA finals 2021 in Cantonese NBA 總決賽 Eng CC Subtitles")</f>
        <v>媽咪講波 NBA finals 2021 in Cantonese NBA 總決賽 Eng CC Subtitles</v>
      </c>
      <c r="E4837" s="82">
        <v>44390.0</v>
      </c>
      <c r="F4837" s="80">
        <v>246.0</v>
      </c>
      <c r="G4837" s="80" t="s">
        <v>63</v>
      </c>
      <c r="I4837" s="80" t="s">
        <v>63</v>
      </c>
      <c r="J4837" s="80">
        <v>8.0</v>
      </c>
      <c r="K4837" s="80">
        <v>0.00404448938321536</v>
      </c>
      <c r="L4837" s="80" t="s">
        <v>64</v>
      </c>
    </row>
    <row r="4838">
      <c r="A4838" s="80" t="s">
        <v>124</v>
      </c>
      <c r="B4838" s="81" t="str">
        <f>HYPERLINK("https://www.youtube.com/channel/UCg0vuSE0fBF_NvodyYhMcWg", "Wallace Studio HK")</f>
        <v>Wallace Studio HK</v>
      </c>
      <c r="C4838" s="80" t="s">
        <v>5282</v>
      </c>
      <c r="D4838" s="81" t="str">
        <f>HYPERLINK("https://youtube.com/watch?v=vUXubYI1rcg", "香港花墟年花懶人包！3個影花必備貼士（with iPhone 13 Pro ,Panasonic LUMIX S5).")</f>
        <v>香港花墟年花懶人包！3個影花必備貼士（with iPhone 13 Pro ,Panasonic LUMIX S5).</v>
      </c>
      <c r="E4838" s="82">
        <v>44589.0</v>
      </c>
      <c r="F4838" s="80">
        <v>697.0</v>
      </c>
      <c r="G4838" s="80" t="s">
        <v>63</v>
      </c>
      <c r="I4838" s="80" t="s">
        <v>63</v>
      </c>
      <c r="J4838" s="80">
        <v>1385.0</v>
      </c>
      <c r="K4838" s="80">
        <v>0.93581081081081</v>
      </c>
      <c r="L4838" s="80" t="s">
        <v>64</v>
      </c>
    </row>
    <row r="4839">
      <c r="A4839" s="80" t="s">
        <v>2753</v>
      </c>
      <c r="B4839" s="81" t="str">
        <f>HYPERLINK("https://www.youtube.com/channel/UCxRXNy5P6fLtHYpawxoiqJQ", "焦點視頻")</f>
        <v>焦點視頻</v>
      </c>
      <c r="C4839" s="80" t="s">
        <v>5283</v>
      </c>
      <c r="D4839" s="81" t="str">
        <f>HYPERLINK("https://youtube.com/watch?v=UTrO1uRutDk", "(CC中字) 中新春金多寶技巧公開！ 幸運投注站梗有一個係身邊？ 新春六合彩必勝法？ 揀啱時辰投注有意想不到收獲！ #金多寶 #幸運投注站 #六合彩《洪宗玉風水命理》 EP14 20220128")</f>
        <v>(CC中字) 中新春金多寶技巧公開！ 幸運投注站梗有一個係身邊？ 新春六合彩必勝法？ 揀啱時辰投注有意想不到收獲！ #金多寶 #幸運投注站 #六合彩《洪宗玉風水命理》 EP14 20220128</v>
      </c>
      <c r="E4839" s="82">
        <v>44588.0</v>
      </c>
      <c r="F4839" s="80">
        <v>492.0</v>
      </c>
      <c r="G4839" s="80" t="s">
        <v>63</v>
      </c>
      <c r="I4839" s="80" t="s">
        <v>63</v>
      </c>
      <c r="J4839" s="80">
        <v>1870.0</v>
      </c>
      <c r="K4839" s="80">
        <v>0.998398291510945</v>
      </c>
      <c r="L4839" s="80" t="s">
        <v>5284</v>
      </c>
    </row>
    <row r="4840">
      <c r="A4840" s="80" t="s">
        <v>5250</v>
      </c>
      <c r="B4840" s="81" t="str">
        <f t="shared" ref="B4840:B4841" si="264">HYPERLINK("https://www.youtube.com/channel/UCaLz7sztAy-dSGi2ovFIP8A", "Dixon Chan")</f>
        <v>Dixon Chan</v>
      </c>
      <c r="C4840" s="80" t="s">
        <v>5285</v>
      </c>
      <c r="D4840" s="81" t="str">
        <f>HYPERLINK("https://youtube.com/watch?v=ifhrE2OtmkM", "超短石澗行山路線💦清涼瀑布洞穴打卡位👙🙈夏日行山＋露營用品推介⛰野外Staycation香港一日遊📸")</f>
        <v>超短石澗行山路線💦清涼瀑布洞穴打卡位👙🙈夏日行山＋露營用品推介⛰野外Staycation香港一日遊📸</v>
      </c>
      <c r="E4840" s="82">
        <v>44357.0</v>
      </c>
      <c r="F4840" s="80">
        <v>482.0</v>
      </c>
      <c r="G4840" s="80" t="s">
        <v>63</v>
      </c>
      <c r="I4840" s="80" t="s">
        <v>63</v>
      </c>
      <c r="J4840" s="80">
        <v>1439.0</v>
      </c>
      <c r="K4840" s="80">
        <v>0.853499406880189</v>
      </c>
      <c r="L4840" s="80" t="s">
        <v>287</v>
      </c>
    </row>
    <row r="4841">
      <c r="A4841" s="80" t="s">
        <v>5250</v>
      </c>
      <c r="B4841" s="81" t="str">
        <f t="shared" si="264"/>
        <v>Dixon Chan</v>
      </c>
      <c r="C4841" s="80" t="s">
        <v>5286</v>
      </c>
      <c r="D4841" s="81" t="str">
        <f>HYPERLINK("https://youtube.com/watch?v=hzwMepVOp7U", "新手露營用品分享🎒基本必買入門裝備有甚麼❓樓上小店特色營燈、睡袋地蓆、煮食爐🏮香港露營介紹")</f>
        <v>新手露營用品分享🎒基本必買入門裝備有甚麼❓樓上小店特色營燈、睡袋地蓆、煮食爐🏮香港露營介紹</v>
      </c>
      <c r="E4841" s="82">
        <v>43903.0</v>
      </c>
      <c r="F4841" s="80">
        <v>603.0</v>
      </c>
      <c r="G4841" s="80" t="s">
        <v>63</v>
      </c>
      <c r="I4841" s="80" t="s">
        <v>63</v>
      </c>
      <c r="J4841" s="80">
        <v>1554.0</v>
      </c>
      <c r="K4841" s="80">
        <v>0.829242262540021</v>
      </c>
      <c r="L4841" s="80" t="s">
        <v>1132</v>
      </c>
    </row>
    <row r="4842">
      <c r="A4842" s="80" t="s">
        <v>260</v>
      </c>
      <c r="B4842" s="81" t="str">
        <f>HYPERLINK("https://www.youtube.com/channel/UC-HXOikkLx7BGEfILGIpYOg", "港短 . 英移")</f>
        <v>港短 . 英移</v>
      </c>
      <c r="C4842" s="80" t="s">
        <v>5287</v>
      </c>
      <c r="D4842" s="81" t="str">
        <f>HYPERLINK("https://youtube.com/watch?v=gcub_ScNjp0", "英國馬路好多伏? | 英國揸車7個注意事項 新手老手揸車都一定要知😮 | 港短.英移 #英國揸車注意事項  #移民英國 #英國生活")</f>
        <v>英國馬路好多伏? | 英國揸車7個注意事項 新手老手揸車都一定要知😮 | 港短.英移 #英國揸車注意事項  #移民英國 #英國生活</v>
      </c>
      <c r="E4842" s="82">
        <v>44589.0</v>
      </c>
      <c r="F4842" s="80">
        <v>476.0</v>
      </c>
      <c r="G4842" s="80" t="s">
        <v>63</v>
      </c>
      <c r="I4842" s="80" t="s">
        <v>63</v>
      </c>
      <c r="J4842" s="80">
        <v>1694.0</v>
      </c>
      <c r="K4842" s="80">
        <v>0.934878587196468</v>
      </c>
      <c r="L4842" s="80" t="s">
        <v>102</v>
      </c>
    </row>
    <row r="4843">
      <c r="A4843" s="80" t="s">
        <v>2780</v>
      </c>
      <c r="B4843" s="81" t="str">
        <f>HYPERLINK("https://www.youtube.com/channel/UC0CojhLcc0VESgaG633m5kA", "RainErs")</f>
        <v>RainErs</v>
      </c>
      <c r="C4843" s="80" t="s">
        <v>5288</v>
      </c>
      <c r="D4843" s="81" t="str">
        <f>HYPERLINK("https://youtube.com/watch?v=sMkgBel-TNw", "彩虹邨打卡點🌈 ⁉️-- 舊區打卡點之一⁉️//真係適合打卡❓❓[有CC字幕]")</f>
        <v>彩虹邨打卡點🌈 ⁉️-- 舊區打卡點之一⁉️//真係適合打卡❓❓[有CC字幕]</v>
      </c>
      <c r="E4843" s="82">
        <v>44586.0</v>
      </c>
      <c r="F4843" s="80">
        <v>194.0</v>
      </c>
      <c r="G4843" s="80" t="s">
        <v>63</v>
      </c>
      <c r="I4843" s="80" t="s">
        <v>63</v>
      </c>
      <c r="J4843" s="80">
        <v>730.0</v>
      </c>
      <c r="K4843" s="80">
        <v>0.970744680851063</v>
      </c>
      <c r="L4843" s="80" t="s">
        <v>64</v>
      </c>
    </row>
    <row r="4844">
      <c r="A4844" s="80" t="s">
        <v>293</v>
      </c>
      <c r="B4844" s="81" t="str">
        <f>HYPERLINK("https://www.youtube.com/channel/UCXRcbXqjORdIvl63I7MtOLQ", "趁熱 Kerry 's kitchen")</f>
        <v>趁熱 Kerry 's kitchen</v>
      </c>
      <c r="C4844" s="80" t="s">
        <v>5289</v>
      </c>
      <c r="D4844" s="81" t="str">
        <f>HYPERLINK("https://youtube.com/watch?v=zn22wrIJ5k8", "年菜/乾煸 鮮菇時蔬/兩樣食材攪掂/超簡單年菜/低 成本/唔失禮/廣東話/中文字幕/新手 入門")</f>
        <v>年菜/乾煸 鮮菇時蔬/兩樣食材攪掂/超簡單年菜/低 成本/唔失禮/廣東話/中文字幕/新手 入門</v>
      </c>
      <c r="E4844" s="82">
        <v>44592.0</v>
      </c>
      <c r="F4844" s="80">
        <v>617.0</v>
      </c>
      <c r="G4844" s="80" t="s">
        <v>63</v>
      </c>
      <c r="I4844" s="80" t="s">
        <v>63</v>
      </c>
      <c r="J4844" s="80">
        <v>571.0</v>
      </c>
      <c r="K4844" s="80">
        <v>0.981099656357388</v>
      </c>
      <c r="L4844" s="80" t="s">
        <v>64</v>
      </c>
    </row>
    <row r="4845">
      <c r="A4845" s="80" t="s">
        <v>96</v>
      </c>
      <c r="B4845" s="81" t="str">
        <f>HYPERLINK("https://www.youtube.com/channel/UCGtyHJ-L_4RDIHe3XaLofQQ", "Anson Cheung")</f>
        <v>Anson Cheung</v>
      </c>
      <c r="C4845" s="80" t="s">
        <v>5290</v>
      </c>
      <c r="D4845" s="81" t="str">
        <f>HYPERLINK("https://youtube.com/watch?v=Yz0jvu1B2FY", "Jabra Elite 7 Pro : 又再次成為我最中意嘅無線耳機（都係暫時🤣）｜Anson Cheung")</f>
        <v>Jabra Elite 7 Pro : 又再次成為我最中意嘅無線耳機（都係暫時🤣）｜Anson Cheung</v>
      </c>
      <c r="E4845" s="82">
        <v>44587.0</v>
      </c>
      <c r="F4845" s="80">
        <v>578.0</v>
      </c>
      <c r="G4845" s="80" t="s">
        <v>63</v>
      </c>
      <c r="I4845" s="80" t="s">
        <v>63</v>
      </c>
      <c r="J4845" s="80">
        <v>2354.0</v>
      </c>
      <c r="K4845" s="80">
        <v>0.678190723134543</v>
      </c>
      <c r="L4845" s="80" t="s">
        <v>64</v>
      </c>
    </row>
    <row r="4846">
      <c r="A4846" s="80" t="s">
        <v>124</v>
      </c>
      <c r="B4846" s="81" t="str">
        <f>HYPERLINK("https://www.youtube.com/channel/UCg0vuSE0fBF_NvodyYhMcWg", "Wallace Studio HK")</f>
        <v>Wallace Studio HK</v>
      </c>
      <c r="C4846" s="80" t="s">
        <v>5291</v>
      </c>
      <c r="D4846" s="81" t="str">
        <f>HYPERLINK("https://youtube.com/watch?v=HYKhqMJtPww", "教你如何用手機在家拍攝教學影片! 鎅水仙教學拍攝流程！")</f>
        <v>教你如何用手機在家拍攝教學影片! 鎅水仙教學拍攝流程！</v>
      </c>
      <c r="E4846" s="82">
        <v>44590.0</v>
      </c>
      <c r="F4846" s="80">
        <v>712.0</v>
      </c>
      <c r="G4846" s="80" t="s">
        <v>63</v>
      </c>
      <c r="I4846" s="80" t="s">
        <v>63</v>
      </c>
      <c r="J4846" s="80">
        <v>1933.0</v>
      </c>
      <c r="K4846" s="80">
        <v>0.895736793327154</v>
      </c>
      <c r="L4846" s="80" t="s">
        <v>64</v>
      </c>
    </row>
    <row r="4847">
      <c r="A4847" s="80" t="s">
        <v>2829</v>
      </c>
      <c r="B4847" s="81" t="str">
        <f>HYPERLINK("https://www.youtube.com/channel/UC7GnES6AEQlDzaP04UqtyjA", "SOLID IDEA")</f>
        <v>SOLID IDEA</v>
      </c>
      <c r="C4847" s="80" t="s">
        <v>5292</v>
      </c>
      <c r="D4847" s="81" t="str">
        <f>HYPERLINK("https://youtube.com/watch?v=EuujZss0gw0", "[#設計概念] #TheHenley 型格家居打造！ | 室內設計 | 空間擺位 | SOLID IDEA | (CC中文字幕)")</f>
        <v>[#設計概念] #TheHenley 型格家居打造！ | 室內設計 | 空間擺位 | SOLID IDEA | (CC中文字幕)</v>
      </c>
      <c r="E4847" s="82">
        <v>44589.0</v>
      </c>
      <c r="F4847" s="80">
        <v>214.0</v>
      </c>
      <c r="G4847" s="80" t="s">
        <v>63</v>
      </c>
      <c r="I4847" s="80" t="s">
        <v>63</v>
      </c>
      <c r="J4847" s="80">
        <v>385.0</v>
      </c>
      <c r="K4847" s="80">
        <v>0.893271461716937</v>
      </c>
      <c r="L4847" s="80" t="s">
        <v>64</v>
      </c>
    </row>
    <row r="4848">
      <c r="A4848" s="80" t="s">
        <v>755</v>
      </c>
      <c r="B4848" s="81" t="str">
        <f>HYPERLINK("https://www.youtube.com/channel/UCBiJDTc82IM68KVH873VeAw", "Live in Kwangsi廣西人·情·味")</f>
        <v>Live in Kwangsi廣西人·情·味</v>
      </c>
      <c r="C4848" s="80" t="s">
        <v>5293</v>
      </c>
      <c r="D4848" s="81" t="str">
        <f>HYPERLINK("https://youtube.com/watch?v=6E4xosBznSQ", "新年喺賀州鄉下郊遊 山清水秀啲人又淳樸唔識都請入屋食特產｜廣西vlog")</f>
        <v>新年喺賀州鄉下郊遊 山清水秀啲人又淳樸唔識都請入屋食特產｜廣西vlog</v>
      </c>
      <c r="E4848" s="82">
        <v>44586.0</v>
      </c>
      <c r="F4848" s="80">
        <v>1102.0</v>
      </c>
      <c r="G4848" s="80" t="s">
        <v>63</v>
      </c>
      <c r="I4848" s="80" t="s">
        <v>63</v>
      </c>
      <c r="J4848" s="80">
        <v>1111.0</v>
      </c>
      <c r="K4848" s="80">
        <v>0.984056687333923</v>
      </c>
      <c r="L4848" s="80" t="s">
        <v>757</v>
      </c>
    </row>
    <row r="4849">
      <c r="A4849" s="80" t="s">
        <v>238</v>
      </c>
      <c r="B4849" s="81" t="str">
        <f t="shared" ref="B4849:B4850" si="265">HYPERLINK("https://www.youtube.com/channel/UCSBkm4LwpgBmcA3MCtO8vqg", "Post76影音玩樂")</f>
        <v>Post76影音玩樂</v>
      </c>
      <c r="C4849" s="80" t="s">
        <v>5294</v>
      </c>
      <c r="D4849" s="81" t="str">
        <f>HYPERLINK("https://youtube.com/watch?v=lmSUBHwQyVU", "與 Dolby Lab. 攜手打造...... 遼闊離箱 Atmos 音場 ! Creative SXFI Carrier 5.1.2 Soundbar 實試（附設cc字幕）【Soundbar評測】")</f>
        <v>與 Dolby Lab. 攜手打造...... 遼闊離箱 Atmos 音場 ! Creative SXFI Carrier 5.1.2 Soundbar 實試（附設cc字幕）【Soundbar評測】</v>
      </c>
      <c r="E4849" s="82">
        <v>44590.0</v>
      </c>
      <c r="F4849" s="80">
        <v>523.0</v>
      </c>
      <c r="G4849" s="80" t="s">
        <v>63</v>
      </c>
      <c r="H4849" s="80" t="s">
        <v>63</v>
      </c>
      <c r="I4849" s="80" t="s">
        <v>63</v>
      </c>
      <c r="J4849" s="80">
        <v>1482.0</v>
      </c>
      <c r="K4849" s="80">
        <v>0.688022284122562</v>
      </c>
      <c r="L4849" s="80" t="s">
        <v>240</v>
      </c>
    </row>
    <row r="4850">
      <c r="A4850" s="80" t="s">
        <v>238</v>
      </c>
      <c r="B4850" s="81" t="str">
        <f t="shared" si="265"/>
        <v>Post76影音玩樂</v>
      </c>
      <c r="C4850" s="80" t="s">
        <v>5295</v>
      </c>
      <c r="D4850" s="81" t="str">
        <f>HYPERLINK("https://youtube.com/watch?v=IrxfpYRV95Y", "Sound United 海港城體驗店 : 親身試玩最新 B&amp;W , Denon , Marantz , Classé , Polk , Definitive 音響！（附設cc字幕）【新店推介】")</f>
        <v>Sound United 海港城體驗店 : 親身試玩最新 B&amp;W , Denon , Marantz , Classé , Polk , Definitive 音響！（附設cc字幕）【新店推介】</v>
      </c>
      <c r="E4850" s="82">
        <v>44592.0</v>
      </c>
      <c r="F4850" s="80">
        <v>322.0</v>
      </c>
      <c r="G4850" s="80" t="s">
        <v>63</v>
      </c>
      <c r="H4850" s="80" t="s">
        <v>63</v>
      </c>
      <c r="I4850" s="80" t="s">
        <v>63</v>
      </c>
      <c r="J4850" s="80">
        <v>1191.0</v>
      </c>
      <c r="K4850" s="80">
        <v>0.775895765472312</v>
      </c>
      <c r="L4850" s="80" t="s">
        <v>240</v>
      </c>
    </row>
    <row r="4851">
      <c r="A4851" s="80" t="s">
        <v>248</v>
      </c>
      <c r="B4851" s="81" t="str">
        <f>HYPERLINK("https://www.youtube.com/channel/UCUEJok-GiWaGlv5nIPwk-GQ", "Price.com.hk 香港格價網")</f>
        <v>Price.com.hk 香港格價網</v>
      </c>
      <c r="C4851" s="80" t="s">
        <v>5296</v>
      </c>
      <c r="D4851" s="81" t="str">
        <f>HYPERLINK("https://youtube.com/watch?v=2v5SEwFY9-w", "過年團聚隔空煲劇 Netflix、Disney+、Apple TV+ 多部裝置同步睇戲｜廣東話｜中文字幕【Price.com.hk產品評測】")</f>
        <v>過年團聚隔空煲劇 Netflix、Disney+、Apple TV+ 多部裝置同步睇戲｜廣東話｜中文字幕【Price.com.hk產品評測】</v>
      </c>
      <c r="E4851" s="82">
        <v>44593.0</v>
      </c>
      <c r="F4851" s="80">
        <v>298.0</v>
      </c>
      <c r="G4851" s="80" t="s">
        <v>63</v>
      </c>
      <c r="I4851" s="80" t="s">
        <v>63</v>
      </c>
      <c r="J4851" s="80">
        <v>936.0</v>
      </c>
      <c r="K4851" s="80">
        <v>0.554831061055127</v>
      </c>
      <c r="L4851" s="80" t="s">
        <v>64</v>
      </c>
    </row>
    <row r="4852">
      <c r="A4852" s="80" t="s">
        <v>2753</v>
      </c>
      <c r="B4852" s="81" t="str">
        <f>HYPERLINK("https://www.youtube.com/channel/UCxRXNy5P6fLtHYpawxoiqJQ", "焦點視頻")</f>
        <v>焦點視頻</v>
      </c>
      <c r="C4852" s="80" t="s">
        <v>5297</v>
      </c>
      <c r="D4852" s="81" t="str">
        <f>HYPERLINK("https://youtube.com/watch?v=GEaktoVBDuM", "(CC中字) 台海局勢變天？ 地產行業監控力度更強？ 最嚴重的天災即將來臨？ 2022虎年中國凶中帶吉？ #2022預言 #中國命運 #天災《洪宗玉風水命理》 EP16 20220201")</f>
        <v>(CC中字) 台海局勢變天？ 地產行業監控力度更強？ 最嚴重的天災即將來臨？ 2022虎年中國凶中帶吉？ #2022預言 #中國命運 #天災《洪宗玉風水命理》 EP16 20220201</v>
      </c>
      <c r="E4852" s="82">
        <v>44592.0</v>
      </c>
      <c r="F4852" s="80">
        <v>586.0</v>
      </c>
      <c r="G4852" s="80" t="s">
        <v>63</v>
      </c>
      <c r="I4852" s="80" t="s">
        <v>63</v>
      </c>
      <c r="J4852" s="80">
        <v>2149.0</v>
      </c>
      <c r="K4852" s="80">
        <v>0.996753246753246</v>
      </c>
      <c r="L4852" s="80" t="s">
        <v>5284</v>
      </c>
    </row>
    <row r="4853">
      <c r="A4853" s="80" t="s">
        <v>593</v>
      </c>
      <c r="B4853" s="81" t="str">
        <f>HYPERLINK("https://www.youtube.com/channel/UCsSO44XVYhs_fQU2zDR82CA", "餓底男女")</f>
        <v>餓底男女</v>
      </c>
      <c r="C4853" s="80" t="s">
        <v>5298</v>
      </c>
      <c r="D4853" s="81" t="str">
        <f>HYPERLINK("https://youtube.com/watch?v=Ho1xtJC0p7w", "淘大Donki有驚喜💛 3款必試熟食😍| 餓遊･香港 #88 [4K]")</f>
        <v>淘大Donki有驚喜💛 3款必試熟食😍| 餓遊･香港 #88 [4K]</v>
      </c>
      <c r="E4853" s="82">
        <v>44593.0</v>
      </c>
      <c r="F4853" s="80">
        <v>411.0</v>
      </c>
      <c r="G4853" s="80" t="s">
        <v>63</v>
      </c>
      <c r="I4853" s="80" t="s">
        <v>63</v>
      </c>
      <c r="J4853" s="80">
        <v>1394.0</v>
      </c>
      <c r="K4853" s="80">
        <v>0.965373961218836</v>
      </c>
      <c r="L4853" s="80" t="s">
        <v>102</v>
      </c>
    </row>
    <row r="4854">
      <c r="A4854" s="80" t="s">
        <v>2800</v>
      </c>
      <c r="B4854" s="81" t="str">
        <f>HYPERLINK("https://www.youtube.com/channel/UCMqrlsr-AECPc6_3oDr8m9w", "Unicorn 獸哥")</f>
        <v>Unicorn 獸哥</v>
      </c>
      <c r="C4854" s="80" t="s">
        <v>5299</v>
      </c>
      <c r="D4854" s="81" t="str">
        <f>HYPERLINK("https://youtube.com/watch?v=EXbwpmiQBH8", "點解Fight Club結局被改？黑社會真名係龍城歲月？殺人犯喺大陸叫罪與罰？中國特色的雙結局電影")</f>
        <v>點解Fight Club結局被改？黑社會真名係龍城歲月？殺人犯喺大陸叫罪與罰？中國特色的雙結局電影</v>
      </c>
      <c r="E4854" s="82">
        <v>44593.0</v>
      </c>
      <c r="F4854" s="80">
        <v>603.0</v>
      </c>
      <c r="G4854" s="80" t="s">
        <v>63</v>
      </c>
      <c r="I4854" s="80" t="s">
        <v>63</v>
      </c>
      <c r="J4854" s="80">
        <v>2659.0</v>
      </c>
      <c r="K4854" s="80">
        <v>0.971146822498173</v>
      </c>
      <c r="L4854" s="80" t="s">
        <v>64</v>
      </c>
    </row>
    <row r="4855">
      <c r="A4855" s="80" t="s">
        <v>124</v>
      </c>
      <c r="B4855" s="81" t="str">
        <f>HYPERLINK("https://www.youtube.com/channel/UCg0vuSE0fBF_NvodyYhMcWg", "Wallace Studio HK")</f>
        <v>Wallace Studio HK</v>
      </c>
      <c r="C4855" s="80" t="s">
        <v>5300</v>
      </c>
      <c r="D4855" s="81" t="str">
        <f>HYPERLINK("https://youtube.com/watch?v=5FYuBI0JDyw", "Google Pixel 6 Pro 終極評測 ，拍攝輾壓iPhone 13 Pro/Galaxy S21 Ultra !? ，真正旗艦大敵!!")</f>
        <v>Google Pixel 6 Pro 終極評測 ，拍攝輾壓iPhone 13 Pro/Galaxy S21 Ultra !? ，真正旗艦大敵!!</v>
      </c>
      <c r="E4855" s="82">
        <v>44593.0</v>
      </c>
      <c r="F4855" s="80">
        <v>607.0</v>
      </c>
      <c r="G4855" s="80" t="s">
        <v>63</v>
      </c>
      <c r="H4855" s="80" t="s">
        <v>63</v>
      </c>
      <c r="I4855" s="80" t="s">
        <v>63</v>
      </c>
      <c r="J4855" s="80">
        <v>2511.0</v>
      </c>
      <c r="K4855" s="80">
        <v>0.851475076297049</v>
      </c>
      <c r="L4855" s="80" t="s">
        <v>86</v>
      </c>
    </row>
    <row r="4856">
      <c r="A4856" s="80" t="s">
        <v>5301</v>
      </c>
      <c r="B4856" s="81" t="str">
        <f>HYPERLINK("https://www.youtube.com/channel/UCTH_IecfGTuKdew5dTb_D6A", "BOYS' CHOIR")</f>
        <v>BOYS' CHOIR</v>
      </c>
      <c r="C4856" s="80" t="s">
        <v>5302</v>
      </c>
      <c r="D4856" s="81" t="str">
        <f>HYPERLINK("https://youtube.com/watch?v=xMSmizZBfjw", "prettybui + yung bright - friend")</f>
        <v>prettybui + yung bright - friend</v>
      </c>
      <c r="E4856" s="82">
        <v>44029.0</v>
      </c>
      <c r="F4856" s="80">
        <v>149.0</v>
      </c>
      <c r="G4856" s="80" t="s">
        <v>63</v>
      </c>
      <c r="I4856" s="80" t="s">
        <v>63</v>
      </c>
      <c r="J4856" s="80">
        <v>48.0</v>
      </c>
      <c r="K4856" s="80">
        <v>0.0790774299835255</v>
      </c>
      <c r="L4856" s="80" t="s">
        <v>64</v>
      </c>
    </row>
    <row r="4857">
      <c r="A4857" s="80" t="s">
        <v>5303</v>
      </c>
      <c r="B4857" s="81" t="str">
        <f>HYPERLINK("https://www.youtube.com/channel/UCA0QJrZz9EI9KHWab321JAg", "MING'S")</f>
        <v>MING'S</v>
      </c>
      <c r="C4857" s="80" t="s">
        <v>5304</v>
      </c>
      <c r="D4857" s="81" t="str">
        <f>HYPERLINK("https://youtube.com/watch?v=8myKQhlC9BQ", "鮑起靜與方平的時尚對話 : 時裝不應該有賞味期限")</f>
        <v>鮑起靜與方平的時尚對話 : 時裝不應該有賞味期限</v>
      </c>
      <c r="E4857" s="82">
        <v>43175.0</v>
      </c>
      <c r="F4857" s="80">
        <v>105.0</v>
      </c>
      <c r="G4857" s="80" t="s">
        <v>63</v>
      </c>
      <c r="I4857" s="80" t="s">
        <v>63</v>
      </c>
      <c r="J4857" s="80">
        <v>348.0</v>
      </c>
      <c r="K4857" s="80">
        <v>0.913385826771653</v>
      </c>
      <c r="L4857" s="80" t="s">
        <v>64</v>
      </c>
    </row>
    <row r="4858">
      <c r="A4858" s="80" t="s">
        <v>293</v>
      </c>
      <c r="B4858" s="81" t="str">
        <f>HYPERLINK("https://www.youtube.com/channel/UCXRcbXqjORdIvl63I7MtOLQ", "趁熱 Kerry 's kitchen")</f>
        <v>趁熱 Kerry 's kitchen</v>
      </c>
      <c r="C4858" s="80" t="s">
        <v>5305</v>
      </c>
      <c r="D4858" s="81" t="str">
        <f>HYPERLINK("https://youtube.com/watch?v=TSgq5lvTVNE", "年菜/茄汁 蝦/超簡單/新手都能做/簡單 家做/廣東話/中字")</f>
        <v>年菜/茄汁 蝦/超簡單/新手都能做/簡單 家做/廣東話/中字</v>
      </c>
      <c r="E4858" s="82">
        <v>44594.0</v>
      </c>
      <c r="F4858" s="80">
        <v>548.0</v>
      </c>
      <c r="G4858" s="80" t="s">
        <v>63</v>
      </c>
      <c r="I4858" s="80" t="s">
        <v>63</v>
      </c>
      <c r="J4858" s="80">
        <v>757.0</v>
      </c>
      <c r="K4858" s="80">
        <v>0.975515463917525</v>
      </c>
      <c r="L4858" s="80" t="s">
        <v>64</v>
      </c>
    </row>
    <row r="4859">
      <c r="A4859" s="80" t="s">
        <v>5301</v>
      </c>
      <c r="B4859" s="81" t="str">
        <f t="shared" ref="B4859:B4862" si="266">HYPERLINK("https://www.youtube.com/channel/UCTH_IecfGTuKdew5dTb_D6A", "BOYS' CHOIR")</f>
        <v>BOYS' CHOIR</v>
      </c>
      <c r="C4859" s="80" t="s">
        <v>5306</v>
      </c>
      <c r="D4859" s="81" t="str">
        <f>HYPERLINK("https://youtube.com/watch?v=6TBJENOf9IE", "yung bright - tty in person m/v")</f>
        <v>yung bright - tty in person m/v</v>
      </c>
      <c r="E4859" s="82">
        <v>44590.0</v>
      </c>
      <c r="F4859" s="80">
        <v>154.0</v>
      </c>
      <c r="G4859" s="80" t="s">
        <v>63</v>
      </c>
      <c r="I4859" s="80" t="s">
        <v>63</v>
      </c>
      <c r="J4859" s="80">
        <v>205.0</v>
      </c>
      <c r="K4859" s="80">
        <v>0.227021040974529</v>
      </c>
      <c r="L4859" s="80" t="s">
        <v>64</v>
      </c>
    </row>
    <row r="4860">
      <c r="A4860" s="80" t="s">
        <v>5301</v>
      </c>
      <c r="B4860" s="81" t="str">
        <f t="shared" si="266"/>
        <v>BOYS' CHOIR</v>
      </c>
      <c r="C4860" s="80" t="s">
        <v>5307</v>
      </c>
      <c r="D4860" s="81" t="str">
        <f>HYPERLINK("https://youtube.com/watch?v=AbNySOLvfMo", "yung bright &amp; Lobo Slashemall - NoMsgInMyPhone")</f>
        <v>yung bright &amp; Lobo Slashemall - NoMsgInMyPhone</v>
      </c>
      <c r="E4860" s="82">
        <v>44175.0</v>
      </c>
      <c r="F4860" s="80">
        <v>173.0</v>
      </c>
      <c r="G4860" s="80" t="s">
        <v>63</v>
      </c>
      <c r="I4860" s="80" t="s">
        <v>63</v>
      </c>
      <c r="J4860" s="80">
        <v>125.0</v>
      </c>
      <c r="K4860" s="80">
        <v>0.141402714932126</v>
      </c>
      <c r="L4860" s="80" t="s">
        <v>64</v>
      </c>
    </row>
    <row r="4861">
      <c r="A4861" s="80" t="s">
        <v>5301</v>
      </c>
      <c r="B4861" s="81" t="str">
        <f t="shared" si="266"/>
        <v>BOYS' CHOIR</v>
      </c>
      <c r="C4861" s="80" t="s">
        <v>5308</v>
      </c>
      <c r="D4861" s="81" t="str">
        <f>HYPERLINK("https://youtube.com/watch?v=4TlduBX4t7Q", "Yung Raise - 13:14:15:16 (feat. yung bright) (Audio)")</f>
        <v>Yung Raise - 13:14:15:16 (feat. yung bright) (Audio)</v>
      </c>
      <c r="E4861" s="82">
        <v>44371.0</v>
      </c>
      <c r="F4861" s="80">
        <v>170.0</v>
      </c>
      <c r="G4861" s="80" t="s">
        <v>63</v>
      </c>
      <c r="I4861" s="80" t="s">
        <v>63</v>
      </c>
      <c r="J4861" s="80">
        <v>135.0</v>
      </c>
      <c r="K4861" s="80">
        <v>0.0825183374083129</v>
      </c>
      <c r="L4861" s="80" t="s">
        <v>64</v>
      </c>
    </row>
    <row r="4862">
      <c r="A4862" s="80" t="s">
        <v>5301</v>
      </c>
      <c r="B4862" s="81" t="str">
        <f t="shared" si="266"/>
        <v>BOYS' CHOIR</v>
      </c>
      <c r="C4862" s="80" t="s">
        <v>5309</v>
      </c>
      <c r="D4862" s="81" t="str">
        <f>HYPERLINK("https://youtube.com/watch?v=5Bjp3TwMpRc", "Yung Raise - D&amp;G FLOW (feat. N.O.L.Y) (Audio)")</f>
        <v>Yung Raise - D&amp;G FLOW (feat. N.O.L.Y) (Audio)</v>
      </c>
      <c r="E4862" s="82">
        <v>44371.0</v>
      </c>
      <c r="F4862" s="80">
        <v>230.0</v>
      </c>
      <c r="G4862" s="80" t="s">
        <v>63</v>
      </c>
      <c r="I4862" s="80" t="s">
        <v>63</v>
      </c>
      <c r="J4862" s="80">
        <v>54.0</v>
      </c>
      <c r="K4862" s="80">
        <v>0.0385164051355206</v>
      </c>
      <c r="L4862" s="80" t="s">
        <v>64</v>
      </c>
    </row>
    <row r="4863">
      <c r="A4863" s="80" t="s">
        <v>5310</v>
      </c>
      <c r="B4863" s="81" t="str">
        <f>HYPERLINK("https://www.youtube.com/channel/UCLnYG1yjAoOH-05SwvsQaKQ", "L8 Aero 八號低壓槽")</f>
        <v>L8 Aero 八號低壓槽</v>
      </c>
      <c r="C4863" s="80" t="s">
        <v>5311</v>
      </c>
      <c r="D4863" s="81" t="str">
        <f>HYPERLINK("https://youtube.com/watch?v=6z5akWEKxD4", "【Rap】 死咗都可以投票?! 死人的票也是票！死人的命也是命！Dead Lives Matter!")</f>
        <v>【Rap】 死咗都可以投票?! 死人的票也是票！死人的命也是命！Dead Lives Matter!</v>
      </c>
      <c r="E4863" s="82">
        <v>44148.0</v>
      </c>
      <c r="F4863" s="80">
        <v>107.0</v>
      </c>
      <c r="G4863" s="80" t="s">
        <v>63</v>
      </c>
      <c r="H4863" s="80" t="s">
        <v>63</v>
      </c>
      <c r="I4863" s="80" t="s">
        <v>63</v>
      </c>
      <c r="J4863" s="80">
        <v>132.0</v>
      </c>
      <c r="K4863" s="80">
        <v>0.819875776397515</v>
      </c>
      <c r="L4863" s="80" t="s">
        <v>1132</v>
      </c>
    </row>
    <row r="4864">
      <c r="A4864" s="80" t="s">
        <v>5301</v>
      </c>
      <c r="B4864" s="81" t="str">
        <f t="shared" ref="B4864:B4865" si="267">HYPERLINK("https://www.youtube.com/channel/UCTH_IecfGTuKdew5dTb_D6A", "BOYS' CHOIR")</f>
        <v>BOYS' CHOIR</v>
      </c>
      <c r="C4864" s="80" t="s">
        <v>5312</v>
      </c>
      <c r="D4864" s="81" t="str">
        <f>HYPERLINK("https://youtube.com/watch?v=Q-LzETLG6YY", "yung bright - 適當距離 (Official Video)")</f>
        <v>yung bright - 適當距離 (Official Video)</v>
      </c>
      <c r="E4864" s="82">
        <v>44189.0</v>
      </c>
      <c r="F4864" s="80">
        <v>230.0</v>
      </c>
      <c r="G4864" s="80" t="s">
        <v>63</v>
      </c>
      <c r="I4864" s="80" t="s">
        <v>63</v>
      </c>
      <c r="J4864" s="80">
        <v>98.0</v>
      </c>
      <c r="K4864" s="80">
        <v>0.129458388375165</v>
      </c>
      <c r="L4864" s="80" t="s">
        <v>64</v>
      </c>
    </row>
    <row r="4865">
      <c r="A4865" s="80" t="s">
        <v>5301</v>
      </c>
      <c r="B4865" s="81" t="str">
        <f t="shared" si="267"/>
        <v>BOYS' CHOIR</v>
      </c>
      <c r="C4865" s="80" t="s">
        <v>5313</v>
      </c>
      <c r="D4865" s="81" t="str">
        <f>HYPERLINK("https://youtube.com/watch?v=Gl8Z34YMG6c", "yung bright - harajuku")</f>
        <v>yung bright - harajuku</v>
      </c>
      <c r="E4865" s="82">
        <v>43982.0</v>
      </c>
      <c r="F4865" s="80">
        <v>105.0</v>
      </c>
      <c r="G4865" s="80" t="s">
        <v>63</v>
      </c>
      <c r="I4865" s="80" t="s">
        <v>63</v>
      </c>
      <c r="J4865" s="80">
        <v>86.0</v>
      </c>
      <c r="K4865" s="80">
        <v>0.166023166023166</v>
      </c>
      <c r="L4865" s="80" t="s">
        <v>64</v>
      </c>
    </row>
    <row r="4866">
      <c r="A4866" s="80" t="s">
        <v>3139</v>
      </c>
      <c r="B4866" s="81" t="str">
        <f>HYPERLINK("https://www.youtube.com/channel/UCThO2xnH7XMg6plE8OgJm_w", "choyuen草原")</f>
        <v>choyuen草原</v>
      </c>
      <c r="C4866" s="80" t="s">
        <v>5314</v>
      </c>
      <c r="D4866" s="81" t="str">
        <f>HYPERLINK("https://youtube.com/watch?v=v5T7F9leKa0", "易經占卦之科學 (B. 物質精神一體) The Science in I ching (B. Unus mundus)")</f>
        <v>易經占卦之科學 (B. 物質精神一體) The Science in I ching (B. Unus mundus)</v>
      </c>
      <c r="E4866" s="82">
        <v>44593.0</v>
      </c>
      <c r="F4866" s="80">
        <v>318.0</v>
      </c>
      <c r="G4866" s="80" t="s">
        <v>63</v>
      </c>
      <c r="I4866" s="80" t="s">
        <v>63</v>
      </c>
      <c r="J4866" s="80">
        <v>962.0</v>
      </c>
      <c r="K4866" s="80">
        <v>0.949654491609081</v>
      </c>
      <c r="L4866" s="80" t="s">
        <v>64</v>
      </c>
    </row>
    <row r="4867">
      <c r="A4867" s="80" t="s">
        <v>5301</v>
      </c>
      <c r="B4867" s="81" t="str">
        <f t="shared" ref="B4867:B4869" si="268">HYPERLINK("https://www.youtube.com/channel/UCTH_IecfGTuKdew5dTb_D6A", "BOYS' CHOIR")</f>
        <v>BOYS' CHOIR</v>
      </c>
      <c r="C4867" s="80" t="s">
        <v>5315</v>
      </c>
      <c r="D4867" s="81" t="str">
        <f>HYPERLINK("https://youtube.com/watch?v=cF304OLTyL0", "Yung Raise - POURIN' (Audio)")</f>
        <v>Yung Raise - POURIN' (Audio)</v>
      </c>
      <c r="E4867" s="82">
        <v>44371.0</v>
      </c>
      <c r="F4867" s="80">
        <v>166.0</v>
      </c>
      <c r="G4867" s="80" t="s">
        <v>63</v>
      </c>
      <c r="I4867" s="80" t="s">
        <v>63</v>
      </c>
      <c r="J4867" s="80">
        <v>35.0</v>
      </c>
      <c r="K4867" s="80">
        <v>0.0206611570247933</v>
      </c>
      <c r="L4867" s="80" t="s">
        <v>64</v>
      </c>
    </row>
    <row r="4868">
      <c r="A4868" s="80" t="s">
        <v>5301</v>
      </c>
      <c r="B4868" s="81" t="str">
        <f t="shared" si="268"/>
        <v>BOYS' CHOIR</v>
      </c>
      <c r="C4868" s="80" t="s">
        <v>5316</v>
      </c>
      <c r="D4868" s="81" t="str">
        <f>HYPERLINK("https://youtube.com/watch?v=8v6cel6XeXA", "Yung Raise - She be like... (Audio)")</f>
        <v>Yung Raise - She be like... (Audio)</v>
      </c>
      <c r="E4868" s="82">
        <v>44330.0</v>
      </c>
      <c r="F4868" s="80">
        <v>138.0</v>
      </c>
      <c r="G4868" s="80" t="s">
        <v>63</v>
      </c>
      <c r="I4868" s="80" t="s">
        <v>63</v>
      </c>
      <c r="J4868" s="80">
        <v>26.0</v>
      </c>
      <c r="K4868" s="80">
        <v>0.030057803468208</v>
      </c>
      <c r="L4868" s="80" t="s">
        <v>64</v>
      </c>
    </row>
    <row r="4869">
      <c r="A4869" s="80" t="s">
        <v>5301</v>
      </c>
      <c r="B4869" s="81" t="str">
        <f t="shared" si="268"/>
        <v>BOYS' CHOIR</v>
      </c>
      <c r="C4869" s="80" t="s">
        <v>5317</v>
      </c>
      <c r="D4869" s="81" t="str">
        <f>HYPERLINK("https://youtube.com/watch?v=3-pluxW9FQY", "Yung Raise - i try ft. yung bright")</f>
        <v>Yung Raise - i try ft. yung bright</v>
      </c>
      <c r="E4869" s="82">
        <v>44052.0</v>
      </c>
      <c r="F4869" s="80">
        <v>201.0</v>
      </c>
      <c r="G4869" s="80" t="s">
        <v>63</v>
      </c>
      <c r="I4869" s="80" t="s">
        <v>63</v>
      </c>
      <c r="J4869" s="80">
        <v>65.0</v>
      </c>
      <c r="K4869" s="80">
        <v>0.0491679273827534</v>
      </c>
      <c r="L4869" s="80" t="s">
        <v>64</v>
      </c>
    </row>
    <row r="4870">
      <c r="A4870" s="80" t="s">
        <v>755</v>
      </c>
      <c r="B4870" s="81" t="str">
        <f>HYPERLINK("https://www.youtube.com/channel/UCBiJDTc82IM68KVH873VeAw", "Live in Kwangsi廣西人·情·味")</f>
        <v>Live in Kwangsi廣西人·情·味</v>
      </c>
      <c r="C4870" s="80" t="s">
        <v>5318</v>
      </c>
      <c r="D4870" s="81" t="str">
        <f>HYPERLINK("https://youtube.com/watch?v=NGSIQbknpnY", "年廿八賀州飲早茶 年廿九年夜飯親戚哼起本土童謠 年初一至年初二分別喺賀州、梧州、貴港行大運｜2022農曆年廿八至年初二記錄")</f>
        <v>年廿八賀州飲早茶 年廿九年夜飯親戚哼起本土童謠 年初一至年初二分別喺賀州、梧州、貴港行大運｜2022農曆年廿八至年初二記錄</v>
      </c>
      <c r="E4870" s="82">
        <v>44594.0</v>
      </c>
      <c r="F4870" s="80">
        <v>342.0</v>
      </c>
      <c r="G4870" s="80" t="s">
        <v>63</v>
      </c>
      <c r="I4870" s="80" t="s">
        <v>63</v>
      </c>
      <c r="J4870" s="80">
        <v>378.0</v>
      </c>
      <c r="K4870" s="80">
        <v>0.981818181818181</v>
      </c>
      <c r="L4870" s="80" t="s">
        <v>757</v>
      </c>
    </row>
    <row r="4871">
      <c r="A4871" s="80" t="s">
        <v>5301</v>
      </c>
      <c r="B4871" s="81" t="str">
        <f>HYPERLINK("https://www.youtube.com/channel/UCTH_IecfGTuKdew5dTb_D6A", "BOYS' CHOIR")</f>
        <v>BOYS' CHOIR</v>
      </c>
      <c r="C4871" s="80" t="s">
        <v>5319</v>
      </c>
      <c r="D4871" s="81" t="str">
        <f>HYPERLINK("https://youtube.com/watch?v=EvDN2CpXx28", "Yung Raise - PRICE (feat. Lobo Slashemall) (Audio)")</f>
        <v>Yung Raise - PRICE (feat. Lobo Slashemall) (Audio)</v>
      </c>
      <c r="E4871" s="82">
        <v>44371.0</v>
      </c>
      <c r="F4871" s="80">
        <v>211.0</v>
      </c>
      <c r="G4871" s="80" t="s">
        <v>63</v>
      </c>
      <c r="I4871" s="80" t="s">
        <v>63</v>
      </c>
      <c r="J4871" s="80">
        <v>57.0</v>
      </c>
      <c r="K4871" s="80">
        <v>0.0326647564469914</v>
      </c>
      <c r="L4871" s="80" t="s">
        <v>64</v>
      </c>
    </row>
    <row r="4872">
      <c r="A4872" s="80" t="s">
        <v>260</v>
      </c>
      <c r="B4872" s="81" t="str">
        <f>HYPERLINK("https://www.youtube.com/channel/UC-HXOikkLx7BGEfILGIpYOg", "港短 . 英移")</f>
        <v>港短 . 英移</v>
      </c>
      <c r="C4872" s="80" t="s">
        <v>5320</v>
      </c>
      <c r="D4872" s="81" t="str">
        <f>HYPERLINK("https://youtube.com/watch?v=YXvhkduYUUU", "雷丁令我失望的地方 | 港短.英移  #Reading #雷丁")</f>
        <v>雷丁令我失望的地方 | 港短.英移  #Reading #雷丁</v>
      </c>
      <c r="E4872" s="82">
        <v>44594.0</v>
      </c>
      <c r="F4872" s="80">
        <v>396.0</v>
      </c>
      <c r="G4872" s="80" t="s">
        <v>63</v>
      </c>
      <c r="I4872" s="80" t="s">
        <v>63</v>
      </c>
      <c r="J4872" s="80">
        <v>1282.0</v>
      </c>
      <c r="K4872" s="80">
        <v>0.742757821552723</v>
      </c>
      <c r="L4872" s="80" t="s">
        <v>102</v>
      </c>
    </row>
    <row r="4873">
      <c r="A4873" s="80" t="s">
        <v>5310</v>
      </c>
      <c r="B4873" s="81" t="str">
        <f t="shared" ref="B4873:B4874" si="269">HYPERLINK("https://www.youtube.com/channel/UCLnYG1yjAoOH-05SwvsQaKQ", "L8 Aero 八號低壓槽")</f>
        <v>L8 Aero 八號低壓槽</v>
      </c>
      <c r="C4873" s="80" t="s">
        <v>5321</v>
      </c>
      <c r="D4873" s="81" t="str">
        <f>HYPERLINK("https://youtube.com/watch?v=umAFeIiWEkg", "[好笑精華] 射啊射，射他吧！同老婆試玩 Android 新 game Boom Slingers")</f>
        <v>[好笑精華] 射啊射，射他吧！同老婆試玩 Android 新 game Boom Slingers</v>
      </c>
      <c r="E4873" s="82">
        <v>44160.0</v>
      </c>
      <c r="F4873" s="80">
        <v>177.0</v>
      </c>
      <c r="G4873" s="80" t="s">
        <v>63</v>
      </c>
      <c r="H4873" s="80" t="s">
        <v>63</v>
      </c>
      <c r="I4873" s="80" t="s">
        <v>63</v>
      </c>
      <c r="J4873" s="80">
        <v>327.0</v>
      </c>
      <c r="K4873" s="80">
        <v>0.83206106870229</v>
      </c>
      <c r="L4873" s="80" t="s">
        <v>5322</v>
      </c>
    </row>
    <row r="4874">
      <c r="A4874" s="80" t="s">
        <v>5310</v>
      </c>
      <c r="B4874" s="81" t="str">
        <f t="shared" si="269"/>
        <v>L8 Aero 八號低壓槽</v>
      </c>
      <c r="C4874" s="80" t="s">
        <v>5323</v>
      </c>
      <c r="D4874" s="81" t="str">
        <f>HYPERLINK("https://youtube.com/watch?v=vWYBCLndpSI", "【Rap】 傑斯加油! 我用歌嚟撐傑斯! 好想再聽北上頻道")</f>
        <v>【Rap】 傑斯加油! 我用歌嚟撐傑斯! 好想再聽北上頻道</v>
      </c>
      <c r="E4874" s="82">
        <v>44156.0</v>
      </c>
      <c r="F4874" s="80">
        <v>167.0</v>
      </c>
      <c r="G4874" s="80" t="s">
        <v>63</v>
      </c>
      <c r="I4874" s="80" t="s">
        <v>63</v>
      </c>
      <c r="J4874" s="80">
        <v>283.0</v>
      </c>
      <c r="K4874" s="80">
        <v>0.937086092715231</v>
      </c>
      <c r="L4874" s="80" t="s">
        <v>102</v>
      </c>
    </row>
    <row r="4875">
      <c r="A4875" s="80" t="s">
        <v>5301</v>
      </c>
      <c r="B4875" s="81" t="str">
        <f>HYPERLINK("https://www.youtube.com/channel/UCTH_IecfGTuKdew5dTb_D6A", "BOYS' CHOIR")</f>
        <v>BOYS' CHOIR</v>
      </c>
      <c r="C4875" s="80" t="s">
        <v>5324</v>
      </c>
      <c r="D4875" s="81" t="str">
        <f>HYPERLINK("https://youtube.com/watch?v=YkGoqzN5D7A", "yung bright - Psyched")</f>
        <v>yung bright - Psyched</v>
      </c>
      <c r="E4875" s="82">
        <v>43856.0</v>
      </c>
      <c r="F4875" s="80">
        <v>154.0</v>
      </c>
      <c r="G4875" s="80" t="s">
        <v>63</v>
      </c>
      <c r="I4875" s="80" t="s">
        <v>63</v>
      </c>
      <c r="J4875" s="80">
        <v>154.0</v>
      </c>
      <c r="K4875" s="80">
        <v>0.176808266360505</v>
      </c>
      <c r="L4875" s="80" t="s">
        <v>64</v>
      </c>
    </row>
    <row r="4876">
      <c r="A4876" s="80" t="s">
        <v>5325</v>
      </c>
      <c r="B4876" s="81" t="str">
        <f t="shared" ref="B4876:B4877" si="270">HYPERLINK("https://www.youtube.com/channel/UCcQ5WlinXufbKizIJHlI4LQ", "IKEAHongKong")</f>
        <v>IKEAHongKong</v>
      </c>
      <c r="C4876" s="80" t="s">
        <v>5326</v>
      </c>
      <c r="D4876" s="81" t="str">
        <f>HYPERLINK("https://youtube.com/watch?v=naGbtWIAChA", "IKEA Vans 設計靈感 - Kristopher Ho")</f>
        <v>IKEA Vans 設計靈感 - Kristopher Ho</v>
      </c>
      <c r="E4876" s="82">
        <v>43350.0</v>
      </c>
      <c r="F4876" s="80">
        <v>46.0</v>
      </c>
      <c r="G4876" s="80" t="s">
        <v>63</v>
      </c>
      <c r="I4876" s="80" t="s">
        <v>63</v>
      </c>
      <c r="J4876" s="80">
        <v>87.0</v>
      </c>
      <c r="K4876" s="80">
        <v>0.404651162790697</v>
      </c>
      <c r="L4876" s="80" t="s">
        <v>521</v>
      </c>
    </row>
    <row r="4877">
      <c r="A4877" s="80" t="s">
        <v>5325</v>
      </c>
      <c r="B4877" s="81" t="str">
        <f t="shared" si="270"/>
        <v>IKEAHongKong</v>
      </c>
      <c r="C4877" s="80" t="s">
        <v>5327</v>
      </c>
      <c r="D4877" s="81" t="str">
        <f>HYPERLINK("https://youtube.com/watch?v=F8Pfyo0jrps", "IKEA Vans 設計靈感 - Zoie Lam")</f>
        <v>IKEA Vans 設計靈感 - Zoie Lam</v>
      </c>
      <c r="E4877" s="82">
        <v>43350.0</v>
      </c>
      <c r="F4877" s="80">
        <v>52.0</v>
      </c>
      <c r="G4877" s="80" t="s">
        <v>63</v>
      </c>
      <c r="I4877" s="80" t="s">
        <v>63</v>
      </c>
      <c r="J4877" s="80">
        <v>147.0</v>
      </c>
      <c r="K4877" s="80">
        <v>0.830508474576271</v>
      </c>
      <c r="L4877" s="80" t="s">
        <v>521</v>
      </c>
    </row>
    <row r="4878">
      <c r="A4878" s="80" t="s">
        <v>129</v>
      </c>
      <c r="B4878" s="81" t="str">
        <f>HYPERLINK("https://www.youtube.com/channel/UCBbTnorwzva0ZIMGW0ttwVA", "阿豬 Ah Ju")</f>
        <v>阿豬 Ah Ju</v>
      </c>
      <c r="C4878" s="80" t="s">
        <v>5328</v>
      </c>
      <c r="D4878" s="81" t="str">
        <f>HYPERLINK("https://youtube.com/watch?v=H-LOc5Nwf4Y", "打仗對股市嘅影響 | 烏克蘭 VS 俄羅斯")</f>
        <v>打仗對股市嘅影響 | 烏克蘭 VS 俄羅斯</v>
      </c>
      <c r="E4878" s="82">
        <v>44594.0</v>
      </c>
      <c r="F4878" s="80">
        <v>1111.0</v>
      </c>
      <c r="G4878" s="80" t="s">
        <v>63</v>
      </c>
      <c r="I4878" s="80" t="s">
        <v>63</v>
      </c>
      <c r="J4878" s="80">
        <v>4123.0</v>
      </c>
      <c r="K4878" s="80">
        <v>0.860571905656439</v>
      </c>
      <c r="L4878" s="80" t="s">
        <v>2017</v>
      </c>
    </row>
    <row r="4879">
      <c r="A4879" s="80" t="s">
        <v>293</v>
      </c>
      <c r="B4879" s="81" t="str">
        <f>HYPERLINK("https://www.youtube.com/channel/UCXRcbXqjORdIvl63I7MtOLQ", "趁熱 Kerry 's kitchen")</f>
        <v>趁熱 Kerry 's kitchen</v>
      </c>
      <c r="C4879" s="80" t="s">
        <v>5329</v>
      </c>
      <c r="D4879" s="81" t="str">
        <f>HYPERLINK("https://youtube.com/watch?v=w14m-IvX3OE", "電飯煲 /電飯煲 手抓飯/新疆手抓羊肉飯/其實好簡單/新手 入門/重點 講解/廣東話/中字")</f>
        <v>電飯煲 /電飯煲 手抓飯/新疆手抓羊肉飯/其實好簡單/新手 入門/重點 講解/廣東話/中字</v>
      </c>
      <c r="E4879" s="82">
        <v>44596.0</v>
      </c>
      <c r="F4879" s="80">
        <v>513.0</v>
      </c>
      <c r="G4879" s="80" t="s">
        <v>63</v>
      </c>
      <c r="I4879" s="80" t="s">
        <v>63</v>
      </c>
      <c r="J4879" s="80">
        <v>695.0</v>
      </c>
      <c r="K4879" s="80">
        <v>0.969316596931659</v>
      </c>
      <c r="L4879" s="80" t="s">
        <v>64</v>
      </c>
    </row>
    <row r="4880">
      <c r="A4880" s="80" t="s">
        <v>5325</v>
      </c>
      <c r="B4880" s="81" t="str">
        <f t="shared" ref="B4880:B4881" si="271">HYPERLINK("https://www.youtube.com/channel/UCcQ5WlinXufbKizIJHlI4LQ", "IKEAHongKong")</f>
        <v>IKEAHongKong</v>
      </c>
      <c r="C4880" s="80" t="s">
        <v>5330</v>
      </c>
      <c r="D4880" s="81" t="str">
        <f>HYPERLINK("https://youtube.com/watch?v=euD1pnCyduo", "IKEA Vans 設計靈感 - Felix Ip")</f>
        <v>IKEA Vans 設計靈感 - Felix Ip</v>
      </c>
      <c r="E4880" s="82">
        <v>43350.0</v>
      </c>
      <c r="F4880" s="80">
        <v>54.0</v>
      </c>
      <c r="G4880" s="80" t="s">
        <v>63</v>
      </c>
      <c r="I4880" s="80" t="s">
        <v>63</v>
      </c>
      <c r="J4880" s="80">
        <v>157.0</v>
      </c>
      <c r="K4880" s="80">
        <v>1.0</v>
      </c>
      <c r="L4880" s="80" t="s">
        <v>521</v>
      </c>
    </row>
    <row r="4881">
      <c r="A4881" s="80" t="s">
        <v>5325</v>
      </c>
      <c r="B4881" s="81" t="str">
        <f t="shared" si="271"/>
        <v>IKEAHongKong</v>
      </c>
      <c r="C4881" s="80" t="s">
        <v>5331</v>
      </c>
      <c r="D4881" s="81" t="str">
        <f>HYPERLINK("https://youtube.com/watch?v=1uZTA9ogoWY", "IKEA Vans 設計靈感 - Kazy Chan")</f>
        <v>IKEA Vans 設計靈感 - Kazy Chan</v>
      </c>
      <c r="E4881" s="82">
        <v>43350.0</v>
      </c>
      <c r="F4881" s="80">
        <v>52.0</v>
      </c>
      <c r="G4881" s="80" t="s">
        <v>63</v>
      </c>
      <c r="I4881" s="80" t="s">
        <v>63</v>
      </c>
      <c r="J4881" s="80">
        <v>166.0</v>
      </c>
      <c r="K4881" s="80">
        <v>0.948571428571428</v>
      </c>
      <c r="L4881" s="80" t="s">
        <v>521</v>
      </c>
    </row>
    <row r="4882">
      <c r="A4882" s="80" t="s">
        <v>755</v>
      </c>
      <c r="B4882" s="81" t="str">
        <f>HYPERLINK("https://www.youtube.com/channel/UCBiJDTc82IM68KVH873VeAw", "Live in Kwangsi廣西人·情·味")</f>
        <v>Live in Kwangsi廣西人·情·味</v>
      </c>
      <c r="C4882" s="80" t="s">
        <v>5332</v>
      </c>
      <c r="D4882" s="81" t="str">
        <f>HYPERLINK("https://youtube.com/watch?v=s-utt7ny9c0", "年初三遊貴港馬草江 旋轉餐廳睇市區全景 行唐人街、客世界、東湖西街、青雲大橋｜2022農曆新年廣西自由行")</f>
        <v>年初三遊貴港馬草江 旋轉餐廳睇市區全景 行唐人街、客世界、東湖西街、青雲大橋｜2022農曆新年廣西自由行</v>
      </c>
      <c r="E4882" s="82">
        <v>44595.0</v>
      </c>
      <c r="F4882" s="80">
        <v>858.0</v>
      </c>
      <c r="G4882" s="80" t="s">
        <v>63</v>
      </c>
      <c r="I4882" s="80" t="s">
        <v>63</v>
      </c>
      <c r="J4882" s="80">
        <v>1182.0</v>
      </c>
      <c r="K4882" s="80">
        <v>0.992443324937027</v>
      </c>
      <c r="L4882" s="80" t="s">
        <v>757</v>
      </c>
    </row>
    <row r="4883">
      <c r="A4883" s="80" t="s">
        <v>5325</v>
      </c>
      <c r="B4883" s="81" t="str">
        <f>HYPERLINK("https://www.youtube.com/channel/UCcQ5WlinXufbKizIJHlI4LQ", "IKEAHongKong")</f>
        <v>IKEAHongKong</v>
      </c>
      <c r="C4883" s="80" t="s">
        <v>5333</v>
      </c>
      <c r="D4883" s="81" t="str">
        <f>HYPERLINK("https://youtube.com/watch?v=DF3qGiwL4S4", "IKEA x 薑檸樂屋企大改造｜IKEA Hong Kong")</f>
        <v>IKEA x 薑檸樂屋企大改造｜IKEA Hong Kong</v>
      </c>
      <c r="E4883" s="82">
        <v>43417.0</v>
      </c>
      <c r="F4883" s="80">
        <v>508.0</v>
      </c>
      <c r="G4883" s="80" t="s">
        <v>63</v>
      </c>
      <c r="I4883" s="80" t="s">
        <v>63</v>
      </c>
      <c r="J4883" s="80">
        <v>1895.0</v>
      </c>
      <c r="K4883" s="80">
        <v>0.94939879759519</v>
      </c>
      <c r="L4883" s="80" t="s">
        <v>1071</v>
      </c>
    </row>
    <row r="4884">
      <c r="A4884" s="80" t="s">
        <v>4470</v>
      </c>
      <c r="B4884" s="81" t="str">
        <f>HYPERLINK("https://www.youtube.com/channel/UC4VI_WmdfVMTkT4vKCiZA4A", "BossMind")</f>
        <v>BossMind</v>
      </c>
      <c r="C4884" s="80" t="s">
        <v>5334</v>
      </c>
      <c r="D4884" s="81" t="str">
        <f>HYPERLINK("https://youtube.com/watch?v=LDDIl5gGscQ", "唔撈科技股 ZIM OXY幫倉位追返8%｜英倫銀行預告油股隨時升到年尾？｜FAAMG業績啟示 Google Amazon係廣告 Cloud大贏家 ｜#華爾街戰線｜#杜昇")</f>
        <v>唔撈科技股 ZIM OXY幫倉位追返8%｜英倫銀行預告油股隨時升到年尾？｜FAAMG業績啟示 Google Amazon係廣告 Cloud大贏家 ｜#華爾街戰線｜#杜昇</v>
      </c>
      <c r="E4884" s="82">
        <v>44596.0</v>
      </c>
      <c r="F4884" s="80">
        <v>600.0</v>
      </c>
      <c r="G4884" s="80" t="s">
        <v>63</v>
      </c>
      <c r="I4884" s="80" t="s">
        <v>63</v>
      </c>
      <c r="J4884" s="80">
        <v>1322.0</v>
      </c>
      <c r="K4884" s="80">
        <v>0.793041391721655</v>
      </c>
      <c r="L4884" s="80" t="s">
        <v>64</v>
      </c>
    </row>
    <row r="4885">
      <c r="A4885" s="80" t="s">
        <v>5325</v>
      </c>
      <c r="B4885" s="81" t="str">
        <f>HYPERLINK("https://www.youtube.com/channel/UCcQ5WlinXufbKizIJHlI4LQ", "IKEAHongKong")</f>
        <v>IKEAHongKong</v>
      </c>
      <c r="C4885" s="80" t="s">
        <v>5335</v>
      </c>
      <c r="D4885" s="81" t="str">
        <f>HYPERLINK("https://youtube.com/watch?v=usqubgS5FSc", "IKEA Vans 設計靈感 - Garnet Chu")</f>
        <v>IKEA Vans 設計靈感 - Garnet Chu</v>
      </c>
      <c r="E4885" s="82">
        <v>43350.0</v>
      </c>
      <c r="F4885" s="80">
        <v>55.0</v>
      </c>
      <c r="G4885" s="80" t="s">
        <v>63</v>
      </c>
      <c r="I4885" s="80" t="s">
        <v>63</v>
      </c>
      <c r="J4885" s="80">
        <v>124.0</v>
      </c>
      <c r="K4885" s="80">
        <v>0.898550724637681</v>
      </c>
      <c r="L4885" s="80" t="s">
        <v>521</v>
      </c>
    </row>
    <row r="4886">
      <c r="A4886" s="80" t="s">
        <v>74</v>
      </c>
      <c r="B4886" s="81" t="str">
        <f>HYPERLINK("https://www.youtube.com/channel/UCO_5XP-qd-udNxBlzzSzgvw", "Handline Fishing")</f>
        <v>Handline Fishing</v>
      </c>
      <c r="C4886" s="80" t="s">
        <v>5336</v>
      </c>
      <c r="D4886" s="81" t="str">
        <f>HYPERLINK("https://youtube.com/watch?v=NoExU8PSMPo", "#272 新春紅色大四喜..發掘紅斑秘位!? | 香港釣魚 | 艇釣 | 博士排口 {粵語旁白+中英文字幕}")</f>
        <v>#272 新春紅色大四喜..發掘紅斑秘位!? | 香港釣魚 | 艇釣 | 博士排口 {粵語旁白+中英文字幕}</v>
      </c>
      <c r="E4886" s="82">
        <v>44596.0</v>
      </c>
      <c r="F4886" s="80">
        <v>405.0</v>
      </c>
      <c r="G4886" s="80" t="s">
        <v>63</v>
      </c>
      <c r="H4886" s="80" t="s">
        <v>63</v>
      </c>
      <c r="I4886" s="80" t="s">
        <v>63</v>
      </c>
      <c r="J4886" s="80">
        <v>435.0</v>
      </c>
      <c r="K4886" s="80">
        <v>0.91578947368421</v>
      </c>
      <c r="L4886" s="80" t="s">
        <v>88</v>
      </c>
    </row>
    <row r="4887">
      <c r="A4887" s="80" t="s">
        <v>124</v>
      </c>
      <c r="B4887" s="81" t="str">
        <f>HYPERLINK("https://www.youtube.com/channel/UCg0vuSE0fBF_NvodyYhMcWg", "Wallace Studio HK")</f>
        <v>Wallace Studio HK</v>
      </c>
      <c r="C4887" s="80" t="s">
        <v>5337</v>
      </c>
      <c r="D4887" s="81" t="str">
        <f>HYPERLINK("https://youtube.com/watch?v=WqZawKMQ2QM", "Sony Xperia Pro-I 最終評測，一吋Sensor就好勁？ 攝力對決Xperia 1 III, Galaxy S21 Ultra , Pixel 6 Pro!")</f>
        <v>Sony Xperia Pro-I 最終評測，一吋Sensor就好勁？ 攝力對決Xperia 1 III, Galaxy S21 Ultra , Pixel 6 Pro!</v>
      </c>
      <c r="E4887" s="82">
        <v>44595.0</v>
      </c>
      <c r="F4887" s="80">
        <v>450.0</v>
      </c>
      <c r="G4887" s="80" t="s">
        <v>63</v>
      </c>
      <c r="H4887" s="80" t="s">
        <v>63</v>
      </c>
      <c r="I4887" s="80" t="s">
        <v>63</v>
      </c>
      <c r="J4887" s="80">
        <v>1795.0</v>
      </c>
      <c r="K4887" s="80">
        <v>0.786935554581324</v>
      </c>
      <c r="L4887" s="80" t="s">
        <v>86</v>
      </c>
    </row>
    <row r="4888">
      <c r="A4888" s="80" t="s">
        <v>5325</v>
      </c>
      <c r="B4888" s="81" t="str">
        <f t="shared" ref="B4888:B4889" si="272">HYPERLINK("https://www.youtube.com/channel/UCcQ5WlinXufbKizIJHlI4LQ", "IKEAHongKong")</f>
        <v>IKEAHongKong</v>
      </c>
      <c r="C4888" s="80" t="s">
        <v>5338</v>
      </c>
      <c r="D4888" s="81" t="str">
        <f>HYPERLINK("https://youtube.com/watch?v=P8kUmS2cACY", "IKEA Vans 設計靈感 - Kila Cheung")</f>
        <v>IKEA Vans 設計靈感 - Kila Cheung</v>
      </c>
      <c r="E4888" s="82">
        <v>43350.0</v>
      </c>
      <c r="F4888" s="80">
        <v>53.0</v>
      </c>
      <c r="G4888" s="80" t="s">
        <v>63</v>
      </c>
      <c r="I4888" s="80" t="s">
        <v>63</v>
      </c>
      <c r="J4888" s="80">
        <v>149.0</v>
      </c>
      <c r="K4888" s="80">
        <v>0.914110429447852</v>
      </c>
      <c r="L4888" s="80" t="s">
        <v>521</v>
      </c>
    </row>
    <row r="4889">
      <c r="A4889" s="80" t="s">
        <v>5325</v>
      </c>
      <c r="B4889" s="81" t="str">
        <f t="shared" si="272"/>
        <v>IKEAHongKong</v>
      </c>
      <c r="C4889" s="80" t="s">
        <v>5339</v>
      </c>
      <c r="D4889" s="81" t="str">
        <f>HYPERLINK("https://youtube.com/watch?v=_eornSsJEDM", "IKEA Vans 設計靈感 - 島人源")</f>
        <v>IKEA Vans 設計靈感 - 島人源</v>
      </c>
      <c r="E4889" s="82">
        <v>43350.0</v>
      </c>
      <c r="F4889" s="80">
        <v>52.0</v>
      </c>
      <c r="G4889" s="80" t="s">
        <v>63</v>
      </c>
      <c r="I4889" s="80" t="s">
        <v>63</v>
      </c>
      <c r="J4889" s="80">
        <v>188.0</v>
      </c>
      <c r="K4889" s="80">
        <v>0.828193832599118</v>
      </c>
      <c r="L4889" s="80" t="s">
        <v>521</v>
      </c>
    </row>
    <row r="4890">
      <c r="A4890" s="80" t="s">
        <v>2829</v>
      </c>
      <c r="B4890" s="81" t="str">
        <f>HYPERLINK("https://www.youtube.com/channel/UC7GnES6AEQlDzaP04UqtyjA", "SOLID IDEA")</f>
        <v>SOLID IDEA</v>
      </c>
      <c r="C4890" s="80" t="s">
        <v>5340</v>
      </c>
      <c r="D4890" s="81" t="str">
        <f>HYPERLINK("https://youtube.com/watch?v=1x_MupElcGs", "[#設計概念] #OceanMarini 虎年新設計 | 室內設計 | 空間擺位 | SOLID IDEA | (CC中文字幕)")</f>
        <v>[#設計概念] #OceanMarini 虎年新設計 | 室內設計 | 空間擺位 | SOLID IDEA | (CC中文字幕)</v>
      </c>
      <c r="E4890" s="82">
        <v>44596.0</v>
      </c>
      <c r="F4890" s="80">
        <v>289.0</v>
      </c>
      <c r="G4890" s="80" t="s">
        <v>63</v>
      </c>
      <c r="I4890" s="80" t="s">
        <v>63</v>
      </c>
      <c r="J4890" s="80">
        <v>645.0</v>
      </c>
      <c r="K4890" s="80">
        <v>0.932080924855491</v>
      </c>
      <c r="L4890" s="80" t="s">
        <v>64</v>
      </c>
    </row>
    <row r="4891">
      <c r="A4891" s="80" t="s">
        <v>1312</v>
      </c>
      <c r="B4891" s="81" t="str">
        <f>HYPERLINK("https://www.youtube.com/channel/UC1NxU2rbVZW0Rq6VHmaqoEQ", "Jarvis &amp; Isabella")</f>
        <v>Jarvis &amp; Isabella</v>
      </c>
      <c r="C4891" s="80" t="s">
        <v>5341</v>
      </c>
      <c r="D4891" s="81" t="str">
        <f>HYPERLINK("https://youtube.com/watch?v=l1h544lWUr4", "【 英國 Vlog 】工作近況 | 有車之後嘅第一條 vlog | 英國家品店 Dunelm | 一齊行吓乜都有嘅 B&amp;Q｜CC 中文字幕｜Jarvis &amp; Isabella")</f>
        <v>【 英國 Vlog 】工作近況 | 有車之後嘅第一條 vlog | 英國家品店 Dunelm | 一齊行吓乜都有嘅 B&amp;Q｜CC 中文字幕｜Jarvis &amp; Isabella</v>
      </c>
      <c r="E4891" s="82">
        <v>44596.0</v>
      </c>
      <c r="F4891" s="80">
        <v>1053.0</v>
      </c>
      <c r="G4891" s="80" t="s">
        <v>63</v>
      </c>
      <c r="I4891" s="80" t="s">
        <v>63</v>
      </c>
      <c r="J4891" s="80">
        <v>2792.0</v>
      </c>
      <c r="K4891" s="80">
        <v>0.880479344055503</v>
      </c>
      <c r="L4891" s="80" t="s">
        <v>64</v>
      </c>
    </row>
    <row r="4892">
      <c r="A4892" s="80" t="s">
        <v>2041</v>
      </c>
      <c r="B4892" s="81" t="str">
        <f>HYPERLINK("https://www.youtube.com/channel/UCO6pB-ZN4XJ6MVkibvuEe0A", "SingSingTracker 星昇財經指標")</f>
        <v>SingSingTracker 星昇財經指標</v>
      </c>
      <c r="C4892" s="80" t="s">
        <v>5342</v>
      </c>
      <c r="D4892" s="81" t="str">
        <f>HYPERLINK("https://youtube.com/watch?v=yi3FtLQD32k", "【2022汽車股】Tesla估值過高 呢隻車股反而仲抵買？｜電動車股發展走勢｜真正最強汽車股現身 爆升140%跑贏龍頭 Tesla食晒塵｜2022投資方向 #F #Tsla #Tesla分析")</f>
        <v>【2022汽車股】Tesla估值過高 呢隻車股反而仲抵買？｜電動車股發展走勢｜真正最強汽車股現身 爆升140%跑贏龍頭 Tesla食晒塵｜2022投資方向 #F #Tsla #Tesla分析</v>
      </c>
      <c r="E4892" s="82">
        <v>44595.0</v>
      </c>
      <c r="F4892" s="80">
        <v>483.0</v>
      </c>
      <c r="G4892" s="80" t="s">
        <v>63</v>
      </c>
      <c r="I4892" s="80" t="s">
        <v>63</v>
      </c>
      <c r="J4892" s="80">
        <v>1497.0</v>
      </c>
      <c r="K4892" s="80">
        <v>0.792063492063492</v>
      </c>
      <c r="L4892" s="80" t="s">
        <v>64</v>
      </c>
    </row>
    <row r="4893">
      <c r="A4893" s="80" t="s">
        <v>5325</v>
      </c>
      <c r="B4893" s="81" t="str">
        <f>HYPERLINK("https://www.youtube.com/channel/UCcQ5WlinXufbKizIJHlI4LQ", "IKEAHongKong")</f>
        <v>IKEAHongKong</v>
      </c>
      <c r="C4893" s="80" t="s">
        <v>5343</v>
      </c>
      <c r="D4893" s="81" t="str">
        <f>HYPERLINK("https://youtube.com/watch?v=sCC4-hONR3Y", "IKEA Vans 設計靈感 - Jane Lee")</f>
        <v>IKEA Vans 設計靈感 - Jane Lee</v>
      </c>
      <c r="E4893" s="82">
        <v>43350.0</v>
      </c>
      <c r="F4893" s="80">
        <v>50.0</v>
      </c>
      <c r="G4893" s="80" t="s">
        <v>63</v>
      </c>
      <c r="I4893" s="80" t="s">
        <v>63</v>
      </c>
      <c r="J4893" s="80">
        <v>114.0</v>
      </c>
      <c r="K4893" s="80">
        <v>0.80281690140845</v>
      </c>
      <c r="L4893" s="80" t="s">
        <v>521</v>
      </c>
    </row>
    <row r="4894">
      <c r="A4894" s="80" t="s">
        <v>1670</v>
      </c>
      <c r="B4894" s="81" t="str">
        <f>HYPERLINK("https://www.youtube.com/channel/UC-PIt5m-WOg8UVBkt2RnN0g", "阿JACK睇樓團")</f>
        <v>阿JACK睇樓團</v>
      </c>
      <c r="C4894" s="80" t="s">
        <v>5344</v>
      </c>
      <c r="D4894" s="81" t="str">
        <f>HYPERLINK("https://youtube.com/watch?v=YS9M-CQi2ak", "新年上車盤再出擊 52萬首期兩個屋苑 屯門南延綫A16站!!  (開字幕😍）#A16 #屯門南延綫 #睇樓 #買樓  #香港樓市 ￼")</f>
        <v>新年上車盤再出擊 52萬首期兩個屋苑 屯門南延綫A16站!!  (開字幕😍）#A16 #屯門南延綫 #睇樓 #買樓  #香港樓市 ￼</v>
      </c>
      <c r="E4894" s="82">
        <v>44601.0</v>
      </c>
      <c r="F4894" s="80">
        <v>1243.0</v>
      </c>
      <c r="G4894" s="80" t="s">
        <v>63</v>
      </c>
      <c r="I4894" s="80" t="s">
        <v>63</v>
      </c>
      <c r="J4894" s="80">
        <v>4421.0</v>
      </c>
      <c r="K4894" s="80">
        <v>0.991033400582829</v>
      </c>
      <c r="L4894" s="80" t="s">
        <v>64</v>
      </c>
    </row>
    <row r="4895">
      <c r="A4895" s="80" t="s">
        <v>755</v>
      </c>
      <c r="B4895" s="81" t="str">
        <f>HYPERLINK("https://www.youtube.com/channel/UCBiJDTc82IM68KVH873VeAw", "Live in Kwangsi廣西人·情·味")</f>
        <v>Live in Kwangsi廣西人·情·味</v>
      </c>
      <c r="C4895" s="80" t="s">
        <v>5345</v>
      </c>
      <c r="D4895" s="81" t="str">
        <f>HYPERLINK("https://youtube.com/watch?v=0iXazxaO-uM", "年初五、六 再到平南 摘草莓、青棗 遊官成水庫 行夜街 返梧州｜2022農曆新年廣西自由行")</f>
        <v>年初五、六 再到平南 摘草莓、青棗 遊官成水庫 行夜街 返梧州｜2022農曆新年廣西自由行</v>
      </c>
      <c r="E4895" s="82">
        <v>44600.0</v>
      </c>
      <c r="F4895" s="80">
        <v>396.0</v>
      </c>
      <c r="G4895" s="80" t="s">
        <v>63</v>
      </c>
      <c r="I4895" s="80" t="s">
        <v>63</v>
      </c>
      <c r="J4895" s="80">
        <v>476.0</v>
      </c>
      <c r="K4895" s="80">
        <v>1.0</v>
      </c>
      <c r="L4895" s="80" t="s">
        <v>757</v>
      </c>
    </row>
    <row r="4896">
      <c r="A4896" s="80" t="s">
        <v>98</v>
      </c>
      <c r="B4896" s="81" t="str">
        <f>HYPERLINK("https://www.youtube.com/channel/UCrquuQB6v1Ued2xyRKZreGQ", "Stephen Leung ")</f>
        <v>Stephen Leung </v>
      </c>
      <c r="C4896" s="80" t="s">
        <v>5346</v>
      </c>
      <c r="D4896" s="81" t="str">
        <f>HYPERLINK("https://youtube.com/watch?v=esu34GPqbTA", "【香港美食】可以捱幾耐? 午市放題劈價! $90 酒店午市點心放題 食盡40款 懷舊點心 燒鵝皇 燒賣 蝦餃 甜品 炒粉炒麵 小菜任食 銅鑼灣智選假日酒店 聚盈樓 | 吃喝玩樂")</f>
        <v>【香港美食】可以捱幾耐? 午市放題劈價! $90 酒店午市點心放題 食盡40款 懷舊點心 燒鵝皇 燒賣 蝦餃 甜品 炒粉炒麵 小菜任食 銅鑼灣智選假日酒店 聚盈樓 | 吃喝玩樂</v>
      </c>
      <c r="E4896" s="82">
        <v>44600.0</v>
      </c>
      <c r="F4896" s="80">
        <v>683.0</v>
      </c>
      <c r="G4896" s="80" t="s">
        <v>63</v>
      </c>
      <c r="I4896" s="80" t="s">
        <v>63</v>
      </c>
      <c r="J4896" s="80">
        <v>2115.0</v>
      </c>
      <c r="K4896" s="80">
        <v>0.976003691739732</v>
      </c>
      <c r="L4896" s="80" t="s">
        <v>64</v>
      </c>
    </row>
    <row r="4897">
      <c r="A4897" s="80" t="s">
        <v>293</v>
      </c>
      <c r="B4897" s="81" t="str">
        <f>HYPERLINK("https://www.youtube.com/channel/UCXRcbXqjORdIvl63I7MtOLQ", "趁熱 Kerry 's kitchen")</f>
        <v>趁熱 Kerry 's kitchen</v>
      </c>
      <c r="C4897" s="80" t="s">
        <v>5347</v>
      </c>
      <c r="D4897" s="81" t="str">
        <f>HYPERLINK("https://youtube.com/watch?v=t9HC22ri24Q", "蒸 蛋白/蝦米瑤柱蒸蛋白/堅滑/瓊山豆腐/十分鐘攪掂/超 容易/少油/惹味/好下飯/廣東話/中字")</f>
        <v>蒸 蛋白/蝦米瑤柱蒸蛋白/堅滑/瓊山豆腐/十分鐘攪掂/超 容易/少油/惹味/好下飯/廣東話/中字</v>
      </c>
      <c r="E4897" s="82">
        <v>44599.0</v>
      </c>
      <c r="F4897" s="80">
        <v>502.0</v>
      </c>
      <c r="G4897" s="80" t="s">
        <v>63</v>
      </c>
      <c r="I4897" s="80" t="s">
        <v>63</v>
      </c>
      <c r="J4897" s="80">
        <v>664.0</v>
      </c>
      <c r="K4897" s="80">
        <v>0.992526158445441</v>
      </c>
      <c r="L4897" s="80" t="s">
        <v>64</v>
      </c>
    </row>
    <row r="4898">
      <c r="A4898" s="80" t="s">
        <v>755</v>
      </c>
      <c r="B4898" s="81" t="str">
        <f t="shared" ref="B4898:B4899" si="273">HYPERLINK("https://www.youtube.com/channel/UCBiJDTc82IM68KVH873VeAw", "Live in Kwangsi廣西人·情·味")</f>
        <v>Live in Kwangsi廣西人·情·味</v>
      </c>
      <c r="C4898" s="80" t="s">
        <v>5348</v>
      </c>
      <c r="D4898" s="81" t="str">
        <f>HYPERLINK("https://youtube.com/watch?v=bZ5623ZVyPI", "年初四遊桂平東塔 市區夜晚掠影｜2022農曆新年廣西自由行")</f>
        <v>年初四遊桂平東塔 市區夜晚掠影｜2022農曆新年廣西自由行</v>
      </c>
      <c r="E4898" s="82">
        <v>44598.0</v>
      </c>
      <c r="F4898" s="80">
        <v>355.0</v>
      </c>
      <c r="G4898" s="80" t="s">
        <v>63</v>
      </c>
      <c r="I4898" s="80" t="s">
        <v>63</v>
      </c>
      <c r="J4898" s="80">
        <v>606.0</v>
      </c>
      <c r="K4898" s="80">
        <v>1.0</v>
      </c>
      <c r="L4898" s="80" t="s">
        <v>757</v>
      </c>
    </row>
    <row r="4899">
      <c r="A4899" s="80" t="s">
        <v>755</v>
      </c>
      <c r="B4899" s="81" t="str">
        <f t="shared" si="273"/>
        <v>Live in Kwangsi廣西人·情·味</v>
      </c>
      <c r="C4899" s="80" t="s">
        <v>5349</v>
      </c>
      <c r="D4899" s="81" t="str">
        <f>HYPERLINK("https://youtube.com/watch?v=XrYNnezM_YA", "年初五遊桂平新天地步行街 文化廣場 濱江公園｜2022農曆新年廣西自由行")</f>
        <v>年初五遊桂平新天地步行街 文化廣場 濱江公園｜2022農曆新年廣西自由行</v>
      </c>
      <c r="E4899" s="82">
        <v>44599.0</v>
      </c>
      <c r="F4899" s="80">
        <v>714.0</v>
      </c>
      <c r="G4899" s="80" t="s">
        <v>63</v>
      </c>
      <c r="I4899" s="80" t="s">
        <v>63</v>
      </c>
      <c r="J4899" s="80">
        <v>681.0</v>
      </c>
      <c r="K4899" s="80">
        <v>0.985528219971056</v>
      </c>
      <c r="L4899" s="80" t="s">
        <v>757</v>
      </c>
    </row>
    <row r="4900">
      <c r="A4900" s="80" t="s">
        <v>2800</v>
      </c>
      <c r="B4900" s="81" t="str">
        <f>HYPERLINK("https://www.youtube.com/channel/UCMqrlsr-AECPc6_3oDr8m9w", "Unicorn 獸哥")</f>
        <v>Unicorn 獸哥</v>
      </c>
      <c r="C4900" s="80" t="s">
        <v>5350</v>
      </c>
      <c r="D4900" s="81" t="str">
        <f>HYPERLINK("https://youtube.com/watch?v=VAlx4KsJQHs", "何謂導演版？MARVEL電影都有出過導演版？史上第一套導演版電影係咩戲？")</f>
        <v>何謂導演版？MARVEL電影都有出過導演版？史上第一套導演版電影係咩戲？</v>
      </c>
      <c r="E4900" s="82">
        <v>44599.0</v>
      </c>
      <c r="F4900" s="80">
        <v>497.0</v>
      </c>
      <c r="G4900" s="80" t="s">
        <v>63</v>
      </c>
      <c r="I4900" s="80" t="s">
        <v>63</v>
      </c>
      <c r="J4900" s="80">
        <v>2149.0</v>
      </c>
      <c r="K4900" s="80">
        <v>0.870040485829959</v>
      </c>
      <c r="L4900" s="80" t="s">
        <v>64</v>
      </c>
    </row>
    <row r="4901">
      <c r="A4901" s="80" t="s">
        <v>1016</v>
      </c>
      <c r="B4901" s="81" t="str">
        <f>HYPERLINK("https://www.youtube.com/channel/UCSbiR1l-cfzk44iTJVSAZVQ", "Rhapsody in Lingo")</f>
        <v>Rhapsody in Lingo</v>
      </c>
      <c r="C4901" s="80" t="s">
        <v>5351</v>
      </c>
      <c r="D4901" s="81" t="str">
        <f>HYPERLINK("https://youtube.com/watch?v=9w3BsdCHg8U", "寫！粵！文！")</f>
        <v>寫！粵！文！</v>
      </c>
      <c r="E4901" s="82">
        <v>44605.0</v>
      </c>
      <c r="F4901" s="80">
        <v>810.0</v>
      </c>
      <c r="G4901" s="80" t="s">
        <v>63</v>
      </c>
      <c r="I4901" s="80" t="s">
        <v>63</v>
      </c>
      <c r="J4901" s="80">
        <v>3646.0</v>
      </c>
      <c r="K4901" s="80">
        <v>0.923739549024575</v>
      </c>
      <c r="L4901" s="80" t="s">
        <v>1142</v>
      </c>
    </row>
    <row r="4902">
      <c r="A4902" s="80" t="s">
        <v>61</v>
      </c>
      <c r="B4902" s="81" t="str">
        <f>HYPERLINK("https://www.youtube.com/channel/UCJ4XVrJuqKHbc9yF9oUFseg", "MEeeep More")</f>
        <v>MEeeep More</v>
      </c>
      <c r="C4902" s="80" t="s">
        <v>5352</v>
      </c>
      <c r="D4902" s="81" t="str">
        <f>HYPERLINK("https://youtube.com/watch?v=yC6e1BRUROA", "Samsung Galaxy S22 / S22+ Ultra多支S Pan又太大部? 不如揀部啱用仲好! | s22 plus vs iphone 13 pro")</f>
        <v>Samsung Galaxy S22 / S22+ Ultra多支S Pan又太大部? 不如揀部啱用仲好! | s22 plus vs iphone 13 pro</v>
      </c>
      <c r="E4902" s="82">
        <v>44606.0</v>
      </c>
      <c r="F4902" s="80">
        <v>166.0</v>
      </c>
      <c r="G4902" s="80" t="s">
        <v>63</v>
      </c>
      <c r="I4902" s="80" t="s">
        <v>63</v>
      </c>
      <c r="J4902" s="80">
        <v>405.0</v>
      </c>
      <c r="K4902" s="80">
        <v>0.6</v>
      </c>
      <c r="L4902" s="80" t="s">
        <v>64</v>
      </c>
    </row>
    <row r="4903">
      <c r="A4903" s="80" t="s">
        <v>121</v>
      </c>
      <c r="B4903" s="81" t="str">
        <f>HYPERLINK("https://www.youtube.com/channel/UC-2hWXRgCg-o5Waz36Yt7BA", "Arm Channel TV")</f>
        <v>Arm Channel TV</v>
      </c>
      <c r="C4903" s="80" t="s">
        <v>5353</v>
      </c>
      <c r="D4903" s="81" t="str">
        <f>HYPERLINK("https://youtube.com/watch?v=JmyqS1lpF8o", "《做保安，不容易 最終回》跑數真保安")</f>
        <v>《做保安，不容易 最終回》跑數真保安</v>
      </c>
      <c r="E4903" s="82">
        <v>44599.0</v>
      </c>
      <c r="F4903" s="80">
        <v>457.0</v>
      </c>
      <c r="G4903" s="80" t="s">
        <v>63</v>
      </c>
      <c r="I4903" s="80" t="s">
        <v>63</v>
      </c>
      <c r="J4903" s="80">
        <v>1218.0</v>
      </c>
      <c r="K4903" s="80">
        <v>0.976744186046511</v>
      </c>
      <c r="L4903" s="80" t="s">
        <v>64</v>
      </c>
    </row>
    <row r="4904">
      <c r="A4904" s="80" t="s">
        <v>108</v>
      </c>
      <c r="B4904" s="81" t="str">
        <f>HYPERLINK("https://www.youtube.com/channel/UCZL6QN6Xs-ZrKY3y6Pv6Emg", "廢青 - 日賺3000")</f>
        <v>廢青 - 日賺3000</v>
      </c>
      <c r="C4904" s="80" t="s">
        <v>5354</v>
      </c>
      <c r="D4904" s="81" t="str">
        <f>HYPERLINK("https://youtube.com/watch?v=JtcHV9m8ggw", "2月送你 5份小驚喜 !! 派利是 ! 派利是 ! 💰💰💰 你準備好未 | #廢青5周年最強大回饋【廢青 日賺3000】【點CC看中文字幕】")</f>
        <v>2月送你 5份小驚喜 !! 派利是 ! 派利是 ! 💰💰💰 你準備好未 | #廢青5周年最強大回饋【廢青 日賺3000】【點CC看中文字幕】</v>
      </c>
      <c r="E4904" s="82">
        <v>44599.0</v>
      </c>
      <c r="F4904" s="80">
        <v>158.0</v>
      </c>
      <c r="G4904" s="80" t="s">
        <v>63</v>
      </c>
      <c r="I4904" s="80" t="s">
        <v>63</v>
      </c>
      <c r="J4904" s="80">
        <v>677.0</v>
      </c>
      <c r="K4904" s="80">
        <v>0.834771886559802</v>
      </c>
      <c r="L4904" s="80" t="s">
        <v>64</v>
      </c>
    </row>
    <row r="4905">
      <c r="A4905" s="80" t="s">
        <v>414</v>
      </c>
      <c r="B4905" s="81" t="str">
        <f>HYPERLINK("https://www.youtube.com/channel/UCCVn38j5xSJZN-II-TeyomA", "Uncle Calvin Cantonese Class")</f>
        <v>Uncle Calvin Cantonese Class</v>
      </c>
      <c r="C4905" s="80" t="s">
        <v>5355</v>
      </c>
      <c r="D4905" s="81" t="str">
        <f>HYPERLINK("https://youtube.com/watch?v=47dqVcjFtLQ", "【5個元宵節小知識】5 things about Lantern Festival in Cantonese I 兒童 節日 for Family I 廣東話教室 I 字幕/Subtitles")</f>
        <v>【5個元宵節小知識】5 things about Lantern Festival in Cantonese I 兒童 節日 for Family I 廣東話教室 I 字幕/Subtitles</v>
      </c>
      <c r="E4905" s="82">
        <v>44596.0</v>
      </c>
      <c r="F4905" s="80">
        <v>478.0</v>
      </c>
      <c r="G4905" s="80" t="s">
        <v>63</v>
      </c>
      <c r="H4905" s="80" t="s">
        <v>63</v>
      </c>
      <c r="I4905" s="80" t="s">
        <v>63</v>
      </c>
      <c r="J4905" s="80">
        <v>1143.0</v>
      </c>
      <c r="K4905" s="80">
        <v>0.888276947285601</v>
      </c>
      <c r="L4905" s="80" t="s">
        <v>426</v>
      </c>
    </row>
    <row r="4906">
      <c r="A4906" s="80" t="s">
        <v>61</v>
      </c>
      <c r="B4906" s="81" t="str">
        <f>HYPERLINK("https://www.youtube.com/channel/UCJ4XVrJuqKHbc9yF9oUFseg", "MEeeep More")</f>
        <v>MEeeep More</v>
      </c>
      <c r="C4906" s="80" t="s">
        <v>5356</v>
      </c>
      <c r="D4906" s="81" t="str">
        <f>HYPERLINK("https://youtube.com/watch?v=xN5M-4gXYYQ", "Samsung Galaxy S22 Ultra | 越戰越強Galaxy S旗艦手機 首次加入S Pen 用Note定係用Ultra? | 三星 s22ultra s22+ Nightography")</f>
        <v>Samsung Galaxy S22 Ultra | 越戰越強Galaxy S旗艦手機 首次加入S Pen 用Note定係用Ultra? | 三星 s22ultra s22+ Nightography</v>
      </c>
      <c r="E4906" s="82">
        <v>44603.0</v>
      </c>
      <c r="F4906" s="80">
        <v>218.0</v>
      </c>
      <c r="G4906" s="80" t="s">
        <v>63</v>
      </c>
      <c r="I4906" s="80" t="s">
        <v>63</v>
      </c>
      <c r="J4906" s="80">
        <v>541.0</v>
      </c>
      <c r="K4906" s="80">
        <v>0.597790055248618</v>
      </c>
      <c r="L4906" s="80" t="s">
        <v>64</v>
      </c>
    </row>
    <row r="4907">
      <c r="A4907" s="80" t="s">
        <v>2585</v>
      </c>
      <c r="B4907" s="81" t="str">
        <f>HYPERLINK("https://www.youtube.com/channel/UCyyruuN0VecuYxPNR4un88Q", "混血肥仔")</f>
        <v>混血肥仔</v>
      </c>
      <c r="C4907" s="80" t="s">
        <v>5357</v>
      </c>
      <c r="D4907" s="81" t="str">
        <f>HYPERLINK("https://youtube.com/watch?v=KtQLWiS-9m4", "你情人節想要咩呀？ | 💝 史上最唔實用情人節資訊")</f>
        <v>你情人節想要咩呀？ | 💝 史上最唔實用情人節資訊</v>
      </c>
      <c r="E4907" s="82">
        <v>44606.0</v>
      </c>
      <c r="F4907" s="80">
        <v>376.0</v>
      </c>
      <c r="G4907" s="80" t="s">
        <v>63</v>
      </c>
      <c r="I4907" s="80" t="s">
        <v>63</v>
      </c>
      <c r="J4907" s="80">
        <v>796.0</v>
      </c>
      <c r="K4907" s="80">
        <v>0.992518703241895</v>
      </c>
      <c r="L4907" s="80" t="s">
        <v>64</v>
      </c>
    </row>
    <row r="4908">
      <c r="A4908" s="80" t="s">
        <v>248</v>
      </c>
      <c r="B4908" s="81" t="str">
        <f>HYPERLINK("https://www.youtube.com/channel/UCUEJok-GiWaGlv5nIPwk-GQ", "Price.com.hk 香港格價網")</f>
        <v>Price.com.hk 香港格價網</v>
      </c>
      <c r="C4908" s="80" t="s">
        <v>5358</v>
      </c>
      <c r="D4908" s="81" t="str">
        <f>HYPERLINK("https://youtube.com/watch?v=xhOyWm0zfFc", "開箱Shure主動降噪無線耳機AONIC 40 外形、音質、降噪、通話評價｜耳機測試｜Shure特約【Price.com.hk產品開箱】")</f>
        <v>開箱Shure主動降噪無線耳機AONIC 40 外形、音質、降噪、通話評價｜耳機測試｜Shure特約【Price.com.hk產品開箱】</v>
      </c>
      <c r="E4908" s="82">
        <v>44600.0</v>
      </c>
      <c r="F4908" s="80">
        <v>492.0</v>
      </c>
      <c r="G4908" s="80" t="s">
        <v>63</v>
      </c>
      <c r="I4908" s="80" t="s">
        <v>63</v>
      </c>
      <c r="J4908" s="80">
        <v>1729.0</v>
      </c>
      <c r="K4908" s="80">
        <v>0.841772151898734</v>
      </c>
      <c r="L4908" s="80" t="s">
        <v>64</v>
      </c>
    </row>
    <row r="4909">
      <c r="A4909" s="80" t="s">
        <v>124</v>
      </c>
      <c r="B4909" s="81" t="str">
        <f>HYPERLINK("https://www.youtube.com/channel/UCg0vuSE0fBF_NvodyYhMcWg", "Wallace Studio HK")</f>
        <v>Wallace Studio HK</v>
      </c>
      <c r="C4909" s="80" t="s">
        <v>5359</v>
      </c>
      <c r="D4909" s="81" t="str">
        <f>HYPERLINK("https://youtube.com/watch?v=cGA8zw3VsfU", "小米平板5 (Mi Pad 5) ！重塑入門平板新標準 (vs iPad 9)")</f>
        <v>小米平板5 (Mi Pad 5) ！重塑入門平板新標準 (vs iPad 9)</v>
      </c>
      <c r="E4909" s="82">
        <v>44605.0</v>
      </c>
      <c r="F4909" s="80">
        <v>481.0</v>
      </c>
      <c r="G4909" s="80" t="s">
        <v>63</v>
      </c>
      <c r="H4909" s="80" t="s">
        <v>63</v>
      </c>
      <c r="I4909" s="80" t="s">
        <v>63</v>
      </c>
      <c r="J4909" s="80">
        <v>1857.0</v>
      </c>
      <c r="K4909" s="80">
        <v>0.851834862385321</v>
      </c>
      <c r="L4909" s="80" t="s">
        <v>86</v>
      </c>
    </row>
    <row r="4910">
      <c r="A4910" s="80" t="s">
        <v>245</v>
      </c>
      <c r="B4910" s="81" t="str">
        <f>HYPERLINK("https://www.youtube.com/channel/UCkZ3cOWgnhJheCK7Ywpiezw", "Eagen Kao")</f>
        <v>Eagen Kao</v>
      </c>
      <c r="C4910" s="80" t="s">
        <v>5360</v>
      </c>
      <c r="D4910" s="81" t="str">
        <f>HYPERLINK("https://youtube.com/watch?v=ZX9aH8lzsw8", "[講TECH] Peak Design Everyday Case Mobile Tripod 終於到貨 | Gadget評測")</f>
        <v>[講TECH] Peak Design Everyday Case Mobile Tripod 終於到貨 | Gadget評測</v>
      </c>
      <c r="E4910" s="82">
        <v>44606.0</v>
      </c>
      <c r="F4910" s="80">
        <v>700.0</v>
      </c>
      <c r="G4910" s="80" t="s">
        <v>63</v>
      </c>
      <c r="H4910" s="80" t="s">
        <v>63</v>
      </c>
      <c r="I4910" s="80" t="s">
        <v>63</v>
      </c>
      <c r="J4910" s="80">
        <v>1876.0</v>
      </c>
      <c r="K4910" s="80">
        <v>0.801351351351351</v>
      </c>
      <c r="L4910" s="80" t="s">
        <v>86</v>
      </c>
    </row>
    <row r="4911">
      <c r="A4911" s="80" t="s">
        <v>2841</v>
      </c>
      <c r="B4911" s="81" t="str">
        <f>HYPERLINK("https://www.youtube.com/channel/UCBYGm7Iz6ck8jeno5AFiriw", "Seafront TV")</f>
        <v>Seafront TV</v>
      </c>
      <c r="C4911" s="80" t="s">
        <v>5361</v>
      </c>
      <c r="D4911" s="81" t="str">
        <f>HYPERLINK("https://youtube.com/watch?v=qdC5atyiuL0", "【JUPAS🔥IT狗：DSE冇讀「呢科」好蝕底！】科大工學士（計算機工程學）HKUST BEng in Computer Engineering | #大學Major系列 Seafront TV🌊")</f>
        <v>【JUPAS🔥IT狗：DSE冇讀「呢科」好蝕底！】科大工學士（計算機工程學）HKUST BEng in Computer Engineering | #大學Major系列 Seafront TV🌊</v>
      </c>
      <c r="E4911" s="82">
        <v>44596.0</v>
      </c>
      <c r="F4911" s="80">
        <v>1246.0</v>
      </c>
      <c r="G4911" s="80" t="s">
        <v>63</v>
      </c>
      <c r="I4911" s="80" t="s">
        <v>63</v>
      </c>
      <c r="J4911" s="80">
        <v>2948.0</v>
      </c>
      <c r="K4911" s="80">
        <v>0.51332056416507</v>
      </c>
      <c r="L4911" s="80" t="s">
        <v>102</v>
      </c>
    </row>
    <row r="4912">
      <c r="A4912" s="80" t="s">
        <v>2041</v>
      </c>
      <c r="B4912" s="81" t="str">
        <f>HYPERLINK("https://www.youtube.com/channel/UCO6pB-ZN4XJ6MVkibvuEe0A", "SingSingTracker 星昇財經指標")</f>
        <v>SingSingTracker 星昇財經指標</v>
      </c>
      <c r="C4912" s="80" t="s">
        <v>5362</v>
      </c>
      <c r="D4912" s="81" t="str">
        <f>HYPERLINK("https://youtube.com/watch?v=BNkE1ZkFwPM", "【最強股息王2022】收息股點揀？必買收息股｜穩定派息，連續65年增加派息｜懶人收息系列：收息美股2022 | 被動收入 收息退休｜股息率高一定穩陣？｜收息陷阱 #股息率 #高息股 #股票收息2022")</f>
        <v>【最強股息王2022】收息股點揀？必買收息股｜穩定派息，連續65年增加派息｜懶人收息系列：收息美股2022 | 被動收入 收息退休｜股息率高一定穩陣？｜收息陷阱 #股息率 #高息股 #股票收息2022</v>
      </c>
      <c r="E4912" s="82">
        <v>44603.0</v>
      </c>
      <c r="F4912" s="80">
        <v>555.0</v>
      </c>
      <c r="G4912" s="80" t="s">
        <v>63</v>
      </c>
      <c r="I4912" s="80" t="s">
        <v>63</v>
      </c>
      <c r="J4912" s="80">
        <v>1919.0</v>
      </c>
      <c r="K4912" s="80">
        <v>0.938845401174168</v>
      </c>
      <c r="L4912" s="80" t="s">
        <v>64</v>
      </c>
    </row>
    <row r="4913">
      <c r="A4913" s="80" t="s">
        <v>140</v>
      </c>
      <c r="B4913" s="81" t="str">
        <f>HYPERLINK("https://www.youtube.com/channel/UCHK0CZf9HEXs42qIO1GUouA", "TechiCardia")</f>
        <v>TechiCardia</v>
      </c>
      <c r="C4913" s="80" t="s">
        <v>5363</v>
      </c>
      <c r="D4913" s="81" t="str">
        <f>HYPERLINK("https://youtube.com/watch?v=GxBiTX3de54", "Philips 竟然有親民價扺玩智能燈？！換晒 WiZ Connected 多用途試用評測！天花燈、枱燈、氣氛燈 全面智能化 //4K 【TechiCardia】[CC廣東話字幕]")</f>
        <v>Philips 竟然有親民價扺玩智能燈？！換晒 WiZ Connected 多用途試用評測！天花燈、枱燈、氣氛燈 全面智能化 //4K 【TechiCardia】[CC廣東話字幕]</v>
      </c>
      <c r="E4913" s="82">
        <v>44597.0</v>
      </c>
      <c r="F4913" s="80">
        <v>843.0</v>
      </c>
      <c r="G4913" s="80" t="s">
        <v>63</v>
      </c>
      <c r="I4913" s="80" t="s">
        <v>63</v>
      </c>
      <c r="J4913" s="80">
        <v>2682.0</v>
      </c>
      <c r="K4913" s="80">
        <v>0.733990147783251</v>
      </c>
      <c r="L4913" s="80" t="s">
        <v>102</v>
      </c>
    </row>
    <row r="4914">
      <c r="A4914" s="80" t="s">
        <v>248</v>
      </c>
      <c r="B4914" s="81" t="str">
        <f>HYPERLINK("https://www.youtube.com/channel/UCUEJok-GiWaGlv5nIPwk-GQ", "Price.com.hk 香港格價網")</f>
        <v>Price.com.hk 香港格價網</v>
      </c>
      <c r="C4914" s="80" t="s">
        <v>5364</v>
      </c>
      <c r="D4914" s="81" t="str">
        <f>HYPERLINK("https://youtube.com/watch?v=tU7CiOxzFlA", "情人節禮物推介 男女朋友窩心、實用、貼心之選｜廣東話｜繁中字幕【Price.com.hk產品介紹】")</f>
        <v>情人節禮物推介 男女朋友窩心、實用、貼心之選｜廣東話｜繁中字幕【Price.com.hk產品介紹】</v>
      </c>
      <c r="E4914" s="82">
        <v>44599.0</v>
      </c>
      <c r="F4914" s="80">
        <v>498.0</v>
      </c>
      <c r="G4914" s="80" t="s">
        <v>63</v>
      </c>
      <c r="I4914" s="80" t="s">
        <v>63</v>
      </c>
      <c r="J4914" s="80">
        <v>1945.0</v>
      </c>
      <c r="K4914" s="80">
        <v>0.824501907587961</v>
      </c>
      <c r="L4914" s="80" t="s">
        <v>64</v>
      </c>
    </row>
    <row r="4915">
      <c r="A4915" s="80" t="s">
        <v>238</v>
      </c>
      <c r="B4915" s="81" t="str">
        <f>HYPERLINK("https://www.youtube.com/channel/UCSBkm4LwpgBmcA3MCtO8vqg", "Post76影音玩樂")</f>
        <v>Post76影音玩樂</v>
      </c>
      <c r="C4915" s="80" t="s">
        <v>5365</v>
      </c>
      <c r="D4915" s="81" t="str">
        <f>HYPERLINK("https://youtube.com/watch?v=WlweVSeVdBs", "Anthem MRX1140 加國家庭影院專家 : ""極強""之埋身肉博 15.2聲道旗艦級 AV擴音機 Studio 實測 ! （附設cc字幕）【AV擴音機評測】")</f>
        <v>Anthem MRX1140 加國家庭影院專家 : "極強"之埋身肉博 15.2聲道旗艦級 AV擴音機 Studio 實測 ! （附設cc字幕）【AV擴音機評測】</v>
      </c>
      <c r="E4915" s="82">
        <v>44598.0</v>
      </c>
      <c r="F4915" s="80">
        <v>1226.0</v>
      </c>
      <c r="G4915" s="80" t="s">
        <v>63</v>
      </c>
      <c r="H4915" s="80" t="s">
        <v>63</v>
      </c>
      <c r="I4915" s="80" t="s">
        <v>63</v>
      </c>
      <c r="J4915" s="80">
        <v>4514.0</v>
      </c>
      <c r="K4915" s="80">
        <v>0.848815344114328</v>
      </c>
      <c r="L4915" s="80" t="s">
        <v>240</v>
      </c>
    </row>
    <row r="4916">
      <c r="A4916" s="80" t="s">
        <v>755</v>
      </c>
      <c r="B4916" s="81" t="str">
        <f>HYPERLINK("https://www.youtube.com/channel/UCBiJDTc82IM68KVH873VeAw", "Live in Kwangsi廣西人·情·味")</f>
        <v>Live in Kwangsi廣西人·情·味</v>
      </c>
      <c r="C4916" s="80" t="s">
        <v>5366</v>
      </c>
      <c r="D4916" s="81" t="str">
        <f>HYPERLINK("https://youtube.com/watch?v=yFHa0bx01A4", "牛歌戲、石硤龍眼之鄉 「西江明珠」平南縣簡介及日夜掠影｜廣西自由行")</f>
        <v>牛歌戲、石硤龍眼之鄉 「西江明珠」平南縣簡介及日夜掠影｜廣西自由行</v>
      </c>
      <c r="E4916" s="82">
        <v>44602.0</v>
      </c>
      <c r="F4916" s="80">
        <v>207.0</v>
      </c>
      <c r="G4916" s="80" t="s">
        <v>63</v>
      </c>
      <c r="H4916" s="80" t="s">
        <v>63</v>
      </c>
      <c r="I4916" s="80" t="s">
        <v>63</v>
      </c>
      <c r="J4916" s="80">
        <v>538.0</v>
      </c>
      <c r="K4916" s="80">
        <v>1.0</v>
      </c>
      <c r="L4916" s="80" t="s">
        <v>776</v>
      </c>
    </row>
    <row r="4917">
      <c r="A4917" s="80" t="s">
        <v>248</v>
      </c>
      <c r="B4917" s="81" t="str">
        <f>HYPERLINK("https://www.youtube.com/channel/UCUEJok-GiWaGlv5nIPwk-GQ", "Price.com.hk 香港格價網")</f>
        <v>Price.com.hk 香港格價網</v>
      </c>
      <c r="C4917" s="80" t="s">
        <v>5367</v>
      </c>
      <c r="D4917" s="81" t="str">
        <f>HYPERLINK("https://youtube.com/watch?v=aTcXWNmIV80", "Samsung發佈會內容流出 S22，Tab s8外型規格曝光！iOS15.4支援口罩解鎖 ‧ 華納唱片擬於元宇宙興建音樂主題樂園 | 廣東話【Price Weekly #100 2022年2月 】")</f>
        <v>Samsung發佈會內容流出 S22，Tab s8外型規格曝光！iOS15.4支援口罩解鎖 ‧ 華納唱片擬於元宇宙興建音樂主題樂園 | 廣東話【Price Weekly #100 2022年2月 】</v>
      </c>
      <c r="E4917" s="82">
        <v>44597.0</v>
      </c>
      <c r="F4917" s="80">
        <v>533.0</v>
      </c>
      <c r="G4917" s="80" t="s">
        <v>63</v>
      </c>
      <c r="I4917" s="80" t="s">
        <v>63</v>
      </c>
      <c r="J4917" s="80">
        <v>1899.0</v>
      </c>
      <c r="K4917" s="80">
        <v>0.747343565525383</v>
      </c>
      <c r="L4917" s="80" t="s">
        <v>64</v>
      </c>
    </row>
    <row r="4918">
      <c r="A4918" s="80" t="s">
        <v>3048</v>
      </c>
      <c r="B4918" s="81" t="str">
        <f>HYPERLINK("https://www.youtube.com/channel/UCHiP6GctzJdIkYP20_9k-zg", "英倫。美景 about.the.england")</f>
        <v>英倫。美景 about.the.england</v>
      </c>
      <c r="C4918" s="80" t="s">
        <v>5368</v>
      </c>
      <c r="D4918" s="81" t="str">
        <f>HYPERLINK("https://youtube.com/watch?v=CdofosLGGss", "行駛途中電子顯示板車軚警告燈亮起點算好?😨英國油站車軚充氣簡單教學🚗")</f>
        <v>行駛途中電子顯示板車軚警告燈亮起點算好?😨英國油站車軚充氣簡單教學🚗</v>
      </c>
      <c r="E4918" s="82">
        <v>44598.0</v>
      </c>
      <c r="F4918" s="80">
        <v>202.0</v>
      </c>
      <c r="G4918" s="80" t="s">
        <v>63</v>
      </c>
      <c r="I4918" s="80" t="s">
        <v>63</v>
      </c>
      <c r="J4918" s="80">
        <v>601.0</v>
      </c>
      <c r="K4918" s="80">
        <v>0.946456692913385</v>
      </c>
      <c r="L4918" s="80" t="s">
        <v>64</v>
      </c>
    </row>
    <row r="4919">
      <c r="A4919" s="80" t="s">
        <v>1670</v>
      </c>
      <c r="B4919" s="81" t="str">
        <f>HYPERLINK("https://www.youtube.com/channel/UC-PIt5m-WOg8UVBkt2RnN0g", "阿JACK睇樓團")</f>
        <v>阿JACK睇樓團</v>
      </c>
      <c r="C4919" s="80" t="s">
        <v>5369</v>
      </c>
      <c r="D4919" s="81" t="str">
        <f>HYPERLINK("https://youtube.com/watch?v=7XkK5L8nOWg", "新年上車盤第一擊🧨46萬首期 三個屋苑比較吓 (開字幕😍）#睇樓 #買樓 #景峰花園￼ #怡樂花園 #偉景花園 #香港樓市 ￼")</f>
        <v>新年上車盤第一擊🧨46萬首期 三個屋苑比較吓 (開字幕😍）#睇樓 #買樓 #景峰花園￼ #怡樂花園 #偉景花園 #香港樓市 ￼</v>
      </c>
      <c r="E4919" s="82">
        <v>44597.0</v>
      </c>
      <c r="F4919" s="80">
        <v>1135.0</v>
      </c>
      <c r="G4919" s="80" t="s">
        <v>63</v>
      </c>
      <c r="I4919" s="80" t="s">
        <v>63</v>
      </c>
      <c r="J4919" s="80">
        <v>4102.0</v>
      </c>
      <c r="K4919" s="80">
        <v>0.991300144997583</v>
      </c>
      <c r="L4919" s="80" t="s">
        <v>64</v>
      </c>
    </row>
    <row r="4920">
      <c r="A4920" s="80" t="s">
        <v>2829</v>
      </c>
      <c r="B4920" s="81" t="str">
        <f>HYPERLINK("https://www.youtube.com/channel/UC7GnES6AEQlDzaP04UqtyjA", "SOLID IDEA")</f>
        <v>SOLID IDEA</v>
      </c>
      <c r="C4920" s="80" t="s">
        <v>5370</v>
      </c>
      <c r="D4920" s="81" t="str">
        <f>HYPERLINK("https://youtube.com/watch?v=zQ4KO59iERY", "[#設計概念] #帝御嵐天 黑白灰的都會感覺 | 室內設計 | 空間擺位 | SOLID IDEA | (CC中文字幕)")</f>
        <v>[#設計概念] #帝御嵐天 黑白灰的都會感覺 | 室內設計 | 空間擺位 | SOLID IDEA | (CC中文字幕)</v>
      </c>
      <c r="E4920" s="82">
        <v>44603.0</v>
      </c>
      <c r="F4920" s="80">
        <v>202.0</v>
      </c>
      <c r="G4920" s="80" t="s">
        <v>63</v>
      </c>
      <c r="I4920" s="80" t="s">
        <v>63</v>
      </c>
      <c r="J4920" s="80">
        <v>379.0</v>
      </c>
      <c r="K4920" s="80">
        <v>0.906698564593301</v>
      </c>
      <c r="L4920" s="80" t="s">
        <v>64</v>
      </c>
    </row>
    <row r="4921">
      <c r="A4921" s="80" t="s">
        <v>2585</v>
      </c>
      <c r="B4921" s="81" t="str">
        <f>HYPERLINK("https://www.youtube.com/channel/UCyyruuN0VecuYxPNR4un88Q", "混血肥仔")</f>
        <v>混血肥仔</v>
      </c>
      <c r="C4921" s="80" t="s">
        <v>5371</v>
      </c>
      <c r="D4921" s="81" t="str">
        <f>HYPERLINK("https://youtube.com/watch?v=QGBTr5zWkFQ", "鬼仔亂入流出 | NG片段 | 📹Making-of #03")</f>
        <v>鬼仔亂入流出 | NG片段 | 📹Making-of #03</v>
      </c>
      <c r="E4921" s="82">
        <v>44601.0</v>
      </c>
      <c r="F4921" s="80">
        <v>122.0</v>
      </c>
      <c r="G4921" s="80" t="s">
        <v>63</v>
      </c>
      <c r="I4921" s="80" t="s">
        <v>63</v>
      </c>
      <c r="J4921" s="80">
        <v>184.0</v>
      </c>
      <c r="K4921" s="80">
        <v>0.699619771863117</v>
      </c>
      <c r="L4921" s="80" t="s">
        <v>64</v>
      </c>
    </row>
    <row r="4922">
      <c r="A4922" s="80" t="s">
        <v>248</v>
      </c>
      <c r="B4922" s="81" t="str">
        <f>HYPERLINK("https://www.youtube.com/channel/UCUEJok-GiWaGlv5nIPwk-GQ", "Price.com.hk 香港格價網")</f>
        <v>Price.com.hk 香港格價網</v>
      </c>
      <c r="C4922" s="80" t="s">
        <v>5372</v>
      </c>
      <c r="D4922" s="81" t="str">
        <f>HYPERLINK("https://youtube.com/watch?v=F4kh2jDhMcY", "Sony新一代金磚、黑磚 行Android 11．WD_Black入門價 無DRAM SSD SN770登場．任天堂出體感運動新遊戲｜廣東話【Price Weekly #101 2022年2月 】")</f>
        <v>Sony新一代金磚、黑磚 行Android 11．WD_Black入門價 無DRAM SSD SN770登場．任天堂出體感運動新遊戲｜廣東話【Price Weekly #101 2022年2月 】</v>
      </c>
      <c r="E4922" s="82">
        <v>44604.0</v>
      </c>
      <c r="F4922" s="80">
        <v>609.0</v>
      </c>
      <c r="G4922" s="80" t="s">
        <v>63</v>
      </c>
      <c r="I4922" s="80" t="s">
        <v>63</v>
      </c>
      <c r="J4922" s="80">
        <v>2098.0</v>
      </c>
      <c r="K4922" s="80">
        <v>0.712152070604209</v>
      </c>
      <c r="L4922" s="80" t="s">
        <v>64</v>
      </c>
    </row>
    <row r="4923">
      <c r="A4923" s="80" t="s">
        <v>124</v>
      </c>
      <c r="B4923" s="81" t="str">
        <f>HYPERLINK("https://www.youtube.com/channel/UCg0vuSE0fBF_NvodyYhMcWg", "Wallace Studio HK")</f>
        <v>Wallace Studio HK</v>
      </c>
      <c r="C4923" s="80" t="s">
        <v>5373</v>
      </c>
      <c r="D4923" s="81" t="str">
        <f>HYPERLINK("https://youtube.com/watch?v=eN17IbKMaoU", "Microsoft Surface Go 3 應該揀邊個Model? 同你詳細比較Core i3, Penitinum Gold 6500Y vs Surface Go 2 4425Y效能差距！")</f>
        <v>Microsoft Surface Go 3 應該揀邊個Model? 同你詳細比較Core i3, Penitinum Gold 6500Y vs Surface Go 2 4425Y效能差距！</v>
      </c>
      <c r="E4923" s="82">
        <v>44598.0</v>
      </c>
      <c r="F4923" s="80">
        <v>516.0</v>
      </c>
      <c r="G4923" s="80" t="s">
        <v>63</v>
      </c>
      <c r="H4923" s="80" t="s">
        <v>63</v>
      </c>
      <c r="I4923" s="80" t="s">
        <v>63</v>
      </c>
      <c r="J4923" s="80">
        <v>1575.0</v>
      </c>
      <c r="K4923" s="80">
        <v>0.746799431009957</v>
      </c>
      <c r="L4923" s="80" t="s">
        <v>86</v>
      </c>
    </row>
    <row r="4924">
      <c r="A4924" s="80" t="s">
        <v>293</v>
      </c>
      <c r="B4924" s="81" t="str">
        <f t="shared" ref="B4924:B4925" si="274">HYPERLINK("https://www.youtube.com/channel/UCXRcbXqjORdIvl63I7MtOLQ", "趁熱 Kerry 's kitchen")</f>
        <v>趁熱 Kerry 's kitchen</v>
      </c>
      <c r="C4924" s="80" t="s">
        <v>5374</v>
      </c>
      <c r="D4924" s="81" t="str">
        <f>HYPERLINK("https://youtube.com/watch?v=J9rFQBKiUek", "蝦仁 蛋/蝦仁芙蓉蛋/不出水竅門/簡單好餸飯/買菜貴這個低成本/唔駛出街在家做/廣東話/中字/SHRIMP OMELETTE/蝦仁歐姆蛋")</f>
        <v>蝦仁 蛋/蝦仁芙蓉蛋/不出水竅門/簡單好餸飯/買菜貴這個低成本/唔駛出街在家做/廣東話/中字/SHRIMP OMELETTE/蝦仁歐姆蛋</v>
      </c>
      <c r="E4924" s="82">
        <v>44603.0</v>
      </c>
      <c r="F4924" s="80">
        <v>557.0</v>
      </c>
      <c r="G4924" s="80" t="s">
        <v>63</v>
      </c>
      <c r="I4924" s="80" t="s">
        <v>63</v>
      </c>
      <c r="J4924" s="80">
        <v>722.0</v>
      </c>
      <c r="K4924" s="80">
        <v>0.976995940460081</v>
      </c>
      <c r="L4924" s="80" t="s">
        <v>64</v>
      </c>
    </row>
    <row r="4925">
      <c r="A4925" s="80" t="s">
        <v>293</v>
      </c>
      <c r="B4925" s="81" t="str">
        <f t="shared" si="274"/>
        <v>趁熱 Kerry 's kitchen</v>
      </c>
      <c r="C4925" s="80" t="s">
        <v>5375</v>
      </c>
      <c r="D4925" s="81" t="str">
        <f>HYPERLINK("https://youtube.com/watch?v=i1FFZPP6DLE", "茶餐廳/豉椒排骨飯/茶記味道/特別時期在家自己做/鑊仔做一樣得/超簡單/省時間/新手入門/廣東話/中字")</f>
        <v>茶餐廳/豉椒排骨飯/茶記味道/特別時期在家自己做/鑊仔做一樣得/超簡單/省時間/新手入門/廣東話/中字</v>
      </c>
      <c r="E4925" s="82">
        <v>44601.0</v>
      </c>
      <c r="F4925" s="80">
        <v>653.0</v>
      </c>
      <c r="G4925" s="80" t="s">
        <v>63</v>
      </c>
      <c r="I4925" s="80" t="s">
        <v>63</v>
      </c>
      <c r="J4925" s="80">
        <v>540.0</v>
      </c>
      <c r="K4925" s="80">
        <v>0.974729241877256</v>
      </c>
      <c r="L4925" s="80" t="s">
        <v>64</v>
      </c>
    </row>
    <row r="4926">
      <c r="A4926" s="80" t="s">
        <v>2780</v>
      </c>
      <c r="B4926" s="81" t="str">
        <f>HYPERLINK("https://www.youtube.com/channel/UC0CojhLcc0VESgaG633m5kA", "RainErs")</f>
        <v>RainErs</v>
      </c>
      <c r="C4926" s="80" t="s">
        <v>5376</v>
      </c>
      <c r="D4926" s="81" t="str">
        <f>HYPERLINK("https://youtube.com/watch?v=F5i5dA0buHE", "iPad Pro 2021 11 inch unboxing !!--M1晶片全面升級 ?? // 咩類型嘅人需要用??同場加映Pencil開箱!![有CC字幕]")</f>
        <v>iPad Pro 2021 11 inch unboxing !!--M1晶片全面升級 ?? // 咩類型嘅人需要用??同場加映Pencil開箱!![有CC字幕]</v>
      </c>
      <c r="E4926" s="82">
        <v>44600.0</v>
      </c>
      <c r="F4926" s="80">
        <v>550.0</v>
      </c>
      <c r="G4926" s="80" t="s">
        <v>63</v>
      </c>
      <c r="I4926" s="80" t="s">
        <v>63</v>
      </c>
      <c r="J4926" s="80">
        <v>2238.0</v>
      </c>
      <c r="K4926" s="80">
        <v>0.765389876880984</v>
      </c>
      <c r="L4926" s="80" t="s">
        <v>64</v>
      </c>
    </row>
    <row r="4927">
      <c r="A4927" s="80" t="s">
        <v>4470</v>
      </c>
      <c r="B4927" s="81" t="str">
        <f>HYPERLINK("https://www.youtube.com/channel/UC4VI_WmdfVMTkT4vKCiZA4A", "BossMind")</f>
        <v>BossMind</v>
      </c>
      <c r="C4927" s="80" t="s">
        <v>5377</v>
      </c>
      <c r="D4927" s="81" t="str">
        <f>HYPERLINK("https://youtube.com/watch?v=S2YECTqAWeQ", "全民做足對沖 美股不跌反升｜無撈底好蠢？backtest買殘價科技股 風險 回報比例只得1比1｜市場口味睇農業 食品 油｜可樂(KO)業績前瞻 聽吓大摩點解睇KO到71元｜#華爾街戰線｜#杜昇")</f>
        <v>全民做足對沖 美股不跌反升｜無撈底好蠢？backtest買殘價科技股 風險 回報比例只得1比1｜市場口味睇農業 食品 油｜可樂(KO)業績前瞻 聽吓大摩點解睇KO到71元｜#華爾街戰線｜#杜昇</v>
      </c>
      <c r="E4927" s="82">
        <v>44601.0</v>
      </c>
      <c r="F4927" s="80">
        <v>525.0</v>
      </c>
      <c r="G4927" s="80" t="s">
        <v>63</v>
      </c>
      <c r="I4927" s="80" t="s">
        <v>63</v>
      </c>
      <c r="J4927" s="80">
        <v>1429.0</v>
      </c>
      <c r="K4927" s="80">
        <v>0.868693009118541</v>
      </c>
      <c r="L4927" s="80" t="s">
        <v>64</v>
      </c>
    </row>
    <row r="4928">
      <c r="A4928" s="80" t="s">
        <v>260</v>
      </c>
      <c r="B4928" s="81" t="str">
        <f>HYPERLINK("https://www.youtube.com/channel/UC-HXOikkLx7BGEfILGIpYOg", "港短 . 英移")</f>
        <v>港短 . 英移</v>
      </c>
      <c r="C4928" s="80" t="s">
        <v>5378</v>
      </c>
      <c r="D4928" s="81" t="str">
        <f>HYPERLINK("https://youtube.com/watch?v=UW3z67qx8vY", "我條街原來好多賊!? 小心可疑車輛 英國偷車只需5秒! 英國生活最危險既位? | 港短.英移 #英國偷車 #英國治安 #英國危險")</f>
        <v>我條街原來好多賊!? 小心可疑車輛 英國偷車只需5秒! 英國生活最危險既位? | 港短.英移 #英國偷車 #英國治安 #英國危險</v>
      </c>
      <c r="E4928" s="82">
        <v>44602.0</v>
      </c>
      <c r="F4928" s="80">
        <v>429.0</v>
      </c>
      <c r="G4928" s="80" t="s">
        <v>63</v>
      </c>
      <c r="I4928" s="80" t="s">
        <v>63</v>
      </c>
      <c r="J4928" s="80">
        <v>1586.0</v>
      </c>
      <c r="K4928" s="80">
        <v>0.854065697361335</v>
      </c>
      <c r="L4928" s="80" t="s">
        <v>102</v>
      </c>
    </row>
    <row r="4929">
      <c r="A4929" s="80" t="s">
        <v>108</v>
      </c>
      <c r="B4929" s="81" t="str">
        <f>HYPERLINK("https://www.youtube.com/channel/UCZL6QN6Xs-ZrKY3y6Pv6Emg", "廢青 - 日賺3000")</f>
        <v>廢青 - 日賺3000</v>
      </c>
      <c r="C4929" s="80" t="s">
        <v>5379</v>
      </c>
      <c r="D4929" s="81" t="str">
        <f>HYPERLINK("https://youtube.com/watch?v=tIMYHZTp3q0", "Facebook 暴跌38%🆘!! 買 or 唔買❓ | #廢青交易策略 #FB #廢青5周年最強大回饋 | EP17【廢青 日賺3000】【點CC看中文字幕】")</f>
        <v>Facebook 暴跌38%🆘!! 買 or 唔買❓ | #廢青交易策略 #FB #廢青5周年最強大回饋 | EP17【廢青 日賺3000】【點CC看中文字幕】</v>
      </c>
      <c r="E4929" s="82">
        <v>44597.0</v>
      </c>
      <c r="F4929" s="80">
        <v>727.0</v>
      </c>
      <c r="G4929" s="80" t="s">
        <v>63</v>
      </c>
      <c r="I4929" s="80" t="s">
        <v>63</v>
      </c>
      <c r="J4929" s="80">
        <v>3313.0</v>
      </c>
      <c r="K4929" s="80">
        <v>0.859849467947054</v>
      </c>
      <c r="L4929" s="80" t="s">
        <v>64</v>
      </c>
    </row>
    <row r="4930">
      <c r="A4930" s="80" t="s">
        <v>1312</v>
      </c>
      <c r="B4930" s="81" t="str">
        <f>HYPERLINK("https://www.youtube.com/channel/UC1NxU2rbVZW0Rq6VHmaqoEQ", "Jarvis &amp; Isabella")</f>
        <v>Jarvis &amp; Isabella</v>
      </c>
      <c r="C4930" s="80" t="s">
        <v>5380</v>
      </c>
      <c r="D4930" s="81" t="str">
        <f>HYPERLINK("https://youtube.com/watch?v=GyVvYlzeCRQ", "【 英國 Vlog 】英國M記早餐大失望 | 行平價超市Morrisons | 終於買到啱用嘅煲湯肉 ! ! | 預備2餸同鄰居食飯 ~｜CC 中文字幕｜Jarvis &amp; Isabella")</f>
        <v>【 英國 Vlog 】英國M記早餐大失望 | 行平價超市Morrisons | 終於買到啱用嘅煲湯肉 ! ! | 預備2餸同鄰居食飯 ~｜CC 中文字幕｜Jarvis &amp; Isabella</v>
      </c>
      <c r="E4930" s="82">
        <v>44602.0</v>
      </c>
      <c r="F4930" s="80">
        <v>580.0</v>
      </c>
      <c r="G4930" s="80" t="s">
        <v>63</v>
      </c>
      <c r="I4930" s="80" t="s">
        <v>63</v>
      </c>
      <c r="J4930" s="80">
        <v>1709.0</v>
      </c>
      <c r="K4930" s="80">
        <v>0.826002899951667</v>
      </c>
      <c r="L4930" s="80" t="s">
        <v>64</v>
      </c>
    </row>
    <row r="4931">
      <c r="A4931" s="80" t="s">
        <v>1670</v>
      </c>
      <c r="B4931" s="81" t="str">
        <f>HYPERLINK("https://www.youtube.com/channel/UC-PIt5m-WOg8UVBkt2RnN0g", "阿JACK睇樓團")</f>
        <v>阿JACK睇樓團</v>
      </c>
      <c r="C4931" s="80" t="s">
        <v>5381</v>
      </c>
      <c r="D4931" s="81" t="str">
        <f>HYPERLINK("https://youtube.com/watch?v=KVY9PUCR3U4", "240尺巨型客飯廳 特大露台向南泳池景😍 三房一套兩個屋苑")</f>
        <v>240尺巨型客飯廳 特大露台向南泳池景😍 三房一套兩個屋苑</v>
      </c>
      <c r="E4931" s="82">
        <v>44603.0</v>
      </c>
      <c r="F4931" s="80">
        <v>745.0</v>
      </c>
      <c r="G4931" s="80" t="s">
        <v>63</v>
      </c>
      <c r="I4931" s="80" t="s">
        <v>63</v>
      </c>
      <c r="J4931" s="80">
        <v>2700.0</v>
      </c>
      <c r="K4931" s="80">
        <v>0.995942456658059</v>
      </c>
      <c r="L4931" s="80" t="s">
        <v>64</v>
      </c>
    </row>
    <row r="4932">
      <c r="A4932" s="80" t="s">
        <v>293</v>
      </c>
      <c r="B4932" s="81" t="str">
        <f>HYPERLINK("https://www.youtube.com/channel/UCXRcbXqjORdIvl63I7MtOLQ", "趁熱 Kerry 's kitchen")</f>
        <v>趁熱 Kerry 's kitchen</v>
      </c>
      <c r="C4932" s="80" t="s">
        <v>5382</v>
      </c>
      <c r="D4932" s="81" t="str">
        <f>HYPERLINK("https://youtube.com/watch?v=iAi7ijtjvfM", "電飯煲/臘腸蘿蔔飯/避疫飯/方便儲存/非常時期唔想出街/低成本簡簡單單又一餐/平平地/超惹味/廣東話/中字")</f>
        <v>電飯煲/臘腸蘿蔔飯/避疫飯/方便儲存/非常時期唔想出街/低成本簡簡單單又一餐/平平地/超惹味/廣東話/中字</v>
      </c>
      <c r="E4932" s="82">
        <v>44606.0</v>
      </c>
      <c r="F4932" s="80">
        <v>568.0</v>
      </c>
      <c r="G4932" s="80" t="s">
        <v>63</v>
      </c>
      <c r="I4932" s="80" t="s">
        <v>63</v>
      </c>
      <c r="J4932" s="80">
        <v>810.0</v>
      </c>
      <c r="K4932" s="80">
        <v>0.983009708737864</v>
      </c>
      <c r="L4932" s="80" t="s">
        <v>64</v>
      </c>
    </row>
    <row r="4933">
      <c r="A4933" s="80" t="s">
        <v>248</v>
      </c>
      <c r="B4933" s="81" t="str">
        <f>HYPERLINK("https://www.youtube.com/channel/UCUEJok-GiWaGlv5nIPwk-GQ", "Price.com.hk 香港格價網")</f>
        <v>Price.com.hk 香港格價網</v>
      </c>
      <c r="C4933" s="80" t="s">
        <v>5383</v>
      </c>
      <c r="D4933" s="81" t="str">
        <f>HYPERLINK("https://youtube.com/watch?v=8WbijQe6FUg", "SAMSUNG 最新旗艦S22 Ultra、S22+、S22 實機一次過睇晒﹗Galaxy Unpacked 2022 懶人包｜S Pen回歸．Tab S8同步登場【Price.com.hk產品比較】")</f>
        <v>SAMSUNG 最新旗艦S22 Ultra、S22+、S22 實機一次過睇晒﹗Galaxy Unpacked 2022 懶人包｜S Pen回歸．Tab S8同步登場【Price.com.hk產品比較】</v>
      </c>
      <c r="E4933" s="82">
        <v>44601.0</v>
      </c>
      <c r="F4933" s="80">
        <v>651.0</v>
      </c>
      <c r="G4933" s="80" t="s">
        <v>63</v>
      </c>
      <c r="I4933" s="80" t="s">
        <v>63</v>
      </c>
      <c r="J4933" s="80">
        <v>2245.0</v>
      </c>
      <c r="K4933" s="80">
        <v>0.741903502974223</v>
      </c>
      <c r="L4933" s="80" t="s">
        <v>64</v>
      </c>
    </row>
    <row r="4934">
      <c r="A4934" s="80" t="s">
        <v>5384</v>
      </c>
      <c r="B4934" s="81" t="str">
        <f>HYPERLINK("https://www.youtube.com/channel/UCNGJxsR8Xsc3LS-8FvvLiaw", "Yung Takeem")</f>
        <v>Yung Takeem</v>
      </c>
      <c r="C4934" s="80" t="s">
        <v>5385</v>
      </c>
      <c r="D4934" s="81" t="str">
        <f>HYPERLINK("https://youtube.com/watch?v=ep3PnWcq6fM", "XXX - ft. N.O.L.Y")</f>
        <v>XXX - ft. N.O.L.Y</v>
      </c>
      <c r="E4934" s="82">
        <v>44602.0</v>
      </c>
      <c r="F4934" s="80">
        <v>180.0</v>
      </c>
      <c r="G4934" s="80" t="s">
        <v>63</v>
      </c>
      <c r="I4934" s="80" t="s">
        <v>63</v>
      </c>
      <c r="J4934" s="80">
        <v>119.0</v>
      </c>
      <c r="K4934" s="80">
        <v>0.178410794602698</v>
      </c>
      <c r="L4934" s="80" t="s">
        <v>102</v>
      </c>
    </row>
    <row r="4935">
      <c r="A4935" s="80" t="s">
        <v>5045</v>
      </c>
      <c r="B4935" s="81" t="str">
        <f>HYPERLINK("https://www.youtube.com/channel/UC5LH_cGEFwywuAxuEVRHriQ", "Sunshine Nursery Rhyme")</f>
        <v>Sunshine Nursery Rhyme</v>
      </c>
      <c r="C4935" s="80" t="s">
        <v>5386</v>
      </c>
      <c r="D4935" s="81" t="str">
        <f>HYPERLINK("https://youtube.com/watch?v=CwT_lu9i8h8", "【香港地道故事】南區一日遊（二）｜益智卡通｜香港兒歌")</f>
        <v>【香港地道故事】南區一日遊（二）｜益智卡通｜香港兒歌</v>
      </c>
      <c r="E4935" s="82">
        <v>44602.0</v>
      </c>
      <c r="F4935" s="80">
        <v>337.0</v>
      </c>
      <c r="G4935" s="80" t="s">
        <v>63</v>
      </c>
      <c r="I4935" s="80" t="s">
        <v>63</v>
      </c>
      <c r="J4935" s="80">
        <v>670.0</v>
      </c>
      <c r="K4935" s="80">
        <v>0.992592592592592</v>
      </c>
      <c r="L4935" s="80" t="s">
        <v>64</v>
      </c>
    </row>
    <row r="4936">
      <c r="A4936" s="80" t="s">
        <v>217</v>
      </c>
      <c r="B4936" s="81" t="str">
        <f>HYPERLINK("https://www.youtube.com/channel/UCXKg0qPRz32bs5Z4mTGF3TQ", "Stormtrooper白兵")</f>
        <v>Stormtrooper白兵</v>
      </c>
      <c r="C4936" s="80" t="s">
        <v>5387</v>
      </c>
      <c r="D4936" s="81" t="str">
        <f>HYPERLINK("https://youtube.com/watch?v=KkY1H5nIU4A", "[恐懼囚禁靈魂 希望還你自由]戰勝防疫七個覺悟｜IMDb長年榜首 力壓教父＋黑暗騎士、史提芬京警世之作－月黑高飛(The Shawshank Redemption)｜救贖之道，就在其中｜粵語中字")</f>
        <v>[恐懼囚禁靈魂 希望還你自由]戰勝防疫七個覺悟｜IMDb長年榜首 力壓教父＋黑暗騎士、史提芬京警世之作－月黑高飛(The Shawshank Redemption)｜救贖之道，就在其中｜粵語中字</v>
      </c>
      <c r="E4936" s="82">
        <v>44602.0</v>
      </c>
      <c r="F4936" s="80">
        <v>1001.0</v>
      </c>
      <c r="G4936" s="80" t="s">
        <v>63</v>
      </c>
      <c r="I4936" s="80" t="s">
        <v>63</v>
      </c>
      <c r="J4936" s="80">
        <v>3916.0</v>
      </c>
      <c r="K4936" s="80">
        <v>0.818733012753502</v>
      </c>
      <c r="L4936" s="80" t="s">
        <v>64</v>
      </c>
    </row>
    <row r="4937">
      <c r="A4937" s="80" t="s">
        <v>2585</v>
      </c>
      <c r="B4937" s="81" t="str">
        <f>HYPERLINK("https://www.youtube.com/channel/UCyyruuN0VecuYxPNR4un88Q", "混血肥仔")</f>
        <v>混血肥仔</v>
      </c>
      <c r="C4937" s="80" t="s">
        <v>5388</v>
      </c>
      <c r="D4937" s="81" t="str">
        <f>HYPERLINK("https://youtube.com/watch?v=GPw682RIuLU", "走入英國最差城市😨跌銀包 ｜ 唔好咁癲先 EP01 ｜ 內含小劇場")</f>
        <v>走入英國最差城市😨跌銀包 ｜ 唔好咁癲先 EP01 ｜ 內含小劇場</v>
      </c>
      <c r="E4937" s="82">
        <v>44614.0</v>
      </c>
      <c r="F4937" s="80">
        <v>712.0</v>
      </c>
      <c r="G4937" s="80" t="s">
        <v>63</v>
      </c>
      <c r="I4937" s="80" t="s">
        <v>63</v>
      </c>
      <c r="J4937" s="80">
        <v>1768.0</v>
      </c>
      <c r="K4937" s="80">
        <v>0.952586206896551</v>
      </c>
      <c r="L4937" s="80" t="s">
        <v>64</v>
      </c>
    </row>
    <row r="4938">
      <c r="A4938" s="80" t="s">
        <v>527</v>
      </c>
      <c r="B4938" s="81" t="str">
        <f>HYPERLINK("https://www.youtube.com/channel/UC7knZNnVYcw_9_zQ3PGOoGw", "ようき楽園 / 玉其樂園")</f>
        <v>ようき楽園 / 玉其樂園</v>
      </c>
      <c r="C4938" s="80" t="s">
        <v>5389</v>
      </c>
      <c r="D4938" s="81" t="str">
        <f>HYPERLINK("https://youtube.com/watch?v=wqehgNswTgQ", "【広東語教室#5】すごく「MM7」！｜好「MM7」啊！（中日字幕）")</f>
        <v>【広東語教室#5】すごく「MM7」！｜好「MM7」啊！（中日字幕）</v>
      </c>
      <c r="E4938" s="82">
        <v>44617.0</v>
      </c>
      <c r="F4938" s="80">
        <v>183.0</v>
      </c>
      <c r="G4938" s="80" t="s">
        <v>63</v>
      </c>
      <c r="I4938" s="80" t="s">
        <v>63</v>
      </c>
      <c r="J4938" s="80">
        <v>683.0</v>
      </c>
      <c r="K4938" s="80">
        <v>0.899868247694334</v>
      </c>
      <c r="L4938" s="80" t="s">
        <v>64</v>
      </c>
    </row>
    <row r="4939">
      <c r="A4939" s="80" t="s">
        <v>2041</v>
      </c>
      <c r="B4939" s="81" t="str">
        <f>HYPERLINK("https://www.youtube.com/channel/UCO6pB-ZN4XJ6MVkibvuEe0A", "SingSingTracker 星昇財經指標")</f>
        <v>SingSingTracker 星昇財經指標</v>
      </c>
      <c r="C4939" s="80" t="s">
        <v>5390</v>
      </c>
      <c r="D4939" s="81" t="str">
        <f>HYPERLINK("https://youtube.com/watch?v=wqPIZtEdZ4w", "【消費券 2022】消費券懶人包 5分鐘一片睇晒｜點攞齊$10000？｜八達通攻略及注意事項｜轉平台得唔得？｜申請資格 使用期限｜2022財政預算案 派糖政策重點 #octopus #tapngo")</f>
        <v>【消費券 2022】消費券懶人包 5分鐘一片睇晒｜點攞齊$10000？｜八達通攻略及注意事項｜轉平台得唔得？｜申請資格 使用期限｜2022財政預算案 派糖政策重點 #octopus #tapngo</v>
      </c>
      <c r="E4939" s="82">
        <v>44617.0</v>
      </c>
      <c r="F4939" s="80">
        <v>348.0</v>
      </c>
      <c r="G4939" s="80" t="s">
        <v>63</v>
      </c>
      <c r="I4939" s="80" t="s">
        <v>63</v>
      </c>
      <c r="J4939" s="80">
        <v>1223.0</v>
      </c>
      <c r="K4939" s="80">
        <v>0.961477987421383</v>
      </c>
      <c r="L4939" s="80" t="s">
        <v>64</v>
      </c>
    </row>
    <row r="4940">
      <c r="A4940" s="80" t="s">
        <v>755</v>
      </c>
      <c r="B4940" s="81" t="str">
        <f>HYPERLINK("https://www.youtube.com/channel/UCBiJDTc82IM68KVH873VeAw", "Live in Kwangsi廣西人·情·味")</f>
        <v>Live in Kwangsi廣西人·情·味</v>
      </c>
      <c r="C4940" s="80" t="s">
        <v>5391</v>
      </c>
      <c r="D4940" s="81" t="str">
        <f>HYPERLINK("https://youtube.com/watch?v=Rd2eAcRoFrk", "幾時先可以學似人哋咁寫意噉高質躺平啊？😭 加州（唔係大）灣區 東灣 Emeryville 臨海遊")</f>
        <v>幾時先可以學似人哋咁寫意噉高質躺平啊？😭 加州（唔係大）灣區 東灣 Emeryville 臨海遊</v>
      </c>
      <c r="E4940" s="82">
        <v>44612.0</v>
      </c>
      <c r="F4940" s="80">
        <v>542.0</v>
      </c>
      <c r="G4940" s="80" t="s">
        <v>63</v>
      </c>
      <c r="I4940" s="80" t="s">
        <v>63</v>
      </c>
      <c r="J4940" s="80">
        <v>815.0</v>
      </c>
      <c r="K4940" s="80">
        <v>0.858798735511064</v>
      </c>
      <c r="L4940" s="80" t="s">
        <v>757</v>
      </c>
    </row>
    <row r="4941">
      <c r="A4941" s="80" t="s">
        <v>414</v>
      </c>
      <c r="B4941" s="81" t="str">
        <f>HYPERLINK("https://www.youtube.com/channel/UCCVn38j5xSJZN-II-TeyomA", "Uncle Calvin Cantonese Class")</f>
        <v>Uncle Calvin Cantonese Class</v>
      </c>
      <c r="C4941" s="80" t="s">
        <v>5392</v>
      </c>
      <c r="D4941" s="81" t="str">
        <f>HYPERLINK("https://youtube.com/watch?v=9cMq3GB4N5M", "【10種生活交通工具】10 TRANSPORTATION in Cantonese I 幼童認字 for Toddlers I 廣東話教室 I 字幕/Subtitles")</f>
        <v>【10種生活交通工具】10 TRANSPORTATION in Cantonese I 幼童認字 for Toddlers I 廣東話教室 I 字幕/Subtitles</v>
      </c>
      <c r="E4941" s="82">
        <v>44606.0</v>
      </c>
      <c r="F4941" s="80">
        <v>684.0</v>
      </c>
      <c r="G4941" s="80" t="s">
        <v>63</v>
      </c>
      <c r="H4941" s="80" t="s">
        <v>63</v>
      </c>
      <c r="I4941" s="80" t="s">
        <v>63</v>
      </c>
      <c r="J4941" s="80">
        <v>1745.0</v>
      </c>
      <c r="K4941" s="80">
        <v>0.889465490399584</v>
      </c>
      <c r="L4941" s="80" t="s">
        <v>426</v>
      </c>
    </row>
    <row r="4942">
      <c r="A4942" s="80" t="s">
        <v>1390</v>
      </c>
      <c r="B4942" s="81" t="str">
        <f>HYPERLINK("https://www.youtube.com/channel/UCgwEJflQi4WnZ8PU0xdibZQ", "Kinson Ho")</f>
        <v>Kinson Ho</v>
      </c>
      <c r="C4942" s="80" t="s">
        <v>5393</v>
      </c>
      <c r="D4942" s="81" t="str">
        <f>HYPERLINK("https://youtube.com/watch?v=OP_H5JgRQrc", "K神任我行 -  [CC字幕4K] 白腊灣｜小破邊｜木棉洞｜倒腕崖｜航拍")</f>
        <v>K神任我行 -  [CC字幕4K] 白腊灣｜小破邊｜木棉洞｜倒腕崖｜航拍</v>
      </c>
      <c r="E4942" s="82">
        <v>44609.0</v>
      </c>
      <c r="F4942" s="80">
        <v>526.0</v>
      </c>
      <c r="G4942" s="80" t="s">
        <v>63</v>
      </c>
      <c r="I4942" s="80" t="s">
        <v>63</v>
      </c>
      <c r="J4942" s="80">
        <v>382.0</v>
      </c>
      <c r="K4942" s="80">
        <v>0.984536082474226</v>
      </c>
      <c r="L4942" s="80" t="s">
        <v>64</v>
      </c>
    </row>
    <row r="4943">
      <c r="A4943" s="80" t="s">
        <v>755</v>
      </c>
      <c r="B4943" s="81" t="str">
        <f>HYPERLINK("https://www.youtube.com/channel/UCBiJDTc82IM68KVH873VeAw", "Live in Kwangsi廣西人·情·味")</f>
        <v>Live in Kwangsi廣西人·情·味</v>
      </c>
      <c r="C4943" s="80" t="s">
        <v>5394</v>
      </c>
      <c r="D4943" s="81" t="str">
        <f>HYPERLINK("https://youtube.com/watch?v=iwghj7UWVbY", "係咪有錢得滯就會搞啲「然並卵」嘅項目益街坊？😅 加州 三藩市 Downtown 空中花園 —— Salesforce Park ｜ 空中巴士站 —— Salesforce Transit Center")</f>
        <v>係咪有錢得滯就會搞啲「然並卵」嘅項目益街坊？😅 加州 三藩市 Downtown 空中花園 —— Salesforce Park ｜ 空中巴士站 —— Salesforce Transit Center</v>
      </c>
      <c r="E4943" s="82">
        <v>44611.0</v>
      </c>
      <c r="F4943" s="80">
        <v>1178.0</v>
      </c>
      <c r="G4943" s="80" t="s">
        <v>63</v>
      </c>
      <c r="I4943" s="80" t="s">
        <v>63</v>
      </c>
      <c r="J4943" s="80">
        <v>2579.0</v>
      </c>
      <c r="K4943" s="80">
        <v>0.782463592233009</v>
      </c>
      <c r="L4943" s="80" t="s">
        <v>757</v>
      </c>
    </row>
    <row r="4944">
      <c r="A4944" s="80" t="s">
        <v>260</v>
      </c>
      <c r="B4944" s="81" t="str">
        <f>HYPERLINK("https://www.youtube.com/channel/UC-HXOikkLx7BGEfILGIpYOg", "港短 . 英移")</f>
        <v>港短 . 英移</v>
      </c>
      <c r="C4944" s="80" t="s">
        <v>5395</v>
      </c>
      <c r="D4944" s="81" t="str">
        <f>HYPERLINK("https://youtube.com/watch?v=Mm8qWBJ6a5c", "為各位家長製作既一集 | 點揾英國好學校地區? | 名氣大唔代表適合 | 港短.英移 #英國學校 #英國校網 #Sutton")</f>
        <v>為各位家長製作既一集 | 點揾英國好學校地區? | 名氣大唔代表適合 | 港短.英移 #英國學校 #英國校網 #Sutton</v>
      </c>
      <c r="E4944" s="82">
        <v>44616.0</v>
      </c>
      <c r="F4944" s="80">
        <v>456.0</v>
      </c>
      <c r="G4944" s="80" t="s">
        <v>63</v>
      </c>
      <c r="I4944" s="80" t="s">
        <v>63</v>
      </c>
      <c r="J4944" s="80">
        <v>1673.0</v>
      </c>
      <c r="K4944" s="80">
        <v>0.767079321412196</v>
      </c>
      <c r="L4944" s="80" t="s">
        <v>102</v>
      </c>
    </row>
    <row r="4945">
      <c r="A4945" s="80" t="s">
        <v>755</v>
      </c>
      <c r="B4945" s="81" t="str">
        <f>HYPERLINK("https://www.youtube.com/channel/UCBiJDTc82IM68KVH873VeAw", "Live in Kwangsi廣西人·情·味")</f>
        <v>Live in Kwangsi廣西人·情·味</v>
      </c>
      <c r="C4945" s="80" t="s">
        <v>5396</v>
      </c>
      <c r="D4945" s="81" t="str">
        <f>HYPERLINK("https://youtube.com/watch?v=8JBIo3GnASs", "睇睇華人同西人啲 shopping mall 有乜分別 👀 ｜加州（唔係大）灣區 東灣南下 Milpitas｜環球廣場 —— Milpitas Square｜灣區大商場 —— Great Mall")</f>
        <v>睇睇華人同西人啲 shopping mall 有乜分別 👀 ｜加州（唔係大）灣區 東灣南下 Milpitas｜環球廣場 —— Milpitas Square｜灣區大商場 —— Great Mall</v>
      </c>
      <c r="E4945" s="82">
        <v>44613.0</v>
      </c>
      <c r="F4945" s="80">
        <v>1187.0</v>
      </c>
      <c r="G4945" s="80" t="s">
        <v>63</v>
      </c>
      <c r="I4945" s="80" t="s">
        <v>63</v>
      </c>
      <c r="J4945" s="80">
        <v>2159.0</v>
      </c>
      <c r="K4945" s="80">
        <v>0.871267150928167</v>
      </c>
      <c r="L4945" s="80" t="s">
        <v>757</v>
      </c>
    </row>
    <row r="4946">
      <c r="A4946" s="80" t="s">
        <v>2841</v>
      </c>
      <c r="B4946" s="81" t="str">
        <f>HYPERLINK("https://www.youtube.com/channel/UCBYGm7Iz6ck8jeno5AFiriw", "Seafront TV")</f>
        <v>Seafront TV</v>
      </c>
      <c r="C4946" s="80" t="s">
        <v>5397</v>
      </c>
      <c r="D4946" s="81" t="str">
        <f>HYPERLINK("https://youtube.com/watch?v=7aHR-AsdNDM", "【JUPAS💊讀完係半個醫生？🧑🏻‍⚕️🧪】科大理學士（生物科技） HKUST BSc in Biotechnology💉 | #大學Major系列 Seafront TV🌊")</f>
        <v>【JUPAS💊讀完係半個醫生？🧑🏻‍⚕️🧪】科大理學士（生物科技） HKUST BSc in Biotechnology💉 | #大學Major系列 Seafront TV🌊</v>
      </c>
      <c r="E4946" s="82">
        <v>44617.0</v>
      </c>
      <c r="F4946" s="80">
        <v>1433.0</v>
      </c>
      <c r="G4946" s="80" t="s">
        <v>63</v>
      </c>
      <c r="I4946" s="80" t="s">
        <v>63</v>
      </c>
      <c r="J4946" s="80">
        <v>3764.0</v>
      </c>
      <c r="K4946" s="80">
        <v>0.588861076345431</v>
      </c>
      <c r="L4946" s="80" t="s">
        <v>102</v>
      </c>
    </row>
    <row r="4947">
      <c r="A4947" s="80" t="s">
        <v>755</v>
      </c>
      <c r="B4947" s="81" t="str">
        <f>HYPERLINK("https://www.youtube.com/channel/UCBiJDTc82IM68KVH873VeAw", "Live in Kwangsi廣西人·情·味")</f>
        <v>Live in Kwangsi廣西人·情·味</v>
      </c>
      <c r="C4947" s="80" t="s">
        <v>5398</v>
      </c>
      <c r="D4947" s="81" t="str">
        <f>HYPERLINK("https://youtube.com/watch?v=_DWrPu6tkUU", "認識傳統智慧：二十四節氣")</f>
        <v>認識傳統智慧：二十四節氣</v>
      </c>
      <c r="E4947" s="82">
        <v>44608.0</v>
      </c>
      <c r="F4947" s="80">
        <v>449.0</v>
      </c>
      <c r="G4947" s="80" t="s">
        <v>63</v>
      </c>
      <c r="H4947" s="80" t="s">
        <v>63</v>
      </c>
      <c r="I4947" s="80" t="s">
        <v>63</v>
      </c>
      <c r="J4947" s="80">
        <v>1493.0</v>
      </c>
      <c r="K4947" s="80">
        <v>1.0</v>
      </c>
      <c r="L4947" s="80" t="s">
        <v>776</v>
      </c>
    </row>
    <row r="4948">
      <c r="A4948" s="80" t="s">
        <v>293</v>
      </c>
      <c r="B4948" s="81" t="str">
        <f>HYPERLINK("https://www.youtube.com/channel/UCXRcbXqjORdIvl63I7MtOLQ", "趁熱 Kerry 's kitchen")</f>
        <v>趁熱 Kerry 's kitchen</v>
      </c>
      <c r="C4948" s="80" t="s">
        <v>5399</v>
      </c>
      <c r="D4948" s="81" t="str">
        <f>HYPERLINK("https://youtube.com/watch?v=vI4UqRcDgkc", "梅菜 蒸豬肉/菜貴就食肉/肉片軟滑竅門/容易儲存/兒時的美味/簡單零失敗/廣東話/中字")</f>
        <v>梅菜 蒸豬肉/菜貴就食肉/肉片軟滑竅門/容易儲存/兒時的美味/簡單零失敗/廣東話/中字</v>
      </c>
      <c r="E4948" s="82">
        <v>44608.0</v>
      </c>
      <c r="F4948" s="80">
        <v>508.0</v>
      </c>
      <c r="G4948" s="80" t="s">
        <v>63</v>
      </c>
      <c r="I4948" s="80" t="s">
        <v>63</v>
      </c>
      <c r="J4948" s="80">
        <v>645.0</v>
      </c>
      <c r="K4948" s="80">
        <v>0.980243161094224</v>
      </c>
      <c r="L4948" s="80" t="s">
        <v>64</v>
      </c>
    </row>
    <row r="4949">
      <c r="A4949" s="80" t="s">
        <v>98</v>
      </c>
      <c r="B4949" s="81" t="str">
        <f>HYPERLINK("https://www.youtube.com/channel/UCrquuQB6v1Ued2xyRKZreGQ", "Stephen Leung ")</f>
        <v>Stephen Leung </v>
      </c>
      <c r="C4949" s="80" t="s">
        <v>5400</v>
      </c>
      <c r="D4949" s="81" t="str">
        <f>HYPERLINK("https://youtube.com/watch?v=JwHzgv7Oklg", "【香港美食】個爐整細啲! 時間短啲! 收貴啲! 你懂嗎？ CP值最低燒肉放題 100分鐘燒肉放題 銅鑼灣放題 上村牧場 | 吃喝玩樂")</f>
        <v>【香港美食】個爐整細啲! 時間短啲! 收貴啲! 你懂嗎？ CP值最低燒肉放題 100分鐘燒肉放題 銅鑼灣放題 上村牧場 | 吃喝玩樂</v>
      </c>
      <c r="E4949" s="82">
        <v>44610.0</v>
      </c>
      <c r="F4949" s="80">
        <v>713.0</v>
      </c>
      <c r="G4949" s="80" t="s">
        <v>63</v>
      </c>
      <c r="I4949" s="80" t="s">
        <v>63</v>
      </c>
      <c r="J4949" s="80">
        <v>2072.0</v>
      </c>
      <c r="K4949" s="80">
        <v>0.978281397544853</v>
      </c>
      <c r="L4949" s="80" t="s">
        <v>64</v>
      </c>
    </row>
    <row r="4950">
      <c r="A4950" s="80" t="s">
        <v>217</v>
      </c>
      <c r="B4950" s="81" t="str">
        <f>HYPERLINK("https://www.youtube.com/channel/UCXKg0qPRz32bs5Z4mTGF3TQ", "Stormtrooper白兵")</f>
        <v>Stormtrooper白兵</v>
      </c>
      <c r="C4950" s="80" t="s">
        <v>5401</v>
      </c>
      <c r="D4950" s="81" t="str">
        <f>HYPERLINK("https://youtube.com/watch?v=KErED0967s4", "[中國禁播]終極分析 蝙蝠俠－黑夜之神 如何說明香港現實？｜為何香港人進入混沌狀態｜解構當中人性、政治隱喻｜粵語中字")</f>
        <v>[中國禁播]終極分析 蝙蝠俠－黑夜之神 如何說明香港現實？｜為何香港人進入混沌狀態｜解構當中人性、政治隱喻｜粵語中字</v>
      </c>
      <c r="E4950" s="82">
        <v>44609.0</v>
      </c>
      <c r="F4950" s="80">
        <v>918.0</v>
      </c>
      <c r="G4950" s="80" t="s">
        <v>63</v>
      </c>
      <c r="I4950" s="80" t="s">
        <v>63</v>
      </c>
      <c r="J4950" s="80">
        <v>3102.0</v>
      </c>
      <c r="K4950" s="80">
        <v>0.633837351859419</v>
      </c>
      <c r="L4950" s="80" t="s">
        <v>64</v>
      </c>
    </row>
    <row r="4951">
      <c r="A4951" s="80" t="s">
        <v>1553</v>
      </c>
      <c r="B4951" s="81" t="str">
        <f>HYPERLINK("https://www.youtube.com/channel/UC5gQ01ai9nF2x43fYmO1vow", "Ck釣魚冒險")</f>
        <v>Ck釣魚冒險</v>
      </c>
      <c r="C4951" s="80" t="s">
        <v>5402</v>
      </c>
      <c r="D4951" s="81" t="str">
        <f>HYPERLINK("https://youtube.com/watch?v=Seuq8vBpQHE", "【JIG】 西水獨木舟釣行 試日本人氣竿 鱒レンジャー SLJ鐵板/ 生餌/ 船釣 JIGGING / Kayak fishing/ 香港釣魚/ 香港のカヤック ジギング 📣CC字幕")</f>
        <v>【JIG】 西水獨木舟釣行 試日本人氣竿 鱒レンジャー SLJ鐵板/ 生餌/ 船釣 JIGGING / Kayak fishing/ 香港釣魚/ 香港のカヤック ジギング 📣CC字幕</v>
      </c>
      <c r="E4951" s="82">
        <v>44618.0</v>
      </c>
      <c r="F4951" s="80">
        <v>906.0</v>
      </c>
      <c r="G4951" s="80" t="s">
        <v>63</v>
      </c>
      <c r="I4951" s="80" t="s">
        <v>63</v>
      </c>
      <c r="J4951" s="80">
        <v>1573.0</v>
      </c>
      <c r="K4951" s="80">
        <v>0.948733413751507</v>
      </c>
      <c r="L4951" s="80" t="s">
        <v>64</v>
      </c>
    </row>
    <row r="4952">
      <c r="A4952" s="80" t="s">
        <v>217</v>
      </c>
      <c r="B4952" s="81" t="str">
        <f>HYPERLINK("https://www.youtube.com/channel/UCXKg0qPRz32bs5Z4mTGF3TQ", "Stormtrooper白兵")</f>
        <v>Stormtrooper白兵</v>
      </c>
      <c r="C4952" s="80" t="s">
        <v>5403</v>
      </c>
      <c r="D4952" s="81" t="str">
        <f>HYPERLINK("https://youtube.com/watch?v=sWFqhC3w5lA", "[醫官禽獸]貪腐體制－醫療制度崩壞下，無辜慘死的冤魂－醫官同謀(Collective)｜愚公應該移山還是移民？｜集體負責，一齊埋單｜粵語中字")</f>
        <v>[醫官禽獸]貪腐體制－醫療制度崩壞下，無辜慘死的冤魂－醫官同謀(Collective)｜愚公應該移山還是移民？｜集體負責，一齊埋單｜粵語中字</v>
      </c>
      <c r="E4952" s="82">
        <v>44616.0</v>
      </c>
      <c r="F4952" s="80">
        <v>837.0</v>
      </c>
      <c r="G4952" s="80" t="s">
        <v>63</v>
      </c>
      <c r="I4952" s="80" t="s">
        <v>63</v>
      </c>
      <c r="J4952" s="80">
        <v>3572.0</v>
      </c>
      <c r="K4952" s="80">
        <v>0.918488043198765</v>
      </c>
      <c r="L4952" s="80" t="s">
        <v>64</v>
      </c>
    </row>
    <row r="4953">
      <c r="A4953" s="80" t="s">
        <v>1670</v>
      </c>
      <c r="B4953" s="81" t="str">
        <f>HYPERLINK("https://www.youtube.com/channel/UC-PIt5m-WOg8UVBkt2RnN0g", "阿JACK睇樓團")</f>
        <v>阿JACK睇樓團</v>
      </c>
      <c r="C4953" s="80" t="s">
        <v>5404</v>
      </c>
      <c r="D4953" s="81" t="str">
        <f>HYPERLINK("https://youtube.com/watch?v=kPKoQxwGp-U", "超級罕有😍全海景複式單位 同場加映🎥呎價不過萬 大兩房單位🏡(開cc字幕) #美樂花園 #屯門碼頭 #屯門南 #阿JACK睇樓團")</f>
        <v>超級罕有😍全海景複式單位 同場加映🎥呎價不過萬 大兩房單位🏡(開cc字幕) #美樂花園 #屯門碼頭 #屯門南 #阿JACK睇樓團</v>
      </c>
      <c r="E4953" s="82">
        <v>44614.0</v>
      </c>
      <c r="F4953" s="80">
        <v>959.0</v>
      </c>
      <c r="G4953" s="80" t="s">
        <v>63</v>
      </c>
      <c r="I4953" s="80" t="s">
        <v>63</v>
      </c>
      <c r="J4953" s="80">
        <v>2669.0</v>
      </c>
      <c r="K4953" s="80">
        <v>0.988518518518518</v>
      </c>
      <c r="L4953" s="80" t="s">
        <v>64</v>
      </c>
    </row>
    <row r="4954">
      <c r="A4954" s="80" t="s">
        <v>527</v>
      </c>
      <c r="B4954" s="81" t="str">
        <f>HYPERLINK("https://www.youtube.com/channel/UC7knZNnVYcw_9_zQ3PGOoGw", "ようき楽園 / 玉其樂園")</f>
        <v>ようき楽園 / 玉其樂園</v>
      </c>
      <c r="C4954" s="80" t="s">
        <v>5405</v>
      </c>
      <c r="D4954" s="81" t="str">
        <f>HYPERLINK("https://youtube.com/watch?v=4OR5RTTYoTM", "ただいま！｜我回來了（中日字幕）")</f>
        <v>ただいま！｜我回來了（中日字幕）</v>
      </c>
      <c r="E4954" s="82">
        <v>44610.0</v>
      </c>
      <c r="F4954" s="80">
        <v>160.0</v>
      </c>
      <c r="G4954" s="80" t="s">
        <v>63</v>
      </c>
      <c r="I4954" s="80" t="s">
        <v>63</v>
      </c>
      <c r="J4954" s="80">
        <v>651.0</v>
      </c>
      <c r="K4954" s="80">
        <v>0.856578947368421</v>
      </c>
      <c r="L4954" s="80" t="s">
        <v>64</v>
      </c>
    </row>
    <row r="4955">
      <c r="A4955" s="80" t="s">
        <v>248</v>
      </c>
      <c r="B4955" s="81" t="str">
        <f t="shared" ref="B4955:B4956" si="275">HYPERLINK("https://www.youtube.com/channel/UCUEJok-GiWaGlv5nIPwk-GQ", "Price.com.hk 香港格價網")</f>
        <v>Price.com.hk 香港格價網</v>
      </c>
      <c r="C4955" s="80" t="s">
        <v>5406</v>
      </c>
      <c r="D4955" s="81" t="str">
        <f>HYPERLINK("https://youtube.com/watch?v=hMs3Vne8Btk", "Intel vs AMD 新一代U系手提電腦處理器同步登場·台灣銀行自製「數錢專輯」·參照PS5外觀 PS VR 2外形正式曝光 | 廣東話【Price Weekly #103 2022年2月 】")</f>
        <v>Intel vs AMD 新一代U系手提電腦處理器同步登場·台灣銀行自製「數錢專輯」·參照PS5外觀 PS VR 2外形正式曝光 | 廣東話【Price Weekly #103 2022年2月 】</v>
      </c>
      <c r="E4955" s="82">
        <v>44618.0</v>
      </c>
      <c r="F4955" s="80">
        <v>461.0</v>
      </c>
      <c r="G4955" s="80" t="s">
        <v>63</v>
      </c>
      <c r="I4955" s="80" t="s">
        <v>63</v>
      </c>
      <c r="J4955" s="80">
        <v>1683.0</v>
      </c>
      <c r="K4955" s="80">
        <v>0.723248818220885</v>
      </c>
      <c r="L4955" s="80" t="s">
        <v>64</v>
      </c>
    </row>
    <row r="4956">
      <c r="A4956" s="80" t="s">
        <v>248</v>
      </c>
      <c r="B4956" s="81" t="str">
        <f t="shared" si="275"/>
        <v>Price.com.hk 香港格價網</v>
      </c>
      <c r="C4956" s="80" t="s">
        <v>5407</v>
      </c>
      <c r="D4956" s="81" t="str">
        <f>HYPERLINK("https://youtube.com/watch?v=J2o1-GvDnyI", "一插即用！ USB-C熒幕 PC Mon vs Portable Mon 連接、畫質、叉電實試｜如何將平板變副熒幕？｜dual mon、WFH啱用｜廣東話｜繁中字幕【Price.com.hk產品介紹】")</f>
        <v>一插即用！ USB-C熒幕 PC Mon vs Portable Mon 連接、畫質、叉電實試｜如何將平板變副熒幕？｜dual mon、WFH啱用｜廣東話｜繁中字幕【Price.com.hk產品介紹】</v>
      </c>
      <c r="E4956" s="82">
        <v>44608.0</v>
      </c>
      <c r="F4956" s="80">
        <v>376.0</v>
      </c>
      <c r="G4956" s="80" t="s">
        <v>63</v>
      </c>
      <c r="I4956" s="80" t="s">
        <v>63</v>
      </c>
      <c r="J4956" s="80">
        <v>1305.0</v>
      </c>
      <c r="K4956" s="80">
        <v>0.665137614678899</v>
      </c>
      <c r="L4956" s="80" t="s">
        <v>64</v>
      </c>
    </row>
    <row r="4957">
      <c r="A4957" s="80" t="s">
        <v>3139</v>
      </c>
      <c r="B4957" s="81" t="str">
        <f>HYPERLINK("https://www.youtube.com/channel/UCThO2xnH7XMg6plE8OgJm_w", "choyuen草原")</f>
        <v>choyuen草原</v>
      </c>
      <c r="C4957" s="80" t="s">
        <v>5408</v>
      </c>
      <c r="D4957" s="81" t="str">
        <f>HYPERLINK("https://youtube.com/watch?v=CMeySZ7CioY", "開著｢時光電視機｣ 睇耶穌一路向東 Chronovisor: Where was Jesus buried in?")</f>
        <v>開著｢時光電視機｣ 睇耶穌一路向東 Chronovisor: Where was Jesus buried in?</v>
      </c>
      <c r="E4957" s="82">
        <v>44607.0</v>
      </c>
      <c r="F4957" s="80">
        <v>352.0</v>
      </c>
      <c r="G4957" s="80" t="s">
        <v>63</v>
      </c>
      <c r="I4957" s="80" t="s">
        <v>63</v>
      </c>
      <c r="J4957" s="80">
        <v>1102.0</v>
      </c>
      <c r="K4957" s="80">
        <v>0.916805324459234</v>
      </c>
      <c r="L4957" s="80" t="s">
        <v>64</v>
      </c>
    </row>
    <row r="4958">
      <c r="A4958" s="80" t="s">
        <v>124</v>
      </c>
      <c r="B4958" s="81" t="str">
        <f>HYPERLINK("https://www.youtube.com/channel/UCg0vuSE0fBF_NvodyYhMcWg", "Wallace Studio HK")</f>
        <v>Wallace Studio HK</v>
      </c>
      <c r="C4958" s="80" t="s">
        <v>5409</v>
      </c>
      <c r="D4958" s="81" t="str">
        <f>HYPERLINK("https://youtube.com/watch?v=eR3AI8UMzjA", "Apple MacBook Pro 16 M1 Max 評測，創作者電腦終極形態")</f>
        <v>Apple MacBook Pro 16 M1 Max 評測，創作者電腦終極形態</v>
      </c>
      <c r="E4958" s="82">
        <v>44612.0</v>
      </c>
      <c r="F4958" s="80">
        <v>702.0</v>
      </c>
      <c r="G4958" s="80" t="s">
        <v>63</v>
      </c>
      <c r="H4958" s="80" t="s">
        <v>63</v>
      </c>
      <c r="I4958" s="80" t="s">
        <v>63</v>
      </c>
      <c r="J4958" s="80">
        <v>2531.0</v>
      </c>
      <c r="K4958" s="80">
        <v>0.705013927576601</v>
      </c>
      <c r="L4958" s="80" t="s">
        <v>86</v>
      </c>
    </row>
    <row r="4959">
      <c r="A4959" s="80" t="s">
        <v>4470</v>
      </c>
      <c r="B4959" s="81" t="str">
        <f>HYPERLINK("https://www.youtube.com/channel/UC4VI_WmdfVMTkT4vKCiZA4A", "BossMind")</f>
        <v>BossMind</v>
      </c>
      <c r="C4959" s="80" t="s">
        <v>5410</v>
      </c>
      <c r="D4959" s="81" t="str">
        <f>HYPERLINK("https://youtube.com/watch?v=ZNHHXayBSts", "俄羅斯攻打烏克蘭引爆股災 半倉捱價無清點算好｜Google 估值落到10年最平 捱價有理由｜#華爾街戰線 #杜昇")</f>
        <v>俄羅斯攻打烏克蘭引爆股災 半倉捱價無清點算好｜Google 估值落到10年最平 捱價有理由｜#華爾街戰線 #杜昇</v>
      </c>
      <c r="E4959" s="82">
        <v>44616.0</v>
      </c>
      <c r="F4959" s="80">
        <v>436.0</v>
      </c>
      <c r="G4959" s="80" t="s">
        <v>63</v>
      </c>
      <c r="I4959" s="80" t="s">
        <v>63</v>
      </c>
      <c r="J4959" s="80">
        <v>1237.0</v>
      </c>
      <c r="K4959" s="80">
        <v>0.733689205219454</v>
      </c>
      <c r="L4959" s="80" t="s">
        <v>64</v>
      </c>
    </row>
    <row r="4960">
      <c r="A4960" s="80" t="s">
        <v>2780</v>
      </c>
      <c r="B4960" s="81" t="str">
        <f>HYPERLINK("https://www.youtube.com/channel/UC0CojhLcc0VESgaG633m5kA", "RainErs")</f>
        <v>RainErs</v>
      </c>
      <c r="C4960" s="80" t="s">
        <v>5411</v>
      </c>
      <c r="D4960" s="81" t="str">
        <f>HYPERLINK("https://youtube.com/watch?v=laUbR8SUlwY", "燒賣地獄拼圖大挑戰!!!---燒賣迷必入手??//切到唔想食燒賣?? [有CC字幕]")</f>
        <v>燒賣地獄拼圖大挑戰!!!---燒賣迷必入手??//切到唔想食燒賣?? [有CC字幕]</v>
      </c>
      <c r="E4960" s="82">
        <v>44607.0</v>
      </c>
      <c r="F4960" s="80">
        <v>272.0</v>
      </c>
      <c r="G4960" s="80" t="s">
        <v>63</v>
      </c>
      <c r="I4960" s="80" t="s">
        <v>63</v>
      </c>
      <c r="J4960" s="80">
        <v>800.0</v>
      </c>
      <c r="K4960" s="80">
        <v>0.926998841251448</v>
      </c>
      <c r="L4960" s="80" t="s">
        <v>64</v>
      </c>
    </row>
    <row r="4961">
      <c r="A4961" s="80" t="s">
        <v>248</v>
      </c>
      <c r="B4961" s="81" t="str">
        <f>HYPERLINK("https://www.youtube.com/channel/UCUEJok-GiWaGlv5nIPwk-GQ", "Price.com.hk 香港格價網")</f>
        <v>Price.com.hk 香港格價網</v>
      </c>
      <c r="C4961" s="80" t="s">
        <v>5412</v>
      </c>
      <c r="D4961" s="81" t="str">
        <f>HYPERLINK("https://youtube.com/watch?v=jfAezGjVlgw", "高解析+串流音樂播放 Sony旗艦金磚、黑磚二代 NW-WM1Z、WM1A M2 聽感實試｜新舊代對比｜廣東話｜繁中字幕【Price.com.hk產品比較】")</f>
        <v>高解析+串流音樂播放 Sony旗艦金磚、黑磚二代 NW-WM1Z、WM1A M2 聽感實試｜新舊代對比｜廣東話｜繁中字幕【Price.com.hk產品比較】</v>
      </c>
      <c r="E4961" s="82">
        <v>44610.0</v>
      </c>
      <c r="F4961" s="80">
        <v>782.0</v>
      </c>
      <c r="G4961" s="80" t="s">
        <v>63</v>
      </c>
      <c r="I4961" s="80" t="s">
        <v>63</v>
      </c>
      <c r="J4961" s="80">
        <v>1782.0</v>
      </c>
      <c r="K4961" s="80">
        <v>0.738499792789059</v>
      </c>
      <c r="L4961" s="80" t="s">
        <v>64</v>
      </c>
    </row>
    <row r="4962">
      <c r="A4962" s="80" t="s">
        <v>2898</v>
      </c>
      <c r="B4962" s="81" t="str">
        <f>HYPERLINK("https://www.youtube.com/channel/UCy5bjMXbFPglSBNDXfivtOA", "消費者委員會")</f>
        <v>消費者委員會</v>
      </c>
      <c r="C4962" s="80" t="s">
        <v>5413</v>
      </c>
      <c r="D4962" s="81" t="str">
        <f>HYPERLINK("https://youtube.com/watch?v=BCWyAwy2FJs", "【冷凍溶脂大拆解】")</f>
        <v>【冷凍溶脂大拆解】</v>
      </c>
      <c r="E4962" s="82">
        <v>44606.0</v>
      </c>
      <c r="F4962" s="80">
        <v>141.0</v>
      </c>
      <c r="G4962" s="80" t="s">
        <v>63</v>
      </c>
      <c r="I4962" s="80" t="s">
        <v>63</v>
      </c>
      <c r="J4962" s="80">
        <v>586.0</v>
      </c>
      <c r="K4962" s="80">
        <v>1.0</v>
      </c>
      <c r="L4962" s="80" t="s">
        <v>102</v>
      </c>
    </row>
    <row r="4963">
      <c r="A4963" s="80" t="s">
        <v>1594</v>
      </c>
      <c r="B4963" s="81" t="str">
        <f>HYPERLINK("https://www.youtube.com/channel/UCUtm1awT2EO9D7uJ2OlMcTQ", "黐住這一家 Sticky Love Family")</f>
        <v>黐住這一家 Sticky Love Family</v>
      </c>
      <c r="C4963" s="80" t="s">
        <v>5414</v>
      </c>
      <c r="D4963" s="81" t="str">
        <f>HYPERLINK("https://youtube.com/watch?v=-YYV1-jWbUE", "【粵語 | 廣東話  社交故事👦🏻💬🧒🏻】搶玩具？No No No ❌ ❝想人哋分享，可以點問？❞   [ Eng Sub| 繁簡粵語字幕 ]")</f>
        <v>【粵語 | 廣東話  社交故事👦🏻💬🧒🏻】搶玩具？No No No ❌ ❝想人哋分享，可以點問？❞   [ Eng Sub| 繁簡粵語字幕 ]</v>
      </c>
      <c r="E4963" s="82">
        <v>44607.0</v>
      </c>
      <c r="F4963" s="80">
        <v>242.0</v>
      </c>
      <c r="G4963" s="80" t="s">
        <v>63</v>
      </c>
      <c r="H4963" s="80" t="s">
        <v>63</v>
      </c>
      <c r="I4963" s="80" t="s">
        <v>63</v>
      </c>
      <c r="J4963" s="80">
        <v>874.0</v>
      </c>
      <c r="K4963" s="80">
        <v>1.0</v>
      </c>
      <c r="L4963" s="80" t="s">
        <v>1596</v>
      </c>
    </row>
    <row r="4964">
      <c r="A4964" s="80" t="s">
        <v>2041</v>
      </c>
      <c r="B4964" s="81" t="str">
        <f>HYPERLINK("https://www.youtube.com/channel/UCO6pB-ZN4XJ6MVkibvuEe0A", "SingSingTracker 星昇財經指標")</f>
        <v>SingSingTracker 星昇財經指標</v>
      </c>
      <c r="C4964" s="80" t="s">
        <v>5415</v>
      </c>
      <c r="D4964" s="81" t="str">
        <f>HYPERLINK("https://youtube.com/watch?v=aq9i7OjVNTI", "【俄羅斯和烏克蘭】俄烏危機對股市影響｜局勢一觸即發 股市大震盪｜半導體板塊成重災區 持貨定出貨？ 係咪撈底好時機？2022晶片股入市策略｜但有一類股票反而趁亂爆上｜#Boeing #BA #NVDA")</f>
        <v>【俄羅斯和烏克蘭】俄烏危機對股市影響｜局勢一觸即發 股市大震盪｜半導體板塊成重災區 持貨定出貨？ 係咪撈底好時機？2022晶片股入市策略｜但有一類股票反而趁亂爆上｜#Boeing #BA #NVDA</v>
      </c>
      <c r="E4964" s="82">
        <v>44615.0</v>
      </c>
      <c r="F4964" s="80">
        <v>468.0</v>
      </c>
      <c r="G4964" s="80" t="s">
        <v>63</v>
      </c>
      <c r="I4964" s="80" t="s">
        <v>63</v>
      </c>
      <c r="J4964" s="80">
        <v>1479.0</v>
      </c>
      <c r="K4964" s="80">
        <v>0.90680564071122</v>
      </c>
      <c r="L4964" s="80" t="s">
        <v>64</v>
      </c>
    </row>
    <row r="4965">
      <c r="A4965" s="80" t="s">
        <v>1139</v>
      </c>
      <c r="B4965" s="81" t="str">
        <f>HYPERLINK("https://www.youtube.com/channel/UCw51gVFijIewmXH4tIR0ufw", "Crystal Zen")</f>
        <v>Crystal Zen</v>
      </c>
      <c r="C4965" s="80" t="s">
        <v>5416</v>
      </c>
      <c r="D4965" s="81" t="str">
        <f>HYPERLINK("https://youtube.com/watch?v=H9xbbO7nv4w", "乜你仲玩緊圓珠? 點解玩水晶要揀原石?! 原石vs圓珠大對決! (中文字幕)")</f>
        <v>乜你仲玩緊圓珠? 點解玩水晶要揀原石?! 原石vs圓珠大對決! (中文字幕)</v>
      </c>
      <c r="E4965" s="82">
        <v>44611.0</v>
      </c>
      <c r="F4965" s="80">
        <v>655.0</v>
      </c>
      <c r="G4965" s="80" t="s">
        <v>63</v>
      </c>
      <c r="I4965" s="80" t="s">
        <v>63</v>
      </c>
      <c r="J4965" s="80">
        <v>2517.0</v>
      </c>
      <c r="K4965" s="80">
        <v>0.97444831591173</v>
      </c>
      <c r="L4965" s="80" t="s">
        <v>64</v>
      </c>
    </row>
    <row r="4966">
      <c r="A4966" s="80" t="s">
        <v>2829</v>
      </c>
      <c r="B4966" s="81" t="str">
        <f>HYPERLINK("https://www.youtube.com/channel/UC7GnES6AEQlDzaP04UqtyjA", "SOLID IDEA")</f>
        <v>SOLID IDEA</v>
      </c>
      <c r="C4966" s="80" t="s">
        <v>5417</v>
      </c>
      <c r="D4966" s="81" t="str">
        <f>HYPERLINK("https://youtube.com/watch?v=hy38PQspbQk", "[#實境拍攝] #匯壐 現代中式設計大宅! | 室內設計 | 空間擺位 | SOLID IDEA | (CC中文字幕)")</f>
        <v>[#實境拍攝] #匯壐 現代中式設計大宅! | 室內設計 | 空間擺位 | SOLID IDEA | (CC中文字幕)</v>
      </c>
      <c r="E4966" s="82">
        <v>44607.0</v>
      </c>
      <c r="F4966" s="80">
        <v>201.0</v>
      </c>
      <c r="G4966" s="80" t="s">
        <v>63</v>
      </c>
      <c r="I4966" s="80" t="s">
        <v>63</v>
      </c>
      <c r="J4966" s="80">
        <v>692.0</v>
      </c>
      <c r="K4966" s="80">
        <v>0.953168044077135</v>
      </c>
      <c r="L4966" s="80" t="s">
        <v>64</v>
      </c>
    </row>
    <row r="4967">
      <c r="A4967" s="80" t="s">
        <v>140</v>
      </c>
      <c r="B4967" s="81" t="str">
        <f>HYPERLINK("https://www.youtube.com/channel/UCHK0CZf9HEXs42qIO1GUouA", "TechiCardia")</f>
        <v>TechiCardia</v>
      </c>
      <c r="C4967" s="80" t="s">
        <v>5418</v>
      </c>
      <c r="D4967" s="81" t="str">
        <f>HYPERLINK("https://youtube.com/watch?v=N4K05vdiAPk", "Channel 史上最易砌嘅電腦...砌機、溫度、效能實試| MSI PRO DP20Z //4K 【TechiCardia】[CC廣東話字幕]")</f>
        <v>Channel 史上最易砌嘅電腦...砌機、溫度、效能實試| MSI PRO DP20Z //4K 【TechiCardia】[CC廣東話字幕]</v>
      </c>
      <c r="E4967" s="82">
        <v>44618.0</v>
      </c>
      <c r="F4967" s="80">
        <v>935.0</v>
      </c>
      <c r="G4967" s="80" t="s">
        <v>63</v>
      </c>
      <c r="I4967" s="80" t="s">
        <v>63</v>
      </c>
      <c r="J4967" s="80">
        <v>2756.0</v>
      </c>
      <c r="K4967" s="80">
        <v>0.665057915057915</v>
      </c>
      <c r="L4967" s="80" t="s">
        <v>102</v>
      </c>
    </row>
    <row r="4968">
      <c r="A4968" s="80" t="s">
        <v>1390</v>
      </c>
      <c r="B4968" s="81" t="str">
        <f>HYPERLINK("https://www.youtube.com/channel/UCgwEJflQi4WnZ8PU0xdibZQ", "Kinson Ho")</f>
        <v>Kinson Ho</v>
      </c>
      <c r="C4968" s="80" t="s">
        <v>5419</v>
      </c>
      <c r="D4968" s="81" t="str">
        <f>HYPERLINK("https://youtube.com/watch?v=SpmooX1FY8I", "K神任我行 - [CC字幕4K] 4塘連走｜九龍水塘｜九龍副水塘｜石梨貝水塘｜城門水塘｜走私坳｜孖指徑｜孖指徑之舌｜城門戰地遺跡徑｜航拍")</f>
        <v>K神任我行 - [CC字幕4K] 4塘連走｜九龍水塘｜九龍副水塘｜石梨貝水塘｜城門水塘｜走私坳｜孖指徑｜孖指徑之舌｜城門戰地遺跡徑｜航拍</v>
      </c>
      <c r="E4968" s="82">
        <v>44610.0</v>
      </c>
      <c r="F4968" s="80">
        <v>1578.0</v>
      </c>
      <c r="G4968" s="80" t="s">
        <v>63</v>
      </c>
      <c r="I4968" s="80" t="s">
        <v>63</v>
      </c>
      <c r="J4968" s="80">
        <v>1579.0</v>
      </c>
      <c r="K4968" s="80">
        <v>0.973489519112207</v>
      </c>
      <c r="L4968" s="80" t="s">
        <v>64</v>
      </c>
    </row>
    <row r="4969">
      <c r="A4969" s="80" t="s">
        <v>2041</v>
      </c>
      <c r="B4969" s="81" t="str">
        <f>HYPERLINK("https://www.youtube.com/channel/UCO6pB-ZN4XJ6MVkibvuEe0A", "SingSingTracker 星昇財經指標")</f>
        <v>SingSingTracker 星昇財經指標</v>
      </c>
      <c r="C4969" s="80" t="s">
        <v>5420</v>
      </c>
      <c r="D4969" s="81" t="str">
        <f>HYPERLINK("https://youtube.com/watch?v=lTilh3o0whk", "【Netflix韓劇 殭屍校園】橫掃全球收視冠軍 ｜主角爆紅 IG粉絲數飆升幾百萬！｜做KOL YT/FB/IG邊個平台先最好搵？｜咩產品先搵最多？｜KOL收入來源 ｜韓劇推薦 #朴所羅門 #趙怡賢")</f>
        <v>【Netflix韓劇 殭屍校園】橫掃全球收視冠軍 ｜主角爆紅 IG粉絲數飆升幾百萬！｜做KOL YT/FB/IG邊個平台先最好搵？｜咩產品先搵最多？｜KOL收入來源 ｜韓劇推薦 #朴所羅門 #趙怡賢</v>
      </c>
      <c r="E4969" s="82">
        <v>44608.0</v>
      </c>
      <c r="F4969" s="80">
        <v>468.0</v>
      </c>
      <c r="G4969" s="80" t="s">
        <v>63</v>
      </c>
      <c r="I4969" s="80" t="s">
        <v>63</v>
      </c>
      <c r="J4969" s="80">
        <v>1596.0</v>
      </c>
      <c r="K4969" s="80">
        <v>0.829521829521829</v>
      </c>
      <c r="L4969" s="80" t="s">
        <v>64</v>
      </c>
    </row>
    <row r="4970">
      <c r="A4970" s="80" t="s">
        <v>248</v>
      </c>
      <c r="B4970" s="81" t="str">
        <f>HYPERLINK("https://www.youtube.com/channel/UCUEJok-GiWaGlv5nIPwk-GQ", "Price.com.hk 香港格價網")</f>
        <v>Price.com.hk 香港格價網</v>
      </c>
      <c r="C4970" s="80" t="s">
        <v>5421</v>
      </c>
      <c r="D4970" s="81" t="str">
        <f>HYPERLINK("https://youtube.com/watch?v=Aorqo3fsQXM", "Android 13 測試版出爐！Sony推出開放式耳機Linkbuds、海洋公園踏入元宇宙 | 片尾有彩蛋 | 廣東話【Price Weekly #102 2022年2月 】")</f>
        <v>Android 13 測試版出爐！Sony推出開放式耳機Linkbuds、海洋公園踏入元宇宙 | 片尾有彩蛋 | 廣東話【Price Weekly #102 2022年2月 】</v>
      </c>
      <c r="E4970" s="82">
        <v>44611.0</v>
      </c>
      <c r="F4970" s="80">
        <v>404.0</v>
      </c>
      <c r="G4970" s="80" t="s">
        <v>63</v>
      </c>
      <c r="I4970" s="80" t="s">
        <v>63</v>
      </c>
      <c r="J4970" s="80">
        <v>1429.0</v>
      </c>
      <c r="K4970" s="80">
        <v>0.757286698463169</v>
      </c>
      <c r="L4970" s="80" t="s">
        <v>64</v>
      </c>
    </row>
    <row r="4971">
      <c r="A4971" s="80" t="s">
        <v>5027</v>
      </c>
      <c r="B4971" s="81" t="str">
        <f>HYPERLINK("https://www.youtube.com/channel/UCZgs3pLaFisZ-TKVOwFEe8Q", "嘉芙姐姐 - 兒歌童謠 - 故事動畫 - Miss Ka Foo Kids Channel")</f>
        <v>嘉芙姐姐 - 兒歌童謠 - 故事動畫 - Miss Ka Foo Kids Channel</v>
      </c>
      <c r="C4971" s="80" t="s">
        <v>5422</v>
      </c>
      <c r="D4971" s="81" t="str">
        <f>HYPERLINK("https://youtube.com/watch?v=60TXZpVvByQ", "救護車 木結他版本 | 救傷車中文兒歌 | 香港交通工具粵語廣東話歌曲 | 幼稚園認識救護車教材 | 嘉芙姐姐兒歌")</f>
        <v>救護車 木結他版本 | 救傷車中文兒歌 | 香港交通工具粵語廣東話歌曲 | 幼稚園認識救護車教材 | 嘉芙姐姐兒歌</v>
      </c>
      <c r="E4971" s="82">
        <v>44607.0</v>
      </c>
      <c r="F4971" s="80">
        <v>89.0</v>
      </c>
      <c r="G4971" s="80" t="s">
        <v>63</v>
      </c>
      <c r="I4971" s="80" t="s">
        <v>63</v>
      </c>
      <c r="J4971" s="80">
        <v>64.0</v>
      </c>
      <c r="K4971" s="80">
        <v>0.8</v>
      </c>
      <c r="L4971" s="80" t="s">
        <v>91</v>
      </c>
    </row>
    <row r="4972">
      <c r="A4972" s="80" t="s">
        <v>2800</v>
      </c>
      <c r="B4972" s="81" t="str">
        <f>HYPERLINK("https://www.youtube.com/channel/UCMqrlsr-AECPc6_3oDr8m9w", "Unicorn 獸哥")</f>
        <v>Unicorn 獸哥</v>
      </c>
      <c r="C4972" s="80" t="s">
        <v>5423</v>
      </c>
      <c r="D4972" s="81" t="str">
        <f>HYPERLINK("https://youtube.com/watch?v=eCNnEyQk79g", "為何黑人亞裔NPC特別多？買前有乜要注意？Horizon Forbidden West遊戲速評")</f>
        <v>為何黑人亞裔NPC特別多？買前有乜要注意？Horizon Forbidden West遊戲速評</v>
      </c>
      <c r="E4972" s="82">
        <v>44615.0</v>
      </c>
      <c r="F4972" s="80">
        <v>588.0</v>
      </c>
      <c r="G4972" s="80" t="s">
        <v>63</v>
      </c>
      <c r="I4972" s="80" t="s">
        <v>63</v>
      </c>
      <c r="J4972" s="80">
        <v>2784.0</v>
      </c>
      <c r="K4972" s="80">
        <v>0.923076923076923</v>
      </c>
      <c r="L4972" s="80" t="s">
        <v>64</v>
      </c>
    </row>
    <row r="4973">
      <c r="A4973" s="80" t="s">
        <v>293</v>
      </c>
      <c r="B4973" s="81" t="str">
        <f t="shared" ref="B4973:B4974" si="276">HYPERLINK("https://www.youtube.com/channel/UCXRcbXqjORdIvl63I7MtOLQ", "趁熱 Kerry 's kitchen")</f>
        <v>趁熱 Kerry 's kitchen</v>
      </c>
      <c r="C4973" s="80" t="s">
        <v>5424</v>
      </c>
      <c r="D4973" s="81" t="str">
        <f>HYPERLINK("https://youtube.com/watch?v=EjnIYwNLveU", "低 成本/臘味椰菜粉絲煲/ 堅惹味/雪櫃存菜最佳之選/新手都煮到/廣東話/中字")</f>
        <v>低 成本/臘味椰菜粉絲煲/ 堅惹味/雪櫃存菜最佳之選/新手都煮到/廣東話/中字</v>
      </c>
      <c r="E4973" s="82">
        <v>44617.0</v>
      </c>
      <c r="F4973" s="80">
        <v>552.0</v>
      </c>
      <c r="G4973" s="80" t="s">
        <v>63</v>
      </c>
      <c r="I4973" s="80" t="s">
        <v>63</v>
      </c>
      <c r="J4973" s="80">
        <v>732.0</v>
      </c>
      <c r="K4973" s="80">
        <v>0.977303070761014</v>
      </c>
      <c r="L4973" s="80" t="s">
        <v>64</v>
      </c>
    </row>
    <row r="4974">
      <c r="A4974" s="80" t="s">
        <v>293</v>
      </c>
      <c r="B4974" s="81" t="str">
        <f t="shared" si="276"/>
        <v>趁熱 Kerry 's kitchen</v>
      </c>
      <c r="C4974" s="80" t="s">
        <v>5425</v>
      </c>
      <c r="D4974" s="81" t="str">
        <f>HYPERLINK("https://youtube.com/watch?v=2SaX0GVa1Hs", "食肉平過食菜/避疫菜/豆芽炒鯪魚肉餅/非要時期簡單家做/廣東話/中字")</f>
        <v>食肉平過食菜/避疫菜/豆芽炒鯪魚肉餅/非要時期簡單家做/廣東話/中字</v>
      </c>
      <c r="E4974" s="82">
        <v>44613.0</v>
      </c>
      <c r="F4974" s="80">
        <v>541.0</v>
      </c>
      <c r="G4974" s="80" t="s">
        <v>63</v>
      </c>
      <c r="I4974" s="80" t="s">
        <v>63</v>
      </c>
      <c r="J4974" s="80">
        <v>693.0</v>
      </c>
      <c r="K4974" s="80">
        <v>0.982978723404255</v>
      </c>
      <c r="L4974" s="80" t="s">
        <v>64</v>
      </c>
    </row>
    <row r="4975">
      <c r="A4975" s="80" t="s">
        <v>755</v>
      </c>
      <c r="B4975" s="81" t="str">
        <f>HYPERLINK("https://www.youtube.com/channel/UCBiJDTc82IM68KVH873VeAw", "Live in Kwangsi廣西人·情·味")</f>
        <v>Live in Kwangsi廣西人·情·味</v>
      </c>
      <c r="C4975" s="80" t="s">
        <v>5426</v>
      </c>
      <c r="D4975" s="81" t="str">
        <f>HYPERLINK("https://youtube.com/watch?v=dkBGXOZNsUM", "氣溫回暖 問下行山友廣西疫情而家點？桂林、南寧、貴港遊客介紹好去處！")</f>
        <v>氣溫回暖 問下行山友廣西疫情而家點？桂林、南寧、貴港遊客介紹好去處！</v>
      </c>
      <c r="E4975" s="82">
        <v>44616.0</v>
      </c>
      <c r="F4975" s="80">
        <v>223.0</v>
      </c>
      <c r="G4975" s="80" t="s">
        <v>63</v>
      </c>
      <c r="I4975" s="80" t="s">
        <v>63</v>
      </c>
      <c r="J4975" s="80">
        <v>583.0</v>
      </c>
      <c r="K4975" s="80">
        <v>1.0</v>
      </c>
      <c r="L4975" s="80" t="s">
        <v>757</v>
      </c>
    </row>
    <row r="4976">
      <c r="A4976" s="80" t="s">
        <v>5134</v>
      </c>
      <c r="B4976" s="81" t="str">
        <f>HYPERLINK("https://www.youtube.com/channel/UCGq7xle9PrLHpmdxrk0IlLw", "磚加專家 Danny Ching Top10%地產局金牌經紀百萬圓桌")</f>
        <v>磚加專家 Danny Ching Top10%地產局金牌經紀百萬圓桌</v>
      </c>
      <c r="C4976" s="80" t="s">
        <v>5427</v>
      </c>
      <c r="D4976" s="81" t="str">
        <f>HYPERLINK("https://youtube.com/watch?v=k_mQXJZasxQ", "[溫哥華地產] 近西區 Cambie 4房 全新 獨立地權 冇管理費 有太陽能發電 電車充電設施 有自己 前後花園 有1房出租單位 隔音好 近西區 Langara高球會 地鐵 Duplex屋溫馨小家庭")</f>
        <v>[溫哥華地產] 近西區 Cambie 4房 全新 獨立地權 冇管理費 有太陽能發電 電車充電設施 有自己 前後花園 有1房出租單位 隔音好 近西區 Langara高球會 地鐵 Duplex屋溫馨小家庭</v>
      </c>
      <c r="E4976" s="82">
        <v>44606.0</v>
      </c>
      <c r="F4976" s="80">
        <v>1496.0</v>
      </c>
      <c r="G4976" s="80" t="s">
        <v>63</v>
      </c>
      <c r="I4976" s="80" t="s">
        <v>63</v>
      </c>
      <c r="J4976" s="80">
        <v>4154.0</v>
      </c>
      <c r="K4976" s="80">
        <v>0.791992373689227</v>
      </c>
      <c r="L4976" s="80" t="s">
        <v>102</v>
      </c>
    </row>
    <row r="4977">
      <c r="A4977" s="80" t="s">
        <v>3048</v>
      </c>
      <c r="B4977" s="81" t="str">
        <f>HYPERLINK("https://www.youtube.com/channel/UCHiP6GctzJdIkYP20_9k-zg", "英倫。美景 about.the.england")</f>
        <v>英倫。美景 about.the.england</v>
      </c>
      <c r="C4977" s="80" t="s">
        <v>5428</v>
      </c>
      <c r="D4977" s="81" t="str">
        <f>HYPERLINK("https://youtube.com/watch?v=nlW9uuB50-o", "黎到英國視力出現問題🙀?! 簡單分享我去眼鏡店做視力檢查或簡單眼科治療👀")</f>
        <v>黎到英國視力出現問題🙀?! 簡單分享我去眼鏡店做視力檢查或簡單眼科治療👀</v>
      </c>
      <c r="E4977" s="82">
        <v>44612.0</v>
      </c>
      <c r="F4977" s="80">
        <v>422.0</v>
      </c>
      <c r="G4977" s="80" t="s">
        <v>63</v>
      </c>
      <c r="I4977" s="80" t="s">
        <v>63</v>
      </c>
      <c r="J4977" s="80">
        <v>1328.0</v>
      </c>
      <c r="K4977" s="80">
        <v>0.878888153540701</v>
      </c>
      <c r="L4977" s="80" t="s">
        <v>64</v>
      </c>
    </row>
    <row r="4978">
      <c r="A4978" s="80" t="s">
        <v>124</v>
      </c>
      <c r="B4978" s="81" t="str">
        <f>HYPERLINK("https://www.youtube.com/channel/UCg0vuSE0fBF_NvodyYhMcWg", "Wallace Studio HK")</f>
        <v>Wallace Studio HK</v>
      </c>
      <c r="C4978" s="80" t="s">
        <v>5429</v>
      </c>
      <c r="D4978" s="81" t="str">
        <f>HYPERLINK("https://youtube.com/watch?v=SFHdKA7r-4I", "Intel 12代Laptop 反擊戰! AORUS 15 XE4 (i712700H, RTX3070Ti) (vs R95900HX, i911980HK, i711800H, M1 MAX!)")</f>
        <v>Intel 12代Laptop 反擊戰! AORUS 15 XE4 (i712700H, RTX3070Ti) (vs R95900HX, i911980HK, i711800H, M1 MAX!)</v>
      </c>
      <c r="E4978" s="82">
        <v>44619.0</v>
      </c>
      <c r="F4978" s="80">
        <v>758.0</v>
      </c>
      <c r="G4978" s="80" t="s">
        <v>63</v>
      </c>
      <c r="H4978" s="80" t="s">
        <v>63</v>
      </c>
      <c r="I4978" s="80" t="s">
        <v>63</v>
      </c>
      <c r="J4978" s="80">
        <v>2245.0</v>
      </c>
      <c r="K4978" s="80">
        <v>0.663416075650118</v>
      </c>
      <c r="L4978" s="80" t="s">
        <v>86</v>
      </c>
    </row>
    <row r="4979">
      <c r="A4979" s="80" t="s">
        <v>755</v>
      </c>
      <c r="B4979" s="81" t="str">
        <f>HYPERLINK("https://www.youtube.com/channel/UCBiJDTc82IM68KVH873VeAw", "Live in Kwangsi廣西人·情·味")</f>
        <v>Live in Kwangsi廣西人·情·味</v>
      </c>
      <c r="C4979" s="80" t="s">
        <v>5430</v>
      </c>
      <c r="D4979" s="81" t="str">
        <f>HYPERLINK("https://youtube.com/watch?v=EPLJoFxGgQg", "連日大雨、濕凍！難得天晴行下河堤傾下偈｜廣西vlog 20220221")</f>
        <v>連日大雨、濕凍！難得天晴行下河堤傾下偈｜廣西vlog 20220221</v>
      </c>
      <c r="E4979" s="82">
        <v>44613.0</v>
      </c>
      <c r="F4979" s="80">
        <v>666.0</v>
      </c>
      <c r="G4979" s="80" t="s">
        <v>63</v>
      </c>
      <c r="I4979" s="80" t="s">
        <v>63</v>
      </c>
      <c r="J4979" s="80">
        <v>1401.0</v>
      </c>
      <c r="K4979" s="80">
        <v>0.958276333789329</v>
      </c>
      <c r="L4979" s="80" t="s">
        <v>757</v>
      </c>
    </row>
    <row r="4980">
      <c r="A4980" s="80" t="s">
        <v>5134</v>
      </c>
      <c r="B4980" s="81" t="str">
        <f>HYPERLINK("https://www.youtube.com/channel/UCGq7xle9PrLHpmdxrk0IlLw", "磚加專家 Danny Ching Top10%地產局金牌經紀百萬圓桌")</f>
        <v>磚加專家 Danny Ching Top10%地產局金牌經紀百萬圓桌</v>
      </c>
      <c r="C4980" s="80" t="s">
        <v>5431</v>
      </c>
      <c r="D4980" s="81" t="str">
        <f>HYPERLINK("https://youtube.com/watch?v=FVPhEOGYVNw", "[溫哥華西區Seasons城市屋]  QE女王公園 2216尺4房 主人房露台+特大天台(有廚房+煤氣) 送~專業健身房: 全身鏡膠地+器材 2xEV車位 4分鐘地鐵  送智能SONOS天花式音響系統")</f>
        <v>[溫哥華西區Seasons城市屋]  QE女王公園 2216尺4房 主人房露台+特大天台(有廚房+煤氣) 送~專業健身房: 全身鏡膠地+器材 2xEV車位 4分鐘地鐵  送智能SONOS天花式音響系統</v>
      </c>
      <c r="E4980" s="82">
        <v>44616.0</v>
      </c>
      <c r="F4980" s="80">
        <v>1524.0</v>
      </c>
      <c r="G4980" s="80" t="s">
        <v>63</v>
      </c>
      <c r="I4980" s="80" t="s">
        <v>63</v>
      </c>
      <c r="J4980" s="80">
        <v>3219.0</v>
      </c>
      <c r="K4980" s="80">
        <v>0.814318239311915</v>
      </c>
      <c r="L4980" s="80" t="s">
        <v>102</v>
      </c>
    </row>
    <row r="4981">
      <c r="A4981" s="80" t="s">
        <v>98</v>
      </c>
      <c r="B4981" s="81" t="str">
        <f>HYPERLINK("https://www.youtube.com/channel/UCrquuQB6v1Ued2xyRKZreGQ", "Stephen Leung ")</f>
        <v>Stephen Leung </v>
      </c>
      <c r="C4981" s="80" t="s">
        <v>5432</v>
      </c>
      <c r="D4981" s="81" t="str">
        <f>HYPERLINK("https://youtube.com/watch?v=yJ1VVR6ksBk", "【原味食材】香港最強海鮮街市 $160/斤 原隻游水澳洲龍蝦 $55 流浮山生蠔 打邊爐必備 象拔蚌 手切肥牛 元貝 蟶子皇 荃灣 楊屋道街市 荃灣如心廣場 特價食品大搜購 $5 午餐肉？| 吃喝玩樂")</f>
        <v>【原味食材】香港最強海鮮街市 $160/斤 原隻游水澳洲龍蝦 $55 流浮山生蠔 打邊爐必備 象拔蚌 手切肥牛 元貝 蟶子皇 荃灣 楊屋道街市 荃灣如心廣場 特價食品大搜購 $5 午餐肉？| 吃喝玩樂</v>
      </c>
      <c r="E4981" s="82">
        <v>44611.0</v>
      </c>
      <c r="F4981" s="80">
        <v>674.0</v>
      </c>
      <c r="G4981" s="80" t="s">
        <v>63</v>
      </c>
      <c r="I4981" s="80" t="s">
        <v>63</v>
      </c>
      <c r="J4981" s="80">
        <v>2013.0</v>
      </c>
      <c r="K4981" s="80">
        <v>0.983390327308255</v>
      </c>
      <c r="L4981" s="80" t="s">
        <v>64</v>
      </c>
    </row>
    <row r="4982">
      <c r="A4982" s="80" t="s">
        <v>593</v>
      </c>
      <c r="B4982" s="81" t="str">
        <f>HYPERLINK("https://www.youtube.com/channel/UCsSO44XVYhs_fQU2zDR82CA", "餓底男女")</f>
        <v>餓底男女</v>
      </c>
      <c r="C4982" s="80" t="s">
        <v>5433</v>
      </c>
      <c r="D4982" s="81" t="str">
        <f>HYPERLINK("https://youtube.com/watch?v=NNVjaCOjxbQ", "[新餐廳試伏🚁] 70s香港飲茶打卡 | 餓遊･香港 #89 [4K]")</f>
        <v>[新餐廳試伏🚁] 70s香港飲茶打卡 | 餓遊･香港 #89 [4K]</v>
      </c>
      <c r="E4982" s="82">
        <v>44610.0</v>
      </c>
      <c r="F4982" s="80">
        <v>513.0</v>
      </c>
      <c r="G4982" s="80" t="s">
        <v>63</v>
      </c>
      <c r="I4982" s="80" t="s">
        <v>63</v>
      </c>
      <c r="J4982" s="80">
        <v>1717.0</v>
      </c>
      <c r="K4982" s="80">
        <v>0.981142857142857</v>
      </c>
      <c r="L4982" s="80" t="s">
        <v>102</v>
      </c>
    </row>
    <row r="4983">
      <c r="A4983" s="80" t="s">
        <v>61</v>
      </c>
      <c r="B4983" s="81" t="str">
        <f>HYPERLINK("https://www.youtube.com/channel/UCJ4XVrJuqKHbc9yF9oUFseg", "MEeeep More")</f>
        <v>MEeeep More</v>
      </c>
      <c r="C4983" s="80" t="s">
        <v>5434</v>
      </c>
      <c r="D4983" s="81" t="str">
        <f>HYPERLINK("https://youtube.com/watch?v=160uZhRRT9A", "Samsung Galaxy Tab S8 5G 手機平板同步升級 Ultra配置巨大14.6吋屏幕 | tabs8 三星 tab s8 ultra 價格")</f>
        <v>Samsung Galaxy Tab S8 5G 手機平板同步升級 Ultra配置巨大14.6吋屏幕 | tabs8 三星 tab s8 ultra 價格</v>
      </c>
      <c r="E4983" s="82">
        <v>44610.0</v>
      </c>
      <c r="F4983" s="80">
        <v>153.0</v>
      </c>
      <c r="G4983" s="80" t="s">
        <v>63</v>
      </c>
      <c r="I4983" s="80" t="s">
        <v>63</v>
      </c>
      <c r="J4983" s="80">
        <v>337.0</v>
      </c>
      <c r="K4983" s="80">
        <v>0.555189456342668</v>
      </c>
      <c r="L4983" s="80" t="s">
        <v>64</v>
      </c>
    </row>
    <row r="4984">
      <c r="A4984" s="80" t="s">
        <v>293</v>
      </c>
      <c r="B4984" s="81" t="str">
        <f>HYPERLINK("https://www.youtube.com/channel/UCXRcbXqjORdIvl63I7MtOLQ", "趁熱 Kerry 's kitchen")</f>
        <v>趁熱 Kerry 's kitchen</v>
      </c>
      <c r="C4984" s="80" t="s">
        <v>5435</v>
      </c>
      <c r="D4984" s="81" t="str">
        <f>HYPERLINK("https://youtube.com/watch?v=Ape0uQrJc2I", "椰了 雞/椰子雞湯/邊爐湯/一煲過全家人食/暖笠笠/天寒報冬補補/收工做都得/新手 入門/廣東話/中字")</f>
        <v>椰了 雞/椰子雞湯/邊爐湯/一煲過全家人食/暖笠笠/天寒報冬補補/收工做都得/新手 入門/廣東話/中字</v>
      </c>
      <c r="E4984" s="82">
        <v>44610.0</v>
      </c>
      <c r="F4984" s="80">
        <v>552.0</v>
      </c>
      <c r="G4984" s="80" t="s">
        <v>63</v>
      </c>
      <c r="I4984" s="80" t="s">
        <v>63</v>
      </c>
      <c r="J4984" s="80">
        <v>801.0</v>
      </c>
      <c r="K4984" s="80">
        <v>0.988888888888888</v>
      </c>
      <c r="L4984" s="80" t="s">
        <v>64</v>
      </c>
    </row>
    <row r="4985">
      <c r="A4985" s="80" t="s">
        <v>140</v>
      </c>
      <c r="B4985" s="81" t="str">
        <f>HYPERLINK("https://www.youtube.com/channel/UCHK0CZf9HEXs42qIO1GUouA", "TechiCardia")</f>
        <v>TechiCardia</v>
      </c>
      <c r="C4985" s="80" t="s">
        <v>5436</v>
      </c>
      <c r="D4985" s="81" t="str">
        <f>HYPERLINK("https://youtube.com/watch?v=rjEh284IHtw", "兩種新鮮的科技體驗… ⌚️💻RAZER x FOSSIL //4K【TechiCardia】[CC廣東話字幕]")</f>
        <v>兩種新鮮的科技體驗… ⌚️💻RAZER x FOSSIL //4K【TechiCardia】[CC廣東話字幕]</v>
      </c>
      <c r="E4985" s="82">
        <v>44611.0</v>
      </c>
      <c r="F4985" s="80">
        <v>921.0</v>
      </c>
      <c r="G4985" s="80" t="s">
        <v>63</v>
      </c>
      <c r="I4985" s="80" t="s">
        <v>63</v>
      </c>
      <c r="J4985" s="80">
        <v>3149.0</v>
      </c>
      <c r="K4985" s="80">
        <v>0.678371391641533</v>
      </c>
      <c r="L4985" s="80" t="s">
        <v>102</v>
      </c>
    </row>
    <row r="4986">
      <c r="A4986" s="80" t="s">
        <v>1312</v>
      </c>
      <c r="B4986" s="81" t="str">
        <f>HYPERLINK("https://www.youtube.com/channel/UC1NxU2rbVZW0Rq6VHmaqoEQ", "Jarvis &amp; Isabella")</f>
        <v>Jarvis &amp; Isabella</v>
      </c>
      <c r="C4986" s="80" t="s">
        <v>5437</v>
      </c>
      <c r="D4986" s="81" t="str">
        <f>HYPERLINK("https://youtube.com/watch?v=k3KHhQW12V0", "【 英國 Vlog 】自家製千層蛋糕  | 幫襯香港人開嘅髮型屋 | CP值超高嘅早餐 Tim Hortons ｜CC 中文字幕｜Jarvis &amp; Isabella")</f>
        <v>【 英國 Vlog 】自家製千層蛋糕  | 幫襯香港人開嘅髮型屋 | CP值超高嘅早餐 Tim Hortons ｜CC 中文字幕｜Jarvis &amp; Isabella</v>
      </c>
      <c r="E4986" s="82">
        <v>44608.0</v>
      </c>
      <c r="F4986" s="80">
        <v>837.0</v>
      </c>
      <c r="G4986" s="80" t="s">
        <v>63</v>
      </c>
      <c r="I4986" s="80" t="s">
        <v>63</v>
      </c>
      <c r="J4986" s="80">
        <v>1889.0</v>
      </c>
      <c r="K4986" s="80">
        <v>0.869305108145421</v>
      </c>
      <c r="L4986" s="80" t="s">
        <v>64</v>
      </c>
    </row>
    <row r="4987">
      <c r="A4987" s="80" t="s">
        <v>1390</v>
      </c>
      <c r="B4987" s="81" t="str">
        <f>HYPERLINK("https://www.youtube.com/channel/UCgwEJflQi4WnZ8PU0xdibZQ", "Kinson Ho")</f>
        <v>Kinson Ho</v>
      </c>
      <c r="C4987" s="80" t="s">
        <v>5438</v>
      </c>
      <c r="D4987" s="81" t="str">
        <f>HYPERLINK("https://youtube.com/watch?v=0ehxtUNrhNA", "K神任我行 -  [CC字幕4K] 西高山南脊｜西崖｜盧吉道｜山頂廣場｜航拍")</f>
        <v>K神任我行 -  [CC字幕4K] 西高山南脊｜西崖｜盧吉道｜山頂廣場｜航拍</v>
      </c>
      <c r="E4987" s="82">
        <v>44608.0</v>
      </c>
      <c r="F4987" s="80">
        <v>672.0</v>
      </c>
      <c r="G4987" s="80" t="s">
        <v>63</v>
      </c>
      <c r="I4987" s="80" t="s">
        <v>63</v>
      </c>
      <c r="J4987" s="80">
        <v>697.0</v>
      </c>
      <c r="K4987" s="80">
        <v>0.987252124645892</v>
      </c>
      <c r="L4987" s="80" t="s">
        <v>64</v>
      </c>
    </row>
    <row r="4988">
      <c r="A4988" s="80" t="s">
        <v>2800</v>
      </c>
      <c r="B4988" s="81" t="str">
        <f>HYPERLINK("https://www.youtube.com/channel/UCMqrlsr-AECPc6_3oDr8m9w", "Unicorn 獸哥")</f>
        <v>Unicorn 獸哥</v>
      </c>
      <c r="C4988" s="80" t="s">
        <v>5439</v>
      </c>
      <c r="D4988" s="81" t="str">
        <f>HYPERLINK("https://youtube.com/watch?v=7lBytsdUMaE", "史上第一隻高達遊戲係邊隻？80年代最受歡迎高達遊戲有幾紅？高達遊戲歷史談第一話")</f>
        <v>史上第一隻高達遊戲係邊隻？80年代最受歡迎高達遊戲有幾紅？高達遊戲歷史談第一話</v>
      </c>
      <c r="E4988" s="82">
        <v>44606.0</v>
      </c>
      <c r="F4988" s="80">
        <v>462.0</v>
      </c>
      <c r="G4988" s="80" t="s">
        <v>63</v>
      </c>
      <c r="I4988" s="80" t="s">
        <v>63</v>
      </c>
      <c r="J4988" s="80">
        <v>1818.0</v>
      </c>
      <c r="K4988" s="80">
        <v>0.785313174946004</v>
      </c>
      <c r="L4988" s="80" t="s">
        <v>64</v>
      </c>
    </row>
    <row r="4989">
      <c r="A4989" s="80" t="s">
        <v>4470</v>
      </c>
      <c r="B4989" s="81" t="str">
        <f>HYPERLINK("https://www.youtube.com/channel/UC4VI_WmdfVMTkT4vKCiZA4A", "BossMind")</f>
        <v>BossMind</v>
      </c>
      <c r="C4989" s="80" t="s">
        <v>5440</v>
      </c>
      <c r="D4989" s="81" t="str">
        <f>HYPERLINK("https://youtube.com/watch?v=x5qN2asJPLk", "俄佬撤軍即刻升 淡友平倉定真反彈？｜高盛縮沙睇標指年底4900點｜少注參與市場強勢股 跟進農務概念 ｜#華爾街戰線 #杜昇")</f>
        <v>俄佬撤軍即刻升 淡友平倉定真反彈？｜高盛縮沙睇標指年底4900點｜少注參與市場強勢股 跟進農務概念 ｜#華爾街戰線 #杜昇</v>
      </c>
      <c r="E4989" s="82">
        <v>44607.0</v>
      </c>
      <c r="F4989" s="80">
        <v>438.0</v>
      </c>
      <c r="G4989" s="80" t="s">
        <v>63</v>
      </c>
      <c r="I4989" s="80" t="s">
        <v>63</v>
      </c>
      <c r="J4989" s="80">
        <v>1193.0</v>
      </c>
      <c r="K4989" s="80">
        <v>0.92194744976816</v>
      </c>
      <c r="L4989" s="80" t="s">
        <v>64</v>
      </c>
    </row>
    <row r="4990">
      <c r="A4990" s="80" t="s">
        <v>248</v>
      </c>
      <c r="B4990" s="81" t="str">
        <f>HYPERLINK("https://www.youtube.com/channel/UCUEJok-GiWaGlv5nIPwk-GQ", "Price.com.hk 香港格價網")</f>
        <v>Price.com.hk 香港格價網</v>
      </c>
      <c r="C4990" s="80" t="s">
        <v>5441</v>
      </c>
      <c r="D4990" s="81" t="str">
        <f>HYPERLINK("https://youtube.com/watch?v=xjNq8iM3Sj0", "配眼鏡科技新體驗 蔡司ZEISS VISUFIT 1000數碼3D中心定位儀 |The New Black Optical|日本手造眼鏡| 特約專題 | 廣東話 |【Price.com.hk產品介紹】")</f>
        <v>配眼鏡科技新體驗 蔡司ZEISS VISUFIT 1000數碼3D中心定位儀 |The New Black Optical|日本手造眼鏡| 特約專題 | 廣東話 |【Price.com.hk產品介紹】</v>
      </c>
      <c r="E4990" s="82">
        <v>44614.0</v>
      </c>
      <c r="F4990" s="80">
        <v>213.0</v>
      </c>
      <c r="G4990" s="80" t="s">
        <v>63</v>
      </c>
      <c r="I4990" s="80" t="s">
        <v>63</v>
      </c>
      <c r="J4990" s="80">
        <v>769.0</v>
      </c>
      <c r="K4990" s="80">
        <v>0.826881720430107</v>
      </c>
      <c r="L4990" s="80" t="s">
        <v>64</v>
      </c>
    </row>
    <row r="4991">
      <c r="A4991" s="80" t="s">
        <v>260</v>
      </c>
      <c r="B4991" s="81" t="str">
        <f>HYPERLINK("https://www.youtube.com/channel/UC-HXOikkLx7BGEfILGIpYOg", "港短 . 英移")</f>
        <v>港短 . 英移</v>
      </c>
      <c r="C4991" s="80" t="s">
        <v>5442</v>
      </c>
      <c r="D4991" s="81" t="str">
        <f>HYPERLINK("https://youtube.com/watch?v=C2C0oo9xQlw", "學英文最緊要唔好怕俾人笑 有D英文口語真係唔可以亂咁講😓 | 港短.英移 #英文口語 #英文用語")</f>
        <v>學英文最緊要唔好怕俾人笑 有D英文口語真係唔可以亂咁講😓 | 港短.英移 #英文口語 #英文用語</v>
      </c>
      <c r="E4991" s="82">
        <v>44609.0</v>
      </c>
      <c r="F4991" s="80">
        <v>442.0</v>
      </c>
      <c r="G4991" s="80" t="s">
        <v>63</v>
      </c>
      <c r="I4991" s="80" t="s">
        <v>63</v>
      </c>
      <c r="J4991" s="80">
        <v>1580.0</v>
      </c>
      <c r="K4991" s="80">
        <v>0.759615384615384</v>
      </c>
      <c r="L4991" s="80" t="s">
        <v>102</v>
      </c>
    </row>
    <row r="4992">
      <c r="A4992" s="80" t="s">
        <v>1312</v>
      </c>
      <c r="B4992" s="81" t="str">
        <f>HYPERLINK("https://www.youtube.com/channel/UC1NxU2rbVZW0Rq6VHmaqoEQ", "Jarvis &amp; Isabella")</f>
        <v>Jarvis &amp; Isabella</v>
      </c>
      <c r="C4992" s="80" t="s">
        <v>5443</v>
      </c>
      <c r="D4992" s="81" t="str">
        <f>HYPERLINK("https://youtube.com/watch?v=ohTyqhoHfAk", "【 Liverpool Vlog  】 | 打風先落利物浦 | 久違嘅泰國餐 | 紅磚屋 Vintage Market | Market收穫豐富 ~｜CC 中文字幕｜Jarvis &amp; Isabella")</f>
        <v>【 Liverpool Vlog  】 | 打風先落利物浦 | 久違嘅泰國餐 | 紅磚屋 Vintage Market | Market收穫豐富 ~｜CC 中文字幕｜Jarvis &amp; Isabella</v>
      </c>
      <c r="E4992" s="82">
        <v>44614.0</v>
      </c>
      <c r="F4992" s="80">
        <v>1048.0</v>
      </c>
      <c r="G4992" s="80" t="s">
        <v>63</v>
      </c>
      <c r="I4992" s="80" t="s">
        <v>63</v>
      </c>
      <c r="J4992" s="80">
        <v>2978.0</v>
      </c>
      <c r="K4992" s="80">
        <v>0.858213256484149</v>
      </c>
      <c r="L4992" s="80" t="s">
        <v>64</v>
      </c>
    </row>
    <row r="4993">
      <c r="A4993" s="80" t="s">
        <v>293</v>
      </c>
      <c r="B4993" s="81" t="str">
        <f>HYPERLINK("https://www.youtube.com/channel/UCXRcbXqjORdIvl63I7MtOLQ", "趁熱 Kerry 's kitchen")</f>
        <v>趁熱 Kerry 's kitchen</v>
      </c>
      <c r="C4993" s="80" t="s">
        <v>5444</v>
      </c>
      <c r="D4993" s="81" t="str">
        <f>HYPERLINK("https://youtube.com/watch?v=T7NomXzXKpU", "食肉平過食菜/十幾分鐘攪掂/下班做都得/港式生炸雞腿飯/超脆多肉汁/行業做法公開/簡單 家做/廣東話/中字")</f>
        <v>食肉平過食菜/十幾分鐘攪掂/下班做都得/港式生炸雞腿飯/超脆多肉汁/行業做法公開/簡單 家做/廣東話/中字</v>
      </c>
      <c r="E4993" s="82">
        <v>44615.0</v>
      </c>
      <c r="F4993" s="80">
        <v>617.0</v>
      </c>
      <c r="G4993" s="80" t="s">
        <v>63</v>
      </c>
      <c r="I4993" s="80" t="s">
        <v>63</v>
      </c>
      <c r="J4993" s="80">
        <v>567.0</v>
      </c>
      <c r="K4993" s="80">
        <v>0.941860465116279</v>
      </c>
      <c r="L4993" s="80" t="s">
        <v>64</v>
      </c>
    </row>
    <row r="4994">
      <c r="A4994" s="80" t="s">
        <v>2898</v>
      </c>
      <c r="B4994" s="81" t="str">
        <f>HYPERLINK("https://www.youtube.com/channel/UCy5bjMXbFPglSBNDXfivtOA", "消費者委員會")</f>
        <v>消費者委員會</v>
      </c>
      <c r="C4994" s="80" t="s">
        <v>5445</v>
      </c>
      <c r="D4994" s="81" t="str">
        <f>HYPERLINK("https://youtube.com/watch?v=AFepSp8exP0", "【浴巾大測試｜至洗得浴巾攻略】")</f>
        <v>【浴巾大測試｜至洗得浴巾攻略】</v>
      </c>
      <c r="E4994" s="82">
        <v>44680.0</v>
      </c>
      <c r="F4994" s="80">
        <v>159.0</v>
      </c>
      <c r="G4994" s="80" t="s">
        <v>63</v>
      </c>
      <c r="I4994" s="80" t="s">
        <v>63</v>
      </c>
      <c r="J4994" s="80">
        <v>550.0</v>
      </c>
      <c r="K4994" s="80">
        <v>0.994575045207956</v>
      </c>
      <c r="L4994" s="80" t="s">
        <v>102</v>
      </c>
    </row>
    <row r="4995">
      <c r="A4995" s="80" t="s">
        <v>3051</v>
      </c>
      <c r="B4995" s="81" t="str">
        <f>HYPERLINK("https://www.youtube.com/channel/UCvE0FPIL24o2mnUQIqcSHYA", "柴犬春卷的英國日常 Shiba Harumaki in UK")</f>
        <v>柴犬春卷的英國日常 Shiba Harumaki in UK</v>
      </c>
      <c r="C4995" s="80" t="s">
        <v>5446</v>
      </c>
      <c r="D4995" s="81" t="str">
        <f>HYPERLINK("https://youtube.com/watch?v=ZTAZlbsMKIM", "租樓完約最後洗唔洗扣按金? ｜唔清潔有機會被扣錢｜新屋整理傢俬｜曼城Apartment的最後一天｜｜柴犬春卷移民英國曼城｜Shiba Inu Manchester｜【廣東話中字ENG Sub】UK")</f>
        <v>租樓完約最後洗唔洗扣按金? ｜唔清潔有機會被扣錢｜新屋整理傢俬｜曼城Apartment的最後一天｜｜柴犬春卷移民英國曼城｜Shiba Inu Manchester｜【廣東話中字ENG Sub】UK</v>
      </c>
      <c r="E4995" s="82">
        <v>44629.0</v>
      </c>
      <c r="F4995" s="80">
        <v>615.0</v>
      </c>
      <c r="G4995" s="80" t="s">
        <v>63</v>
      </c>
      <c r="I4995" s="80" t="s">
        <v>63</v>
      </c>
      <c r="J4995" s="80">
        <v>1713.0</v>
      </c>
      <c r="K4995" s="80">
        <v>0.910685805422647</v>
      </c>
      <c r="L4995" s="80" t="s">
        <v>521</v>
      </c>
    </row>
    <row r="4996">
      <c r="A4996" s="80" t="s">
        <v>260</v>
      </c>
      <c r="B4996" s="81" t="str">
        <f>HYPERLINK("https://www.youtube.com/channel/UC-HXOikkLx7BGEfILGIpYOg", "港短 . 英移")</f>
        <v>港短 . 英移</v>
      </c>
      <c r="C4996" s="80" t="s">
        <v>5447</v>
      </c>
      <c r="D4996" s="81" t="str">
        <f>HYPERLINK("https://youtube.com/watch?v=TzUtxISXhGM", "原來Kent真係幾靚 | 充滿歷史味道既英國落腳地小鎮 Rochester | 城堡原來好難攻? | 港短.英移  #Kent #Rochester #英國落腳地")</f>
        <v>原來Kent真係幾靚 | 充滿歷史味道既英國落腳地小鎮 Rochester | 城堡原來好難攻? | 港短.英移  #Kent #Rochester #英國落腳地</v>
      </c>
      <c r="E4996" s="82">
        <v>44638.0</v>
      </c>
      <c r="F4996" s="80">
        <v>491.0</v>
      </c>
      <c r="G4996" s="80" t="s">
        <v>63</v>
      </c>
      <c r="I4996" s="80" t="s">
        <v>63</v>
      </c>
      <c r="J4996" s="80">
        <v>1753.0</v>
      </c>
      <c r="K4996" s="80">
        <v>0.717560376586164</v>
      </c>
      <c r="L4996" s="80" t="s">
        <v>102</v>
      </c>
    </row>
    <row r="4997">
      <c r="A4997" s="80" t="s">
        <v>755</v>
      </c>
      <c r="B4997" s="81" t="str">
        <f>HYPERLINK("https://www.youtube.com/channel/UCBiJDTc82IM68KVH873VeAw", "Live in Kwangsi廣西人·情·味")</f>
        <v>Live in Kwangsi廣西人·情·味</v>
      </c>
      <c r="C4997" s="80" t="s">
        <v>5448</v>
      </c>
      <c r="D4997" s="81" t="str">
        <f>HYPERLINK("https://youtube.com/watch?v=TaMj0qGb0UA", "旺城商圈週邊(西環、棗沖、富民、上下三雲)散步 行街市 再游車河｜梧州市｜廣西日常實拍 20220424")</f>
        <v>旺城商圈週邊(西環、棗沖、富民、上下三雲)散步 行街市 再游車河｜梧州市｜廣西日常實拍 20220424</v>
      </c>
      <c r="E4997" s="82">
        <v>44678.0</v>
      </c>
      <c r="F4997" s="80">
        <v>3177.0</v>
      </c>
      <c r="G4997" s="80" t="s">
        <v>63</v>
      </c>
      <c r="I4997" s="80" t="s">
        <v>63</v>
      </c>
      <c r="J4997" s="80">
        <v>1170.0</v>
      </c>
      <c r="K4997" s="80">
        <v>0.989010989010989</v>
      </c>
      <c r="L4997" s="80" t="s">
        <v>757</v>
      </c>
    </row>
    <row r="4998">
      <c r="A4998" s="80" t="s">
        <v>217</v>
      </c>
      <c r="B4998" s="81" t="str">
        <f>HYPERLINK("https://www.youtube.com/channel/UCXKg0qPRz32bs5Z4mTGF3TQ", "Stormtrooper白兵")</f>
        <v>Stormtrooper白兵</v>
      </c>
      <c r="C4998" s="80" t="s">
        <v>5449</v>
      </c>
      <c r="D4998" s="81" t="str">
        <f>HYPERLINK("https://youtube.com/watch?v=7gT2yESNRQM", "[有錢人越黎越有錢？]金融海嘯後出現比特幣不是巧合……？｜人類文明的分岔口｜深層國家推出中央銀行數碼貨幣抗衡｜取消金本位｜石油美元｜布列敦森林體系｜粵語中字")</f>
        <v>[有錢人越黎越有錢？]金融海嘯後出現比特幣不是巧合……？｜人類文明的分岔口｜深層國家推出中央銀行數碼貨幣抗衡｜取消金本位｜石油美元｜布列敦森林體系｜粵語中字</v>
      </c>
      <c r="E4998" s="82">
        <v>44707.0</v>
      </c>
      <c r="F4998" s="80">
        <v>1016.0</v>
      </c>
      <c r="G4998" s="80" t="s">
        <v>63</v>
      </c>
      <c r="I4998" s="80" t="s">
        <v>63</v>
      </c>
      <c r="J4998" s="80">
        <v>3842.0</v>
      </c>
      <c r="K4998" s="80">
        <v>0.943285047876258</v>
      </c>
      <c r="L4998" s="80" t="s">
        <v>64</v>
      </c>
    </row>
    <row r="4999">
      <c r="A4999" s="80" t="s">
        <v>293</v>
      </c>
      <c r="B4999" s="81" t="str">
        <f>HYPERLINK("https://www.youtube.com/channel/UCXRcbXqjORdIvl63I7MtOLQ", "趁熱 Kerry 's kitchen")</f>
        <v>趁熱 Kerry 's kitchen</v>
      </c>
      <c r="C4999" s="80" t="s">
        <v>5450</v>
      </c>
      <c r="D4999" s="81" t="str">
        <f>HYPERLINK("https://youtube.com/watch?v=ATpSSc7kPPc", "低gi/生炒牛肉雜粮飯/低升糖燕麥飯處理方法/唔硬一樣軟/好易做新手都得/廣東話/中字")</f>
        <v>低gi/生炒牛肉雜粮飯/低升糖燕麥飯處理方法/唔硬一樣軟/好易做新手都得/廣東話/中字</v>
      </c>
      <c r="E4999" s="82">
        <v>44699.0</v>
      </c>
      <c r="F4999" s="80">
        <v>481.0</v>
      </c>
      <c r="G4999" s="80" t="s">
        <v>63</v>
      </c>
      <c r="I4999" s="80" t="s">
        <v>63</v>
      </c>
      <c r="J4999" s="80">
        <v>546.0</v>
      </c>
      <c r="K4999" s="80">
        <v>0.97153024911032</v>
      </c>
      <c r="L4999" s="80" t="s">
        <v>64</v>
      </c>
    </row>
    <row r="5000">
      <c r="A5000" s="80" t="s">
        <v>248</v>
      </c>
      <c r="B5000" s="81" t="str">
        <f>HYPERLINK("https://www.youtube.com/channel/UCUEJok-GiWaGlv5nIPwk-GQ", "Price.com.hk 香港格價網")</f>
        <v>Price.com.hk 香港格價網</v>
      </c>
      <c r="C5000" s="80" t="s">
        <v>5451</v>
      </c>
      <c r="D5000" s="81" t="str">
        <f>HYPERLINK("https://youtube.com/watch?v=z_2HsMo8qkk", "襟用迷你8核之選｜ASUS Mini PC PN80 | 特約專題 | 廣東話 【Price.com.hk產品介紹】")</f>
        <v>襟用迷你8核之選｜ASUS Mini PC PN80 | 特約專題 | 廣東話 【Price.com.hk產品介紹】</v>
      </c>
      <c r="E5000" s="82">
        <v>44687.0</v>
      </c>
      <c r="F5000" s="80">
        <v>316.0</v>
      </c>
      <c r="G5000" s="80" t="s">
        <v>63</v>
      </c>
      <c r="I5000" s="80" t="s">
        <v>63</v>
      </c>
      <c r="J5000" s="80">
        <v>905.0</v>
      </c>
      <c r="K5000" s="80">
        <v>0.658660844250363</v>
      </c>
      <c r="L5000" s="80" t="s">
        <v>64</v>
      </c>
    </row>
    <row r="5001">
      <c r="A5001" s="80" t="s">
        <v>260</v>
      </c>
      <c r="B5001" s="81" t="str">
        <f>HYPERLINK("https://www.youtube.com/channel/UC-HXOikkLx7BGEfILGIpYOg", "港短 . 英移")</f>
        <v>港短 . 英移</v>
      </c>
      <c r="C5001" s="80" t="s">
        <v>5452</v>
      </c>
      <c r="D5001" s="81" t="str">
        <f>HYPERLINK("https://youtube.com/watch?v=zcB2Ny6Gh9I", "點解我地咁仲意Bath?? | 暫時見過最有氣質既英國落腳地 | Bath同Bristol邊個好D? | 港短.英移  #Bath #Bristol #英國落腳地")</f>
        <v>點解我地咁仲意Bath?? | 暫時見過最有氣質既英國落腳地 | Bath同Bristol邊個好D? | 港短.英移  #Bath #Bristol #英國落腳地</v>
      </c>
      <c r="E5001" s="82">
        <v>44693.0</v>
      </c>
      <c r="F5001" s="80">
        <v>423.0</v>
      </c>
      <c r="G5001" s="80" t="s">
        <v>63</v>
      </c>
      <c r="I5001" s="80" t="s">
        <v>63</v>
      </c>
      <c r="J5001" s="80">
        <v>1629.0</v>
      </c>
      <c r="K5001" s="80">
        <v>0.872055674518201</v>
      </c>
      <c r="L5001" s="80" t="s">
        <v>102</v>
      </c>
    </row>
    <row r="5002">
      <c r="A5002" s="80" t="s">
        <v>4470</v>
      </c>
      <c r="B5002" s="81" t="str">
        <f>HYPERLINK("https://www.youtube.com/channel/UC4VI_WmdfVMTkT4vKCiZA4A", "BossMind")</f>
        <v>BossMind</v>
      </c>
      <c r="C5002" s="80" t="s">
        <v>5453</v>
      </c>
      <c r="D5002" s="81" t="str">
        <f>HYPERLINK("https://youtube.com/watch?v=Y9UOOtz1Kac", "美股Tesla(TSLA)業績分析｜對手Super Bowl落廣告益Tesla｜預告未來幾個月解決鋰礦供應｜#杜昇 #華爾街戰線")</f>
        <v>美股Tesla(TSLA)業績分析｜對手Super Bowl落廣告益Tesla｜預告未來幾個月解決鋰礦供應｜#杜昇 #華爾街戰線</v>
      </c>
      <c r="E5002" s="82">
        <v>44672.0</v>
      </c>
      <c r="F5002" s="80">
        <v>463.0</v>
      </c>
      <c r="G5002" s="80" t="s">
        <v>63</v>
      </c>
      <c r="I5002" s="80" t="s">
        <v>63</v>
      </c>
      <c r="J5002" s="80">
        <v>1102.0</v>
      </c>
      <c r="K5002" s="80">
        <v>0.725</v>
      </c>
      <c r="L5002" s="80" t="s">
        <v>64</v>
      </c>
    </row>
    <row r="5003">
      <c r="A5003" s="80" t="s">
        <v>1312</v>
      </c>
      <c r="B5003" s="81" t="str">
        <f>HYPERLINK("https://www.youtube.com/channel/UC1NxU2rbVZW0Rq6VHmaqoEQ", "Jarvis &amp; Isabella")</f>
        <v>Jarvis &amp; Isabella</v>
      </c>
      <c r="C5003" s="80" t="s">
        <v>5454</v>
      </c>
      <c r="D5003" s="81" t="str">
        <f>HYPERLINK("https://youtube.com/watch?v=1fHkWSd8GXo", "【 Weekly Vlog 】| 買餸週 | 剪片日常 | 生病的一週 | 拍攝家庭相 ｜CC 中文字幕｜Jarvis &amp; Isabella")</f>
        <v>【 Weekly Vlog 】| 買餸週 | 剪片日常 | 生病的一週 | 拍攝家庭相 ｜CC 中文字幕｜Jarvis &amp; Isabella</v>
      </c>
      <c r="E5003" s="82">
        <v>44672.0</v>
      </c>
      <c r="F5003" s="80">
        <v>877.0</v>
      </c>
      <c r="G5003" s="80" t="s">
        <v>63</v>
      </c>
      <c r="I5003" s="80" t="s">
        <v>63</v>
      </c>
      <c r="J5003" s="80">
        <v>2662.0</v>
      </c>
      <c r="K5003" s="80">
        <v>0.849664857963613</v>
      </c>
      <c r="L5003" s="80" t="s">
        <v>64</v>
      </c>
    </row>
    <row r="5004">
      <c r="A5004" s="80" t="s">
        <v>414</v>
      </c>
      <c r="B5004" s="81" t="str">
        <f>HYPERLINK("https://www.youtube.com/channel/UCCVn38j5xSJZN-II-TeyomA", "Uncle Calvin Cantonese Class")</f>
        <v>Uncle Calvin Cantonese Class</v>
      </c>
      <c r="C5004" s="80" t="s">
        <v>5455</v>
      </c>
      <c r="D5004" s="81" t="str">
        <f>HYPERLINK("https://youtube.com/watch?v=Il0p0tuhiP8", "【10種特別用途車輛(幼童版)】10 Special Vehicles in Cantonese I 幼童認字 for Toddlers I 廣東話教室 I 字幕/Subtitles")</f>
        <v>【10種特別用途車輛(幼童版)】10 Special Vehicles in Cantonese I 幼童認字 for Toddlers I 廣東話教室 I 字幕/Subtitles</v>
      </c>
      <c r="E5004" s="82">
        <v>44674.0</v>
      </c>
      <c r="F5004" s="80">
        <v>750.0</v>
      </c>
      <c r="G5004" s="80" t="s">
        <v>63</v>
      </c>
      <c r="H5004" s="80" t="s">
        <v>63</v>
      </c>
      <c r="I5004" s="80" t="s">
        <v>63</v>
      </c>
      <c r="J5004" s="80">
        <v>1971.0</v>
      </c>
      <c r="K5004" s="80">
        <v>0.881764438381082</v>
      </c>
      <c r="L5004" s="80" t="s">
        <v>426</v>
      </c>
    </row>
    <row r="5005">
      <c r="A5005" s="80" t="s">
        <v>293</v>
      </c>
      <c r="B5005" s="81" t="str">
        <f>HYPERLINK("https://www.youtube.com/channel/UCXRcbXqjORdIvl63I7MtOLQ", "趁熱 Kerry 's kitchen")</f>
        <v>趁熱 Kerry 's kitchen</v>
      </c>
      <c r="C5005" s="80" t="s">
        <v>5456</v>
      </c>
      <c r="D5005" s="81" t="str">
        <f>HYPERLINK("https://youtube.com/watch?v=o_RUoXcNYNU", "連藕炆排骨/一煲食幾日/無明火也可做/好餸飯/急凍排骨一樣得/低成本/廣東話/中字")</f>
        <v>連藕炆排骨/一煲食幾日/無明火也可做/好餸飯/急凍排骨一樣得/低成本/廣東話/中字</v>
      </c>
      <c r="E5005" s="82">
        <v>44638.0</v>
      </c>
      <c r="F5005" s="80">
        <v>561.0</v>
      </c>
      <c r="G5005" s="80" t="s">
        <v>63</v>
      </c>
      <c r="I5005" s="80" t="s">
        <v>63</v>
      </c>
      <c r="J5005" s="80">
        <v>718.0</v>
      </c>
      <c r="K5005" s="80">
        <v>0.987620357634112</v>
      </c>
      <c r="L5005" s="80" t="s">
        <v>64</v>
      </c>
    </row>
    <row r="5006">
      <c r="A5006" s="80" t="s">
        <v>755</v>
      </c>
      <c r="B5006" s="81" t="str">
        <f>HYPERLINK("https://www.youtube.com/channel/UCBiJDTc82IM68KVH873VeAw", "Live in Kwangsi廣西人·情·味")</f>
        <v>Live in Kwangsi廣西人·情·味</v>
      </c>
      <c r="C5006" s="80" t="s">
        <v>5457</v>
      </c>
      <c r="D5006" s="81" t="str">
        <f>HYPERLINK("https://youtube.com/watch?v=Fw20k8ncwTo", "又去柳州 試正宗螺螄粉 工業博物館影相呃like 行最新嘅鳳凰嶺大橋 遊園博園｜廣西vlog 20220306")</f>
        <v>又去柳州 試正宗螺螄粉 工業博物館影相呃like 行最新嘅鳳凰嶺大橋 遊園博園｜廣西vlog 20220306</v>
      </c>
      <c r="E5006" s="82">
        <v>44629.0</v>
      </c>
      <c r="F5006" s="80">
        <v>787.0</v>
      </c>
      <c r="G5006" s="80" t="s">
        <v>63</v>
      </c>
      <c r="I5006" s="80" t="s">
        <v>63</v>
      </c>
      <c r="J5006" s="80">
        <v>1329.0</v>
      </c>
      <c r="K5006" s="80">
        <v>0.995505617977528</v>
      </c>
      <c r="L5006" s="80" t="s">
        <v>757</v>
      </c>
    </row>
    <row r="5007">
      <c r="A5007" s="80" t="s">
        <v>293</v>
      </c>
      <c r="B5007" s="81" t="str">
        <f>HYPERLINK("https://www.youtube.com/channel/UCXRcbXqjORdIvl63I7MtOLQ", "趁熱 Kerry 's kitchen")</f>
        <v>趁熱 Kerry 's kitchen</v>
      </c>
      <c r="C5007" s="80" t="s">
        <v>5458</v>
      </c>
      <c r="D5007" s="81" t="str">
        <f>HYPERLINK("https://youtube.com/watch?v=dAON-QmlFiI", "蒸三色蛋/蒸水蛋/軟滑窺門/想唔到煮乜就做這個/簡簡單單又一餐/廣東話/中字")</f>
        <v>蒸三色蛋/蒸水蛋/軟滑窺門/想唔到煮乜就做這個/簡簡單單又一餐/廣東話/中字</v>
      </c>
      <c r="E5007" s="82">
        <v>44659.0</v>
      </c>
      <c r="F5007" s="80">
        <v>357.0</v>
      </c>
      <c r="G5007" s="80" t="s">
        <v>63</v>
      </c>
      <c r="I5007" s="80" t="s">
        <v>63</v>
      </c>
      <c r="J5007" s="80">
        <v>539.0</v>
      </c>
      <c r="K5007" s="80">
        <v>0.983576642335766</v>
      </c>
      <c r="L5007" s="80" t="s">
        <v>64</v>
      </c>
    </row>
    <row r="5008">
      <c r="A5008" s="80" t="s">
        <v>5459</v>
      </c>
      <c r="B5008" s="81" t="str">
        <f>HYPERLINK("https://www.youtube.com/channel/UC8_4V541ZqVTev0mWbp10oA", "COMPUTE_B 砌機師")</f>
        <v>COMPUTE_B 砌機師</v>
      </c>
      <c r="C5008" s="80" t="s">
        <v>5460</v>
      </c>
      <c r="D5008" s="81" t="str">
        <f>HYPERLINK("https://youtube.com/watch?v=d9X2FINm-YM", "[CB]和你砌$18,800機 -  ITX (JONSPLUS i 100 PRO) AMD 打機電腦 COMPUTE_B砌機💰")</f>
        <v>[CB]和你砌$18,800機 -  ITX (JONSPLUS i 100 PRO) AMD 打機電腦 COMPUTE_B砌機💰</v>
      </c>
      <c r="E5008" s="82">
        <v>44467.0</v>
      </c>
      <c r="F5008" s="80">
        <v>376.0</v>
      </c>
      <c r="G5008" s="80" t="s">
        <v>63</v>
      </c>
      <c r="I5008" s="80" t="s">
        <v>63</v>
      </c>
      <c r="J5008" s="80">
        <v>252.0</v>
      </c>
      <c r="K5008" s="80">
        <v>0.732558139534883</v>
      </c>
      <c r="L5008" s="80" t="s">
        <v>64</v>
      </c>
    </row>
    <row r="5009">
      <c r="A5009" s="80" t="s">
        <v>3051</v>
      </c>
      <c r="B5009" s="81" t="str">
        <f>HYPERLINK("https://www.youtube.com/channel/UCvE0FPIL24o2mnUQIqcSHYA", "柴犬春卷的英國日常 Shiba Harumaki in UK")</f>
        <v>柴犬春卷的英國日常 Shiba Harumaki in UK</v>
      </c>
      <c r="C5009" s="80" t="s">
        <v>5461</v>
      </c>
      <c r="D5009" s="81" t="str">
        <f>HYPERLINK("https://youtube.com/watch?v=wfXX5e-G-Xc", "YouTube賺錢? 在英國尋找香港兒時味道?｜香港零食｜賣廣告又唔得?｜春爸毛髮毛天?｜柴犬春卷移民英國曼城｜Shiba Inu Manchester｜曼徹斯特｜廣東話 中字幕 Eng Sub UK")</f>
        <v>YouTube賺錢? 在英國尋找香港兒時味道?｜香港零食｜賣廣告又唔得?｜春爸毛髮毛天?｜柴犬春卷移民英國曼城｜Shiba Inu Manchester｜曼徹斯特｜廣東話 中字幕 Eng Sub UK</v>
      </c>
      <c r="E5009" s="82">
        <v>44675.0</v>
      </c>
      <c r="F5009" s="80">
        <v>563.0</v>
      </c>
      <c r="G5009" s="80" t="s">
        <v>63</v>
      </c>
      <c r="I5009" s="80" t="s">
        <v>63</v>
      </c>
      <c r="J5009" s="80">
        <v>905.0</v>
      </c>
      <c r="K5009" s="80">
        <v>0.902293120638085</v>
      </c>
      <c r="L5009" s="80" t="s">
        <v>521</v>
      </c>
    </row>
    <row r="5010">
      <c r="A5010" s="80" t="s">
        <v>293</v>
      </c>
      <c r="B5010" s="81" t="str">
        <f>HYPERLINK("https://www.youtube.com/channel/UCXRcbXqjORdIvl63I7MtOLQ", "趁熱 Kerry 's kitchen")</f>
        <v>趁熱 Kerry 's kitchen</v>
      </c>
      <c r="C5010" s="80" t="s">
        <v>5462</v>
      </c>
      <c r="D5010" s="81" t="str">
        <f>HYPERLINK("https://youtube.com/watch?v=vtsuHm0uYFA", "支竹炆敏魚扒/街市大塊的魚扒處理方法/無細骨全家做食得/啖啖肉/豐富優質蛋生質/廣東話/中字")</f>
        <v>支竹炆敏魚扒/街市大塊的魚扒處理方法/無細骨全家做食得/啖啖肉/豐富優質蛋生質/廣東話/中字</v>
      </c>
      <c r="E5010" s="82">
        <v>44685.0</v>
      </c>
      <c r="F5010" s="80">
        <v>517.0</v>
      </c>
      <c r="G5010" s="80" t="s">
        <v>63</v>
      </c>
      <c r="I5010" s="80" t="s">
        <v>63</v>
      </c>
      <c r="J5010" s="80">
        <v>601.0</v>
      </c>
      <c r="K5010" s="80">
        <v>0.972491909385113</v>
      </c>
      <c r="L5010" s="80" t="s">
        <v>64</v>
      </c>
    </row>
    <row r="5011">
      <c r="A5011" s="80" t="s">
        <v>217</v>
      </c>
      <c r="B5011" s="81" t="str">
        <f>HYPERLINK("https://www.youtube.com/channel/UCXKg0qPRz32bs5Z4mTGF3TQ", "Stormtrooper白兵")</f>
        <v>Stormtrooper白兵</v>
      </c>
      <c r="C5011" s="80" t="s">
        <v>5463</v>
      </c>
      <c r="D5011" s="81" t="str">
        <f>HYPERLINK("https://youtube.com/watch?v=cXQLAa5C5tw", "[真相大白]美國、俄羅斯同時犧牲亨特拜登？｜Hunter、武漢、烏克蘭生物實驗室背後咩關係？｜冇肺起源與俄烏開戰有關？｜粵語中字")</f>
        <v>[真相大白]美國、俄羅斯同時犧牲亨特拜登？｜Hunter、武漢、烏克蘭生物實驗室背後咩關係？｜冇肺起源與俄烏開戰有關？｜粵語中字</v>
      </c>
      <c r="E5011" s="82">
        <v>44644.0</v>
      </c>
      <c r="F5011" s="80">
        <v>852.0</v>
      </c>
      <c r="G5011" s="80" t="s">
        <v>63</v>
      </c>
      <c r="I5011" s="80" t="s">
        <v>63</v>
      </c>
      <c r="J5011" s="80">
        <v>3256.0</v>
      </c>
      <c r="K5011" s="80">
        <v>0.705219839722763</v>
      </c>
      <c r="L5011" s="80" t="s">
        <v>64</v>
      </c>
    </row>
    <row r="5012">
      <c r="A5012" s="80" t="s">
        <v>260</v>
      </c>
      <c r="B5012" s="81" t="str">
        <f>HYPERLINK("https://www.youtube.com/channel/UC-HXOikkLx7BGEfILGIpYOg", "港短 . 英移")</f>
        <v>港短 . 英移</v>
      </c>
      <c r="C5012" s="80" t="s">
        <v>5464</v>
      </c>
      <c r="D5012" s="81" t="str">
        <f>HYPERLINK("https://youtube.com/watch?v=mups7qz3Foc", "有多少人會真正明白? | 世界的盡頭- 英國白涯Seven Sisters | 港短.英移​ #英國移民 #移民英國港人 #移民英國")</f>
        <v>有多少人會真正明白? | 世界的盡頭- 英國白涯Seven Sisters | 港短.英移​ #英國移民 #移民英國港人 #移民英國</v>
      </c>
      <c r="E5012" s="82">
        <v>44673.0</v>
      </c>
      <c r="F5012" s="80">
        <v>431.0</v>
      </c>
      <c r="G5012" s="80" t="s">
        <v>63</v>
      </c>
      <c r="I5012" s="80" t="s">
        <v>63</v>
      </c>
      <c r="J5012" s="80">
        <v>1662.0</v>
      </c>
      <c r="K5012" s="80">
        <v>0.881697612732095</v>
      </c>
      <c r="L5012" s="80" t="s">
        <v>102</v>
      </c>
    </row>
    <row r="5013">
      <c r="A5013" s="80" t="s">
        <v>124</v>
      </c>
      <c r="B5013" s="81" t="str">
        <f>HYPERLINK("https://www.youtube.com/channel/UCg0vuSE0fBF_NvodyYhMcWg", "Wallace Studio HK")</f>
        <v>Wallace Studio HK</v>
      </c>
      <c r="C5013" s="80" t="s">
        <v>5465</v>
      </c>
      <c r="D5013" s="81" t="str">
        <f>HYPERLINK("https://youtube.com/watch?v=KEaVXCJFgGU", "Microsoft Surface Pro 8 真用家評測! 好好用，但係好難推薦")</f>
        <v>Microsoft Surface Pro 8 真用家評測! 好好用，但係好難推薦</v>
      </c>
      <c r="E5013" s="82">
        <v>44676.0</v>
      </c>
      <c r="F5013" s="80">
        <v>889.0</v>
      </c>
      <c r="G5013" s="80" t="s">
        <v>63</v>
      </c>
      <c r="H5013" s="80" t="s">
        <v>63</v>
      </c>
      <c r="I5013" s="80" t="s">
        <v>63</v>
      </c>
      <c r="J5013" s="80">
        <v>3404.0</v>
      </c>
      <c r="K5013" s="80">
        <v>0.798311444652908</v>
      </c>
      <c r="L5013" s="80" t="s">
        <v>86</v>
      </c>
    </row>
    <row r="5014">
      <c r="A5014" s="80" t="s">
        <v>248</v>
      </c>
      <c r="B5014" s="81" t="str">
        <f>HYPERLINK("https://www.youtube.com/channel/UCUEJok-GiWaGlv5nIPwk-GQ", "Price.com.hk 香港格價網")</f>
        <v>Price.com.hk 香港格價網</v>
      </c>
      <c r="C5014" s="80" t="s">
        <v>5466</v>
      </c>
      <c r="D5014" s="81" t="str">
        <f>HYPERLINK("https://youtube.com/watch?v=imnaIJIIwsg", "Apple 3月發佈會懶人包 4大重點產品登場﹗iPhone SE 3、iPad Air 5、Mac Studio、Studio Display｜廣東話【Price.com.hk產品情報】")</f>
        <v>Apple 3月發佈會懶人包 4大重點產品登場﹗iPhone SE 3、iPad Air 5、Mac Studio、Studio Display｜廣東話【Price.com.hk產品情報】</v>
      </c>
      <c r="E5014" s="82">
        <v>44628.0</v>
      </c>
      <c r="F5014" s="80">
        <v>427.0</v>
      </c>
      <c r="G5014" s="80" t="s">
        <v>63</v>
      </c>
      <c r="I5014" s="80" t="s">
        <v>63</v>
      </c>
      <c r="J5014" s="80">
        <v>1297.0</v>
      </c>
      <c r="K5014" s="80">
        <v>0.626872885451909</v>
      </c>
      <c r="L5014" s="80" t="s">
        <v>64</v>
      </c>
    </row>
    <row r="5015">
      <c r="A5015" s="80" t="s">
        <v>217</v>
      </c>
      <c r="B5015" s="81" t="str">
        <f>HYPERLINK("https://www.youtube.com/channel/UCXKg0qPRz32bs5Z4mTGF3TQ", "Stormtrooper白兵")</f>
        <v>Stormtrooper白兵</v>
      </c>
      <c r="C5015" s="80" t="s">
        <v>5467</v>
      </c>
      <c r="D5015" s="81" t="str">
        <f>HYPERLINK("https://youtube.com/watch?v=Z6SUh3DSedk", "[請於24小時內觀看]預言全球疫情，還是早有預謀？｜下一個全球威脅係咩？｜你將一無所有但很快樂？｜世界經濟論壇－集合全球主義菁英、跨國企業，推動大重構｜新世界秩序正在上演｜粵語中字")</f>
        <v>[請於24小時內觀看]預言全球疫情，還是早有預謀？｜下一個全球威脅係咩？｜你將一無所有但很快樂？｜世界經濟論壇－集合全球主義菁英、跨國企業，推動大重構｜新世界秩序正在上演｜粵語中字</v>
      </c>
      <c r="E5015" s="82">
        <v>44651.0</v>
      </c>
      <c r="F5015" s="80">
        <v>935.0</v>
      </c>
      <c r="G5015" s="80" t="s">
        <v>63</v>
      </c>
      <c r="I5015" s="80" t="s">
        <v>63</v>
      </c>
      <c r="J5015" s="80">
        <v>3112.0</v>
      </c>
      <c r="K5015" s="80">
        <v>0.766502463054187</v>
      </c>
      <c r="L5015" s="80" t="s">
        <v>64</v>
      </c>
    </row>
    <row r="5016">
      <c r="A5016" s="80" t="s">
        <v>293</v>
      </c>
      <c r="B5016" s="81" t="str">
        <f>HYPERLINK("https://www.youtube.com/channel/UCXRcbXqjORdIvl63I7MtOLQ", "趁熱 Kerry 's kitchen")</f>
        <v>趁熱 Kerry 's kitchen</v>
      </c>
      <c r="C5016" s="80" t="s">
        <v>5468</v>
      </c>
      <c r="D5016" s="81" t="str">
        <f>HYPERLINK("https://youtube.com/watch?v=dvd0fx_Ht90", "脆皮 雞扒/如果煎脆皮雞扒/附三種做法/脆皮 竅門/學校 教材/比餐廳好食/看一次就懂/重點 講解/廣東話/中字  How to pan-fried crispy chicken")</f>
        <v>脆皮 雞扒/如果煎脆皮雞扒/附三種做法/脆皮 竅門/學校 教材/比餐廳好食/看一次就懂/重點 講解/廣東話/中字  How to pan-fried crispy chicken</v>
      </c>
      <c r="E5016" s="82">
        <v>44634.0</v>
      </c>
      <c r="F5016" s="80">
        <v>748.0</v>
      </c>
      <c r="G5016" s="80" t="s">
        <v>63</v>
      </c>
      <c r="I5016" s="80" t="s">
        <v>63</v>
      </c>
      <c r="J5016" s="80">
        <v>721.0</v>
      </c>
      <c r="K5016" s="80">
        <v>0.974324324324324</v>
      </c>
      <c r="L5016" s="80" t="s">
        <v>64</v>
      </c>
    </row>
    <row r="5017">
      <c r="A5017" s="80" t="s">
        <v>1312</v>
      </c>
      <c r="B5017" s="81" t="str">
        <f>HYPERLINK("https://www.youtube.com/channel/UC1NxU2rbVZW0Rq6VHmaqoEQ", "Jarvis &amp; Isabella")</f>
        <v>Jarvis &amp; Isabella</v>
      </c>
      <c r="C5017" s="80" t="s">
        <v>5469</v>
      </c>
      <c r="D5017" s="81" t="str">
        <f>HYPERLINK("https://youtube.com/watch?v=OypGqv0PX40", "【 London Vlog 】去倫敦先嚟壞車….｜整車俾人搵笨？｜近況update｜整車整咗近$9xxx ! ! ｜CC 中文字幕｜Jarvis &amp; Isabella")</f>
        <v>【 London Vlog 】去倫敦先嚟壞車….｜整車俾人搵笨？｜近況update｜整車整咗近$9xxx ! ! ｜CC 中文字幕｜Jarvis &amp; Isabella</v>
      </c>
      <c r="E5017" s="82">
        <v>44629.0</v>
      </c>
      <c r="F5017" s="80">
        <v>499.0</v>
      </c>
      <c r="G5017" s="80" t="s">
        <v>63</v>
      </c>
      <c r="I5017" s="80" t="s">
        <v>63</v>
      </c>
      <c r="J5017" s="80">
        <v>1213.0</v>
      </c>
      <c r="K5017" s="80">
        <v>0.830253251197809</v>
      </c>
      <c r="L5017" s="80" t="s">
        <v>64</v>
      </c>
    </row>
    <row r="5018">
      <c r="A5018" s="80" t="s">
        <v>96</v>
      </c>
      <c r="B5018" s="81" t="str">
        <f>HYPERLINK("https://www.youtube.com/channel/UCGtyHJ-L_4RDIHe3XaLofQQ", "Anson Cheung")</f>
        <v>Anson Cheung</v>
      </c>
      <c r="C5018" s="80" t="s">
        <v>5470</v>
      </c>
      <c r="D5018" s="81" t="str">
        <f>HYPERLINK("https://youtube.com/watch?v=XvdUQr50Yh8", "【A&amp;K首款「發燒級」真無線耳機】AK UW100： 不愧為A&amp;K出品！｜Astell&amp;Kern AK UW100 Overview")</f>
        <v>【A&amp;K首款「發燒級」真無線耳機】AK UW100： 不愧為A&amp;K出品！｜Astell&amp;Kern AK UW100 Overview</v>
      </c>
      <c r="E5018" s="82">
        <v>44660.0</v>
      </c>
      <c r="F5018" s="80">
        <v>546.0</v>
      </c>
      <c r="G5018" s="80" t="s">
        <v>63</v>
      </c>
      <c r="I5018" s="80" t="s">
        <v>63</v>
      </c>
      <c r="J5018" s="80">
        <v>1976.0</v>
      </c>
      <c r="K5018" s="80">
        <v>0.674863387978142</v>
      </c>
      <c r="L5018" s="80" t="s">
        <v>64</v>
      </c>
    </row>
    <row r="5019">
      <c r="A5019" s="80" t="s">
        <v>293</v>
      </c>
      <c r="B5019" s="81" t="str">
        <f>HYPERLINK("https://www.youtube.com/channel/UCXRcbXqjORdIvl63I7MtOLQ", "趁熱 Kerry 's kitchen")</f>
        <v>趁熱 Kerry 's kitchen</v>
      </c>
      <c r="C5019" s="80" t="s">
        <v>5471</v>
      </c>
      <c r="D5019" s="81" t="str">
        <f>HYPERLINK("https://youtube.com/watch?v=ukWYHfVF-D4", "火腩 豆腐/大排檔風味/免炸版本/豆腐唔駛炸一樣香/一煲過均勻營養/廣東話/中字")</f>
        <v>火腩 豆腐/大排檔風味/免炸版本/豆腐唔駛炸一樣香/一煲過均勻營養/廣東話/中字</v>
      </c>
      <c r="E5019" s="82">
        <v>44622.0</v>
      </c>
      <c r="F5019" s="80">
        <v>548.0</v>
      </c>
      <c r="G5019" s="80" t="s">
        <v>63</v>
      </c>
      <c r="I5019" s="80" t="s">
        <v>63</v>
      </c>
      <c r="J5019" s="80">
        <v>736.0</v>
      </c>
      <c r="K5019" s="80">
        <v>0.980026631158455</v>
      </c>
      <c r="L5019" s="80" t="s">
        <v>64</v>
      </c>
    </row>
    <row r="5020">
      <c r="A5020" s="80" t="s">
        <v>98</v>
      </c>
      <c r="B5020" s="81" t="str">
        <f>HYPERLINK("https://www.youtube.com/channel/UCrquuQB6v1Ued2xyRKZreGQ", "Stephen Leung ")</f>
        <v>Stephen Leung </v>
      </c>
      <c r="C5020" s="80" t="s">
        <v>5472</v>
      </c>
      <c r="D5020" s="81" t="str">
        <f>HYPERLINK("https://youtube.com/watch?v=DgMYs8oalq8", "【放題速報】$600/位 每人7片牛 只有配菜任食! 銅鑼灣 高級日式和牛燒肉放題 宮崎肉本舗 | 吃喝玩樂")</f>
        <v>【放題速報】$600/位 每人7片牛 只有配菜任食! 銅鑼灣 高級日式和牛燒肉放題 宮崎肉本舗 | 吃喝玩樂</v>
      </c>
      <c r="E5020" s="82">
        <v>44702.0</v>
      </c>
      <c r="F5020" s="80">
        <v>1018.0</v>
      </c>
      <c r="G5020" s="80" t="s">
        <v>63</v>
      </c>
      <c r="I5020" s="80" t="s">
        <v>63</v>
      </c>
      <c r="J5020" s="80">
        <v>2719.0</v>
      </c>
      <c r="K5020" s="80">
        <v>0.980173035328046</v>
      </c>
      <c r="L5020" s="80" t="s">
        <v>521</v>
      </c>
    </row>
    <row r="5021">
      <c r="A5021" s="80" t="s">
        <v>108</v>
      </c>
      <c r="B5021" s="81" t="str">
        <f>HYPERLINK("https://www.youtube.com/channel/UCZL6QN6Xs-ZrKY3y6Pv6Emg", "廢青 - 日賺3000")</f>
        <v>廢青 - 日賺3000</v>
      </c>
      <c r="C5021" s="80" t="s">
        <v>5473</v>
      </c>
      <c r="D5021" s="81" t="str">
        <f>HYPERLINK("https://youtube.com/watch?v=bBjzkHs6XXE", "5年升56倍😱😱 跑贏Tesla幾10條街!! | 你會長期持有嗎❓|【廢青 日賺3000】【點CC看中文字幕】")</f>
        <v>5年升56倍😱😱 跑贏Tesla幾10條街!! | 你會長期持有嗎❓|【廢青 日賺3000】【點CC看中文字幕】</v>
      </c>
      <c r="E5021" s="82">
        <v>44620.0</v>
      </c>
      <c r="F5021" s="80">
        <v>688.0</v>
      </c>
      <c r="G5021" s="80" t="s">
        <v>63</v>
      </c>
      <c r="I5021" s="80" t="s">
        <v>63</v>
      </c>
      <c r="J5021" s="80">
        <v>2925.0</v>
      </c>
      <c r="K5021" s="80">
        <v>0.845131464894539</v>
      </c>
      <c r="L5021" s="80" t="s">
        <v>64</v>
      </c>
    </row>
    <row r="5022">
      <c r="A5022" s="80" t="s">
        <v>96</v>
      </c>
      <c r="B5022" s="81" t="str">
        <f>HYPERLINK("https://www.youtube.com/channel/UCGtyHJ-L_4RDIHe3XaLofQQ", "Anson Cheung")</f>
        <v>Anson Cheung</v>
      </c>
      <c r="C5022" s="80" t="s">
        <v>5474</v>
      </c>
      <c r="D5022" s="81" t="str">
        <f>HYPERLINK("https://youtube.com/watch?v=nWeiDakezpI", "Samsung Galaxy S22 Ultra 評測：熟悉感未必係一件好事｜Samsung Galaxy S22 Ultra Review｜Anson Cheung 手機評測")</f>
        <v>Samsung Galaxy S22 Ultra 評測：熟悉感未必係一件好事｜Samsung Galaxy S22 Ultra Review｜Anson Cheung 手機評測</v>
      </c>
      <c r="E5022" s="82">
        <v>44625.0</v>
      </c>
      <c r="F5022" s="80">
        <v>802.0</v>
      </c>
      <c r="G5022" s="80" t="s">
        <v>63</v>
      </c>
      <c r="I5022" s="80" t="s">
        <v>63</v>
      </c>
      <c r="J5022" s="80">
        <v>3242.0</v>
      </c>
      <c r="K5022" s="80">
        <v>0.654288597376387</v>
      </c>
      <c r="L5022" s="80" t="s">
        <v>64</v>
      </c>
    </row>
    <row r="5023">
      <c r="A5023" s="80" t="s">
        <v>743</v>
      </c>
      <c r="B5023" s="81" t="str">
        <f>HYPERLINK("https://www.youtube.com/channel/UCe6qQ8zbYQJgTBnZ9wBzm9w", "Willy Lee")</f>
        <v>Willy Lee</v>
      </c>
      <c r="C5023" s="80" t="s">
        <v>5475</v>
      </c>
      <c r="D5023" s="81" t="str">
        <f>HYPERLINK("https://youtube.com/watch?v=GbYmqbaxtQU", "🇭🇰【行山】中級！女婆山賞怪石：心形石、三兄弟石、豆腐石、巨鑽、巨JJ一次過帶你睇哂！航拍，路線，打卡位分享 - Willy Lee")</f>
        <v>🇭🇰【行山】中級！女婆山賞怪石：心形石、三兄弟石、豆腐石、巨鑽、巨JJ一次過帶你睇哂！航拍，路線，打卡位分享 - Willy Lee</v>
      </c>
      <c r="E5023" s="82">
        <v>44681.0</v>
      </c>
      <c r="F5023" s="80">
        <v>312.0</v>
      </c>
      <c r="G5023" s="80" t="s">
        <v>63</v>
      </c>
      <c r="I5023" s="80" t="s">
        <v>63</v>
      </c>
      <c r="J5023" s="80">
        <v>1258.0</v>
      </c>
      <c r="K5023" s="80">
        <v>0.908303249097473</v>
      </c>
      <c r="L5023" s="80" t="s">
        <v>64</v>
      </c>
    </row>
    <row r="5024">
      <c r="A5024" s="80" t="s">
        <v>4470</v>
      </c>
      <c r="B5024" s="81" t="str">
        <f>HYPERLINK("https://www.youtube.com/channel/UC4VI_WmdfVMTkT4vKCiZA4A", "BossMind")</f>
        <v>BossMind</v>
      </c>
      <c r="C5024" s="80" t="s">
        <v>5476</v>
      </c>
      <c r="D5024" s="81" t="str">
        <f>HYPERLINK("https://youtube.com/watch?v=KCb8NE_jh_E", "美股死剩油股 西方石油(OXY)業績後要止賺？｜6倍預測市盈率不是免死金牌｜高盛推(XOM)有理據｜#華爾街戰線 #杜昇")</f>
        <v>美股死剩油股 西方石油(OXY)業績後要止賺？｜6倍預測市盈率不是免死金牌｜高盛推(XOM)有理據｜#華爾街戰線 #杜昇</v>
      </c>
      <c r="E5024" s="82">
        <v>44693.0</v>
      </c>
      <c r="F5024" s="80">
        <v>504.0</v>
      </c>
      <c r="G5024" s="80" t="s">
        <v>63</v>
      </c>
      <c r="I5024" s="80" t="s">
        <v>63</v>
      </c>
      <c r="J5024" s="80">
        <v>1132.0</v>
      </c>
      <c r="K5024" s="80">
        <v>0.874806800618238</v>
      </c>
      <c r="L5024" s="80" t="s">
        <v>64</v>
      </c>
    </row>
    <row r="5025">
      <c r="A5025" s="80" t="s">
        <v>5045</v>
      </c>
      <c r="B5025" s="81" t="str">
        <f>HYPERLINK("https://www.youtube.com/channel/UC5LH_cGEFwywuAxuEVRHriQ", "Sunshine Nursery Rhyme")</f>
        <v>Sunshine Nursery Rhyme</v>
      </c>
      <c r="C5025" s="80" t="s">
        <v>5477</v>
      </c>
      <c r="D5025" s="81" t="str">
        <f>HYPERLINK("https://youtube.com/watch?v=g7rrC9YIB8E", "【香港地道故事】阿龍的童年回憶｜益智卡通｜香港兒歌")</f>
        <v>【香港地道故事】阿龍的童年回憶｜益智卡通｜香港兒歌</v>
      </c>
      <c r="E5025" s="82">
        <v>44685.0</v>
      </c>
      <c r="F5025" s="80">
        <v>580.0</v>
      </c>
      <c r="G5025" s="80" t="s">
        <v>63</v>
      </c>
      <c r="I5025" s="80" t="s">
        <v>63</v>
      </c>
      <c r="J5025" s="80">
        <v>1180.0</v>
      </c>
      <c r="K5025" s="80">
        <v>0.985797827903091</v>
      </c>
      <c r="L5025" s="80" t="s">
        <v>64</v>
      </c>
    </row>
    <row r="5026">
      <c r="A5026" s="80" t="s">
        <v>755</v>
      </c>
      <c r="B5026" s="81" t="str">
        <f>HYPERLINK("https://www.youtube.com/channel/UCBiJDTc82IM68KVH873VeAw", "Live in Kwangsi廣西人·情·味")</f>
        <v>Live in Kwangsi廣西人·情·味</v>
      </c>
      <c r="C5026" s="80" t="s">
        <v>5478</v>
      </c>
      <c r="D5026" s="81" t="str">
        <f>HYPERLINK("https://youtube.com/watch?v=u4EnpWIVxrU", "行柳州夜街 青雲市場 風情港 五星街 斜陽街 地下商場 龍城路｜柳州市｜廣西日常實拍 20220501")</f>
        <v>行柳州夜街 青雲市場 風情港 五星街 斜陽街 地下商場 龍城路｜柳州市｜廣西日常實拍 20220501</v>
      </c>
      <c r="E5026" s="82">
        <v>44687.0</v>
      </c>
      <c r="F5026" s="80">
        <v>2887.0</v>
      </c>
      <c r="G5026" s="80" t="s">
        <v>63</v>
      </c>
      <c r="I5026" s="80" t="s">
        <v>63</v>
      </c>
      <c r="J5026" s="80">
        <v>21.0</v>
      </c>
      <c r="K5026" s="80">
        <v>1.0</v>
      </c>
      <c r="L5026" s="80" t="s">
        <v>757</v>
      </c>
    </row>
    <row r="5027">
      <c r="A5027" s="80" t="s">
        <v>4470</v>
      </c>
      <c r="B5027" s="81" t="str">
        <f>HYPERLINK("https://www.youtube.com/channel/UC4VI_WmdfVMTkT4vKCiZA4A", "BossMind")</f>
        <v>BossMind</v>
      </c>
      <c r="C5027" s="80" t="s">
        <v>5479</v>
      </c>
      <c r="D5027" s="81" t="str">
        <f>HYPERLINK("https://youtube.com/watch?v=hl6Ffm-jEA8", "美股5分鐘消化FOMC議息結果 鮑威爾拍拍心口畀膽市場｜小注跟股神炒油股 3月3次加注西方石油OXY｜#華爾街戰線 #杜昇")</f>
        <v>美股5分鐘消化FOMC議息結果 鮑威爾拍拍心口畀膽市場｜小注跟股神炒油股 3月3次加注西方石油OXY｜#華爾街戰線 #杜昇</v>
      </c>
      <c r="E5027" s="82">
        <v>44637.0</v>
      </c>
      <c r="F5027" s="80">
        <v>406.0</v>
      </c>
      <c r="G5027" s="80" t="s">
        <v>63</v>
      </c>
      <c r="I5027" s="80" t="s">
        <v>63</v>
      </c>
      <c r="J5027" s="80">
        <v>1081.0</v>
      </c>
      <c r="K5027" s="80">
        <v>0.909932659932659</v>
      </c>
      <c r="L5027" s="80" t="s">
        <v>64</v>
      </c>
    </row>
    <row r="5028">
      <c r="A5028" s="80" t="s">
        <v>2041</v>
      </c>
      <c r="B5028" s="81" t="str">
        <f>HYPERLINK("https://www.youtube.com/channel/UCO6pB-ZN4XJ6MVkibvuEe0A", "SingSingTracker 星昇財經指標")</f>
        <v>SingSingTracker 星昇財經指標</v>
      </c>
      <c r="C5028" s="80" t="s">
        <v>5480</v>
      </c>
      <c r="D5028" s="81" t="str">
        <f>HYPERLINK("https://youtube.com/watch?v=e2wzjYL-i6w", "【低估值股票】港股分析 嚴選3大抵買保險股｜低估值 P/E ratio最低3.89｜香港收息長線股票｜平價股票｜2022加息週期3隻受惠保險股｜香港保險龍頭")</f>
        <v>【低估值股票】港股分析 嚴選3大抵買保險股｜低估值 P/E ratio最低3.89｜香港收息長線股票｜平價股票｜2022加息週期3隻受惠保險股｜香港保險龍頭</v>
      </c>
      <c r="E5028" s="82">
        <v>44643.0</v>
      </c>
      <c r="F5028" s="80">
        <v>476.0</v>
      </c>
      <c r="G5028" s="80" t="s">
        <v>63</v>
      </c>
      <c r="I5028" s="80" t="s">
        <v>63</v>
      </c>
      <c r="J5028" s="80">
        <v>1439.0</v>
      </c>
      <c r="K5028" s="80">
        <v>0.903894472361809</v>
      </c>
      <c r="L5028" s="80" t="s">
        <v>64</v>
      </c>
    </row>
    <row r="5029">
      <c r="A5029" s="80" t="s">
        <v>2829</v>
      </c>
      <c r="B5029" s="81" t="str">
        <f>HYPERLINK("https://www.youtube.com/channel/UC7GnES6AEQlDzaP04UqtyjA", "SOLID IDEA")</f>
        <v>SOLID IDEA</v>
      </c>
      <c r="C5029" s="80" t="s">
        <v>5481</v>
      </c>
      <c r="D5029" s="81" t="str">
        <f>HYPERLINK("https://youtube.com/watch?v=4FNPX1kJRdE", "[#空間規劃] #設計師同你即時睇 Wetland Season Bay 擺位  | 室內設計 | 空間擺位 | SOLID IDEA | (CC中文字幕)")</f>
        <v>[#空間規劃] #設計師同你即時睇 Wetland Season Bay 擺位  | 室內設計 | 空間擺位 | SOLID IDEA | (CC中文字幕)</v>
      </c>
      <c r="E5029" s="82">
        <v>44628.0</v>
      </c>
      <c r="F5029" s="80">
        <v>189.0</v>
      </c>
      <c r="G5029" s="80" t="s">
        <v>63</v>
      </c>
      <c r="I5029" s="80" t="s">
        <v>63</v>
      </c>
      <c r="J5029" s="80">
        <v>555.0</v>
      </c>
      <c r="K5029" s="80">
        <v>0.856481481481481</v>
      </c>
      <c r="L5029" s="80" t="s">
        <v>64</v>
      </c>
    </row>
    <row r="5030">
      <c r="A5030" s="80" t="s">
        <v>217</v>
      </c>
      <c r="B5030" s="81" t="str">
        <f>HYPERLINK("https://www.youtube.com/channel/UCXKg0qPRz32bs5Z4mTGF3TQ", "Stormtrooper白兵")</f>
        <v>Stormtrooper白兵</v>
      </c>
      <c r="C5030" s="80" t="s">
        <v>5482</v>
      </c>
      <c r="D5030" s="81" t="str">
        <f>HYPERLINK("https://youtube.com/watch?v=rEHzpfZ1Wo0", "[金錢史]任志剛、陳茂波不會告訴你的事｜充滿神祕的第一個硬幣｜被戰爭迫出來的第一張紙幣｜猶太人成為銀行家的第一步｜中西貨幣起源大不同｜粵語中字")</f>
        <v>[金錢史]任志剛、陳茂波不會告訴你的事｜充滿神祕的第一個硬幣｜被戰爭迫出來的第一張紙幣｜猶太人成為銀行家的第一步｜中西貨幣起源大不同｜粵語中字</v>
      </c>
      <c r="E5030" s="82">
        <v>44686.0</v>
      </c>
      <c r="F5030" s="80">
        <v>1026.0</v>
      </c>
      <c r="G5030" s="80" t="s">
        <v>63</v>
      </c>
      <c r="I5030" s="80" t="s">
        <v>63</v>
      </c>
      <c r="J5030" s="80">
        <v>3708.0</v>
      </c>
      <c r="K5030" s="80">
        <v>0.959875744240227</v>
      </c>
      <c r="L5030" s="80" t="s">
        <v>64</v>
      </c>
    </row>
    <row r="5031">
      <c r="A5031" s="80" t="s">
        <v>1260</v>
      </c>
      <c r="B5031" s="81" t="str">
        <f>HYPERLINK("https://www.youtube.com/channel/UCh1k4i86BpiXEO3nzJIYynw", "The Wave")</f>
        <v>The Wave</v>
      </c>
      <c r="C5031" s="80" t="s">
        <v>5483</v>
      </c>
      <c r="D5031" s="81" t="str">
        <f>HYPERLINK("https://youtube.com/watch?v=q_BIE9TIAzs", "TheWave | Xperia 1 IV 正式發佈")</f>
        <v>TheWave | Xperia 1 IV 正式發佈</v>
      </c>
      <c r="E5031" s="82">
        <v>44692.0</v>
      </c>
      <c r="F5031" s="80">
        <v>220.0</v>
      </c>
      <c r="G5031" s="80" t="s">
        <v>63</v>
      </c>
      <c r="H5031" s="80" t="s">
        <v>63</v>
      </c>
      <c r="I5031" s="80" t="s">
        <v>63</v>
      </c>
      <c r="J5031" s="80">
        <v>501.0</v>
      </c>
      <c r="K5031" s="80">
        <v>0.706896551724137</v>
      </c>
      <c r="L5031" s="80" t="s">
        <v>1634</v>
      </c>
    </row>
    <row r="5032">
      <c r="A5032" s="80" t="s">
        <v>2780</v>
      </c>
      <c r="B5032" s="81" t="str">
        <f>HYPERLINK("https://www.youtube.com/channel/UC0CojhLcc0VESgaG633m5kA", "RainErs")</f>
        <v>RainErs</v>
      </c>
      <c r="C5032" s="80" t="s">
        <v>5484</v>
      </c>
      <c r="D5032" s="81" t="str">
        <f>HYPERLINK("https://youtube.com/watch?v=PKUZo0Yc9D8", "MOFT磁吸手機支架開箱!! --- 一款百幾蚊嘅MagSafe配件!!//究竟可以有幾好用 ?? [有CC字幕]")</f>
        <v>MOFT磁吸手機支架開箱!! --- 一款百幾蚊嘅MagSafe配件!!//究竟可以有幾好用 ?? [有CC字幕]</v>
      </c>
      <c r="E5032" s="82">
        <v>44650.0</v>
      </c>
      <c r="F5032" s="80">
        <v>326.0</v>
      </c>
      <c r="G5032" s="80" t="s">
        <v>63</v>
      </c>
      <c r="I5032" s="80" t="s">
        <v>63</v>
      </c>
      <c r="J5032" s="80">
        <v>1527.0</v>
      </c>
      <c r="K5032" s="80">
        <v>0.893504973668812</v>
      </c>
      <c r="L5032" s="80" t="s">
        <v>64</v>
      </c>
    </row>
    <row r="5033">
      <c r="A5033" s="80" t="s">
        <v>217</v>
      </c>
      <c r="B5033" s="81" t="str">
        <f>HYPERLINK("https://www.youtube.com/channel/UCXKg0qPRz32bs5Z4mTGF3TQ", "Stormtrooper白兵")</f>
        <v>Stormtrooper白兵</v>
      </c>
      <c r="C5033" s="80" t="s">
        <v>5485</v>
      </c>
      <c r="D5033" s="81" t="str">
        <f>HYPERLINK("https://youtube.com/watch?v=x3wiexCF1MU", "[金錢史]美國登上霸權寶座，全靠歐洲自爆｜林肯被剌殺因為得罪猶太銀行家？｜ 美元霸權崛起，背後又係羅富齊家族｜粵語中字")</f>
        <v>[金錢史]美國登上霸權寶座，全靠歐洲自爆｜林肯被剌殺因為得罪猶太銀行家？｜ 美元霸權崛起，背後又係羅富齊家族｜粵語中字</v>
      </c>
      <c r="E5033" s="82">
        <v>44700.0</v>
      </c>
      <c r="F5033" s="80">
        <v>1154.0</v>
      </c>
      <c r="G5033" s="80" t="s">
        <v>63</v>
      </c>
      <c r="I5033" s="80" t="s">
        <v>63</v>
      </c>
      <c r="J5033" s="80">
        <v>4425.0</v>
      </c>
      <c r="K5033" s="80">
        <v>0.973811619718309</v>
      </c>
      <c r="L5033" s="80" t="s">
        <v>64</v>
      </c>
    </row>
    <row r="5034">
      <c r="A5034" s="80" t="s">
        <v>2780</v>
      </c>
      <c r="B5034" s="81" t="str">
        <f>HYPERLINK("https://www.youtube.com/channel/UC0CojhLcc0VESgaG633m5kA", "RainErs")</f>
        <v>RainErs</v>
      </c>
      <c r="C5034" s="80" t="s">
        <v>5486</v>
      </c>
      <c r="D5034" s="81" t="str">
        <f>HYPERLINK("https://youtube.com/watch?v=ZMKR0J--lEY", "2022Top IPad Case ?? ---Vatora最新ipad保護套開箱!! //擁有13個支架模式??[有CC字幕]")</f>
        <v>2022Top IPad Case ?? ---Vatora最新ipad保護套開箱!! //擁有13個支架模式??[有CC字幕]</v>
      </c>
      <c r="E5034" s="82">
        <v>44657.0</v>
      </c>
      <c r="F5034" s="80">
        <v>285.0</v>
      </c>
      <c r="G5034" s="80" t="s">
        <v>63</v>
      </c>
      <c r="I5034" s="80" t="s">
        <v>63</v>
      </c>
      <c r="J5034" s="80">
        <v>1307.0</v>
      </c>
      <c r="K5034" s="80">
        <v>0.901379310344827</v>
      </c>
      <c r="L5034" s="80" t="s">
        <v>64</v>
      </c>
    </row>
    <row r="5035">
      <c r="A5035" s="80" t="s">
        <v>248</v>
      </c>
      <c r="B5035" s="81" t="str">
        <f>HYPERLINK("https://www.youtube.com/channel/UCUEJok-GiWaGlv5nIPwk-GQ", "Price.com.hk 香港格價網")</f>
        <v>Price.com.hk 香港格價網</v>
      </c>
      <c r="C5035" s="80" t="s">
        <v>5487</v>
      </c>
      <c r="D5035" s="81" t="str">
        <f>HYPERLINK("https://youtube.com/watch?v=GX3IP3yx6XY", "2022投影機選購攻略！投射比、流明影響畫面大細？3LCD同DLP點揀好？｜內附：7大投影機推介｜廣東話【Price.com.hk選購攻略】")</f>
        <v>2022投影機選購攻略！投射比、流明影響畫面大細？3LCD同DLP點揀好？｜內附：7大投影機推介｜廣東話【Price.com.hk選購攻略】</v>
      </c>
      <c r="E5035" s="82">
        <v>44652.0</v>
      </c>
      <c r="F5035" s="80">
        <v>558.0</v>
      </c>
      <c r="G5035" s="80" t="s">
        <v>63</v>
      </c>
      <c r="I5035" s="80" t="s">
        <v>63</v>
      </c>
      <c r="J5035" s="80">
        <v>2405.0</v>
      </c>
      <c r="K5035" s="80">
        <v>0.882245047688921</v>
      </c>
      <c r="L5035" s="80" t="s">
        <v>64</v>
      </c>
    </row>
    <row r="5036">
      <c r="A5036" s="80" t="s">
        <v>260</v>
      </c>
      <c r="B5036" s="81" t="str">
        <f>HYPERLINK("https://www.youtube.com/channel/UC-HXOikkLx7BGEfILGIpYOg", "港短 . 英移")</f>
        <v>港短 . 英移</v>
      </c>
      <c r="C5036" s="80" t="s">
        <v>5488</v>
      </c>
      <c r="D5036" s="81" t="str">
        <f>HYPERLINK("https://youtube.com/watch?v=C9WiY3-NfLs", "人人都仲意Bristol 到底有咩咁吸引? 暫時令我最著迷既落腳地 - 碧仙桃 | 港短.英移 #碧仙桃 #Bristol #英國落腳地")</f>
        <v>人人都仲意Bristol 到底有咩咁吸引? 暫時令我最著迷既落腳地 - 碧仙桃 | 港短.英移 #碧仙桃 #Bristol #英國落腳地</v>
      </c>
      <c r="E5036" s="82">
        <v>44700.0</v>
      </c>
      <c r="F5036" s="80">
        <v>386.0</v>
      </c>
      <c r="G5036" s="80" t="s">
        <v>63</v>
      </c>
      <c r="I5036" s="80" t="s">
        <v>63</v>
      </c>
      <c r="J5036" s="80">
        <v>1449.0</v>
      </c>
      <c r="K5036" s="80">
        <v>0.779870828848223</v>
      </c>
      <c r="L5036" s="80" t="s">
        <v>102</v>
      </c>
    </row>
    <row r="5037">
      <c r="A5037" s="80" t="s">
        <v>293</v>
      </c>
      <c r="B5037" s="81" t="str">
        <f>HYPERLINK("https://www.youtube.com/channel/UCXRcbXqjORdIvl63I7MtOLQ", "趁熱 Kerry 's kitchen")</f>
        <v>趁熱 Kerry 's kitchen</v>
      </c>
      <c r="C5037" s="80" t="s">
        <v>5489</v>
      </c>
      <c r="D5037" s="81" t="str">
        <f>HYPERLINK("https://youtube.com/watch?v=1uZDM2OOO_A", "黑椒牛柳/肉炒意粉/烚意粉彈牙AI dente竅門/如何選意粉/茶記味道/在家做一樣得/簡單 家做/廣東話/中字")</f>
        <v>黑椒牛柳/肉炒意粉/烚意粉彈牙AI dente竅門/如何選意粉/茶記味道/在家做一樣得/簡單 家做/廣東話/中字</v>
      </c>
      <c r="E5037" s="82">
        <v>44692.0</v>
      </c>
      <c r="F5037" s="80">
        <v>542.0</v>
      </c>
      <c r="G5037" s="80" t="s">
        <v>63</v>
      </c>
      <c r="I5037" s="80" t="s">
        <v>63</v>
      </c>
      <c r="J5037" s="80">
        <v>584.0</v>
      </c>
      <c r="K5037" s="80">
        <v>0.973333333333333</v>
      </c>
      <c r="L5037" s="80" t="s">
        <v>64</v>
      </c>
    </row>
    <row r="5038">
      <c r="A5038" s="80" t="s">
        <v>755</v>
      </c>
      <c r="B5038" s="81" t="str">
        <f>HYPERLINK("https://www.youtube.com/channel/UCBiJDTc82IM68KVH873VeAw", "Live in Kwangsi廣西人·情·味")</f>
        <v>Live in Kwangsi廣西人·情·味</v>
      </c>
      <c r="C5038" s="80" t="s">
        <v>5490</v>
      </c>
      <c r="D5038" s="81" t="str">
        <f>HYPERLINK("https://youtube.com/watch?v=q_XyAS626rg", "晚晚排長龍嘅貼地夜市：勝利燒烤城｜柳州市｜廣西日常實拍 20220502")</f>
        <v>晚晚排長龍嘅貼地夜市：勝利燒烤城｜柳州市｜廣西日常實拍 20220502</v>
      </c>
      <c r="E5038" s="82">
        <v>44690.0</v>
      </c>
      <c r="F5038" s="80">
        <v>556.0</v>
      </c>
      <c r="G5038" s="80" t="s">
        <v>63</v>
      </c>
      <c r="I5038" s="80" t="s">
        <v>63</v>
      </c>
      <c r="J5038" s="80">
        <v>94.0</v>
      </c>
      <c r="K5038" s="80">
        <v>0.94</v>
      </c>
      <c r="L5038" s="80" t="s">
        <v>757</v>
      </c>
    </row>
    <row r="5039">
      <c r="A5039" s="80" t="s">
        <v>2041</v>
      </c>
      <c r="B5039" s="81" t="str">
        <f>HYPERLINK("https://www.youtube.com/channel/UCO6pB-ZN4XJ6MVkibvuEe0A", "SingSingTracker 星昇財經指標")</f>
        <v>SingSingTracker 星昇財經指標</v>
      </c>
      <c r="C5039" s="80" t="s">
        <v>5491</v>
      </c>
      <c r="D5039" s="81" t="str">
        <f>HYPERLINK("https://youtube.com/watch?v=tRxUtIImayg", "【巴郡財報】 上年大賺近900億 再次跑贏標普500｜巴菲特給股東的信｜15大持倉 頭4大股票名單大公開｜股神增持呢隻股票 有咩啟示？｜揭示4大資產佈局 年度投資方向 #BRK.A #CVX")</f>
        <v>【巴郡財報】 上年大賺近900億 再次跑贏標普500｜巴菲特給股東的信｜15大持倉 頭4大股票名單大公開｜股神增持呢隻股票 有咩啟示？｜揭示4大資產佈局 年度投資方向 #BRK.A #CVX</v>
      </c>
      <c r="E5039" s="82">
        <v>44631.0</v>
      </c>
      <c r="F5039" s="80">
        <v>300.0</v>
      </c>
      <c r="G5039" s="80" t="s">
        <v>63</v>
      </c>
      <c r="I5039" s="80" t="s">
        <v>63</v>
      </c>
      <c r="J5039" s="80">
        <v>952.0</v>
      </c>
      <c r="K5039" s="80">
        <v>0.923375363724539</v>
      </c>
      <c r="L5039" s="80" t="s">
        <v>64</v>
      </c>
    </row>
    <row r="5040">
      <c r="A5040" s="80" t="s">
        <v>4470</v>
      </c>
      <c r="B5040" s="81" t="str">
        <f>HYPERLINK("https://www.youtube.com/channel/UC4VI_WmdfVMTkT4vKCiZA4A", "BossMind")</f>
        <v>BossMind</v>
      </c>
      <c r="C5040" s="80" t="s">
        <v>5492</v>
      </c>
      <c r="D5040" s="81" t="str">
        <f>HYPERLINK("https://youtube.com/watch?v=1YdH2RjgA-A", "航運供不應求到2023年｜被低估的 ZIM 有6字頭就好抵博｜GSL船隊值30億 市值折讓得10億｜同你睇實航運格價網走鬼｜跟進AMZN拆股 OXY入場位 ｜ #杜昇 #華爾街戰線 #BossMind")</f>
        <v>航運供不應求到2023年｜被低估的 ZIM 有6字頭就好抵博｜GSL船隊值30億 市值折讓得10億｜同你睇實航運格價網走鬼｜跟進AMZN拆股 OXY入場位 ｜ #杜昇 #華爾街戰線 #BossMind</v>
      </c>
      <c r="E5040" s="82">
        <v>44630.0</v>
      </c>
      <c r="F5040" s="80">
        <v>568.0</v>
      </c>
      <c r="G5040" s="80" t="s">
        <v>63</v>
      </c>
      <c r="I5040" s="80" t="s">
        <v>63</v>
      </c>
      <c r="J5040" s="80">
        <v>1080.0</v>
      </c>
      <c r="K5040" s="80">
        <v>0.846394984326018</v>
      </c>
      <c r="L5040" s="80" t="s">
        <v>64</v>
      </c>
    </row>
    <row r="5041">
      <c r="A5041" s="80" t="s">
        <v>3139</v>
      </c>
      <c r="B5041" s="81" t="str">
        <f>HYPERLINK("https://www.youtube.com/channel/UCThO2xnH7XMg6plE8OgJm_w", "choyuen草原")</f>
        <v>choyuen草原</v>
      </c>
      <c r="C5041" s="80" t="s">
        <v>5493</v>
      </c>
      <c r="D5041" s="81" t="str">
        <f>HYPERLINK("https://youtube.com/watch?v=jI3sPW86OVQ", "亞伯丁寒涼事件簿 (A. 權貴特殊活動) Shivering Aberdeen (A. Elite events)")</f>
        <v>亞伯丁寒涼事件簿 (A. 權貴特殊活動) Shivering Aberdeen (A. Elite events)</v>
      </c>
      <c r="E5041" s="82">
        <v>44688.0</v>
      </c>
      <c r="F5041" s="80">
        <v>260.0</v>
      </c>
      <c r="G5041" s="80" t="s">
        <v>63</v>
      </c>
      <c r="I5041" s="80" t="s">
        <v>63</v>
      </c>
      <c r="J5041" s="80">
        <v>691.0</v>
      </c>
      <c r="K5041" s="80">
        <v>0.938858695652174</v>
      </c>
      <c r="L5041" s="80" t="s">
        <v>64</v>
      </c>
    </row>
    <row r="5042">
      <c r="A5042" s="80" t="s">
        <v>1312</v>
      </c>
      <c r="B5042" s="81" t="str">
        <f>HYPERLINK("https://www.youtube.com/channel/UC1NxU2rbVZW0Rq6VHmaqoEQ", "Jarvis &amp; Isabella")</f>
        <v>Jarvis &amp; Isabella</v>
      </c>
      <c r="C5042" s="80" t="s">
        <v>5494</v>
      </c>
      <c r="D5042" s="81" t="str">
        <f>HYPERLINK("https://youtube.com/watch?v=T8Lkz8CRZe4", "【 London Vlog #3】行程超豐富 | Tower Bridge | 絕對唔會失望嘅自然史博物館  | 晚晚都排長龍嘅日式餐廳｜CC 中文字幕｜Jarvis &amp; Isabella")</f>
        <v>【 London Vlog #3】行程超豐富 | Tower Bridge | 絕對唔會失望嘅自然史博物館  | 晚晚都排長龍嘅日式餐廳｜CC 中文字幕｜Jarvis &amp; Isabella</v>
      </c>
      <c r="E5042" s="82">
        <v>44647.0</v>
      </c>
      <c r="F5042" s="80">
        <v>1318.0</v>
      </c>
      <c r="G5042" s="80" t="s">
        <v>63</v>
      </c>
      <c r="I5042" s="80" t="s">
        <v>63</v>
      </c>
      <c r="J5042" s="80">
        <v>2891.0</v>
      </c>
      <c r="K5042" s="80">
        <v>0.843348891481913</v>
      </c>
      <c r="L5042" s="80" t="s">
        <v>64</v>
      </c>
    </row>
    <row r="5043">
      <c r="A5043" s="80" t="s">
        <v>217</v>
      </c>
      <c r="B5043" s="81" t="str">
        <f>HYPERLINK("https://www.youtube.com/channel/UCXKg0qPRz32bs5Z4mTGF3TQ", "Stormtrooper白兵")</f>
        <v>Stormtrooper白兵</v>
      </c>
      <c r="C5043" s="80" t="s">
        <v>5495</v>
      </c>
      <c r="D5043" s="81" t="str">
        <f>HYPERLINK("https://youtube.com/watch?v=S-fHRtKnSzo", "[不要被時代淘汰] Bob叔不會告訴你的事－NFT在現實世界的用途｜以後唔會買到假貨？｜打倒科技巨頭霸權？｜NFT如何改變消費習慣及行為模式｜粵語中字")</f>
        <v>[不要被時代淘汰] Bob叔不會告訴你的事－NFT在現實世界的用途｜以後唔會買到假貨？｜打倒科技巨頭霸權？｜NFT如何改變消費習慣及行為模式｜粵語中字</v>
      </c>
      <c r="E5043" s="82">
        <v>44672.0</v>
      </c>
      <c r="F5043" s="80">
        <v>946.0</v>
      </c>
      <c r="G5043" s="80" t="s">
        <v>63</v>
      </c>
      <c r="I5043" s="80" t="s">
        <v>63</v>
      </c>
      <c r="J5043" s="80">
        <v>3472.0</v>
      </c>
      <c r="K5043" s="80">
        <v>0.817133443163097</v>
      </c>
      <c r="L5043" s="80" t="s">
        <v>64</v>
      </c>
    </row>
    <row r="5044">
      <c r="A5044" s="80" t="s">
        <v>293</v>
      </c>
      <c r="B5044" s="81" t="str">
        <f>HYPERLINK("https://www.youtube.com/channel/UCXRcbXqjORdIvl63I7MtOLQ", "趁熱 Kerry 's kitchen")</f>
        <v>趁熱 Kerry 's kitchen</v>
      </c>
      <c r="C5044" s="80" t="s">
        <v>5496</v>
      </c>
      <c r="D5044" s="81" t="str">
        <f>HYPERLINK("https://youtube.com/watch?v=TyTL7jRXPr0", "叉燒汁  雞扒/不用焗爐/不用燒/一隻平底鑊攪掂/避疫菜/好餸飯/簡單的原材料/廣東話/中字/char siu chicken")</f>
        <v>叉燒汁  雞扒/不用焗爐/不用燒/一隻平底鑊攪掂/避疫菜/好餸飯/簡單的原材料/廣東話/中字/char siu chicken</v>
      </c>
      <c r="E5044" s="82">
        <v>44629.0</v>
      </c>
      <c r="F5044" s="80">
        <v>538.0</v>
      </c>
      <c r="G5044" s="80" t="s">
        <v>63</v>
      </c>
      <c r="I5044" s="80" t="s">
        <v>63</v>
      </c>
      <c r="J5044" s="80">
        <v>658.0</v>
      </c>
      <c r="K5044" s="80">
        <v>0.970501474926253</v>
      </c>
      <c r="L5044" s="80" t="s">
        <v>64</v>
      </c>
    </row>
    <row r="5045">
      <c r="A5045" s="80" t="s">
        <v>248</v>
      </c>
      <c r="B5045" s="81" t="str">
        <f>HYPERLINK("https://www.youtube.com/channel/UCUEJok-GiWaGlv5nIPwk-GQ", "Price.com.hk 香港格價網")</f>
        <v>Price.com.hk 香港格價網</v>
      </c>
      <c r="C5045" s="80" t="s">
        <v>5497</v>
      </c>
      <c r="D5045" s="81" t="str">
        <f>HYPERLINK("https://youtube.com/watch?v=Agdh0FEBkxs", "傳統機械 x 創新科技｜Yale耶魯橫柄款及推拉款電子智能門鎖實測｜特約專題【Price.com.hk產品評測】")</f>
        <v>傳統機械 x 創新科技｜Yale耶魯橫柄款及推拉款電子智能門鎖實測｜特約專題【Price.com.hk產品評測】</v>
      </c>
      <c r="E5045" s="82">
        <v>44693.0</v>
      </c>
      <c r="F5045" s="80">
        <v>329.0</v>
      </c>
      <c r="G5045" s="80" t="s">
        <v>63</v>
      </c>
      <c r="I5045" s="80" t="s">
        <v>63</v>
      </c>
      <c r="J5045" s="80">
        <v>1405.0</v>
      </c>
      <c r="K5045" s="80">
        <v>0.193286559361672</v>
      </c>
      <c r="L5045" s="80" t="s">
        <v>64</v>
      </c>
    </row>
    <row r="5046">
      <c r="A5046" s="80" t="s">
        <v>1312</v>
      </c>
      <c r="B5046" s="81" t="str">
        <f>HYPERLINK("https://www.youtube.com/channel/UC1NxU2rbVZW0Rq6VHmaqoEQ", "Jarvis &amp; Isabella")</f>
        <v>Jarvis &amp; Isabella</v>
      </c>
      <c r="C5046" s="80" t="s">
        <v>5498</v>
      </c>
      <c r="D5046" s="81" t="str">
        <f>HYPERLINK("https://youtube.com/watch?v=WuRBwAxkgi0", "【 London Vlog 】 一年一次櫻花季節 | $300幾港紙就食到廚師發板！ | 超推薦嘅日式蛋糕店 | 大英博物館 | Tate Modern 藝術館 | Jarvis &amp; Isabella")</f>
        <v>【 London Vlog 】 一年一次櫻花季節 | $300幾港紙就食到廚師發板！ | 超推薦嘅日式蛋糕店 | 大英博物館 | Tate Modern 藝術館 | Jarvis &amp; Isabella</v>
      </c>
      <c r="E5046" s="82">
        <v>44661.0</v>
      </c>
      <c r="F5046" s="80">
        <v>1315.0</v>
      </c>
      <c r="G5046" s="80" t="s">
        <v>63</v>
      </c>
      <c r="I5046" s="80" t="s">
        <v>63</v>
      </c>
      <c r="J5046" s="80">
        <v>3440.0</v>
      </c>
      <c r="K5046" s="80">
        <v>0.847290640394088</v>
      </c>
      <c r="L5046" s="80" t="s">
        <v>64</v>
      </c>
    </row>
    <row r="5047">
      <c r="A5047" s="80" t="s">
        <v>248</v>
      </c>
      <c r="B5047" s="81" t="str">
        <f>HYPERLINK("https://www.youtube.com/channel/UCUEJok-GiWaGlv5nIPwk-GQ", "Price.com.hk 香港格價網")</f>
        <v>Price.com.hk 香港格價網</v>
      </c>
      <c r="C5047" s="80" t="s">
        <v>5499</v>
      </c>
      <c r="D5047" s="81" t="str">
        <f>HYPERLINK("https://youtube.com/watch?v=ywADgGzRK3k", "Samsung超平5G機 Galaxy M33定價$2,298 ．香港銀行首創手機入票．Insta360全新OneRS模組運動相機｜廣東話【Price Weekly #107 2022年3月 】")</f>
        <v>Samsung超平5G機 Galaxy M33定價$2,298 ．香港銀行首創手機入票．Insta360全新OneRS模組運動相機｜廣東話【Price Weekly #107 2022年3月 】</v>
      </c>
      <c r="E5047" s="82">
        <v>44646.0</v>
      </c>
      <c r="F5047" s="80">
        <v>613.0</v>
      </c>
      <c r="G5047" s="80" t="s">
        <v>63</v>
      </c>
      <c r="I5047" s="80" t="s">
        <v>63</v>
      </c>
      <c r="J5047" s="80">
        <v>2061.0</v>
      </c>
      <c r="K5047" s="80">
        <v>0.700782046922815</v>
      </c>
      <c r="L5047" s="80" t="s">
        <v>64</v>
      </c>
    </row>
    <row r="5048">
      <c r="A5048" s="80" t="s">
        <v>743</v>
      </c>
      <c r="B5048" s="81" t="str">
        <f>HYPERLINK("https://www.youtube.com/channel/UCe6qQ8zbYQJgTBnZ9wBzm9w", "Willy Lee")</f>
        <v>Willy Lee</v>
      </c>
      <c r="C5048" s="80" t="s">
        <v>5500</v>
      </c>
      <c r="D5048" s="81" t="str">
        <f>HYPERLINK("https://youtube.com/watch?v=8zneW_LYMF8", "🇭🇰【行山】高級！飛鵝山陡峭攀爬路線、俯瞰城市建築物、跳入一樹洞打卡再睇埋日落先落山！日落脊、鵝肚棧道、佇鷹石、大石鼓、仙人曬靴石、一樹洞 - 航拍, 路線, 打卡位分享 - Willy Lee")</f>
        <v>🇭🇰【行山】高級！飛鵝山陡峭攀爬路線、俯瞰城市建築物、跳入一樹洞打卡再睇埋日落先落山！日落脊、鵝肚棧道、佇鷹石、大石鼓、仙人曬靴石、一樹洞 - 航拍, 路線, 打卡位分享 - Willy Lee</v>
      </c>
      <c r="E5048" s="82">
        <v>44677.0</v>
      </c>
      <c r="F5048" s="80">
        <v>573.0</v>
      </c>
      <c r="G5048" s="80" t="s">
        <v>63</v>
      </c>
      <c r="I5048" s="80" t="s">
        <v>63</v>
      </c>
      <c r="J5048" s="80">
        <v>2139.0</v>
      </c>
      <c r="K5048" s="80">
        <v>0.941875825627476</v>
      </c>
      <c r="L5048" s="80" t="s">
        <v>64</v>
      </c>
    </row>
    <row r="5049">
      <c r="A5049" s="80" t="s">
        <v>2785</v>
      </c>
      <c r="B5049" s="81" t="str">
        <f>HYPERLINK("https://www.youtube.com/channel/UC_w7pV_Xz9XO0ChNFxMtV0w", "MPWeekly明周")</f>
        <v>MPWeekly明周</v>
      </c>
      <c r="C5049" s="80" t="s">
        <v>5501</v>
      </c>
      <c r="D5049" s="81" t="str">
        <f>HYPERLINK("https://youtube.com/watch?v=wHgH4AGPmDE", "關於挑剔處女座—林家謙 Terence Lam的五個小秘密！| 快問快答")</f>
        <v>關於挑剔處女座—林家謙 Terence Lam的五個小秘密！| 快問快答</v>
      </c>
      <c r="E5049" s="82">
        <v>44687.0</v>
      </c>
      <c r="F5049" s="80">
        <v>54.0</v>
      </c>
      <c r="G5049" s="80" t="s">
        <v>63</v>
      </c>
      <c r="I5049" s="80" t="s">
        <v>63</v>
      </c>
      <c r="J5049" s="80">
        <v>72.0</v>
      </c>
      <c r="K5049" s="80">
        <v>0.73469387755102</v>
      </c>
      <c r="L5049" s="80" t="s">
        <v>64</v>
      </c>
    </row>
    <row r="5050">
      <c r="A5050" s="80" t="s">
        <v>74</v>
      </c>
      <c r="B5050" s="81" t="str">
        <f>HYPERLINK("https://www.youtube.com/channel/UCO_5XP-qd-udNxBlzzSzgvw", "Handline Fishing")</f>
        <v>Handline Fishing</v>
      </c>
      <c r="C5050" s="80" t="s">
        <v>5502</v>
      </c>
      <c r="D5050" s="81" t="str">
        <f>HYPERLINK("https://youtube.com/watch?v=4K60VncBH2Q", "#279 行大流既維港，只可以避 | 基哥 | 香港釣魚 | 艇釣 | 維港 {粵語旁白}")</f>
        <v>#279 行大流既維港，只可以避 | 基哥 | 香港釣魚 | 艇釣 | 維港 {粵語旁白}</v>
      </c>
      <c r="E5050" s="82">
        <v>44698.0</v>
      </c>
      <c r="F5050" s="80">
        <v>195.0</v>
      </c>
      <c r="G5050" s="80" t="s">
        <v>63</v>
      </c>
      <c r="H5050" s="80" t="s">
        <v>63</v>
      </c>
      <c r="I5050" s="80" t="s">
        <v>63</v>
      </c>
      <c r="J5050" s="80">
        <v>299.0</v>
      </c>
      <c r="K5050" s="80">
        <v>0.903323262839879</v>
      </c>
      <c r="L5050" s="80" t="s">
        <v>2175</v>
      </c>
    </row>
    <row r="5051">
      <c r="A5051" s="80" t="s">
        <v>248</v>
      </c>
      <c r="B5051" s="81" t="str">
        <f t="shared" ref="B5051:B5052" si="277">HYPERLINK("https://www.youtube.com/channel/UCUEJok-GiWaGlv5nIPwk-GQ", "Price.com.hk 香港格價網")</f>
        <v>Price.com.hk 香港格價網</v>
      </c>
      <c r="C5051" s="80" t="s">
        <v>5503</v>
      </c>
      <c r="D5051" s="81" t="str">
        <f>HYPERLINK("https://youtube.com/watch?v=8kOcQoSQvL8", "iOS 15.4下週推出 加入Face ID口罩解鎖！TP-LINK推出8mm超薄Router．Samsung L型摺機將面世？| 廣東話【Price Weekly #105 2022年3月】")</f>
        <v>iOS 15.4下週推出 加入Face ID口罩解鎖！TP-LINK推出8mm超薄Router．Samsung L型摺機將面世？| 廣東話【Price Weekly #105 2022年3月】</v>
      </c>
      <c r="E5051" s="82">
        <v>44632.0</v>
      </c>
      <c r="F5051" s="80">
        <v>395.0</v>
      </c>
      <c r="G5051" s="80" t="s">
        <v>63</v>
      </c>
      <c r="I5051" s="80" t="s">
        <v>63</v>
      </c>
      <c r="J5051" s="80">
        <v>1389.0</v>
      </c>
      <c r="K5051" s="80">
        <v>0.707230142566191</v>
      </c>
      <c r="L5051" s="80" t="s">
        <v>64</v>
      </c>
    </row>
    <row r="5052">
      <c r="A5052" s="80" t="s">
        <v>248</v>
      </c>
      <c r="B5052" s="81" t="str">
        <f t="shared" si="277"/>
        <v>Price.com.hk 香港格價網</v>
      </c>
      <c r="C5052" s="80" t="s">
        <v>5504</v>
      </c>
      <c r="D5052" s="81" t="str">
        <f>HYPERLINK("https://youtube.com/watch?v=G2xJRn9e8js", "工作室必備的夢幻組合？Mac Studio ＋ Studio Display 開箱評測｜效能跑分測試 對比M1 MAX MBP｜廣東話【Price.com.hk產品比較】")</f>
        <v>工作室必備的夢幻組合？Mac Studio ＋ Studio Display 開箱評測｜效能跑分測試 對比M1 MAX MBP｜廣東話【Price.com.hk產品比較】</v>
      </c>
      <c r="E5052" s="82">
        <v>44642.0</v>
      </c>
      <c r="F5052" s="80">
        <v>427.0</v>
      </c>
      <c r="G5052" s="80" t="s">
        <v>63</v>
      </c>
      <c r="I5052" s="80" t="s">
        <v>63</v>
      </c>
      <c r="J5052" s="80">
        <v>1215.0</v>
      </c>
      <c r="K5052" s="80">
        <v>0.6062874251497</v>
      </c>
      <c r="L5052" s="80" t="s">
        <v>64</v>
      </c>
    </row>
    <row r="5053">
      <c r="A5053" s="80" t="s">
        <v>2862</v>
      </c>
      <c r="B5053" s="81" t="str">
        <f>HYPERLINK("https://www.youtube.com/channel/UCi6CqLjdoCN_ijofoCJFpCw", "Anton 安冬晴 ")</f>
        <v>Anton 安冬晴 </v>
      </c>
      <c r="C5053" s="80" t="s">
        <v>5505</v>
      </c>
      <c r="D5053" s="81" t="str">
        <f>HYPERLINK("https://youtube.com/watch?v=wKoV96Ay8gA", "VLOG ▼  🎓化妝課程畢業了🥰🥰 學咗啲咩!? 我有啲咩人生目標!? | 👜買了coach的新袋子❤️ What's in my bag ?  | Anton Vlog | CC字幕")</f>
        <v>VLOG ▼  🎓化妝課程畢業了🥰🥰 學咗啲咩!? 我有啲咩人生目標!? | 👜買了coach的新袋子❤️ What's in my bag ?  | Anton Vlog | CC字幕</v>
      </c>
      <c r="E5053" s="82">
        <v>44675.0</v>
      </c>
      <c r="F5053" s="80">
        <v>584.0</v>
      </c>
      <c r="G5053" s="80" t="s">
        <v>63</v>
      </c>
      <c r="I5053" s="80" t="s">
        <v>63</v>
      </c>
      <c r="J5053" s="80">
        <v>2253.0</v>
      </c>
      <c r="K5053" s="80">
        <v>0.829528718703976</v>
      </c>
      <c r="L5053" s="80" t="s">
        <v>64</v>
      </c>
    </row>
    <row r="5054">
      <c r="A5054" s="80" t="s">
        <v>755</v>
      </c>
      <c r="B5054" s="81" t="str">
        <f>HYPERLINK("https://www.youtube.com/channel/UCBiJDTc82IM68KVH873VeAw", "Live in Kwangsi廣西人·情·味")</f>
        <v>Live in Kwangsi廣西人·情·味</v>
      </c>
      <c r="C5054" s="80" t="s">
        <v>5506</v>
      </c>
      <c r="D5054" s="81" t="str">
        <f>HYPERLINK("https://youtube.com/watch?v=vGOMCV3LCg8", "家常3餸1湯：番茄排骨湯、五花腩炒豆角、清炒蕹菜 20220421")</f>
        <v>家常3餸1湯：番茄排骨湯、五花腩炒豆角、清炒蕹菜 20220421</v>
      </c>
      <c r="E5054" s="82">
        <v>44673.0</v>
      </c>
      <c r="F5054" s="80">
        <v>552.0</v>
      </c>
      <c r="G5054" s="80" t="s">
        <v>63</v>
      </c>
      <c r="I5054" s="80" t="s">
        <v>63</v>
      </c>
      <c r="J5054" s="80">
        <v>48.0</v>
      </c>
      <c r="K5054" s="80">
        <v>0.96</v>
      </c>
      <c r="L5054" s="80" t="s">
        <v>757</v>
      </c>
    </row>
    <row r="5055">
      <c r="A5055" s="80" t="s">
        <v>414</v>
      </c>
      <c r="B5055" s="81" t="str">
        <f>HYPERLINK("https://www.youtube.com/channel/UCCVn38j5xSJZN-II-TeyomA", "Uncle Calvin Cantonese Class")</f>
        <v>Uncle Calvin Cantonese Class</v>
      </c>
      <c r="C5055" s="80" t="s">
        <v>5507</v>
      </c>
      <c r="D5055" s="81" t="str">
        <f>HYPERLINK("https://youtube.com/watch?v=At0IoiJ8Nts", "【10種生活交通工具(幼兒版)】10 Transportations in Cantonese I 幼兒認字 for Toddlers I 廣東話教室 I 字幕/Subtitles")</f>
        <v>【10種生活交通工具(幼兒版)】10 Transportations in Cantonese I 幼兒認字 for Toddlers I 廣東話教室 I 字幕/Subtitles</v>
      </c>
      <c r="E5055" s="82">
        <v>44636.0</v>
      </c>
      <c r="F5055" s="80">
        <v>504.0</v>
      </c>
      <c r="G5055" s="80" t="s">
        <v>63</v>
      </c>
      <c r="H5055" s="80" t="s">
        <v>63</v>
      </c>
      <c r="I5055" s="80" t="s">
        <v>63</v>
      </c>
      <c r="J5055" s="80">
        <v>1069.0</v>
      </c>
      <c r="K5055" s="80">
        <v>0.845727848101265</v>
      </c>
      <c r="L5055" s="80" t="s">
        <v>426</v>
      </c>
    </row>
    <row r="5056">
      <c r="A5056" s="80" t="s">
        <v>3048</v>
      </c>
      <c r="B5056" s="81" t="str">
        <f>HYPERLINK("https://www.youtube.com/channel/UCHiP6GctzJdIkYP20_9k-zg", "英倫。美景 about.the.england")</f>
        <v>英倫。美景 about.the.england</v>
      </c>
      <c r="C5056" s="80" t="s">
        <v>5508</v>
      </c>
      <c r="D5056" s="81" t="str">
        <f>HYPERLINK("https://youtube.com/watch?v=nh_41fboYOg", "簡單講解一下如何網上登記申請成為英國選民🙂盡選民責任")</f>
        <v>簡單講解一下如何網上登記申請成為英國選民🙂盡選民責任</v>
      </c>
      <c r="E5056" s="82">
        <v>44669.0</v>
      </c>
      <c r="F5056" s="80">
        <v>266.0</v>
      </c>
      <c r="G5056" s="80" t="s">
        <v>63</v>
      </c>
      <c r="I5056" s="80" t="s">
        <v>63</v>
      </c>
      <c r="J5056" s="80">
        <v>740.0</v>
      </c>
      <c r="K5056" s="80">
        <v>0.848623853211009</v>
      </c>
      <c r="L5056" s="80" t="s">
        <v>64</v>
      </c>
    </row>
    <row r="5057">
      <c r="A5057" s="80" t="s">
        <v>2585</v>
      </c>
      <c r="B5057" s="81" t="str">
        <f>HYPERLINK("https://www.youtube.com/channel/UCyyruuN0VecuYxPNR4un88Q", "混血肥仔")</f>
        <v>混血肥仔</v>
      </c>
      <c r="C5057" s="80" t="s">
        <v>5509</v>
      </c>
      <c r="D5057" s="81" t="str">
        <f>HYPERLINK("https://youtube.com/watch?v=H_KzI38K5Es", "唔用錢溝女 ?! 🙄 ｜ 唔好咁癲先 EP04 ｜ 即場決定會唔會飛肥仔")</f>
        <v>唔用錢溝女 ?! 🙄 ｜ 唔好咁癲先 EP04 ｜ 即場決定會唔會飛肥仔</v>
      </c>
      <c r="E5057" s="82">
        <v>44664.0</v>
      </c>
      <c r="F5057" s="80">
        <v>768.0</v>
      </c>
      <c r="G5057" s="80" t="s">
        <v>63</v>
      </c>
      <c r="I5057" s="80" t="s">
        <v>63</v>
      </c>
      <c r="J5057" s="80">
        <v>2015.0</v>
      </c>
      <c r="K5057" s="80">
        <v>0.974842767295597</v>
      </c>
      <c r="L5057" s="80" t="s">
        <v>1071</v>
      </c>
    </row>
    <row r="5058">
      <c r="A5058" s="80" t="s">
        <v>61</v>
      </c>
      <c r="B5058" s="81" t="str">
        <f>HYPERLINK("https://www.youtube.com/channel/UCJ4XVrJuqKHbc9yF9oUFseg", "MEeeep More")</f>
        <v>MEeeep More</v>
      </c>
      <c r="C5058" s="80" t="s">
        <v>5510</v>
      </c>
      <c r="D5058" s="81" t="str">
        <f>HYPERLINK("https://youtube.com/watch?v=uXif9nGVWto", "小米 POCO F4 GT 旗艦電競手機 發佈會現場評測 | S8 Gen 1 頂級處理器 + 高階三鏡頭 | poco f4 gt 評價 電競手機 2022")</f>
        <v>小米 POCO F4 GT 旗艦電競手機 發佈會現場評測 | S8 Gen 1 頂級處理器 + 高階三鏡頭 | poco f4 gt 評價 電競手機 2022</v>
      </c>
      <c r="E5058" s="82">
        <v>44694.0</v>
      </c>
      <c r="F5058" s="80">
        <v>146.0</v>
      </c>
      <c r="G5058" s="80" t="s">
        <v>63</v>
      </c>
      <c r="I5058" s="80" t="s">
        <v>63</v>
      </c>
      <c r="J5058" s="80">
        <v>376.0</v>
      </c>
      <c r="K5058" s="80">
        <v>0.688644688644688</v>
      </c>
      <c r="L5058" s="80" t="s">
        <v>64</v>
      </c>
    </row>
    <row r="5059">
      <c r="A5059" s="80" t="s">
        <v>593</v>
      </c>
      <c r="B5059" s="81" t="str">
        <f>HYPERLINK("https://www.youtube.com/channel/UCsSO44XVYhs_fQU2zDR82CA", "餓底男女")</f>
        <v>餓底男女</v>
      </c>
      <c r="C5059" s="80" t="s">
        <v>5511</v>
      </c>
      <c r="D5059" s="81" t="str">
        <f>HYPERLINK("https://youtube.com/watch?v=M6Ck5EP4yC0", "免費換新爐再實測! 真係我哋部機壞?! | DAEWOO SG-2717C | 餓遊･香港 #90 [4K]")</f>
        <v>免費換新爐再實測! 真係我哋部機壞?! | DAEWOO SG-2717C | 餓遊･香港 #90 [4K]</v>
      </c>
      <c r="E5059" s="82">
        <v>44673.0</v>
      </c>
      <c r="F5059" s="80">
        <v>274.0</v>
      </c>
      <c r="G5059" s="80" t="s">
        <v>63</v>
      </c>
      <c r="I5059" s="80" t="s">
        <v>63</v>
      </c>
      <c r="J5059" s="80">
        <v>1086.0</v>
      </c>
      <c r="K5059" s="80">
        <v>0.964476021314387</v>
      </c>
      <c r="L5059" s="80" t="s">
        <v>102</v>
      </c>
    </row>
    <row r="5060">
      <c r="A5060" s="80" t="s">
        <v>2804</v>
      </c>
      <c r="B5060" s="81" t="str">
        <f>HYPERLINK("https://www.youtube.com/channel/UCrFrg50t0JqgqV2dkIrH5Hg", "投智財女 GirlbossInvest 創業投資智慧")</f>
        <v>投智財女 GirlbossInvest 創業投資智慧</v>
      </c>
      <c r="C5060" s="80" t="s">
        <v>5512</v>
      </c>
      <c r="D5060" s="81" t="str">
        <f>HYPERLINK("https://youtube.com/watch?v=XR_0cVd4f4w", "0風險基金送7％利息!? 有錢人3種基金投資推薦 - 躺著賺被動收入😼  cc中字幕 #基金投資 #什麼是基金")</f>
        <v>0風險基金送7％利息!? 有錢人3種基金投資推薦 - 躺著賺被動收入😼  cc中字幕 #基金投資 #什麼是基金</v>
      </c>
      <c r="E5060" s="82">
        <v>44700.0</v>
      </c>
      <c r="F5060" s="80">
        <v>840.0</v>
      </c>
      <c r="G5060" s="80" t="s">
        <v>63</v>
      </c>
      <c r="I5060" s="80" t="s">
        <v>63</v>
      </c>
      <c r="J5060" s="80">
        <v>2211.0</v>
      </c>
      <c r="K5060" s="80">
        <v>0.957972270363951</v>
      </c>
      <c r="L5060" s="80" t="s">
        <v>102</v>
      </c>
    </row>
    <row r="5061">
      <c r="A5061" s="80" t="s">
        <v>414</v>
      </c>
      <c r="B5061" s="81" t="str">
        <f>HYPERLINK("https://www.youtube.com/channel/UCCVn38j5xSJZN-II-TeyomA", "Uncle Calvin Cantonese Class")</f>
        <v>Uncle Calvin Cantonese Class</v>
      </c>
      <c r="C5061" s="80" t="s">
        <v>5513</v>
      </c>
      <c r="D5061" s="81" t="str">
        <f>HYPERLINK("https://youtube.com/watch?v=AmftE7DkqvE", "【公園裡10種日常運動】10 Exercise in Cantonese I 幼兒認字 for Toddlers I 廣東話教室 I 字幕/Subtitles")</f>
        <v>【公園裡10種日常運動】10 Exercise in Cantonese I 幼兒認字 for Toddlers I 廣東話教室 I 字幕/Subtitles</v>
      </c>
      <c r="E5061" s="82">
        <v>44644.0</v>
      </c>
      <c r="F5061" s="80">
        <v>624.0</v>
      </c>
      <c r="G5061" s="80" t="s">
        <v>63</v>
      </c>
      <c r="H5061" s="80" t="s">
        <v>63</v>
      </c>
      <c r="I5061" s="80" t="s">
        <v>63</v>
      </c>
      <c r="J5061" s="80">
        <v>1434.0</v>
      </c>
      <c r="K5061" s="80">
        <v>0.84952606635071</v>
      </c>
      <c r="L5061" s="80" t="s">
        <v>426</v>
      </c>
    </row>
    <row r="5062">
      <c r="A5062" s="80" t="s">
        <v>527</v>
      </c>
      <c r="B5062" s="81" t="str">
        <f>HYPERLINK("https://www.youtube.com/channel/UC7knZNnVYcw_9_zQ3PGOoGw", "ようき楽園 / 玉其樂園")</f>
        <v>ようき楽園 / 玉其樂園</v>
      </c>
      <c r="C5062" s="80" t="s">
        <v>5514</v>
      </c>
      <c r="D5062" s="81" t="str">
        <f>HYPERLINK("https://youtube.com/watch?v=atmUvo41Cc8", "【澳門】台湾風火鍋店「火滾」｜「火滾」台式火鍋（中日字幕）")</f>
        <v>【澳門】台湾風火鍋店「火滾」｜「火滾」台式火鍋（中日字幕）</v>
      </c>
      <c r="E5062" s="82">
        <v>44625.0</v>
      </c>
      <c r="F5062" s="80">
        <v>184.0</v>
      </c>
      <c r="G5062" s="80" t="s">
        <v>63</v>
      </c>
      <c r="I5062" s="80" t="s">
        <v>63</v>
      </c>
      <c r="J5062" s="80">
        <v>282.0</v>
      </c>
      <c r="K5062" s="80">
        <v>0.93687707641196</v>
      </c>
      <c r="L5062" s="80" t="s">
        <v>64</v>
      </c>
    </row>
    <row r="5063">
      <c r="A5063" s="80" t="s">
        <v>4470</v>
      </c>
      <c r="B5063" s="81" t="str">
        <f>HYPERLINK("https://www.youtube.com/channel/UC4VI_WmdfVMTkT4vKCiZA4A", "BossMind")</f>
        <v>BossMind</v>
      </c>
      <c r="C5063" s="80" t="s">
        <v>5515</v>
      </c>
      <c r="D5063" s="81" t="str">
        <f>HYPERLINK("https://youtube.com/watch?v=_-TnuNyTItM", "美股陰跌試奇蹟日底 #杜昇 年內又輸返~10%｜Google AI ML進展 最大挑戰係TikTok一家贏晒YouTube IG｜#華爾街戰線")</f>
        <v>美股陰跌試奇蹟日底 #杜昇 年內又輸返~10%｜Google AI ML進展 最大挑戰係TikTok一家贏晒YouTube IG｜#華爾街戰線</v>
      </c>
      <c r="E5063" s="82">
        <v>44635.0</v>
      </c>
      <c r="F5063" s="80">
        <v>480.0</v>
      </c>
      <c r="G5063" s="80" t="s">
        <v>63</v>
      </c>
      <c r="I5063" s="80" t="s">
        <v>63</v>
      </c>
      <c r="J5063" s="80">
        <v>1187.0</v>
      </c>
      <c r="K5063" s="80">
        <v>0.856421356421356</v>
      </c>
      <c r="L5063" s="80" t="s">
        <v>64</v>
      </c>
    </row>
    <row r="5064">
      <c r="A5064" s="80" t="s">
        <v>2780</v>
      </c>
      <c r="B5064" s="81" t="str">
        <f>HYPERLINK("https://www.youtube.com/channel/UC0CojhLcc0VESgaG633m5kA", "RainErs")</f>
        <v>RainErs</v>
      </c>
      <c r="C5064" s="80" t="s">
        <v>5516</v>
      </c>
      <c r="D5064" s="81" t="str">
        <f>HYPERLINK("https://youtube.com/watch?v=UYGtzcJVhRU", "怪獸大廈❗❗--變形金剛取景地方??//被大廈籠罩的感覺??//最有香港feel嘅地方!![有CC字幕]")</f>
        <v>怪獸大廈❗❗--變形金剛取景地方??//被大廈籠罩的感覺??//最有香港feel嘅地方!![有CC字幕]</v>
      </c>
      <c r="E5064" s="82">
        <v>44699.0</v>
      </c>
      <c r="F5064" s="80">
        <v>113.0</v>
      </c>
      <c r="G5064" s="80" t="s">
        <v>63</v>
      </c>
      <c r="I5064" s="80" t="s">
        <v>63</v>
      </c>
      <c r="J5064" s="80">
        <v>423.0</v>
      </c>
      <c r="K5064" s="80">
        <v>0.937915742793791</v>
      </c>
      <c r="L5064" s="80" t="s">
        <v>64</v>
      </c>
    </row>
    <row r="5065">
      <c r="A5065" s="80" t="s">
        <v>527</v>
      </c>
      <c r="B5065" s="81" t="str">
        <f>HYPERLINK("https://www.youtube.com/channel/UC7knZNnVYcw_9_zQ3PGOoGw", "ようき楽園 / 玉其樂園")</f>
        <v>ようき楽園 / 玉其樂園</v>
      </c>
      <c r="C5065" s="80" t="s">
        <v>5517</v>
      </c>
      <c r="D5065" s="81" t="str">
        <f>HYPERLINK("https://youtube.com/watch?v=FtDWM1jFav4", "【広東語】挑戦！倉頡 Wordle｜挑戰！倉頡 Wordle（中日字幕）")</f>
        <v>【広東語】挑戦！倉頡 Wordle｜挑戰！倉頡 Wordle（中日字幕）</v>
      </c>
      <c r="E5065" s="82">
        <v>44653.0</v>
      </c>
      <c r="F5065" s="80">
        <v>275.0</v>
      </c>
      <c r="G5065" s="80" t="s">
        <v>63</v>
      </c>
      <c r="I5065" s="80" t="s">
        <v>63</v>
      </c>
      <c r="J5065" s="80">
        <v>1065.0</v>
      </c>
      <c r="K5065" s="80">
        <v>0.956014362657091</v>
      </c>
      <c r="L5065" s="80" t="s">
        <v>64</v>
      </c>
    </row>
    <row r="5066">
      <c r="A5066" s="80" t="s">
        <v>248</v>
      </c>
      <c r="B5066" s="81" t="str">
        <f>HYPERLINK("https://www.youtube.com/channel/UCUEJok-GiWaGlv5nIPwk-GQ", "Price.com.hk 香港格價網")</f>
        <v>Price.com.hk 香港格價網</v>
      </c>
      <c r="C5066" s="80" t="s">
        <v>5518</v>
      </c>
      <c r="D5066" s="81" t="str">
        <f>HYPERLINK("https://youtube.com/watch?v=jI3OvPAbYKw", "Home Office/辦公室/經營商戶必備！Brother P-TOUCH CUBE PTP910BT藍牙標籤機｜特約專題｜廣東話【Price.com.hk產品介紹】")</f>
        <v>Home Office/辦公室/經營商戶必備！Brother P-TOUCH CUBE PTP910BT藍牙標籤機｜特約專題｜廣東話【Price.com.hk產品介紹】</v>
      </c>
      <c r="E5066" s="82">
        <v>44631.0</v>
      </c>
      <c r="F5066" s="80">
        <v>345.0</v>
      </c>
      <c r="G5066" s="80" t="s">
        <v>63</v>
      </c>
      <c r="I5066" s="80" t="s">
        <v>63</v>
      </c>
      <c r="J5066" s="80">
        <v>1079.0</v>
      </c>
      <c r="K5066" s="80">
        <v>0.75719298245614</v>
      </c>
      <c r="L5066" s="80" t="s">
        <v>64</v>
      </c>
    </row>
    <row r="5067">
      <c r="A5067" s="80" t="s">
        <v>4470</v>
      </c>
      <c r="B5067" s="81" t="str">
        <f>HYPERLINK("https://www.youtube.com/channel/UC4VI_WmdfVMTkT4vKCiZA4A", "BossMind")</f>
        <v>BossMind</v>
      </c>
      <c r="C5067" s="80" t="s">
        <v>5519</v>
      </c>
      <c r="D5067" s="81" t="str">
        <f>HYPERLINK("https://youtube.com/watch?v=fz3huza_C_I", "#俄烏戰爭 歐美絕招係 #油價 武器化｜沙特王子攬炒戰略 逼到普京認輸｜美國能源政策勢轉向 議員急call國內增產｜#杜昇 2月有正數回報 留意美國新國策概念｜#華爾街戰線")</f>
        <v>#俄烏戰爭 歐美絕招係 #油價 武器化｜沙特王子攬炒戰略 逼到普京認輸｜美國能源政策勢轉向 議員急call國內增產｜#杜昇 2月有正數回報 留意美國新國策概念｜#華爾街戰線</v>
      </c>
      <c r="E5067" s="82">
        <v>44621.0</v>
      </c>
      <c r="F5067" s="80">
        <v>567.0</v>
      </c>
      <c r="G5067" s="80" t="s">
        <v>63</v>
      </c>
      <c r="I5067" s="80" t="s">
        <v>63</v>
      </c>
      <c r="J5067" s="80">
        <v>1696.0</v>
      </c>
      <c r="K5067" s="80">
        <v>0.919241192411924</v>
      </c>
      <c r="L5067" s="80" t="s">
        <v>64</v>
      </c>
    </row>
    <row r="5068">
      <c r="A5068" s="80" t="s">
        <v>248</v>
      </c>
      <c r="B5068" s="81" t="str">
        <f>HYPERLINK("https://www.youtube.com/channel/UCUEJok-GiWaGlv5nIPwk-GQ", "Price.com.hk 香港格價網")</f>
        <v>Price.com.hk 香港格價網</v>
      </c>
      <c r="C5068" s="80" t="s">
        <v>5520</v>
      </c>
      <c r="D5068" s="81" t="str">
        <f>HYPERLINK("https://youtube.com/watch?v=RsL7-PQELJM", "各大品牌同場推出最新產品【台北國際電腦展 Computex 2022】  Acer｜Gigabyte｜ASUS｜AMD｜Qualcomm｜懶人包｜速覽｜ 廣東話【Price.com.hk產品情報】")</f>
        <v>各大品牌同場推出最新產品【台北國際電腦展 Computex 2022】  Acer｜Gigabyte｜ASUS｜AMD｜Qualcomm｜懶人包｜速覽｜ 廣東話【Price.com.hk產品情報】</v>
      </c>
      <c r="E5068" s="82">
        <v>44705.0</v>
      </c>
      <c r="F5068" s="80">
        <v>569.0</v>
      </c>
      <c r="G5068" s="80" t="s">
        <v>63</v>
      </c>
      <c r="I5068" s="80" t="s">
        <v>63</v>
      </c>
      <c r="J5068" s="80">
        <v>1522.0</v>
      </c>
      <c r="K5068" s="80">
        <v>0.580030487804878</v>
      </c>
      <c r="L5068" s="80" t="s">
        <v>64</v>
      </c>
    </row>
    <row r="5069">
      <c r="A5069" s="80" t="s">
        <v>1390</v>
      </c>
      <c r="B5069" s="81" t="str">
        <f>HYPERLINK("https://www.youtube.com/channel/UCgwEJflQi4WnZ8PU0xdibZQ", "Kinson Ho")</f>
        <v>Kinson Ho</v>
      </c>
      <c r="C5069" s="80" t="s">
        <v>5521</v>
      </c>
      <c r="D5069" s="81" t="str">
        <f>HYPERLINK("https://youtube.com/watch?v=SfGBcBpYCU8", "K神任我行 -  [CC字幕4K] 栢架山尋石探洞｜耀東坑｜海龜石｜元寶石｜僧人石｜將軍石｜八仙洞｜密碼洞")</f>
        <v>K神任我行 -  [CC字幕4K] 栢架山尋石探洞｜耀東坑｜海龜石｜元寶石｜僧人石｜將軍石｜八仙洞｜密碼洞</v>
      </c>
      <c r="E5069" s="82">
        <v>44706.0</v>
      </c>
      <c r="F5069" s="80">
        <v>1243.0</v>
      </c>
      <c r="G5069" s="80" t="s">
        <v>63</v>
      </c>
      <c r="I5069" s="80" t="s">
        <v>63</v>
      </c>
      <c r="J5069" s="80">
        <v>1143.0</v>
      </c>
      <c r="K5069" s="80">
        <v>0.986194995685936</v>
      </c>
      <c r="L5069" s="80" t="s">
        <v>64</v>
      </c>
    </row>
    <row r="5070">
      <c r="A5070" s="80" t="s">
        <v>2800</v>
      </c>
      <c r="B5070" s="81" t="str">
        <f>HYPERLINK("https://www.youtube.com/channel/UCMqrlsr-AECPc6_3oDr8m9w", "Unicorn 獸哥")</f>
        <v>Unicorn 獸哥</v>
      </c>
      <c r="C5070" s="80" t="s">
        <v>5522</v>
      </c>
      <c r="D5070" s="81" t="str">
        <f>HYPERLINK("https://youtube.com/watch?v=IKlsHYj6WSY", "奇異博士2：失控多元宇宙為何令我如此失望 劇透影評")</f>
        <v>奇異博士2：失控多元宇宙為何令我如此失望 劇透影評</v>
      </c>
      <c r="E5070" s="82">
        <v>44696.0</v>
      </c>
      <c r="F5070" s="80">
        <v>596.0</v>
      </c>
      <c r="G5070" s="80" t="s">
        <v>63</v>
      </c>
      <c r="I5070" s="80" t="s">
        <v>63</v>
      </c>
      <c r="J5070" s="80">
        <v>2453.0</v>
      </c>
      <c r="K5070" s="80">
        <v>0.743784111582777</v>
      </c>
      <c r="L5070" s="80" t="s">
        <v>64</v>
      </c>
    </row>
    <row r="5071">
      <c r="A5071" s="80" t="s">
        <v>96</v>
      </c>
      <c r="B5071" s="81" t="str">
        <f>HYPERLINK("https://www.youtube.com/channel/UCGtyHJ-L_4RDIHe3XaLofQQ", "Anson Cheung")</f>
        <v>Anson Cheung</v>
      </c>
      <c r="C5071" s="80" t="s">
        <v>5523</v>
      </c>
      <c r="D5071" s="81" t="str">
        <f>HYPERLINK("https://youtube.com/watch?v=5d1ruIjUkjQ", "$5000消費券，用嚟買iPad Air 5 定11"" iPad Pro？｜iPad Air 5 (2022)評測｜M1晶片、Centre Stage 追蹤功能、Universal Control")</f>
        <v>$5000消費券，用嚟買iPad Air 5 定11" iPad Pro？｜iPad Air 5 (2022)評測｜M1晶片、Centre Stage 追蹤功能、Universal Control</v>
      </c>
      <c r="E5071" s="82">
        <v>44669.0</v>
      </c>
      <c r="F5071" s="80">
        <v>634.0</v>
      </c>
      <c r="G5071" s="80" t="s">
        <v>63</v>
      </c>
      <c r="I5071" s="80" t="s">
        <v>63</v>
      </c>
      <c r="J5071" s="80">
        <v>2423.0</v>
      </c>
      <c r="K5071" s="80">
        <v>0.629187224097636</v>
      </c>
      <c r="L5071" s="80" t="s">
        <v>64</v>
      </c>
    </row>
    <row r="5072">
      <c r="A5072" s="80" t="s">
        <v>248</v>
      </c>
      <c r="B5072" s="81" t="str">
        <f>HYPERLINK("https://www.youtube.com/channel/UCUEJok-GiWaGlv5nIPwk-GQ", "Price.com.hk 香港格價網")</f>
        <v>Price.com.hk 香港格價網</v>
      </c>
      <c r="C5072" s="80" t="s">
        <v>5524</v>
      </c>
      <c r="D5072" s="81" t="str">
        <f>HYPERLINK("https://youtube.com/watch?v=ETiIzyw3Ioc", "媽媽世一母親節網購送禮指南｜feat.配音員譚淑英｜主播化身一日店長｜5月1至8日｜每日激筍貨品開賣低至3折【Price.com.hk產品介紹】")</f>
        <v>媽媽世一母親節網購送禮指南｜feat.配音員譚淑英｜主播化身一日店長｜5月1至8日｜每日激筍貨品開賣低至3折【Price.com.hk產品介紹】</v>
      </c>
      <c r="E5072" s="82">
        <v>44680.0</v>
      </c>
      <c r="F5072" s="80">
        <v>412.0</v>
      </c>
      <c r="G5072" s="80" t="s">
        <v>63</v>
      </c>
      <c r="I5072" s="80" t="s">
        <v>63</v>
      </c>
      <c r="J5072" s="80">
        <v>1388.0</v>
      </c>
      <c r="K5072" s="80">
        <v>0.882390336935791</v>
      </c>
      <c r="L5072" s="80" t="s">
        <v>64</v>
      </c>
    </row>
    <row r="5073">
      <c r="A5073" s="80" t="s">
        <v>2898</v>
      </c>
      <c r="B5073" s="81" t="str">
        <f>HYPERLINK("https://www.youtube.com/channel/UCy5bjMXbFPglSBNDXfivtOA", "消費者委員會")</f>
        <v>消費者委員會</v>
      </c>
      <c r="C5073" s="80" t="s">
        <v>5525</v>
      </c>
      <c r="D5073" s="81" t="str">
        <f>HYPERLINK("https://youtube.com/watch?v=gHjvocmHBXM", "【幼兒玩具Guide】幼兒玩具選購指南！安全風險不可不知！")</f>
        <v>【幼兒玩具Guide】幼兒玩具選購指南！安全風險不可不知！</v>
      </c>
      <c r="E5073" s="82">
        <v>44649.0</v>
      </c>
      <c r="F5073" s="80">
        <v>139.0</v>
      </c>
      <c r="G5073" s="80" t="s">
        <v>63</v>
      </c>
      <c r="I5073" s="80" t="s">
        <v>63</v>
      </c>
      <c r="J5073" s="80">
        <v>488.0</v>
      </c>
      <c r="K5073" s="80">
        <v>0.943907156673114</v>
      </c>
      <c r="L5073" s="80" t="s">
        <v>102</v>
      </c>
    </row>
    <row r="5074">
      <c r="A5074" s="80" t="s">
        <v>124</v>
      </c>
      <c r="B5074" s="81" t="str">
        <f>HYPERLINK("https://www.youtube.com/channel/UCg0vuSE0fBF_NvodyYhMcWg", "Wallace Studio HK")</f>
        <v>Wallace Studio HK</v>
      </c>
      <c r="C5074" s="80" t="s">
        <v>5526</v>
      </c>
      <c r="D5074" s="81" t="str">
        <f>HYPERLINK("https://youtube.com/watch?v=vZF8stt0tf8", "Samsung Galaxy S22 Ultra 詳細評測! 與別不同的S系列手機")</f>
        <v>Samsung Galaxy S22 Ultra 詳細評測! 與別不同的S系列手機</v>
      </c>
      <c r="E5074" s="82">
        <v>44633.0</v>
      </c>
      <c r="F5074" s="80">
        <v>988.0</v>
      </c>
      <c r="G5074" s="80" t="s">
        <v>63</v>
      </c>
      <c r="H5074" s="80" t="s">
        <v>63</v>
      </c>
      <c r="I5074" s="80" t="s">
        <v>63</v>
      </c>
      <c r="J5074" s="80">
        <v>3417.0</v>
      </c>
      <c r="K5074" s="80">
        <v>0.79911131898971</v>
      </c>
      <c r="L5074" s="80" t="s">
        <v>4980</v>
      </c>
    </row>
    <row r="5075">
      <c r="A5075" s="80" t="s">
        <v>755</v>
      </c>
      <c r="B5075" s="81" t="str">
        <f>HYPERLINK("https://www.youtube.com/channel/UCBiJDTc82IM68KVH873VeAw", "Live in Kwangsi廣西人·情·味")</f>
        <v>Live in Kwangsi廣西人·情·味</v>
      </c>
      <c r="C5075" s="80" t="s">
        <v>5527</v>
      </c>
      <c r="D5075" s="81" t="str">
        <f>HYPERLINK("https://youtube.com/watch?v=TVQTKa8FDMc", "第一次到荔浦 試搭小城特色的士 搵到特色嘢食 原來夜景都幾靚｜廣西vlog 20220311")</f>
        <v>第一次到荔浦 試搭小城特色的士 搵到特色嘢食 原來夜景都幾靚｜廣西vlog 20220311</v>
      </c>
      <c r="E5075" s="82">
        <v>44636.0</v>
      </c>
      <c r="F5075" s="80">
        <v>617.0</v>
      </c>
      <c r="G5075" s="80" t="s">
        <v>63</v>
      </c>
      <c r="I5075" s="80" t="s">
        <v>63</v>
      </c>
      <c r="J5075" s="80">
        <v>1000.0</v>
      </c>
      <c r="K5075" s="80">
        <v>0.986193293885601</v>
      </c>
      <c r="L5075" s="80" t="s">
        <v>757</v>
      </c>
    </row>
    <row r="5076">
      <c r="A5076" s="80" t="s">
        <v>3139</v>
      </c>
      <c r="B5076" s="81" t="str">
        <f>HYPERLINK("https://www.youtube.com/channel/UCThO2xnH7XMg6plE8OgJm_w", "choyuen草原")</f>
        <v>choyuen草原</v>
      </c>
      <c r="C5076" s="80" t="s">
        <v>5528</v>
      </c>
      <c r="D5076" s="81" t="str">
        <f>HYPERLINK("https://youtube.com/watch?v=UCid_oLF5Uo", "亞伯丁寒涼事件簿 (B. 言論自由公式) Shivering Aberdeen (B. Freedom formula)")</f>
        <v>亞伯丁寒涼事件簿 (B. 言論自由公式) Shivering Aberdeen (B. Freedom formula)</v>
      </c>
      <c r="E5076" s="82">
        <v>44695.0</v>
      </c>
      <c r="F5076" s="80">
        <v>365.0</v>
      </c>
      <c r="G5076" s="80" t="s">
        <v>63</v>
      </c>
      <c r="I5076" s="80" t="s">
        <v>63</v>
      </c>
      <c r="J5076" s="80">
        <v>975.0</v>
      </c>
      <c r="K5076" s="80">
        <v>0.947521865889212</v>
      </c>
      <c r="L5076" s="80" t="s">
        <v>64</v>
      </c>
    </row>
    <row r="5077">
      <c r="A5077" s="80" t="s">
        <v>140</v>
      </c>
      <c r="B5077" s="81" t="str">
        <f>HYPERLINK("https://www.youtube.com/channel/UCHK0CZf9HEXs42qIO1GUouA", "TechiCardia")</f>
        <v>TechiCardia</v>
      </c>
      <c r="C5077" s="80" t="s">
        <v>5529</v>
      </c>
      <c r="D5077" s="81" t="str">
        <f>HYPERLINK("https://youtube.com/watch?v=QXoljKZ6X2k", "RTX 3090 Ti 首發實測！新N卡王咩人用得著？創作程式、遊戲跑分| ZOTAC RTX 3090 Ti AMP Extreme Holo //4K【TechiCardia】[CC廣東話字幕]")</f>
        <v>RTX 3090 Ti 首發實測！新N卡王咩人用得著？創作程式、遊戲跑分| ZOTAC RTX 3090 Ti AMP Extreme Holo //4K【TechiCardia】[CC廣東話字幕]</v>
      </c>
      <c r="E5077" s="82">
        <v>44649.0</v>
      </c>
      <c r="F5077" s="80">
        <v>980.0</v>
      </c>
      <c r="G5077" s="80" t="s">
        <v>63</v>
      </c>
      <c r="I5077" s="80" t="s">
        <v>63</v>
      </c>
      <c r="J5077" s="80">
        <v>2725.0</v>
      </c>
      <c r="K5077" s="80">
        <v>0.653320546631503</v>
      </c>
      <c r="L5077" s="80" t="s">
        <v>102</v>
      </c>
    </row>
    <row r="5078">
      <c r="A5078" s="80" t="s">
        <v>61</v>
      </c>
      <c r="B5078" s="81" t="str">
        <f>HYPERLINK("https://www.youtube.com/channel/UCJ4XVrJuqKHbc9yF9oUFseg", "MEeeep More")</f>
        <v>MEeeep More</v>
      </c>
      <c r="C5078" s="80" t="s">
        <v>5530</v>
      </c>
      <c r="D5078" s="81" t="str">
        <f>HYPERLINK("https://youtube.com/watch?v=dDD1UVinLpo", "紅米 Redmi Note11S 5G 開箱 | 唔洗二千 超高性價比之選 | 大電 AI相機 性能效果強勁 | 香港5G 2022新手機")</f>
        <v>紅米 Redmi Note11S 5G 開箱 | 唔洗二千 超高性價比之選 | 大電 AI相機 性能效果強勁 | 香港5G 2022新手機</v>
      </c>
      <c r="E5078" s="82">
        <v>44679.0</v>
      </c>
      <c r="F5078" s="80">
        <v>213.0</v>
      </c>
      <c r="G5078" s="80" t="s">
        <v>63</v>
      </c>
      <c r="I5078" s="80" t="s">
        <v>63</v>
      </c>
      <c r="J5078" s="80">
        <v>533.0</v>
      </c>
      <c r="K5078" s="80">
        <v>0.707835325365205</v>
      </c>
      <c r="L5078" s="80" t="s">
        <v>64</v>
      </c>
    </row>
    <row r="5079">
      <c r="A5079" s="80" t="s">
        <v>4470</v>
      </c>
      <c r="B5079" s="81" t="str">
        <f>HYPERLINK("https://www.youtube.com/channel/UC4VI_WmdfVMTkT4vKCiZA4A", "BossMind")</f>
        <v>BossMind</v>
      </c>
      <c r="C5079" s="80" t="s">
        <v>5531</v>
      </c>
      <c r="D5079" s="81" t="str">
        <f>HYPERLINK("https://youtube.com/watch?v=2ANyjNimkok", "跟進Tesla如果見$571 Elon Musk會被call loan｜現金牛ETF COWZ｜業績前睇睇油股OXY｜#華爾街戰線｜#杜昇")</f>
        <v>跟進Tesla如果見$571 Elon Musk會被call loan｜現金牛ETF COWZ｜業績前睇睇油股OXY｜#華爾街戰線｜#杜昇</v>
      </c>
      <c r="E5079" s="82">
        <v>44679.0</v>
      </c>
      <c r="F5079" s="80">
        <v>462.0</v>
      </c>
      <c r="G5079" s="80" t="s">
        <v>63</v>
      </c>
      <c r="I5079" s="80" t="s">
        <v>63</v>
      </c>
      <c r="J5079" s="80">
        <v>1087.0</v>
      </c>
      <c r="K5079" s="80">
        <v>0.773115220483641</v>
      </c>
      <c r="L5079" s="80" t="s">
        <v>64</v>
      </c>
    </row>
    <row r="5080">
      <c r="A5080" s="80" t="s">
        <v>1118</v>
      </c>
      <c r="B5080" s="81" t="str">
        <f>HYPERLINK("https://www.youtube.com/channel/UCeyXZA7ofepOhL9Z9BATC1w", "80後夫婦移英日記 80s Couple UK Diary")</f>
        <v>80後夫婦移英日記 80s Couple UK Diary</v>
      </c>
      <c r="C5080" s="80" t="s">
        <v>5532</v>
      </c>
      <c r="D5080" s="81" t="str">
        <f>HYPERLINK("https://youtube.com/watch?v=QjlLyJGVkiQ", "英國週末好去處，留一天與我去Bath !!! 巴斯小鎮有咩玩？移民英國九個月有甚麼想法及提示給準備移民的人 - 移民英國好悶系列 please donate to Ukraine")</f>
        <v>英國週末好去處，留一天與我去Bath !!! 巴斯小鎮有咩玩？移民英國九個月有甚麼想法及提示給準備移民的人 - 移民英國好悶系列 please donate to Ukraine</v>
      </c>
      <c r="E5080" s="82">
        <v>44682.0</v>
      </c>
      <c r="F5080" s="80">
        <v>977.0</v>
      </c>
      <c r="G5080" s="80" t="s">
        <v>63</v>
      </c>
      <c r="I5080" s="80" t="s">
        <v>63</v>
      </c>
      <c r="J5080" s="80">
        <v>2708.0</v>
      </c>
      <c r="K5080" s="80">
        <v>0.867948717948718</v>
      </c>
      <c r="L5080" s="80" t="s">
        <v>64</v>
      </c>
    </row>
    <row r="5081">
      <c r="A5081" s="80" t="s">
        <v>293</v>
      </c>
      <c r="B5081" s="81" t="str">
        <f>HYPERLINK("https://www.youtube.com/channel/UCXRcbXqjORdIvl63I7MtOLQ", "趁熱 Kerry 's kitchen")</f>
        <v>趁熱 Kerry 's kitchen</v>
      </c>
      <c r="C5081" s="80" t="s">
        <v>5533</v>
      </c>
      <c r="D5081" s="81" t="str">
        <f>HYPERLINK("https://youtube.com/watch?v=KIXt4aoVQBc", "磨菇汁豬扒/ 快餐A/無須梳打粉 醃腍豬扒竅門/ 簡單 家做/新手 入門/廣東話/中字/pork chop w/mushroom jus")</f>
        <v>磨菇汁豬扒/ 快餐A/無須梳打粉 醃腍豬扒竅門/ 簡單 家做/新手 入門/廣東話/中字/pork chop w/mushroom jus</v>
      </c>
      <c r="E5081" s="82">
        <v>44680.0</v>
      </c>
      <c r="F5081" s="80">
        <v>543.0</v>
      </c>
      <c r="G5081" s="80" t="s">
        <v>63</v>
      </c>
      <c r="I5081" s="80" t="s">
        <v>63</v>
      </c>
      <c r="J5081" s="80">
        <v>552.0</v>
      </c>
      <c r="K5081" s="80">
        <v>0.978723404255319</v>
      </c>
      <c r="L5081" s="80" t="s">
        <v>64</v>
      </c>
    </row>
    <row r="5082">
      <c r="A5082" s="80" t="s">
        <v>124</v>
      </c>
      <c r="B5082" s="81" t="str">
        <f>HYPERLINK("https://www.youtube.com/channel/UCg0vuSE0fBF_NvodyYhMcWg", "Wallace Studio HK")</f>
        <v>Wallace Studio HK</v>
      </c>
      <c r="C5082" s="80" t="s">
        <v>5534</v>
      </c>
      <c r="D5082" s="81" t="str">
        <f>HYPERLINK("https://youtube.com/watch?v=9gN5na_8klo", "Samsung Dex 生產力全體驗 (Galaxy Tab S8 系列 ) | 介面，多工處理，生產力軟件，輸入法")</f>
        <v>Samsung Dex 生產力全體驗 (Galaxy Tab S8 系列 ) | 介面，多工處理，生產力軟件，輸入法</v>
      </c>
      <c r="E5082" s="82">
        <v>44669.0</v>
      </c>
      <c r="F5082" s="80">
        <v>652.0</v>
      </c>
      <c r="G5082" s="80" t="s">
        <v>63</v>
      </c>
      <c r="H5082" s="80" t="s">
        <v>63</v>
      </c>
      <c r="I5082" s="80" t="s">
        <v>63</v>
      </c>
      <c r="J5082" s="80">
        <v>2453.0</v>
      </c>
      <c r="K5082" s="80">
        <v>0.763223397635345</v>
      </c>
      <c r="L5082" s="80" t="s">
        <v>86</v>
      </c>
    </row>
    <row r="5083">
      <c r="A5083" s="80" t="s">
        <v>3139</v>
      </c>
      <c r="B5083" s="81" t="str">
        <f>HYPERLINK("https://www.youtube.com/channel/UCThO2xnH7XMg6plE8OgJm_w", "choyuen草原")</f>
        <v>choyuen草原</v>
      </c>
      <c r="C5083" s="80" t="s">
        <v>5535</v>
      </c>
      <c r="D5083" s="81" t="str">
        <f>HYPERLINK("https://youtube.com/watch?v=yJtlE0FcY2c", "米高積遜的一生 , 娛樂圈的黑暗 (A. 爭奪利益) Michael Jackson alone in the Dark (A. Power struggle)")</f>
        <v>米高積遜的一生 , 娛樂圈的黑暗 (A. 爭奪利益) Michael Jackson alone in the Dark (A. Power struggle)</v>
      </c>
      <c r="E5083" s="82">
        <v>44625.0</v>
      </c>
      <c r="F5083" s="80">
        <v>259.0</v>
      </c>
      <c r="G5083" s="80" t="s">
        <v>63</v>
      </c>
      <c r="I5083" s="80" t="s">
        <v>63</v>
      </c>
      <c r="J5083" s="80">
        <v>754.0</v>
      </c>
      <c r="K5083" s="80">
        <v>0.896551724137931</v>
      </c>
      <c r="L5083" s="80" t="s">
        <v>64</v>
      </c>
    </row>
    <row r="5084">
      <c r="A5084" s="80" t="s">
        <v>2780</v>
      </c>
      <c r="B5084" s="81" t="str">
        <f>HYPERLINK("https://www.youtube.com/channel/UC0CojhLcc0VESgaG633m5kA", "RainErs")</f>
        <v>RainErs</v>
      </c>
      <c r="C5084" s="80" t="s">
        <v>5536</v>
      </c>
      <c r="D5084" s="81" t="str">
        <f>HYPERLINK("https://youtube.com/watch?v=tlaWW7dBB3g", "【Procreate Tips and Tricks💯】新手需要知道的五樣嘢❗❗--新手必須知道的事❓❓//馬上變梵高!![有CC字幕]")</f>
        <v>【Procreate Tips and Tricks💯】新手需要知道的五樣嘢❗❗--新手必須知道的事❓❓//馬上變梵高!![有CC字幕]</v>
      </c>
      <c r="E5084" s="82">
        <v>44643.0</v>
      </c>
      <c r="F5084" s="80">
        <v>302.0</v>
      </c>
      <c r="G5084" s="80" t="s">
        <v>63</v>
      </c>
      <c r="I5084" s="80" t="s">
        <v>63</v>
      </c>
      <c r="J5084" s="80">
        <v>1522.0</v>
      </c>
      <c r="K5084" s="80">
        <v>0.930886850152905</v>
      </c>
      <c r="L5084" s="80" t="s">
        <v>64</v>
      </c>
    </row>
    <row r="5085">
      <c r="A5085" s="80" t="s">
        <v>1390</v>
      </c>
      <c r="B5085" s="81" t="str">
        <f>HYPERLINK("https://www.youtube.com/channel/UCgwEJflQi4WnZ8PU0xdibZQ", "Kinson Ho")</f>
        <v>Kinson Ho</v>
      </c>
      <c r="C5085" s="80" t="s">
        <v>5537</v>
      </c>
      <c r="D5085" s="81" t="str">
        <f>HYPERLINK("https://youtube.com/watch?v=hP5zr0URPfM", "K神任我行 -  [CC字幕4K] 九逕山尋石｜大嘴鳥石｜Iron Man石｜天后之牀｜大石頂｜大欖涌水塘｜千島湖｜青龍公園｜日落")</f>
        <v>K神任我行 -  [CC字幕4K] 九逕山尋石｜大嘴鳥石｜Iron Man石｜天后之牀｜大石頂｜大欖涌水塘｜千島湖｜青龍公園｜日落</v>
      </c>
      <c r="E5085" s="82">
        <v>44666.0</v>
      </c>
      <c r="F5085" s="80">
        <v>883.0</v>
      </c>
      <c r="G5085" s="80" t="s">
        <v>63</v>
      </c>
      <c r="I5085" s="80" t="s">
        <v>63</v>
      </c>
      <c r="J5085" s="80">
        <v>984.0</v>
      </c>
      <c r="K5085" s="80">
        <v>0.929178470254957</v>
      </c>
      <c r="L5085" s="80" t="s">
        <v>64</v>
      </c>
    </row>
    <row r="5086">
      <c r="A5086" s="80" t="s">
        <v>217</v>
      </c>
      <c r="B5086" s="81" t="str">
        <f>HYPERLINK("https://www.youtube.com/channel/UCXKg0qPRz32bs5Z4mTGF3TQ", "Stormtrooper白兵")</f>
        <v>Stormtrooper白兵</v>
      </c>
      <c r="C5086" s="80" t="s">
        <v>5538</v>
      </c>
      <c r="D5086" s="81" t="str">
        <f>HYPERLINK("https://youtube.com/watch?v=XjI6Ruir2H8", "[普京經濟學]本世紀頭號罪人－普京｜20年處心積慮，全面入侵烏克蘭因為……？｜為何不怕制裁？｜粵語中字")</f>
        <v>[普京經濟學]本世紀頭號罪人－普京｜20年處心積慮，全面入侵烏克蘭因為……？｜為何不怕制裁？｜粵語中字</v>
      </c>
      <c r="E5086" s="82">
        <v>44623.0</v>
      </c>
      <c r="F5086" s="80">
        <v>1016.0</v>
      </c>
      <c r="G5086" s="80" t="s">
        <v>63</v>
      </c>
      <c r="I5086" s="80" t="s">
        <v>63</v>
      </c>
      <c r="J5086" s="80">
        <v>3920.0</v>
      </c>
      <c r="K5086" s="80">
        <v>0.837606837606837</v>
      </c>
      <c r="L5086" s="80" t="s">
        <v>64</v>
      </c>
    </row>
    <row r="5087">
      <c r="A5087" s="80" t="s">
        <v>124</v>
      </c>
      <c r="B5087" s="81" t="str">
        <f>HYPERLINK("https://www.youtube.com/channel/UCg0vuSE0fBF_NvodyYhMcWg", "Wallace Studio HK")</f>
        <v>Wallace Studio HK</v>
      </c>
      <c r="C5087" s="80" t="s">
        <v>5539</v>
      </c>
      <c r="D5087" s="81" t="str">
        <f>HYPERLINK("https://youtube.com/watch?v=WuPUQvDZMPY", "APPLE 春季發佈會2022 選購攻略")</f>
        <v>APPLE 春季發佈會2022 選購攻略</v>
      </c>
      <c r="E5087" s="82">
        <v>44640.0</v>
      </c>
      <c r="F5087" s="80">
        <v>599.0</v>
      </c>
      <c r="G5087" s="80" t="s">
        <v>63</v>
      </c>
      <c r="H5087" s="80" t="s">
        <v>63</v>
      </c>
      <c r="I5087" s="80" t="s">
        <v>63</v>
      </c>
      <c r="J5087" s="80">
        <v>2151.0</v>
      </c>
      <c r="K5087" s="80">
        <v>0.751309814879497</v>
      </c>
      <c r="L5087" s="80" t="s">
        <v>86</v>
      </c>
    </row>
    <row r="5088">
      <c r="A5088" s="80" t="s">
        <v>248</v>
      </c>
      <c r="B5088" s="81" t="str">
        <f>HYPERLINK("https://www.youtube.com/channel/UCUEJok-GiWaGlv5nIPwk-GQ", "Price.com.hk 香港格價網")</f>
        <v>Price.com.hk 香港格價網</v>
      </c>
      <c r="C5088" s="80" t="s">
        <v>5540</v>
      </c>
      <c r="D5088" s="81" t="str">
        <f>HYPERLINK("https://youtube.com/watch?v=fdlQMYytPHU", "轉新設計?! Sony降噪耳筒WH-1000XM5 佩戴感．降噪音質．通話 同場對比上代XM4| 用後感 | 廣東話 | Heaphone | 頭戴式耳機評測 【Price.com.hk產品開箱比較】")</f>
        <v>轉新設計?! Sony降噪耳筒WH-1000XM5 佩戴感．降噪音質．通話 同場對比上代XM4| 用後感 | 廣東話 | Heaphone | 頭戴式耳機評測 【Price.com.hk產品開箱比較】</v>
      </c>
      <c r="E5088" s="82">
        <v>44698.0</v>
      </c>
      <c r="F5088" s="80">
        <v>522.0</v>
      </c>
      <c r="G5088" s="80" t="s">
        <v>63</v>
      </c>
      <c r="I5088" s="80" t="s">
        <v>63</v>
      </c>
      <c r="J5088" s="80">
        <v>1448.0</v>
      </c>
      <c r="K5088" s="80">
        <v>0.859347181008902</v>
      </c>
      <c r="L5088" s="80" t="s">
        <v>64</v>
      </c>
    </row>
    <row r="5089">
      <c r="A5089" s="80" t="s">
        <v>755</v>
      </c>
      <c r="B5089" s="81" t="str">
        <f>HYPERLINK("https://www.youtube.com/channel/UCBiJDTc82IM68KVH873VeAw", "Live in Kwangsi廣西人·情·味")</f>
        <v>Live in Kwangsi廣西人·情·味</v>
      </c>
      <c r="C5089" s="80" t="s">
        <v>5541</v>
      </c>
      <c r="D5089" s="81" t="str">
        <f>HYPERLINK("https://youtube.com/watch?v=RGnAiDlncas", "落雨天散步 旺城廣場行到河東騎樓城｜梧州市｜廣西日常實拍 20220423")</f>
        <v>落雨天散步 旺城廣場行到河東騎樓城｜梧州市｜廣西日常實拍 20220423</v>
      </c>
      <c r="E5089" s="82">
        <v>44676.0</v>
      </c>
      <c r="F5089" s="80">
        <v>2266.0</v>
      </c>
      <c r="G5089" s="80" t="s">
        <v>63</v>
      </c>
      <c r="I5089" s="80" t="s">
        <v>63</v>
      </c>
      <c r="J5089" s="80">
        <v>947.0</v>
      </c>
      <c r="K5089" s="80">
        <v>0.981347150259067</v>
      </c>
      <c r="L5089" s="80" t="s">
        <v>757</v>
      </c>
    </row>
    <row r="5090">
      <c r="A5090" s="80" t="s">
        <v>96</v>
      </c>
      <c r="B5090" s="81" t="str">
        <f>HYPERLINK("https://www.youtube.com/channel/UCGtyHJ-L_4RDIHe3XaLofQQ", "Anson Cheung")</f>
        <v>Anson Cheung</v>
      </c>
      <c r="C5090" s="80" t="s">
        <v>5542</v>
      </c>
      <c r="D5090" s="81" t="str">
        <f>HYPERLINK("https://youtube.com/watch?v=NiYHX14G2LI", "Samsung 整手機就勁，但整Projector就……🤦🏻‍♂️｜Samsung The Freestyle 評測")</f>
        <v>Samsung 整手機就勁，但整Projector就……🤦🏻‍♂️｜Samsung The Freestyle 評測</v>
      </c>
      <c r="E5090" s="82">
        <v>44695.0</v>
      </c>
      <c r="F5090" s="80">
        <v>828.0</v>
      </c>
      <c r="G5090" s="80" t="s">
        <v>63</v>
      </c>
      <c r="I5090" s="80" t="s">
        <v>63</v>
      </c>
      <c r="J5090" s="80">
        <v>2806.0</v>
      </c>
      <c r="K5090" s="80">
        <v>0.58083212585386</v>
      </c>
      <c r="L5090" s="80" t="s">
        <v>64</v>
      </c>
    </row>
    <row r="5091">
      <c r="A5091" s="80" t="s">
        <v>238</v>
      </c>
      <c r="B5091" s="81" t="str">
        <f>HYPERLINK("https://www.youtube.com/channel/UCSBkm4LwpgBmcA3MCtO8vqg", "Post76影音玩樂")</f>
        <v>Post76影音玩樂</v>
      </c>
      <c r="C5091" s="80" t="s">
        <v>5543</v>
      </c>
      <c r="D5091" s="81" t="str">
        <f>HYPERLINK("https://youtube.com/watch?v=uxAjCvRJ36A", "深入評測 Samsung The Freestyle 流動隨身投影機 : 實試蝸居區 100吋 影畫效果 !（附設cc字幕）| 投影評測")</f>
        <v>深入評測 Samsung The Freestyle 流動隨身投影機 : 實試蝸居區 100吋 影畫效果 !（附設cc字幕）| 投影評測</v>
      </c>
      <c r="E5091" s="82">
        <v>44676.0</v>
      </c>
      <c r="F5091" s="80">
        <v>984.0</v>
      </c>
      <c r="G5091" s="80" t="s">
        <v>63</v>
      </c>
      <c r="H5091" s="80" t="s">
        <v>63</v>
      </c>
      <c r="I5091" s="80" t="s">
        <v>63</v>
      </c>
      <c r="J5091" s="80">
        <v>3663.0</v>
      </c>
      <c r="K5091" s="80">
        <v>0.897954091816367</v>
      </c>
      <c r="L5091" s="80" t="s">
        <v>240</v>
      </c>
    </row>
    <row r="5092">
      <c r="A5092" s="80" t="s">
        <v>248</v>
      </c>
      <c r="B5092" s="81" t="str">
        <f>HYPERLINK("https://www.youtube.com/channel/UCUEJok-GiWaGlv5nIPwk-GQ", "Price.com.hk 香港格價網")</f>
        <v>Price.com.hk 香港格價網</v>
      </c>
      <c r="C5092" s="80" t="s">
        <v>5544</v>
      </c>
      <c r="D5092" s="81" t="str">
        <f>HYPERLINK("https://youtube.com/watch?v=25saoiMiTj4", "零降噪 全通透？Sony Linkbuds 開放式耳機聽感如何？會漏音嗎？｜對比WF-1000XM4、AirPods3｜廣東話【Price.com.hk 產品比較】")</f>
        <v>零降噪 全通透？Sony Linkbuds 開放式耳機聽感如何？會漏音嗎？｜對比WF-1000XM4、AirPods3｜廣東話【Price.com.hk 產品比較】</v>
      </c>
      <c r="E5092" s="82">
        <v>44649.0</v>
      </c>
      <c r="F5092" s="80">
        <v>524.0</v>
      </c>
      <c r="G5092" s="80" t="s">
        <v>63</v>
      </c>
      <c r="I5092" s="80" t="s">
        <v>63</v>
      </c>
      <c r="J5092" s="80">
        <v>1513.0</v>
      </c>
      <c r="K5092" s="80">
        <v>0.778692743180648</v>
      </c>
      <c r="L5092" s="80" t="s">
        <v>64</v>
      </c>
    </row>
    <row r="5093">
      <c r="A5093" s="80" t="s">
        <v>293</v>
      </c>
      <c r="B5093" s="81" t="str">
        <f>HYPERLINK("https://www.youtube.com/channel/UCXRcbXqjORdIvl63I7MtOLQ", "趁熱 Kerry 's kitchen")</f>
        <v>趁熱 Kerry 's kitchen</v>
      </c>
      <c r="C5093" s="80" t="s">
        <v>5545</v>
      </c>
      <c r="D5093" s="81" t="str">
        <f>HYPERLINK("https://youtube.com/watch?v=7YtBsXYpB9I", "中式牛柳/大牌檔風味/在家做一樣得/急凍肉做法/新手冇難度/廣東話/中字")</f>
        <v>中式牛柳/大牌檔風味/在家做一樣得/急凍肉做法/新手冇難度/廣東話/中字</v>
      </c>
      <c r="E5093" s="82">
        <v>44687.0</v>
      </c>
      <c r="F5093" s="80">
        <v>521.0</v>
      </c>
      <c r="G5093" s="80" t="s">
        <v>63</v>
      </c>
      <c r="I5093" s="80" t="s">
        <v>63</v>
      </c>
      <c r="J5093" s="80">
        <v>575.0</v>
      </c>
      <c r="K5093" s="80">
        <v>0.981228668941979</v>
      </c>
      <c r="L5093" s="80" t="s">
        <v>64</v>
      </c>
    </row>
    <row r="5094">
      <c r="A5094" s="80" t="s">
        <v>5546</v>
      </c>
      <c r="B5094" s="81" t="str">
        <f>HYPERLINK("https://www.youtube.com/channel/UCpE6V9kRImKY0HX3THRgYpw", "InspirLang")</f>
        <v>InspirLang</v>
      </c>
      <c r="C5094" s="80" t="s">
        <v>5547</v>
      </c>
      <c r="D5094" s="81" t="str">
        <f>HYPERLINK("https://youtube.com/watch?v=p0L3Dgeic84", "New York Food Tour! | Chinese Finger Food")</f>
        <v>New York Food Tour! | Chinese Finger Food</v>
      </c>
      <c r="E5094" s="82">
        <v>44692.0</v>
      </c>
      <c r="F5094" s="80">
        <v>662.0</v>
      </c>
      <c r="G5094" s="80" t="s">
        <v>63</v>
      </c>
      <c r="I5094" s="80" t="s">
        <v>63</v>
      </c>
      <c r="J5094" s="80">
        <v>1704.0</v>
      </c>
      <c r="K5094" s="80">
        <v>0.914163090128755</v>
      </c>
      <c r="L5094" s="80" t="s">
        <v>2029</v>
      </c>
    </row>
    <row r="5095">
      <c r="A5095" s="80" t="s">
        <v>61</v>
      </c>
      <c r="B5095" s="81" t="str">
        <f>HYPERLINK("https://www.youtube.com/channel/UCJ4XVrJuqKHbc9yF9oUFseg", "MEeeep More")</f>
        <v>MEeeep More</v>
      </c>
      <c r="C5095" s="80" t="s">
        <v>5548</v>
      </c>
      <c r="D5095" s="81" t="str">
        <f>HYPERLINK("https://youtube.com/watch?v=nIL-5ZxErlQ", "SOUL S-STORM MAX 防水藍牙喇叭 開箱全面評測 | 防水藍牙喇叭浴室 藍牙喇叭推薦 s-storm max 評價")</f>
        <v>SOUL S-STORM MAX 防水藍牙喇叭 開箱全面評測 | 防水藍牙喇叭浴室 藍牙喇叭推薦 s-storm max 評價</v>
      </c>
      <c r="E5095" s="82">
        <v>44707.0</v>
      </c>
      <c r="F5095" s="80">
        <v>203.0</v>
      </c>
      <c r="G5095" s="80" t="s">
        <v>63</v>
      </c>
      <c r="I5095" s="80" t="s">
        <v>63</v>
      </c>
      <c r="J5095" s="80">
        <v>495.0</v>
      </c>
      <c r="K5095" s="80">
        <v>0.731166912850812</v>
      </c>
      <c r="L5095" s="80" t="s">
        <v>64</v>
      </c>
    </row>
    <row r="5096">
      <c r="A5096" s="80" t="s">
        <v>140</v>
      </c>
      <c r="B5096" s="81" t="str">
        <f>HYPERLINK("https://www.youtube.com/channel/UCHK0CZf9HEXs42qIO1GUouA", "TechiCardia")</f>
        <v>TechiCardia</v>
      </c>
      <c r="C5096" s="80" t="s">
        <v>5549</v>
      </c>
      <c r="D5096" s="81" t="str">
        <f>HYPERLINK("https://youtube.com/watch?v=-41hFWqnW88", "呢粒CPU好似唔應該用喺B660主機板...//4K【TechiCardia】[CC廣東話字幕]")</f>
        <v>呢粒CPU好似唔應該用喺B660主機板...//4K【TechiCardia】[CC廣東話字幕]</v>
      </c>
      <c r="E5096" s="82">
        <v>44626.0</v>
      </c>
      <c r="F5096" s="80">
        <v>769.0</v>
      </c>
      <c r="G5096" s="80" t="s">
        <v>63</v>
      </c>
      <c r="I5096" s="80" t="s">
        <v>63</v>
      </c>
      <c r="J5096" s="80">
        <v>2323.0</v>
      </c>
      <c r="K5096" s="80">
        <v>0.648339380407479</v>
      </c>
      <c r="L5096" s="80" t="s">
        <v>102</v>
      </c>
    </row>
    <row r="5097">
      <c r="A5097" s="80" t="s">
        <v>2829</v>
      </c>
      <c r="B5097" s="81" t="str">
        <f>HYPERLINK("https://www.youtube.com/channel/UC7GnES6AEQlDzaP04UqtyjA", "SOLID IDEA")</f>
        <v>SOLID IDEA</v>
      </c>
      <c r="C5097" s="80" t="s">
        <v>5550</v>
      </c>
      <c r="D5097" s="81" t="str">
        <f>HYPERLINK("https://youtube.com/watch?v=488g7PgykSg", "[#設計概念]  #輕奢得黎又要簡約啲可以點做？  | 室內設計 | 空間擺位 | SOLID IDEA | (CC中文字幕)")</f>
        <v>[#設計概念]  #輕奢得黎又要簡約啲可以點做？  | 室內設計 | 空間擺位 | SOLID IDEA | (CC中文字幕)</v>
      </c>
      <c r="E5097" s="82">
        <v>44673.0</v>
      </c>
      <c r="F5097" s="80">
        <v>185.0</v>
      </c>
      <c r="G5097" s="80" t="s">
        <v>63</v>
      </c>
      <c r="I5097" s="80" t="s">
        <v>63</v>
      </c>
      <c r="J5097" s="80">
        <v>389.0</v>
      </c>
      <c r="K5097" s="80">
        <v>0.868303571428571</v>
      </c>
      <c r="L5097" s="80" t="s">
        <v>64</v>
      </c>
    </row>
    <row r="5098">
      <c r="A5098" s="80" t="s">
        <v>5459</v>
      </c>
      <c r="B5098" s="81" t="str">
        <f>HYPERLINK("https://www.youtube.com/channel/UC8_4V541ZqVTev0mWbp10oA", "COMPUTE_B 砌機師")</f>
        <v>COMPUTE_B 砌機師</v>
      </c>
      <c r="C5098" s="80" t="s">
        <v>5551</v>
      </c>
      <c r="D5098" s="81" t="str">
        <f>HYPERLINK("https://youtube.com/watch?v=nCpSeSvQwNs", "[CB]和你砌$27,000機 -  ITX (SSUPD MESHLICIOUS) AMD 打機多工電腦 COMPUTE_B砌機💰")</f>
        <v>[CB]和你砌$27,000機 -  ITX (SSUPD MESHLICIOUS) AMD 打機多工電腦 COMPUTE_B砌機💰</v>
      </c>
      <c r="E5098" s="82">
        <v>44496.0</v>
      </c>
      <c r="F5098" s="80">
        <v>211.0</v>
      </c>
      <c r="G5098" s="80" t="s">
        <v>63</v>
      </c>
      <c r="I5098" s="80" t="s">
        <v>63</v>
      </c>
      <c r="J5098" s="80">
        <v>313.0</v>
      </c>
      <c r="K5098" s="80">
        <v>0.604247104247104</v>
      </c>
      <c r="L5098" s="80" t="s">
        <v>64</v>
      </c>
    </row>
    <row r="5099">
      <c r="A5099" s="80" t="s">
        <v>293</v>
      </c>
      <c r="B5099" s="81" t="str">
        <f>HYPERLINK("https://www.youtube.com/channel/UCXRcbXqjORdIvl63I7MtOLQ", "趁熱 Kerry 's kitchen")</f>
        <v>趁熱 Kerry 's kitchen</v>
      </c>
      <c r="C5099" s="80" t="s">
        <v>5552</v>
      </c>
      <c r="D5099" s="81" t="str">
        <f>HYPERLINK("https://youtube.com/watch?v=KcHBf5dNHFw", "排骨/花菇絲瓜蒸排骨/如何醃淋滑排骨/自己做好容易/新手 入門/重點 講解/廣東話/中字")</f>
        <v>排骨/花菇絲瓜蒸排骨/如何醃淋滑排骨/自己做好容易/新手 入門/重點 講解/廣東話/中字</v>
      </c>
      <c r="E5099" s="82">
        <v>44704.0</v>
      </c>
      <c r="F5099" s="80">
        <v>481.0</v>
      </c>
      <c r="G5099" s="80" t="s">
        <v>63</v>
      </c>
      <c r="I5099" s="80" t="s">
        <v>63</v>
      </c>
      <c r="J5099" s="80">
        <v>508.0</v>
      </c>
      <c r="K5099" s="80">
        <v>0.958490566037735</v>
      </c>
      <c r="L5099" s="80" t="s">
        <v>64</v>
      </c>
    </row>
    <row r="5100">
      <c r="A5100" s="80" t="s">
        <v>755</v>
      </c>
      <c r="B5100" s="81" t="str">
        <f>HYPERLINK("https://www.youtube.com/channel/UCBiJDTc82IM68KVH873VeAw", "Live in Kwangsi廣西人·情·味")</f>
        <v>Live in Kwangsi廣西人·情·味</v>
      </c>
      <c r="C5100" s="80" t="s">
        <v>5553</v>
      </c>
      <c r="D5100" s="81" t="str">
        <f>HYPERLINK("https://youtube.com/watch?v=b-AedF76kI4", "縣城中心漫步(行街市、舊街、河堤) 小城幾休閒｜柳州市鹿寨縣｜廣西日常實拍 20220502")</f>
        <v>縣城中心漫步(行街市、舊街、河堤) 小城幾休閒｜柳州市鹿寨縣｜廣西日常實拍 20220502</v>
      </c>
      <c r="E5100" s="82">
        <v>44689.0</v>
      </c>
      <c r="F5100" s="80">
        <v>2126.0</v>
      </c>
      <c r="G5100" s="80" t="s">
        <v>63</v>
      </c>
      <c r="I5100" s="80" t="s">
        <v>63</v>
      </c>
      <c r="J5100" s="80">
        <v>18.0</v>
      </c>
      <c r="K5100" s="80">
        <v>0.409090909090909</v>
      </c>
      <c r="L5100" s="80" t="s">
        <v>757</v>
      </c>
    </row>
    <row r="5101">
      <c r="A5101" s="80" t="s">
        <v>293</v>
      </c>
      <c r="B5101" s="81" t="str">
        <f>HYPERLINK("https://www.youtube.com/channel/UCXRcbXqjORdIvl63I7MtOLQ", "趁熱 Kerry 's kitchen")</f>
        <v>趁熱 Kerry 's kitchen</v>
      </c>
      <c r="C5101" s="80" t="s">
        <v>5554</v>
      </c>
      <c r="D5101" s="81" t="str">
        <f>HYPERLINK("https://youtube.com/watch?v=_DeDr6pbrfM", "排骨 炒河/菜遠排骨炒河/茶記味道/陪伴我們長大/在家做一樣得/廣東話/中字/stir fried rice noodle with spare ribs")</f>
        <v>排骨 炒河/菜遠排骨炒河/茶記味道/陪伴我們長大/在家做一樣得/廣東話/中字/stir fried rice noodle with spare ribs</v>
      </c>
      <c r="E5101" s="82">
        <v>44666.0</v>
      </c>
      <c r="F5101" s="80">
        <v>541.0</v>
      </c>
      <c r="G5101" s="80" t="s">
        <v>63</v>
      </c>
      <c r="I5101" s="80" t="s">
        <v>63</v>
      </c>
      <c r="J5101" s="80">
        <v>498.0</v>
      </c>
      <c r="K5101" s="80">
        <v>0.982248520710059</v>
      </c>
      <c r="L5101" s="80" t="s">
        <v>64</v>
      </c>
    </row>
    <row r="5102">
      <c r="A5102" s="80" t="s">
        <v>1016</v>
      </c>
      <c r="B5102" s="81" t="str">
        <f>HYPERLINK("https://www.youtube.com/channel/UCSbiR1l-cfzk44iTJVSAZVQ", "Rhapsody in Lingo")</f>
        <v>Rhapsody in Lingo</v>
      </c>
      <c r="C5102" s="80" t="s">
        <v>5555</v>
      </c>
      <c r="D5102" s="81" t="str">
        <f>HYPERLINK("https://youtube.com/watch?v=gwaP61WR530", "高地牛 VS 屯門牛！格拉斯哥郊野公園．睇牛睇雀一日遊【粵字】蘇格蘭生活旅遊vlog")</f>
        <v>高地牛 VS 屯門牛！格拉斯哥郊野公園．睇牛睇雀一日遊【粵字】蘇格蘭生活旅遊vlog</v>
      </c>
      <c r="E5102" s="82">
        <v>44624.0</v>
      </c>
      <c r="F5102" s="80">
        <v>612.0</v>
      </c>
      <c r="G5102" s="80" t="s">
        <v>63</v>
      </c>
      <c r="I5102" s="80" t="s">
        <v>63</v>
      </c>
      <c r="J5102" s="80">
        <v>1429.0</v>
      </c>
      <c r="K5102" s="80">
        <v>0.891453524641297</v>
      </c>
      <c r="L5102" s="80" t="s">
        <v>1142</v>
      </c>
    </row>
    <row r="5103">
      <c r="A5103" s="80" t="s">
        <v>2898</v>
      </c>
      <c r="B5103" s="81" t="str">
        <f>HYPERLINK("https://www.youtube.com/channel/UCy5bjMXbFPglSBNDXfivtOA", "消費者委員會")</f>
        <v>消費者委員會</v>
      </c>
      <c r="C5103" s="80" t="s">
        <v>5556</v>
      </c>
      <c r="D5103" s="81" t="str">
        <f>HYPERLINK("https://youtube.com/watch?v=079JGuHggp4", "【梁凱寧 x BBQ 電燒烤爐 大比拼】")</f>
        <v>【梁凱寧 x BBQ 電燒烤爐 大比拼】</v>
      </c>
      <c r="E5103" s="82">
        <v>44635.0</v>
      </c>
      <c r="F5103" s="80">
        <v>214.0</v>
      </c>
      <c r="G5103" s="80" t="s">
        <v>63</v>
      </c>
      <c r="I5103" s="80" t="s">
        <v>63</v>
      </c>
      <c r="J5103" s="80">
        <v>720.0</v>
      </c>
      <c r="K5103" s="80">
        <v>0.998613037447988</v>
      </c>
      <c r="L5103" s="80" t="s">
        <v>64</v>
      </c>
    </row>
    <row r="5104">
      <c r="A5104" s="80" t="s">
        <v>98</v>
      </c>
      <c r="B5104" s="81" t="str">
        <f>HYPERLINK("https://www.youtube.com/channel/UCrquuQB6v1Ued2xyRKZreGQ", "Stephen Leung ")</f>
        <v>Stephen Leung </v>
      </c>
      <c r="C5104" s="80" t="s">
        <v>5557</v>
      </c>
      <c r="D5104" s="81" t="str">
        <f>HYPERLINK("https://youtube.com/watch?v=XnRQ1zZP_Pk", "【原味食材】 屯門三聖海鮮街 避免中伏 超多貨 $4xx 買到原隻日本毛蟹 巨大松葉蟹 紅瓜子斑 香港海鮮 Seafood boil Hong Kong Seafood Fishing")</f>
        <v>【原味食材】 屯門三聖海鮮街 避免中伏 超多貨 $4xx 買到原隻日本毛蟹 巨大松葉蟹 紅瓜子斑 香港海鮮 Seafood boil Hong Kong Seafood Fishing</v>
      </c>
      <c r="E5104" s="82">
        <v>44661.0</v>
      </c>
      <c r="F5104" s="80">
        <v>537.0</v>
      </c>
      <c r="G5104" s="80" t="s">
        <v>63</v>
      </c>
      <c r="I5104" s="80" t="s">
        <v>63</v>
      </c>
      <c r="J5104" s="80">
        <v>1240.0</v>
      </c>
      <c r="K5104" s="80">
        <v>0.984126984126984</v>
      </c>
      <c r="L5104" s="80" t="s">
        <v>521</v>
      </c>
    </row>
    <row r="5105">
      <c r="A5105" s="80" t="s">
        <v>293</v>
      </c>
      <c r="B5105" s="81" t="str">
        <f>HYPERLINK("https://www.youtube.com/channel/UCXRcbXqjORdIvl63I7MtOLQ", "趁熱 Kerry 's kitchen")</f>
        <v>趁熱 Kerry 's kitchen</v>
      </c>
      <c r="C5105" s="80" t="s">
        <v>5558</v>
      </c>
      <c r="D5105" s="81" t="str">
        <f>HYPERLINK("https://youtube.com/watch?v=Bbp68yeFsXA", "蝦醬啫豆角/勁惹味/新手做冇難度/好餸飯/10分鐘攪掂收工做都得/廣東話/中字")</f>
        <v>蝦醬啫豆角/勁惹味/新手做冇難度/好餸飯/10分鐘攪掂收工做都得/廣東話/中字</v>
      </c>
      <c r="E5105" s="82">
        <v>44694.0</v>
      </c>
      <c r="F5105" s="80">
        <v>510.0</v>
      </c>
      <c r="G5105" s="80" t="s">
        <v>63</v>
      </c>
      <c r="I5105" s="80" t="s">
        <v>63</v>
      </c>
      <c r="J5105" s="80">
        <v>537.0</v>
      </c>
      <c r="K5105" s="80">
        <v>0.987132352941176</v>
      </c>
      <c r="L5105" s="80" t="s">
        <v>64</v>
      </c>
    </row>
    <row r="5106">
      <c r="A5106" s="80" t="s">
        <v>124</v>
      </c>
      <c r="B5106" s="81" t="str">
        <f>HYPERLINK("https://www.youtube.com/channel/UCg0vuSE0fBF_NvodyYhMcWg", "Wallace Studio HK")</f>
        <v>Wallace Studio HK</v>
      </c>
      <c r="C5106" s="80" t="s">
        <v>5559</v>
      </c>
      <c r="D5106" s="81" t="str">
        <f>HYPERLINK("https://youtube.com/watch?v=c0p49R2a7FA", "小米12 Pro 評測!? 大改進! 2022抵用旗艦?")</f>
        <v>小米12 Pro 評測!? 大改進! 2022抵用旗艦?</v>
      </c>
      <c r="E5106" s="82">
        <v>44689.0</v>
      </c>
      <c r="F5106" s="80">
        <v>555.0</v>
      </c>
      <c r="G5106" s="80" t="s">
        <v>63</v>
      </c>
      <c r="H5106" s="80" t="s">
        <v>63</v>
      </c>
      <c r="I5106" s="80" t="s">
        <v>63</v>
      </c>
      <c r="J5106" s="80">
        <v>2148.0</v>
      </c>
      <c r="K5106" s="80">
        <v>0.869942196531792</v>
      </c>
      <c r="L5106" s="80" t="s">
        <v>86</v>
      </c>
    </row>
    <row r="5107">
      <c r="A5107" s="80" t="s">
        <v>1312</v>
      </c>
      <c r="B5107" s="81" t="str">
        <f>HYPERLINK("https://www.youtube.com/channel/UC1NxU2rbVZW0Rq6VHmaqoEQ", "Jarvis &amp; Isabella")</f>
        <v>Jarvis &amp; Isabella</v>
      </c>
      <c r="C5107" s="80" t="s">
        <v>5560</v>
      </c>
      <c r="D5107" s="81" t="str">
        <f>HYPERLINK("https://youtube.com/watch?v=hCYJBfqaI0s", "【 英國 Vlog 】| 曼城美食推介 | 港式食品 + 台式飲品 | 半路見到松鼠一家 | 我哋嘅入油選擇 | 剪頭髮 |  ｜CC 中文字幕｜Jarvis &amp; Isabella")</f>
        <v>【 英國 Vlog 】| 曼城美食推介 | 港式食品 + 台式飲品 | 半路見到松鼠一家 | 我哋嘅入油選擇 | 剪頭髮 |  ｜CC 中文字幕｜Jarvis &amp; Isabella</v>
      </c>
      <c r="E5107" s="82">
        <v>44682.0</v>
      </c>
      <c r="F5107" s="80">
        <v>1031.0</v>
      </c>
      <c r="G5107" s="80" t="s">
        <v>63</v>
      </c>
      <c r="I5107" s="80" t="s">
        <v>63</v>
      </c>
      <c r="J5107" s="80">
        <v>2938.0</v>
      </c>
      <c r="K5107" s="80">
        <v>0.88122375524895</v>
      </c>
      <c r="L5107" s="80" t="s">
        <v>64</v>
      </c>
    </row>
    <row r="5108">
      <c r="A5108" s="80" t="s">
        <v>1390</v>
      </c>
      <c r="B5108" s="81" t="str">
        <f>HYPERLINK("https://www.youtube.com/channel/UCgwEJflQi4WnZ8PU0xdibZQ", "Kinson Ho")</f>
        <v>Kinson Ho</v>
      </c>
      <c r="C5108" s="80" t="s">
        <v>5561</v>
      </c>
      <c r="D5108" s="81" t="str">
        <f>HYPERLINK("https://youtube.com/watch?v=pmuvCKnq7c4", "K神任我行 -  [CC字幕4K] 石澳大頭洲尋石｜米奇石室｜航拍機離奇遇襲傷亡慘重｜蠶蟲石｜麻鷹石｜董建華石｜大魚石｜路線分享")</f>
        <v>K神任我行 -  [CC字幕4K] 石澳大頭洲尋石｜米奇石室｜航拍機離奇遇襲傷亡慘重｜蠶蟲石｜麻鷹石｜董建華石｜大魚石｜路線分享</v>
      </c>
      <c r="E5108" s="82">
        <v>44701.0</v>
      </c>
      <c r="F5108" s="80">
        <v>834.0</v>
      </c>
      <c r="G5108" s="80" t="s">
        <v>63</v>
      </c>
      <c r="I5108" s="80" t="s">
        <v>63</v>
      </c>
      <c r="J5108" s="80">
        <v>767.0</v>
      </c>
      <c r="K5108" s="80">
        <v>0.977070063694267</v>
      </c>
      <c r="L5108" s="80" t="s">
        <v>64</v>
      </c>
    </row>
    <row r="5109">
      <c r="A5109" s="80" t="s">
        <v>108</v>
      </c>
      <c r="B5109" s="81" t="str">
        <f>HYPERLINK("https://www.youtube.com/channel/UCZL6QN6Xs-ZrKY3y6Pv6Emg", "廢青 - 日賺3000")</f>
        <v>廢青 - 日賺3000</v>
      </c>
      <c r="C5109" s="80" t="s">
        <v>5562</v>
      </c>
      <c r="D5109" s="81" t="str">
        <f>HYPERLINK("https://youtube.com/watch?v=ODQrKTVvoBA", "【消費券】消費券的 4 種投資方法 ( 低門檻 ) | 股票 ? Bitcoin | 黃金 | 腦袋 | 生財工具 |  2022 財務自由教學EP29【廢青 日賺3000】【點CC看中文字幕】")</f>
        <v>【消費券】消費券的 4 種投資方法 ( 低門檻 ) | 股票 ? Bitcoin | 黃金 | 腦袋 | 生財工具 |  2022 財務自由教學EP29【廢青 日賺3000】【點CC看中文字幕】</v>
      </c>
      <c r="E5109" s="82">
        <v>44661.0</v>
      </c>
      <c r="F5109" s="80">
        <v>625.0</v>
      </c>
      <c r="G5109" s="80" t="s">
        <v>63</v>
      </c>
      <c r="I5109" s="80" t="s">
        <v>63</v>
      </c>
      <c r="J5109" s="80">
        <v>2794.0</v>
      </c>
      <c r="K5109" s="80">
        <v>0.913370382477934</v>
      </c>
      <c r="L5109" s="80" t="s">
        <v>64</v>
      </c>
    </row>
    <row r="5110">
      <c r="A5110" s="80" t="s">
        <v>2829</v>
      </c>
      <c r="B5110" s="81" t="str">
        <f>HYPERLINK("https://www.youtube.com/channel/UC7GnES6AEQlDzaP04UqtyjA", "SOLID IDEA")</f>
        <v>SOLID IDEA</v>
      </c>
      <c r="C5110" s="80" t="s">
        <v>5563</v>
      </c>
      <c r="D5110" s="81" t="str">
        <f>HYPERLINK("https://youtube.com/watch?v=Fs1YcS_v5wg", "[#設計概念] #寵物家居 有咩方案可以參考？  | 室內設計 | 空間擺位 | SOLID IDEA | (CC中文字幕)")</f>
        <v>[#設計概念] #寵物家居 有咩方案可以參考？  | 室內設計 | 空間擺位 | SOLID IDEA | (CC中文字幕)</v>
      </c>
      <c r="E5110" s="82">
        <v>44680.0</v>
      </c>
      <c r="F5110" s="80">
        <v>234.0</v>
      </c>
      <c r="G5110" s="80" t="s">
        <v>63</v>
      </c>
      <c r="I5110" s="80" t="s">
        <v>63</v>
      </c>
      <c r="J5110" s="80">
        <v>519.0</v>
      </c>
      <c r="K5110" s="80">
        <v>0.904181184668989</v>
      </c>
      <c r="L5110" s="80" t="s">
        <v>64</v>
      </c>
    </row>
    <row r="5111">
      <c r="A5111" s="80" t="s">
        <v>74</v>
      </c>
      <c r="B5111" s="81" t="str">
        <f>HYPERLINK("https://www.youtube.com/channel/UCO_5XP-qd-udNxBlzzSzgvw", "Handline Fishing")</f>
        <v>Handline Fishing</v>
      </c>
      <c r="C5111" s="80" t="s">
        <v>5564</v>
      </c>
      <c r="D5111" s="81" t="str">
        <f>HYPERLINK("https://youtube.com/watch?v=AmrQWTNv31E", "#273 季尾黑白無雙 | 香港釣魚 | 艇釣 | 天然氣 {粵語旁白+中英文字幕}")</f>
        <v>#273 季尾黑白無雙 | 香港釣魚 | 艇釣 | 天然氣 {粵語旁白+中英文字幕}</v>
      </c>
      <c r="E5111" s="82">
        <v>44677.0</v>
      </c>
      <c r="F5111" s="80">
        <v>355.0</v>
      </c>
      <c r="G5111" s="80" t="s">
        <v>63</v>
      </c>
      <c r="H5111" s="80" t="s">
        <v>63</v>
      </c>
      <c r="I5111" s="80" t="s">
        <v>63</v>
      </c>
      <c r="J5111" s="80">
        <v>514.0</v>
      </c>
      <c r="K5111" s="80">
        <v>0.982791586998088</v>
      </c>
      <c r="L5111" s="80" t="s">
        <v>2175</v>
      </c>
    </row>
    <row r="5112">
      <c r="A5112" s="80" t="s">
        <v>96</v>
      </c>
      <c r="B5112" s="81" t="str">
        <f>HYPERLINK("https://www.youtube.com/channel/UCGtyHJ-L_4RDIHe3XaLofQQ", "Anson Cheung")</f>
        <v>Anson Cheung</v>
      </c>
      <c r="C5112" s="80" t="s">
        <v>5565</v>
      </c>
      <c r="D5112" s="81" t="str">
        <f>HYPERLINK("https://youtube.com/watch?v=HvEsQIMrZhk", "Samsung Galaxy A53 5G 評測：Android界的「iPhone SE」🤔？| Samsung Galaxy A53 5G Review")</f>
        <v>Samsung Galaxy A53 5G 評測：Android界的「iPhone SE」🤔？| Samsung Galaxy A53 5G Review</v>
      </c>
      <c r="E5112" s="82">
        <v>44676.0</v>
      </c>
      <c r="F5112" s="80">
        <v>657.0</v>
      </c>
      <c r="G5112" s="80" t="s">
        <v>63</v>
      </c>
      <c r="H5112" s="80" t="s">
        <v>63</v>
      </c>
      <c r="I5112" s="80" t="s">
        <v>63</v>
      </c>
      <c r="J5112" s="80">
        <v>2736.0</v>
      </c>
      <c r="K5112" s="80">
        <v>0.81042654028436</v>
      </c>
      <c r="L5112" s="80" t="s">
        <v>240</v>
      </c>
    </row>
    <row r="5113">
      <c r="A5113" s="80" t="s">
        <v>1312</v>
      </c>
      <c r="B5113" s="81" t="str">
        <f>HYPERLINK("https://www.youtube.com/channel/UC1NxU2rbVZW0Rq6VHmaqoEQ", "Jarvis &amp; Isabella")</f>
        <v>Jarvis &amp; Isabella</v>
      </c>
      <c r="C5113" s="80" t="s">
        <v>5566</v>
      </c>
      <c r="D5113" s="81" t="str">
        <f>HYPERLINK("https://youtube.com/watch?v=avFYwAMrHnE", "【 生活 Vlog 】試整古早味蛋糕 | 在家的一天 | 三叉肉碎蒸蛋法 |｜CC 中文字幕｜Jarvis &amp; Isabella")</f>
        <v>【 生活 Vlog 】試整古早味蛋糕 | 在家的一天 | 三叉肉碎蒸蛋法 |｜CC 中文字幕｜Jarvis &amp; Isabella</v>
      </c>
      <c r="E5113" s="82">
        <v>44691.0</v>
      </c>
      <c r="F5113" s="80">
        <v>534.0</v>
      </c>
      <c r="G5113" s="80" t="s">
        <v>63</v>
      </c>
      <c r="I5113" s="80" t="s">
        <v>63</v>
      </c>
      <c r="J5113" s="80">
        <v>1632.0</v>
      </c>
      <c r="K5113" s="80">
        <v>0.88695652173913</v>
      </c>
      <c r="L5113" s="80" t="s">
        <v>64</v>
      </c>
    </row>
    <row r="5114">
      <c r="A5114" s="80" t="s">
        <v>248</v>
      </c>
      <c r="B5114" s="81" t="str">
        <f>HYPERLINK("https://www.youtube.com/channel/UCUEJok-GiWaGlv5nIPwk-GQ", "Price.com.hk 香港格價網")</f>
        <v>Price.com.hk 香港格價網</v>
      </c>
      <c r="C5114" s="80" t="s">
        <v>5567</v>
      </c>
      <c r="D5114" s="81" t="str">
        <f>HYPERLINK("https://youtube.com/watch?v=en3iO8kiWkU", "售價$1,280﹗1MORE EVO 超抵玩真無線耳機｜42dB分頻降噪、圈鐵混合單元、支援LDAC、 智能通話降噪｜特約專題【Price.com.hk產品評測】")</f>
        <v>售價$1,280﹗1MORE EVO 超抵玩真無線耳機｜42dB分頻降噪、圈鐵混合單元、支援LDAC、 智能通話降噪｜特約專題【Price.com.hk產品評測】</v>
      </c>
      <c r="E5114" s="82">
        <v>44663.0</v>
      </c>
      <c r="F5114" s="80">
        <v>507.0</v>
      </c>
      <c r="G5114" s="80" t="s">
        <v>63</v>
      </c>
      <c r="I5114" s="80" t="s">
        <v>63</v>
      </c>
      <c r="J5114" s="80">
        <v>1559.0</v>
      </c>
      <c r="K5114" s="80">
        <v>0.798259088581669</v>
      </c>
      <c r="L5114" s="80" t="s">
        <v>64</v>
      </c>
    </row>
    <row r="5115">
      <c r="A5115" s="80" t="s">
        <v>124</v>
      </c>
      <c r="B5115" s="81" t="str">
        <f>HYPERLINK("https://www.youtube.com/channel/UCg0vuSE0fBF_NvodyYhMcWg", "Wallace Studio HK")</f>
        <v>Wallace Studio HK</v>
      </c>
      <c r="C5115" s="80" t="s">
        <v>5568</v>
      </c>
      <c r="D5115" s="81" t="str">
        <f>HYPERLINK("https://youtube.com/watch?v=gsWPuxIPA6I", "Samsung Galaxy Tab S8 Plus 評測 ！ 最應該買既Galaxy Tab S8 系列")</f>
        <v>Samsung Galaxy Tab S8 Plus 評測 ！ 最應該買既Galaxy Tab S8 系列</v>
      </c>
      <c r="E5115" s="82">
        <v>44661.0</v>
      </c>
      <c r="F5115" s="80">
        <v>432.0</v>
      </c>
      <c r="G5115" s="80" t="s">
        <v>63</v>
      </c>
      <c r="I5115" s="80" t="s">
        <v>63</v>
      </c>
      <c r="J5115" s="80">
        <v>1656.0</v>
      </c>
      <c r="K5115" s="80">
        <v>0.780028261893546</v>
      </c>
      <c r="L5115" s="80" t="s">
        <v>64</v>
      </c>
    </row>
    <row r="5116">
      <c r="A5116" s="80" t="s">
        <v>293</v>
      </c>
      <c r="B5116" s="81" t="str">
        <f>HYPERLINK("https://www.youtube.com/channel/UCXRcbXqjORdIvl63I7MtOLQ", "趁熱 Kerry 's kitchen")</f>
        <v>趁熱 Kerry 's kitchen</v>
      </c>
      <c r="C5116" s="80" t="s">
        <v>5569</v>
      </c>
      <c r="D5116" s="81" t="str">
        <f>HYPERLINK("https://youtube.com/watch?v=KhTjyKpBR2A", "蒸 雞翼/花菇雲耳蒸雞翼/通血管/少油/收工煮都得/低 成本/廣東話/中字/steamed chicken wing  with dried mushroom")</f>
        <v>蒸 雞翼/花菇雲耳蒸雞翼/通血管/少油/收工煮都得/低 成本/廣東話/中字/steamed chicken wing  with dried mushroom</v>
      </c>
      <c r="E5116" s="82">
        <v>44645.0</v>
      </c>
      <c r="F5116" s="80">
        <v>506.0</v>
      </c>
      <c r="G5116" s="80" t="s">
        <v>63</v>
      </c>
      <c r="I5116" s="80" t="s">
        <v>63</v>
      </c>
      <c r="J5116" s="80">
        <v>642.0</v>
      </c>
      <c r="K5116" s="80">
        <v>0.978658536585365</v>
      </c>
      <c r="L5116" s="80" t="s">
        <v>64</v>
      </c>
    </row>
    <row r="5117">
      <c r="A5117" s="80" t="s">
        <v>2898</v>
      </c>
      <c r="B5117" s="81" t="str">
        <f>HYPERLINK("https://www.youtube.com/channel/UCy5bjMXbFPglSBNDXfivtOA", "消費者委員會")</f>
        <v>消費者委員會</v>
      </c>
      <c r="C5117" s="80" t="s">
        <v>5570</v>
      </c>
      <c r="D5117" s="81" t="str">
        <f>HYPERLINK("https://youtube.com/watch?v=w-xf2jdHpLE", "【徐立德、植海維、張曦晨 X 香腸安全、營養大檢閱】")</f>
        <v>【徐立德、植海維、張曦晨 X 香腸安全、營養大檢閱】</v>
      </c>
      <c r="E5117" s="82">
        <v>44697.0</v>
      </c>
      <c r="F5117" s="80">
        <v>216.0</v>
      </c>
      <c r="G5117" s="80" t="s">
        <v>63</v>
      </c>
      <c r="I5117" s="80" t="s">
        <v>63</v>
      </c>
      <c r="J5117" s="80">
        <v>642.0</v>
      </c>
      <c r="K5117" s="80">
        <v>0.949704142011834</v>
      </c>
      <c r="L5117" s="80" t="s">
        <v>102</v>
      </c>
    </row>
    <row r="5118">
      <c r="A5118" s="80" t="s">
        <v>248</v>
      </c>
      <c r="B5118" s="81" t="str">
        <f>HYPERLINK("https://www.youtube.com/channel/UCUEJok-GiWaGlv5nIPwk-GQ", "Price.com.hk 香港格價網")</f>
        <v>Price.com.hk 香港格價網</v>
      </c>
      <c r="C5118" s="80" t="s">
        <v>5571</v>
      </c>
      <c r="D5118" s="81" t="str">
        <f>HYPERLINK("https://youtube.com/watch?v=9Dr9qPcf7IQ", "全天候保鮮的雪櫃！蔬菜不易變黃？肉類急凍後仍能鎖住水份？日本製三菱電機環保雪櫃實測｜特約專題【Price.com.hk產品評測】")</f>
        <v>全天候保鮮的雪櫃！蔬菜不易變黃？肉類急凍後仍能鎖住水份？日本製三菱電機環保雪櫃實測｜特約專題【Price.com.hk產品評測】</v>
      </c>
      <c r="E5118" s="82">
        <v>44676.0</v>
      </c>
      <c r="F5118" s="80">
        <v>241.0</v>
      </c>
      <c r="G5118" s="80" t="s">
        <v>63</v>
      </c>
      <c r="I5118" s="80" t="s">
        <v>63</v>
      </c>
      <c r="J5118" s="80">
        <v>1067.0</v>
      </c>
      <c r="K5118" s="80">
        <v>0.941747572815534</v>
      </c>
      <c r="L5118" s="80" t="s">
        <v>64</v>
      </c>
    </row>
    <row r="5119">
      <c r="A5119" s="80" t="s">
        <v>2800</v>
      </c>
      <c r="B5119" s="81" t="str">
        <f>HYPERLINK("https://www.youtube.com/channel/UCMqrlsr-AECPc6_3oDr8m9w", "Unicorn 獸哥")</f>
        <v>Unicorn 獸哥</v>
      </c>
      <c r="C5119" s="80" t="s">
        <v>5572</v>
      </c>
      <c r="D5119" s="81" t="str">
        <f>HYPERLINK("https://youtube.com/watch?v=vMtyBur7mNs", "認識烏克蘭的遊戲工作室 Stand With Ukriane")</f>
        <v>認識烏克蘭的遊戲工作室 Stand With Ukriane</v>
      </c>
      <c r="E5119" s="82">
        <v>44623.0</v>
      </c>
      <c r="F5119" s="80">
        <v>534.0</v>
      </c>
      <c r="G5119" s="80" t="s">
        <v>63</v>
      </c>
      <c r="I5119" s="80" t="s">
        <v>63</v>
      </c>
      <c r="J5119" s="80">
        <v>2215.0</v>
      </c>
      <c r="K5119" s="80">
        <v>0.797910662824207</v>
      </c>
      <c r="L5119" s="80" t="s">
        <v>64</v>
      </c>
    </row>
    <row r="5120">
      <c r="A5120" s="80" t="s">
        <v>1670</v>
      </c>
      <c r="B5120" s="81" t="str">
        <f>HYPERLINK("https://www.youtube.com/channel/UC-PIt5m-WOg8UVBkt2RnN0g", "阿JACK睇樓團")</f>
        <v>阿JACK睇樓團</v>
      </c>
      <c r="C5120" s="80" t="s">
        <v>5573</v>
      </c>
      <c r="D5120" s="81" t="str">
        <f>HYPERLINK("https://youtube.com/watch?v=wkRbZLesbbg", "50萬首期🤩搞掂嘅私人樓 有埋裝修又慳返啲 屯門樓 阿Jack睇樓團 睇樓")</f>
        <v>50萬首期🤩搞掂嘅私人樓 有埋裝修又慳返啲 屯門樓 阿Jack睇樓團 睇樓</v>
      </c>
      <c r="E5120" s="82">
        <v>44638.0</v>
      </c>
      <c r="F5120" s="80">
        <v>601.0</v>
      </c>
      <c r="G5120" s="80" t="s">
        <v>63</v>
      </c>
      <c r="I5120" s="80" t="s">
        <v>63</v>
      </c>
      <c r="J5120" s="80">
        <v>2293.0</v>
      </c>
      <c r="K5120" s="80">
        <v>0.989214840379637</v>
      </c>
      <c r="L5120" s="80" t="s">
        <v>64</v>
      </c>
    </row>
    <row r="5121">
      <c r="A5121" s="80" t="s">
        <v>248</v>
      </c>
      <c r="B5121" s="81" t="str">
        <f>HYPERLINK("https://www.youtube.com/channel/UCUEJok-GiWaGlv5nIPwk-GQ", "Price.com.hk 香港格價網")</f>
        <v>Price.com.hk 香港格價網</v>
      </c>
      <c r="C5121" s="80" t="s">
        <v>5574</v>
      </c>
      <c r="D5121" s="81" t="str">
        <f>HYPERLINK("https://youtube.com/watch?v=cFHtIP1GZTo", "iPhone mini 或後繼無機？｜B&amp;O首款帶柄式True Wireless Beoplay EX｜Netflix擬推平Plan搶客｜廣東話【Price Weekly #111 2022年4月】")</f>
        <v>iPhone mini 或後繼無機？｜B&amp;O首款帶柄式True Wireless Beoplay EX｜Netflix擬推平Plan搶客｜廣東話【Price Weekly #111 2022年4月】</v>
      </c>
      <c r="E5121" s="82">
        <v>44674.0</v>
      </c>
      <c r="F5121" s="80">
        <v>513.0</v>
      </c>
      <c r="G5121" s="80" t="s">
        <v>63</v>
      </c>
      <c r="I5121" s="80" t="s">
        <v>63</v>
      </c>
      <c r="J5121" s="80">
        <v>1810.0</v>
      </c>
      <c r="K5121" s="80">
        <v>0.796654929577464</v>
      </c>
      <c r="L5121" s="80" t="s">
        <v>64</v>
      </c>
    </row>
    <row r="5122">
      <c r="A5122" s="80" t="s">
        <v>293</v>
      </c>
      <c r="B5122" s="81" t="str">
        <f>HYPERLINK("https://www.youtube.com/channel/UCXRcbXqjORdIvl63I7MtOLQ", "趁熱 Kerry 's kitchen")</f>
        <v>趁熱 Kerry 's kitchen</v>
      </c>
      <c r="C5122" s="80" t="s">
        <v>5575</v>
      </c>
      <c r="D5122" s="81" t="str">
        <f>HYPERLINK("https://youtube.com/watch?v=6cq1FmZDiJA", "電飯煲雞翼懶人飯/一煲過一家人食/簡單方便低成本/避疫飯/新手 入門/廣東話/中字")</f>
        <v>電飯煲雞翼懶人飯/一煲過一家人食/簡單方便低成本/避疫飯/新手 入門/廣東話/中字</v>
      </c>
      <c r="E5122" s="82">
        <v>44627.0</v>
      </c>
      <c r="F5122" s="80">
        <v>562.0</v>
      </c>
      <c r="G5122" s="80" t="s">
        <v>63</v>
      </c>
      <c r="I5122" s="80" t="s">
        <v>63</v>
      </c>
      <c r="J5122" s="80">
        <v>852.0</v>
      </c>
      <c r="K5122" s="80">
        <v>0.971493728620296</v>
      </c>
      <c r="L5122" s="80" t="s">
        <v>64</v>
      </c>
    </row>
    <row r="5123">
      <c r="A5123" s="80" t="s">
        <v>248</v>
      </c>
      <c r="B5123" s="81" t="str">
        <f>HYPERLINK("https://www.youtube.com/channel/UCUEJok-GiWaGlv5nIPwk-GQ", "Price.com.hk 香港格價網")</f>
        <v>Price.com.hk 香港格價網</v>
      </c>
      <c r="C5123" s="80" t="s">
        <v>5576</v>
      </c>
      <c r="D5123" s="81" t="str">
        <f>HYPERLINK("https://youtube.com/watch?v=eK1p9PVEs00", "Samsung新一代智能顯示器M8．Dyson首款穿戴產品 空氣淨化耳機．Intel推出Arc獨立顯示卡｜廣東話【Price Weekly #108 2022年4月 】")</f>
        <v>Samsung新一代智能顯示器M8．Dyson首款穿戴產品 空氣淨化耳機．Intel推出Arc獨立顯示卡｜廣東話【Price Weekly #108 2022年4月 】</v>
      </c>
      <c r="E5123" s="82">
        <v>44653.0</v>
      </c>
      <c r="F5123" s="80">
        <v>550.0</v>
      </c>
      <c r="G5123" s="80" t="s">
        <v>63</v>
      </c>
      <c r="I5123" s="80" t="s">
        <v>63</v>
      </c>
      <c r="J5123" s="80">
        <v>1711.0</v>
      </c>
      <c r="K5123" s="80">
        <v>0.660108024691358</v>
      </c>
      <c r="L5123" s="80" t="s">
        <v>64</v>
      </c>
    </row>
    <row r="5124">
      <c r="A5124" s="80" t="s">
        <v>293</v>
      </c>
      <c r="B5124" s="81" t="str">
        <f>HYPERLINK("https://www.youtube.com/channel/UCXRcbXqjORdIvl63I7MtOLQ", "趁熱 Kerry 's kitchen")</f>
        <v>趁熱 Kerry 's kitchen</v>
      </c>
      <c r="C5124" s="80" t="s">
        <v>5577</v>
      </c>
      <c r="D5124" s="81" t="str">
        <f>HYPERLINK("https://youtube.com/watch?v=PusBwcDOAkk", "炒 烏冬/蝦醬鮮魷炒烏冬/堅惹味/彈性處理冇魷魚都得/自己在家做冇難度/廣東話/中字/fried udon with squid,")</f>
        <v>炒 烏冬/蝦醬鮮魷炒烏冬/堅惹味/彈性處理冇魷魚都得/自己在家做冇難度/廣東話/中字/fried udon with squid,</v>
      </c>
      <c r="E5124" s="82">
        <v>44643.0</v>
      </c>
      <c r="F5124" s="80">
        <v>619.0</v>
      </c>
      <c r="G5124" s="80" t="s">
        <v>63</v>
      </c>
      <c r="I5124" s="80" t="s">
        <v>63</v>
      </c>
      <c r="J5124" s="80">
        <v>676.0</v>
      </c>
      <c r="K5124" s="80">
        <v>0.989751098096632</v>
      </c>
      <c r="L5124" s="80" t="s">
        <v>64</v>
      </c>
    </row>
    <row r="5125">
      <c r="A5125" s="80" t="s">
        <v>3051</v>
      </c>
      <c r="B5125" s="81" t="str">
        <f>HYPERLINK("https://www.youtube.com/channel/UCvE0FPIL24o2mnUQIqcSHYA", "柴犬春卷的英國日常 Shiba Harumaki in UK")</f>
        <v>柴犬春卷的英國日常 Shiba Harumaki in UK</v>
      </c>
      <c r="C5125" s="80" t="s">
        <v>5578</v>
      </c>
      <c r="D5125" s="81" t="str">
        <f>HYPERLINK("https://youtube.com/watch?v=4jazCtduAqU", "邊個話狗狗唔入得餐廳?｜柴犬春卷出城見朋友｜曼城寵物友善餐廳Feel Good Club｜移民英國曼城｜寵物移民｜Shiba Inu Manchester｜曼徹斯特｜中文字幕 [Eng Sub] UK")</f>
        <v>邊個話狗狗唔入得餐廳?｜柴犬春卷出城見朋友｜曼城寵物友善餐廳Feel Good Club｜移民英國曼城｜寵物移民｜Shiba Inu Manchester｜曼徹斯特｜中文字幕 [Eng Sub] UK</v>
      </c>
      <c r="E5125" s="82">
        <v>44670.0</v>
      </c>
      <c r="F5125" s="80">
        <v>489.0</v>
      </c>
      <c r="G5125" s="80" t="s">
        <v>63</v>
      </c>
      <c r="I5125" s="80" t="s">
        <v>63</v>
      </c>
      <c r="J5125" s="80">
        <v>287.0</v>
      </c>
      <c r="K5125" s="80">
        <v>0.894080996884735</v>
      </c>
      <c r="L5125" s="80" t="s">
        <v>521</v>
      </c>
    </row>
    <row r="5126">
      <c r="A5126" s="80" t="s">
        <v>140</v>
      </c>
      <c r="B5126" s="81" t="str">
        <f>HYPERLINK("https://www.youtube.com/channel/UCHK0CZf9HEXs42qIO1GUouA", "TechiCardia")</f>
        <v>TechiCardia</v>
      </c>
      <c r="C5126" s="80" t="s">
        <v>5579</v>
      </c>
      <c r="D5126" s="81" t="str">
        <f>HYPERLINK("https://youtube.com/watch?v=vDQDb43joOQ", "深水埗電腦周邊購物大戰！一千蚊買到咩？邊個買得好啲？內含giveaway活動！| 開箱 | 挑戰 | 投票 | VLOG //4K 【TechiCardia @TechMing 】[CC 廣東話字幕]")</f>
        <v>深水埗電腦周邊購物大戰！一千蚊買到咩？邊個買得好啲？內含giveaway活動！| 開箱 | 挑戰 | 投票 | VLOG //4K 【TechiCardia @TechMing 】[CC 廣東話字幕]</v>
      </c>
      <c r="E5126" s="82">
        <v>44680.0</v>
      </c>
      <c r="F5126" s="80">
        <v>1260.0</v>
      </c>
      <c r="G5126" s="80" t="s">
        <v>63</v>
      </c>
      <c r="I5126" s="80" t="s">
        <v>63</v>
      </c>
      <c r="J5126" s="80">
        <v>4284.0</v>
      </c>
      <c r="K5126" s="80">
        <v>0.701260435423146</v>
      </c>
      <c r="L5126" s="80" t="s">
        <v>102</v>
      </c>
    </row>
    <row r="5127">
      <c r="A5127" s="80" t="s">
        <v>2585</v>
      </c>
      <c r="B5127" s="81" t="str">
        <f>HYPERLINK("https://www.youtube.com/channel/UCyyruuN0VecuYxPNR4un88Q", "混血肥仔")</f>
        <v>混血肥仔</v>
      </c>
      <c r="C5127" s="80" t="s">
        <v>5580</v>
      </c>
      <c r="D5127" s="81" t="str">
        <f>HYPERLINK("https://youtube.com/watch?v=0j2ozhNolxI", "小粉紅出征烏克蘭😤 ｜網路酸民實錄")</f>
        <v>小粉紅出征烏克蘭😤 ｜網路酸民實錄</v>
      </c>
      <c r="E5127" s="82">
        <v>44621.0</v>
      </c>
      <c r="F5127" s="80">
        <v>371.0</v>
      </c>
      <c r="G5127" s="80" t="s">
        <v>63</v>
      </c>
      <c r="I5127" s="80" t="s">
        <v>63</v>
      </c>
      <c r="J5127" s="80">
        <v>951.0</v>
      </c>
      <c r="K5127" s="80">
        <v>0.96060606060606</v>
      </c>
      <c r="L5127" s="80" t="s">
        <v>521</v>
      </c>
    </row>
    <row r="5128">
      <c r="A5128" s="80" t="s">
        <v>248</v>
      </c>
      <c r="B5128" s="81" t="str">
        <f>HYPERLINK("https://www.youtube.com/channel/UCUEJok-GiWaGlv5nIPwk-GQ", "Price.com.hk 香港格價網")</f>
        <v>Price.com.hk 香港格價網</v>
      </c>
      <c r="C5128" s="80" t="s">
        <v>5581</v>
      </c>
      <c r="D5128" s="81" t="str">
        <f>HYPERLINK("https://youtube.com/watch?v=rGujMRh_dIU", "四月消費劵網購優惠｜4月7至11日｜每日激筍貨品開賣低至1折︱每晚20:00精選品牌大劈價︱信用卡支付折扣【Price.com.hk產品介紹】")</f>
        <v>四月消費劵網購優惠｜4月7至11日｜每日激筍貨品開賣低至1折︱每晚20:00精選品牌大劈價︱信用卡支付折扣【Price.com.hk產品介紹】</v>
      </c>
      <c r="E5128" s="82">
        <v>44657.0</v>
      </c>
      <c r="F5128" s="80">
        <v>377.0</v>
      </c>
      <c r="G5128" s="80" t="s">
        <v>63</v>
      </c>
      <c r="I5128" s="80" t="s">
        <v>63</v>
      </c>
      <c r="J5128" s="80">
        <v>1196.0</v>
      </c>
      <c r="K5128" s="80">
        <v>0.722222222222222</v>
      </c>
      <c r="L5128" s="80" t="s">
        <v>64</v>
      </c>
    </row>
    <row r="5129">
      <c r="A5129" s="80" t="s">
        <v>260</v>
      </c>
      <c r="B5129" s="81" t="str">
        <f>HYPERLINK("https://www.youtube.com/channel/UC-HXOikkLx7BGEfILGIpYOg", "港短 . 英移")</f>
        <v>港短 . 英移</v>
      </c>
      <c r="C5129" s="80" t="s">
        <v>5582</v>
      </c>
      <c r="D5129" s="81" t="str">
        <f>HYPERLINK("https://youtube.com/watch?v=zu6JfjZw-vs", "暫時去過最好的倫敦市集 - Borough Market | 港短.英移 #英國美食 #BoroughMarket")</f>
        <v>暫時去過最好的倫敦市集 - Borough Market | 港短.英移 #英國美食 #BoroughMarket</v>
      </c>
      <c r="E5129" s="82">
        <v>44631.0</v>
      </c>
      <c r="F5129" s="80">
        <v>401.0</v>
      </c>
      <c r="G5129" s="80" t="s">
        <v>63</v>
      </c>
      <c r="I5129" s="80" t="s">
        <v>63</v>
      </c>
      <c r="J5129" s="80">
        <v>1418.0</v>
      </c>
      <c r="K5129" s="80">
        <v>0.770233568712656</v>
      </c>
      <c r="L5129" s="80" t="s">
        <v>102</v>
      </c>
    </row>
    <row r="5130">
      <c r="A5130" s="80" t="s">
        <v>3048</v>
      </c>
      <c r="B5130" s="81" t="str">
        <f>HYPERLINK("https://www.youtube.com/channel/UCHiP6GctzJdIkYP20_9k-zg", "英倫。美景 about.the.england")</f>
        <v>英倫。美景 about.the.england</v>
      </c>
      <c r="C5130" s="80" t="s">
        <v>5583</v>
      </c>
      <c r="D5130" s="81" t="str">
        <f>HYPERLINK("https://youtube.com/watch?v=rT93GXs4sak", "英國必去博物館之一🎨【London V&amp;A藝術博物館 Victoria &amp; Albert Museum 】👍🏻")</f>
        <v>英國必去博物館之一🎨【London V&amp;A藝術博物館 Victoria &amp; Albert Museum 】👍🏻</v>
      </c>
      <c r="E5130" s="82">
        <v>44678.0</v>
      </c>
      <c r="F5130" s="80">
        <v>710.0</v>
      </c>
      <c r="G5130" s="80" t="s">
        <v>63</v>
      </c>
      <c r="I5130" s="80" t="s">
        <v>63</v>
      </c>
      <c r="J5130" s="80">
        <v>1647.0</v>
      </c>
      <c r="K5130" s="80">
        <v>0.926321709786276</v>
      </c>
      <c r="L5130" s="80" t="s">
        <v>64</v>
      </c>
    </row>
    <row r="5131">
      <c r="A5131" s="80" t="s">
        <v>5459</v>
      </c>
      <c r="B5131" s="81" t="str">
        <f>HYPERLINK("https://www.youtube.com/channel/UC8_4V541ZqVTev0mWbp10oA", "COMPUTE_B 砌機師")</f>
        <v>COMPUTE_B 砌機師</v>
      </c>
      <c r="C5131" s="80" t="s">
        <v>5584</v>
      </c>
      <c r="D5131" s="81" t="str">
        <f>HYPERLINK("https://youtube.com/watch?v=XRFs1rNXsk8", "唔明 1% FPS ? VA曲面 / IPS平面 有咩分別?  2K/4K 又有幾靚? 砌完機 揀錯mon !? MSI電競螢幕 介紹[廣東話字幕][COMPUTE.B 砌機師] Ft.Kayee")</f>
        <v>唔明 1% FPS ? VA曲面 / IPS平面 有咩分別?  2K/4K 又有幾靚? 砌完機 揀錯mon !? MSI電競螢幕 介紹[廣東話字幕][COMPUTE.B 砌機師] Ft.Kayee</v>
      </c>
      <c r="E5131" s="82">
        <v>44672.0</v>
      </c>
      <c r="F5131" s="80">
        <v>507.0</v>
      </c>
      <c r="G5131" s="80" t="s">
        <v>63</v>
      </c>
      <c r="I5131" s="80" t="s">
        <v>63</v>
      </c>
      <c r="J5131" s="80">
        <v>1512.0</v>
      </c>
      <c r="K5131" s="80">
        <v>0.792868379653906</v>
      </c>
      <c r="L5131" s="80" t="s">
        <v>64</v>
      </c>
    </row>
    <row r="5132">
      <c r="A5132" s="80" t="s">
        <v>74</v>
      </c>
      <c r="B5132" s="81" t="str">
        <f>HYPERLINK("https://www.youtube.com/channel/UCO_5XP-qd-udNxBlzzSzgvw", "Handline Fishing")</f>
        <v>Handline Fishing</v>
      </c>
      <c r="C5132" s="80" t="s">
        <v>5585</v>
      </c>
      <c r="D5132" s="81" t="str">
        <f>HYPERLINK("https://youtube.com/watch?v=dhiuQSMVNhU", "#276 久違了的東泰星斑歸來了 | 基哥 | 香港釣魚 | 艇釣 | 維港 {粵語旁白+中英文字幕}")</f>
        <v>#276 久違了的東泰星斑歸來了 | 基哥 | 香港釣魚 | 艇釣 | 維港 {粵語旁白+中英文字幕}</v>
      </c>
      <c r="E5132" s="82">
        <v>44684.0</v>
      </c>
      <c r="F5132" s="80">
        <v>226.0</v>
      </c>
      <c r="G5132" s="80" t="s">
        <v>63</v>
      </c>
      <c r="H5132" s="80" t="s">
        <v>63</v>
      </c>
      <c r="I5132" s="80" t="s">
        <v>63</v>
      </c>
      <c r="J5132" s="80">
        <v>293.0</v>
      </c>
      <c r="K5132" s="80">
        <v>0.93015873015873</v>
      </c>
      <c r="L5132" s="80" t="s">
        <v>2175</v>
      </c>
    </row>
    <row r="5133">
      <c r="A5133" s="80" t="s">
        <v>260</v>
      </c>
      <c r="B5133" s="81" t="str">
        <f>HYPERLINK("https://www.youtube.com/channel/UC-HXOikkLx7BGEfILGIpYOg", "港短 . 英移")</f>
        <v>港短 . 英移</v>
      </c>
      <c r="C5133" s="80" t="s">
        <v>5586</v>
      </c>
      <c r="D5133" s="81" t="str">
        <f>HYPERLINK("https://youtube.com/watch?v=YIAFpjDNxPE", "點解一個阿婆可以受萬人景仰?? | 6分鐘講完英女王的一生 | 港短.英移​ #英女王 #英國王室 #王室")</f>
        <v>點解一個阿婆可以受萬人景仰?? | 6分鐘講完英女王的一生 | 港短.英移​ #英女王 #英國王室 #王室</v>
      </c>
      <c r="E5133" s="82">
        <v>44680.0</v>
      </c>
      <c r="F5133" s="80">
        <v>397.0</v>
      </c>
      <c r="G5133" s="80" t="s">
        <v>63</v>
      </c>
      <c r="I5133" s="80" t="s">
        <v>63</v>
      </c>
      <c r="J5133" s="80">
        <v>1287.0</v>
      </c>
      <c r="K5133" s="80">
        <v>0.751752336448598</v>
      </c>
      <c r="L5133" s="80" t="s">
        <v>102</v>
      </c>
    </row>
    <row r="5134">
      <c r="A5134" s="80" t="s">
        <v>527</v>
      </c>
      <c r="B5134" s="81" t="str">
        <f>HYPERLINK("https://www.youtube.com/channel/UC7knZNnVYcw_9_zQ3PGOoGw", "ようき楽園 / 玉其樂園")</f>
        <v>ようき楽園 / 玉其樂園</v>
      </c>
      <c r="C5134" s="80" t="s">
        <v>5587</v>
      </c>
      <c r="D5134" s="81" t="str">
        <f>HYPERLINK("https://youtube.com/watch?v=krEfy2thqKc", "【広東語】挑戦！粵拼 Wordle｜挑戰！粵拼 Wordle（中日字幕）")</f>
        <v>【広東語】挑戦！粵拼 Wordle｜挑戰！粵拼 Wordle（中日字幕）</v>
      </c>
      <c r="E5134" s="82">
        <v>44645.0</v>
      </c>
      <c r="F5134" s="80">
        <v>396.0</v>
      </c>
      <c r="G5134" s="80" t="s">
        <v>63</v>
      </c>
      <c r="I5134" s="80" t="s">
        <v>63</v>
      </c>
      <c r="J5134" s="80">
        <v>1099.0</v>
      </c>
      <c r="K5134" s="80">
        <v>0.91812865497076</v>
      </c>
      <c r="L5134" s="80" t="s">
        <v>64</v>
      </c>
    </row>
    <row r="5135">
      <c r="A5135" s="80" t="s">
        <v>2829</v>
      </c>
      <c r="B5135" s="81" t="str">
        <f>HYPERLINK("https://www.youtube.com/channel/UC7GnES6AEQlDzaP04UqtyjA", "SOLID IDEA")</f>
        <v>SOLID IDEA</v>
      </c>
      <c r="C5135" s="80" t="s">
        <v>5588</v>
      </c>
      <c r="D5135" s="81" t="str">
        <f>HYPERLINK("https://youtube.com/watch?v=o7k5wDrD1Bg", "[#設計概念] #都會駅 #半開房式廚房設計你值得擁有！ | 室內設計 | 空間擺位 | SOLID IDEA | (CC中文字幕)")</f>
        <v>[#設計概念] #都會駅 #半開房式廚房設計你值得擁有！ | 室內設計 | 空間擺位 | SOLID IDEA | (CC中文字幕)</v>
      </c>
      <c r="E5135" s="82">
        <v>44638.0</v>
      </c>
      <c r="F5135" s="80">
        <v>270.0</v>
      </c>
      <c r="G5135" s="80" t="s">
        <v>63</v>
      </c>
      <c r="I5135" s="80" t="s">
        <v>63</v>
      </c>
      <c r="J5135" s="80">
        <v>654.0</v>
      </c>
      <c r="K5135" s="80">
        <v>0.935622317596566</v>
      </c>
      <c r="L5135" s="80" t="s">
        <v>64</v>
      </c>
    </row>
    <row r="5136">
      <c r="A5136" s="80" t="s">
        <v>248</v>
      </c>
      <c r="B5136" s="81" t="str">
        <f t="shared" ref="B5136:B5137" si="278">HYPERLINK("https://www.youtube.com/channel/UCUEJok-GiWaGlv5nIPwk-GQ", "Price.com.hk 香港格價網")</f>
        <v>Price.com.hk 香港格價網</v>
      </c>
      <c r="C5136" s="80" t="s">
        <v>5589</v>
      </c>
      <c r="D5136" s="81" t="str">
        <f>HYPERLINK("https://youtube.com/watch?v=_R7HG7IzoW8", "Apple WWDC 2022將於6月6日舉行．Dyson升級版Airwrap配備全新抗毛躁風嘴．日本Bauhutte推出電動電競床｜廣東話【Price Weekly #109 2022年4月 】")</f>
        <v>Apple WWDC 2022將於6月6日舉行．Dyson升級版Airwrap配備全新抗毛躁風嘴．日本Bauhutte推出電動電競床｜廣東話【Price Weekly #109 2022年4月 】</v>
      </c>
      <c r="E5136" s="82">
        <v>44660.0</v>
      </c>
      <c r="F5136" s="80">
        <v>502.0</v>
      </c>
      <c r="G5136" s="80" t="s">
        <v>63</v>
      </c>
      <c r="I5136" s="80" t="s">
        <v>63</v>
      </c>
      <c r="J5136" s="80">
        <v>1784.0</v>
      </c>
      <c r="K5136" s="80">
        <v>0.72168284789644</v>
      </c>
      <c r="L5136" s="80" t="s">
        <v>64</v>
      </c>
    </row>
    <row r="5137">
      <c r="A5137" s="80" t="s">
        <v>248</v>
      </c>
      <c r="B5137" s="81" t="str">
        <f t="shared" si="278"/>
        <v>Price.com.hk 香港格價網</v>
      </c>
      <c r="C5137" s="80" t="s">
        <v>5590</v>
      </c>
      <c r="D5137" s="81" t="str">
        <f>HYPERLINK("https://youtube.com/watch?v=ni6PdDKI-pQ", "M2 MacBook Air 於6月發佈？Epic Games x LEGO 開發元宇宙．Samsung投影機The FreeStyle｜廣東話【Price Weekly #110 2022年4月】")</f>
        <v>M2 MacBook Air 於6月發佈？Epic Games x LEGO 開發元宇宙．Samsung投影機The FreeStyle｜廣東話【Price Weekly #110 2022年4月】</v>
      </c>
      <c r="E5137" s="82">
        <v>44667.0</v>
      </c>
      <c r="F5137" s="80">
        <v>517.0</v>
      </c>
      <c r="G5137" s="80" t="s">
        <v>63</v>
      </c>
      <c r="I5137" s="80" t="s">
        <v>63</v>
      </c>
      <c r="J5137" s="80">
        <v>1912.0</v>
      </c>
      <c r="K5137" s="80">
        <v>0.745709828393135</v>
      </c>
      <c r="L5137" s="80" t="s">
        <v>64</v>
      </c>
    </row>
    <row r="5138">
      <c r="A5138" s="80" t="s">
        <v>2841</v>
      </c>
      <c r="B5138" s="81" t="str">
        <f>HYPERLINK("https://www.youtube.com/channel/UCBYGm7Iz6ck8jeno5AFiriw", "Seafront TV")</f>
        <v>Seafront TV</v>
      </c>
      <c r="C5138" s="80" t="s">
        <v>5591</v>
      </c>
      <c r="D5138" s="81" t="str">
        <f>HYPERLINK("https://youtube.com/watch?v=v8paXacH7LE", "【JUPAS🏅體育系教Programming？🏟】浸大體育及康樂管理（榮譽）文學士 HKBU PERM🏃| #大學Major系列 Seafront TV🌊")</f>
        <v>【JUPAS🏅體育系教Programming？🏟】浸大體育及康樂管理（榮譽）文學士 HKBU PERM🏃| #大學Major系列 Seafront TV🌊</v>
      </c>
      <c r="E5138" s="82">
        <v>44688.0</v>
      </c>
      <c r="F5138" s="80">
        <v>807.0</v>
      </c>
      <c r="G5138" s="80" t="s">
        <v>63</v>
      </c>
      <c r="I5138" s="80" t="s">
        <v>63</v>
      </c>
      <c r="J5138" s="80">
        <v>1860.0</v>
      </c>
      <c r="K5138" s="80">
        <v>0.640055058499655</v>
      </c>
      <c r="L5138" s="80" t="s">
        <v>102</v>
      </c>
    </row>
    <row r="5139">
      <c r="A5139" s="80" t="s">
        <v>293</v>
      </c>
      <c r="B5139" s="81" t="str">
        <f>HYPERLINK("https://www.youtube.com/channel/UCXRcbXqjORdIvl63I7MtOLQ", "趁熱 Kerry 's kitchen")</f>
        <v>趁熱 Kerry 's kitchen</v>
      </c>
      <c r="C5139" s="80" t="s">
        <v>5592</v>
      </c>
      <c r="D5139" s="81" t="str">
        <f>HYPERLINK("https://youtube.com/watch?v=eFmeTXGbx_M", "南乳 煎雞肶/不用炸/不用焗/無須焗爐一隻平底鑊攪掂/零失敗/好餸飯/多肉汁/廣東話/中字/pan fried chicken Asian style")</f>
        <v>南乳 煎雞肶/不用炸/不用焗/無須焗爐一隻平底鑊攪掂/零失敗/好餸飯/多肉汁/廣東話/中字/pan fried chicken Asian style</v>
      </c>
      <c r="E5139" s="82">
        <v>44650.0</v>
      </c>
      <c r="F5139" s="80">
        <v>487.0</v>
      </c>
      <c r="G5139" s="80" t="s">
        <v>63</v>
      </c>
      <c r="I5139" s="80" t="s">
        <v>63</v>
      </c>
      <c r="J5139" s="80">
        <v>657.0</v>
      </c>
      <c r="K5139" s="80">
        <v>0.974777448071216</v>
      </c>
      <c r="L5139" s="80" t="s">
        <v>64</v>
      </c>
    </row>
    <row r="5140">
      <c r="A5140" s="80" t="s">
        <v>2841</v>
      </c>
      <c r="B5140" s="81" t="str">
        <f>HYPERLINK("https://www.youtube.com/channel/UCBYGm7Iz6ck8jeno5AFiriw", "Seafront TV")</f>
        <v>Seafront TV</v>
      </c>
      <c r="C5140" s="80" t="s">
        <v>5593</v>
      </c>
      <c r="D5140" s="81" t="str">
        <f>HYPERLINK("https://youtube.com/watch?v=H9_fYESBZqk", "【JUPAS 2022新科🎲有得學賭錢？🎰🤭】理大酒店及旅遊管理 PolyU Hotel and Tourism Management🏨✈️| #大學Major系列 Seafront TV🌊")</f>
        <v>【JUPAS 2022新科🎲有得學賭錢？🎰🤭】理大酒店及旅遊管理 PolyU Hotel and Tourism Management🏨✈️| #大學Major系列 Seafront TV🌊</v>
      </c>
      <c r="E5140" s="82">
        <v>44653.0</v>
      </c>
      <c r="F5140" s="80">
        <v>1721.0</v>
      </c>
      <c r="G5140" s="80" t="s">
        <v>63</v>
      </c>
      <c r="I5140" s="80" t="s">
        <v>63</v>
      </c>
      <c r="J5140" s="80">
        <v>3321.0</v>
      </c>
      <c r="K5140" s="80">
        <v>0.567886456908344</v>
      </c>
      <c r="L5140" s="80" t="s">
        <v>102</v>
      </c>
    </row>
    <row r="5141">
      <c r="A5141" s="80" t="s">
        <v>217</v>
      </c>
      <c r="B5141" s="81" t="str">
        <f>HYPERLINK("https://www.youtube.com/channel/UCXKg0qPRz32bs5Z4mTGF3TQ", "Stormtrooper白兵")</f>
        <v>Stormtrooper白兵</v>
      </c>
      <c r="C5141" s="80" t="s">
        <v>5594</v>
      </c>
      <c r="D5141" s="81" t="str">
        <f>HYPERLINK("https://youtube.com/watch?v=TQDTqfMB1lc", "[中產自救] 劉細良和蕭若元不會告訴你的事－中產將如何被消滅｜中產起源｜為何成為被犧牲一群｜左翼進步思想是變種共產主義？｜粵語中字")</f>
        <v>[中產自救] 劉細良和蕭若元不會告訴你的事－中產將如何被消滅｜中產起源｜為何成為被犧牲一群｜左翼進步思想是變種共產主義？｜粵語中字</v>
      </c>
      <c r="E5141" s="82">
        <v>44665.0</v>
      </c>
      <c r="F5141" s="80">
        <v>1108.0</v>
      </c>
      <c r="G5141" s="80" t="s">
        <v>63</v>
      </c>
      <c r="I5141" s="80" t="s">
        <v>63</v>
      </c>
      <c r="J5141" s="80">
        <v>4731.0</v>
      </c>
      <c r="K5141" s="80">
        <v>0.96334758704948</v>
      </c>
      <c r="L5141" s="80" t="s">
        <v>64</v>
      </c>
    </row>
    <row r="5142">
      <c r="A5142" s="80" t="s">
        <v>293</v>
      </c>
      <c r="B5142" s="81" t="str">
        <f>HYPERLINK("https://www.youtube.com/channel/UCXRcbXqjORdIvl63I7MtOLQ", "趁熱 Kerry 's kitchen")</f>
        <v>趁熱 Kerry 's kitchen</v>
      </c>
      <c r="C5142" s="80" t="s">
        <v>5595</v>
      </c>
      <c r="D5142" s="81" t="str">
        <f>HYPERLINK("https://youtube.com/watch?v=pnW9JPuBNTM", "免治牛肉蛋飯/你經常會忽略的細節/重點 講解/在家做穩陣/兒時的美味/新手 入門/廣東話/中字")</f>
        <v>免治牛肉蛋飯/你經常會忽略的細節/重點 講解/在家做穩陣/兒時的美味/新手 入門/廣東話/中字</v>
      </c>
      <c r="E5142" s="82">
        <v>44671.0</v>
      </c>
      <c r="F5142" s="80">
        <v>548.0</v>
      </c>
      <c r="G5142" s="80" t="s">
        <v>63</v>
      </c>
      <c r="I5142" s="80" t="s">
        <v>63</v>
      </c>
      <c r="J5142" s="80">
        <v>674.0</v>
      </c>
      <c r="K5142" s="80">
        <v>0.976811594202898</v>
      </c>
      <c r="L5142" s="80" t="s">
        <v>64</v>
      </c>
    </row>
    <row r="5143">
      <c r="A5143" s="80" t="s">
        <v>5596</v>
      </c>
      <c r="B5143" s="81" t="str">
        <f>HYPERLINK("https://www.youtube.com/channel/UCnQ7ryVdrmfKvNvlnOILnvQ", "儫仔教室")</f>
        <v>儫仔教室</v>
      </c>
      <c r="C5143" s="80" t="s">
        <v>5597</v>
      </c>
      <c r="D5143" s="81" t="str">
        <f>HYPERLINK("https://youtube.com/watch?v=jkB3YiVhdZc", "Ch2 八字五行生剋概論")</f>
        <v>Ch2 八字五行生剋概論</v>
      </c>
      <c r="E5143" s="82">
        <v>44638.0</v>
      </c>
      <c r="F5143" s="80">
        <v>1291.0</v>
      </c>
      <c r="G5143" s="80" t="s">
        <v>63</v>
      </c>
      <c r="I5143" s="80" t="s">
        <v>63</v>
      </c>
      <c r="J5143" s="80">
        <v>153.0</v>
      </c>
      <c r="K5143" s="80">
        <v>0.9</v>
      </c>
      <c r="L5143" s="80" t="s">
        <v>64</v>
      </c>
    </row>
    <row r="5144">
      <c r="A5144" s="80" t="s">
        <v>124</v>
      </c>
      <c r="B5144" s="81" t="str">
        <f>HYPERLINK("https://www.youtube.com/channel/UCg0vuSE0fBF_NvodyYhMcWg", "Wallace Studio HK")</f>
        <v>Wallace Studio HK</v>
      </c>
      <c r="C5144" s="80" t="s">
        <v>5598</v>
      </c>
      <c r="D5144" s="81" t="str">
        <f>HYPERLINK("https://youtube.com/watch?v=-FNKcognydE", "跨區睇片實測! 2022 | Netflix 跨區 | 移民後番黎睇ViuTV! | 特約專題 ft. IVACY VPN")</f>
        <v>跨區睇片實測! 2022 | Netflix 跨區 | 移民後番黎睇ViuTV! | 特約專題 ft. IVACY VPN</v>
      </c>
      <c r="E5144" s="82">
        <v>44696.0</v>
      </c>
      <c r="F5144" s="80">
        <v>362.0</v>
      </c>
      <c r="G5144" s="80" t="s">
        <v>63</v>
      </c>
      <c r="H5144" s="80" t="s">
        <v>63</v>
      </c>
      <c r="I5144" s="80" t="s">
        <v>63</v>
      </c>
      <c r="J5144" s="80">
        <v>1390.0</v>
      </c>
      <c r="K5144" s="80">
        <v>0.738183749336165</v>
      </c>
      <c r="L5144" s="80" t="s">
        <v>86</v>
      </c>
    </row>
    <row r="5145">
      <c r="A5145" s="80" t="s">
        <v>2041</v>
      </c>
      <c r="B5145" s="81" t="str">
        <f>HYPERLINK("https://www.youtube.com/channel/UCO6pB-ZN4XJ6MVkibvuEe0A", "SingSingTracker 星昇財經指標")</f>
        <v>SingSingTracker 星昇財經指標</v>
      </c>
      <c r="C5145" s="80" t="s">
        <v>5599</v>
      </c>
      <c r="D5145" s="81" t="str">
        <f>HYPERLINK("https://youtube.com/watch?v=_RlnO75dQDY", "【消費券2022】第一輪$5000登記方法｜8大消費券Q&amp;A｜發放日期 使用期限｜遺失八達通 更改登記手續｜已轉用樂悠卡 要點做？｜重要限期：3月25日｜已移民攞唔攞到消費劵？｜實體辦事處服務須知")</f>
        <v>【消費券2022】第一輪$5000登記方法｜8大消費券Q&amp;A｜發放日期 使用期限｜遺失八達通 更改登記手續｜已轉用樂悠卡 要點做？｜重要限期：3月25日｜已移民攞唔攞到消費劵？｜實體辦事處服務須知</v>
      </c>
      <c r="E5145" s="82">
        <v>44629.0</v>
      </c>
      <c r="F5145" s="80">
        <v>442.0</v>
      </c>
      <c r="G5145" s="80" t="s">
        <v>63</v>
      </c>
      <c r="I5145" s="80" t="s">
        <v>63</v>
      </c>
      <c r="J5145" s="80">
        <v>1500.0</v>
      </c>
      <c r="K5145" s="80">
        <v>0.917992656058751</v>
      </c>
      <c r="L5145" s="80" t="s">
        <v>64</v>
      </c>
    </row>
    <row r="5146">
      <c r="A5146" s="80" t="s">
        <v>248</v>
      </c>
      <c r="B5146" s="81" t="str">
        <f>HYPERLINK("https://www.youtube.com/channel/UCUEJok-GiWaGlv5nIPwk-GQ", "Price.com.hk 香港格價網")</f>
        <v>Price.com.hk 香港格價網</v>
      </c>
      <c r="C5146" s="80" t="s">
        <v>5600</v>
      </c>
      <c r="D5146" s="81" t="str">
        <f>HYPERLINK("https://youtube.com/watch?v=32qgWMnrcNU", "傳Apple iPhone15轉Type-C．PlayStation Plus遊戲名單公開．YouTube新功能Skip走最悶部份 | 廣東話【Price Weekly #115 2022年5月】")</f>
        <v>傳Apple iPhone15轉Type-C．PlayStation Plus遊戲名單公開．YouTube新功能Skip走最悶部份 | 廣東話【Price Weekly #115 2022年5月】</v>
      </c>
      <c r="E5146" s="82">
        <v>44702.0</v>
      </c>
      <c r="F5146" s="80">
        <v>468.0</v>
      </c>
      <c r="G5146" s="80" t="s">
        <v>63</v>
      </c>
      <c r="I5146" s="80" t="s">
        <v>63</v>
      </c>
      <c r="J5146" s="80">
        <v>1649.0</v>
      </c>
      <c r="K5146" s="80">
        <v>0.665724666935809</v>
      </c>
      <c r="L5146" s="80" t="s">
        <v>64</v>
      </c>
    </row>
    <row r="5147">
      <c r="A5147" s="80" t="s">
        <v>2041</v>
      </c>
      <c r="B5147" s="81" t="str">
        <f>HYPERLINK("https://www.youtube.com/channel/UCO6pB-ZN4XJ6MVkibvuEe0A", "SingSingTracker 星昇財經指標")</f>
        <v>SingSingTracker 星昇財經指標</v>
      </c>
      <c r="C5147" s="80" t="s">
        <v>5601</v>
      </c>
      <c r="D5147" s="81" t="str">
        <f>HYPERLINK("https://youtube.com/watch?v=5uunvEAzqVM", "【投資工具比較】精選5種中高階投資工具｜介紹、好處、風險 正面比較｜我不是新手 投資什麼最適合？｜怎麼選投資工具？｜被動收入 提早退休 ｜股票 期貨 外匯 #衍生工具 #新手投資")</f>
        <v>【投資工具比較】精選5種中高階投資工具｜介紹、好處、風險 正面比較｜我不是新手 投資什麼最適合？｜怎麼選投資工具？｜被動收入 提早退休 ｜股票 期貨 外匯 #衍生工具 #新手投資</v>
      </c>
      <c r="E5147" s="82">
        <v>44649.0</v>
      </c>
      <c r="F5147" s="80">
        <v>673.0</v>
      </c>
      <c r="G5147" s="80" t="s">
        <v>63</v>
      </c>
      <c r="I5147" s="80" t="s">
        <v>63</v>
      </c>
      <c r="J5147" s="80">
        <v>2435.0</v>
      </c>
      <c r="K5147" s="80">
        <v>0.953406421299921</v>
      </c>
      <c r="L5147" s="80" t="s">
        <v>64</v>
      </c>
    </row>
    <row r="5148">
      <c r="A5148" s="80" t="s">
        <v>248</v>
      </c>
      <c r="B5148" s="81" t="str">
        <f>HYPERLINK("https://www.youtube.com/channel/UCUEJok-GiWaGlv5nIPwk-GQ", "Price.com.hk 香港格價網")</f>
        <v>Price.com.hk 香港格價網</v>
      </c>
      <c r="C5148" s="80" t="s">
        <v>5602</v>
      </c>
      <c r="D5148" s="81" t="str">
        <f>HYPERLINK("https://youtube.com/watch?v=1wF0H8BPyZI", "每月$78、支援160MHz  TP-Link Deco X50-AX3000 Wi-Fi 6 Mesh Router｜GIVEAWAY｜特約專題【Price.com.hk產品測試】")</f>
        <v>每月$78、支援160MHz  TP-Link Deco X50-AX3000 Wi-Fi 6 Mesh Router｜GIVEAWAY｜特約專題【Price.com.hk產品測試】</v>
      </c>
      <c r="E5148" s="82">
        <v>44624.0</v>
      </c>
      <c r="F5148" s="80">
        <v>482.0</v>
      </c>
      <c r="G5148" s="80" t="s">
        <v>63</v>
      </c>
      <c r="I5148" s="80" t="s">
        <v>63</v>
      </c>
      <c r="J5148" s="80">
        <v>1651.0</v>
      </c>
      <c r="K5148" s="80">
        <v>0.673327895595432</v>
      </c>
      <c r="L5148" s="80" t="s">
        <v>64</v>
      </c>
    </row>
    <row r="5149">
      <c r="A5149" s="80" t="s">
        <v>755</v>
      </c>
      <c r="B5149" s="81" t="str">
        <f>HYPERLINK("https://www.youtube.com/channel/UCBiJDTc82IM68KVH873VeAw", "Live in Kwangsi廣西人·情·味")</f>
        <v>Live in Kwangsi廣西人·情·味</v>
      </c>
      <c r="C5149" s="80" t="s">
        <v>5603</v>
      </c>
      <c r="D5149" s="81" t="str">
        <f>HYPERLINK("https://youtube.com/watch?v=WsECEQ1CAfw", "落雨天行商場 三祺城百盛購物中心｜梧州市｜廣西日常實拍 20220422")</f>
        <v>落雨天行商場 三祺城百盛購物中心｜梧州市｜廣西日常實拍 20220422</v>
      </c>
      <c r="E5149" s="82">
        <v>44675.0</v>
      </c>
      <c r="F5149" s="80">
        <v>1798.0</v>
      </c>
      <c r="G5149" s="80" t="s">
        <v>63</v>
      </c>
      <c r="I5149" s="80" t="s">
        <v>63</v>
      </c>
      <c r="J5149" s="80">
        <v>548.0</v>
      </c>
      <c r="K5149" s="80">
        <v>0.982078853046595</v>
      </c>
      <c r="L5149" s="80" t="s">
        <v>757</v>
      </c>
    </row>
    <row r="5150">
      <c r="A5150" s="80" t="s">
        <v>96</v>
      </c>
      <c r="B5150" s="81" t="str">
        <f>HYPERLINK("https://www.youtube.com/channel/UCGtyHJ-L_4RDIHe3XaLofQQ", "Anson Cheung")</f>
        <v>Anson Cheung</v>
      </c>
      <c r="C5150" s="80" t="s">
        <v>5604</v>
      </c>
      <c r="D5150" s="81" t="str">
        <f>HYPERLINK("https://youtube.com/watch?v=ToUd8pLk2JE", "Samsung Galaxy S22 會係我今年最中意嘅手機！｜Samsung Galaxy S22/S22+ 評測｜Anson Cheung 手機")</f>
        <v>Samsung Galaxy S22 會係我今年最中意嘅手機！｜Samsung Galaxy S22/S22+ 評測｜Anson Cheung 手機</v>
      </c>
      <c r="E5150" s="82">
        <v>44645.0</v>
      </c>
      <c r="F5150" s="80">
        <v>755.0</v>
      </c>
      <c r="G5150" s="80" t="s">
        <v>63</v>
      </c>
      <c r="I5150" s="80" t="s">
        <v>63</v>
      </c>
      <c r="J5150" s="80">
        <v>2759.0</v>
      </c>
      <c r="K5150" s="80">
        <v>0.724908039936941</v>
      </c>
      <c r="L5150" s="80" t="s">
        <v>64</v>
      </c>
    </row>
    <row r="5151">
      <c r="A5151" s="80" t="s">
        <v>293</v>
      </c>
      <c r="B5151" s="81" t="str">
        <f>HYPERLINK("https://www.youtube.com/channel/UCXRcbXqjORdIvl63I7MtOLQ", "趁熱 Kerry 's kitchen")</f>
        <v>趁熱 Kerry 's kitchen</v>
      </c>
      <c r="C5151" s="80" t="s">
        <v>5605</v>
      </c>
      <c r="D5151" s="81" t="str">
        <f>HYPERLINK("https://youtube.com/watch?v=bgZxbJzwtqo", "炆 排骨/無錫骨/簡單食材一鑊過/急凍排骨一樣得/冇難度/無明火都得/日日兩餸飯乜都厭/廣東話/中字/spare rib stew")</f>
        <v>炆 排骨/無錫骨/簡單食材一鑊過/急凍排骨一樣得/冇難度/無明火都得/日日兩餸飯乜都厭/廣東話/中字/spare rib stew</v>
      </c>
      <c r="E5151" s="82">
        <v>44641.0</v>
      </c>
      <c r="F5151" s="80">
        <v>567.0</v>
      </c>
      <c r="G5151" s="80" t="s">
        <v>63</v>
      </c>
      <c r="I5151" s="80" t="s">
        <v>63</v>
      </c>
      <c r="J5151" s="80">
        <v>790.0</v>
      </c>
      <c r="K5151" s="80">
        <v>0.977722772277227</v>
      </c>
      <c r="L5151" s="80" t="s">
        <v>64</v>
      </c>
    </row>
    <row r="5152">
      <c r="A5152" s="80" t="s">
        <v>248</v>
      </c>
      <c r="B5152" s="81" t="str">
        <f t="shared" ref="B5152:B5153" si="279">HYPERLINK("https://www.youtube.com/channel/UCUEJok-GiWaGlv5nIPwk-GQ", "Price.com.hk 香港格價網")</f>
        <v>Price.com.hk 香港格價網</v>
      </c>
      <c r="C5152" s="80" t="s">
        <v>5606</v>
      </c>
      <c r="D5152" s="81" t="str">
        <f>HYPERLINK("https://youtube.com/watch?v=piVX-mTORK0", "iPhone SE 3 深入評測！5G網速慢過iPhone 13 mini? 續航力比SE 2進步？ | 效能跑分、電量全面試 | 廣東話【Price.com.hk產品比較】")</f>
        <v>iPhone SE 3 深入評測！5G網速慢過iPhone 13 mini? 續航力比SE 2進步？ | 效能跑分、電量全面試 | 廣東話【Price.com.hk產品比較】</v>
      </c>
      <c r="E5152" s="82">
        <v>44634.0</v>
      </c>
      <c r="F5152" s="80">
        <v>440.0</v>
      </c>
      <c r="G5152" s="80" t="s">
        <v>63</v>
      </c>
      <c r="I5152" s="80" t="s">
        <v>63</v>
      </c>
      <c r="J5152" s="80">
        <v>1429.0</v>
      </c>
      <c r="K5152" s="80">
        <v>0.764171122994652</v>
      </c>
      <c r="L5152" s="80" t="s">
        <v>64</v>
      </c>
    </row>
    <row r="5153">
      <c r="A5153" s="80" t="s">
        <v>248</v>
      </c>
      <c r="B5153" s="81" t="str">
        <f t="shared" si="279"/>
        <v>Price.com.hk 香港格價網</v>
      </c>
      <c r="C5153" s="80" t="s">
        <v>5607</v>
      </c>
      <c r="D5153" s="81" t="str">
        <f>HYPERLINK("https://youtube.com/watch?v=GzlesYNQ5Fw", "筆控超旗艦！Samsung Galaxy S22 Ultra S Pen操作、1750nits 熒幕、108MP攝力重點試｜同場iPhone 13 Pro Max【Price.com.hk產品比較】")</f>
        <v>筆控超旗艦！Samsung Galaxy S22 Ultra S Pen操作、1750nits 熒幕、108MP攝力重點試｜同場iPhone 13 Pro Max【Price.com.hk產品比較】</v>
      </c>
      <c r="E5153" s="82">
        <v>44638.0</v>
      </c>
      <c r="F5153" s="80">
        <v>746.0</v>
      </c>
      <c r="G5153" s="80" t="s">
        <v>63</v>
      </c>
      <c r="I5153" s="80" t="s">
        <v>63</v>
      </c>
      <c r="J5153" s="80">
        <v>2200.0</v>
      </c>
      <c r="K5153" s="80">
        <v>0.762564991334488</v>
      </c>
      <c r="L5153" s="80" t="s">
        <v>64</v>
      </c>
    </row>
    <row r="5154">
      <c r="A5154" s="80" t="s">
        <v>2585</v>
      </c>
      <c r="B5154" s="81" t="str">
        <f>HYPERLINK("https://www.youtube.com/channel/UCyyruuN0VecuYxPNR4un88Q", "混血肥仔")</f>
        <v>混血肥仔</v>
      </c>
      <c r="C5154" s="80" t="s">
        <v>5608</v>
      </c>
      <c r="D5154" s="81" t="str">
        <f>HYPERLINK("https://youtube.com/watch?v=UMnBbZC8G50", "殺死我老公 | 小劇場#05")</f>
        <v>殺死我老公 | 小劇場#05</v>
      </c>
      <c r="E5154" s="82">
        <v>44684.0</v>
      </c>
      <c r="F5154" s="80">
        <v>367.0</v>
      </c>
      <c r="G5154" s="80" t="s">
        <v>63</v>
      </c>
      <c r="I5154" s="80" t="s">
        <v>63</v>
      </c>
      <c r="J5154" s="80">
        <v>246.0</v>
      </c>
      <c r="K5154" s="80">
        <v>0.976190476190476</v>
      </c>
      <c r="L5154" s="80" t="s">
        <v>1071</v>
      </c>
    </row>
    <row r="5155">
      <c r="A5155" s="80" t="s">
        <v>2519</v>
      </c>
      <c r="B5155" s="81" t="str">
        <f>HYPERLINK("https://www.youtube.com/channel/UCRaC6ToPRzGZT5nGgz9vzGw", "C90s 港仔音樂")</f>
        <v>C90s 港仔音樂</v>
      </c>
      <c r="C5155" s="80" t="s">
        <v>5609</v>
      </c>
      <c r="D5155" s="81" t="str">
        <f>HYPERLINK("https://youtube.com/watch?v=LlzxFkC2jS0", "my little airport - 因講了出來 [歌詞同步/粵拼字幕]")</f>
        <v>my little airport - 因講了出來 [歌詞同步/粵拼字幕]</v>
      </c>
      <c r="E5155" s="82">
        <v>44665.0</v>
      </c>
      <c r="F5155" s="80">
        <v>161.0</v>
      </c>
      <c r="G5155" s="80" t="s">
        <v>63</v>
      </c>
      <c r="I5155" s="80" t="s">
        <v>63</v>
      </c>
      <c r="J5155" s="80">
        <v>294.0</v>
      </c>
      <c r="K5155" s="80">
        <v>0.223574144486692</v>
      </c>
      <c r="L5155" s="80" t="s">
        <v>64</v>
      </c>
    </row>
    <row r="5156">
      <c r="A5156" s="80" t="s">
        <v>248</v>
      </c>
      <c r="B5156" s="81" t="str">
        <f t="shared" ref="B5156:B5157" si="280">HYPERLINK("https://www.youtube.com/channel/UCUEJok-GiWaGlv5nIPwk-GQ", "Price.com.hk 香港格價網")</f>
        <v>Price.com.hk 香港格價網</v>
      </c>
      <c r="C5156" s="80" t="s">
        <v>5610</v>
      </c>
      <c r="D5156" s="81" t="str">
        <f>HYPERLINK("https://youtube.com/watch?v=8mxJj-AtnPg", "Sony WH-1000XM5新設計流出．Elon Musk100%收購Twitter．Samsung升級版 Neo QLED 8K電視｜廣東話【Price Weekly #112 2022年4月】")</f>
        <v>Sony WH-1000XM5新設計流出．Elon Musk100%收購Twitter．Samsung升級版 Neo QLED 8K電視｜廣東話【Price Weekly #112 2022年4月】</v>
      </c>
      <c r="E5156" s="82">
        <v>44681.0</v>
      </c>
      <c r="F5156" s="80">
        <v>623.0</v>
      </c>
      <c r="G5156" s="80" t="s">
        <v>63</v>
      </c>
      <c r="I5156" s="80" t="s">
        <v>63</v>
      </c>
      <c r="J5156" s="80">
        <v>2201.0</v>
      </c>
      <c r="K5156" s="80">
        <v>0.749659400544959</v>
      </c>
      <c r="L5156" s="80" t="s">
        <v>64</v>
      </c>
    </row>
    <row r="5157">
      <c r="A5157" s="80" t="s">
        <v>248</v>
      </c>
      <c r="B5157" s="81" t="str">
        <f t="shared" si="280"/>
        <v>Price.com.hk 香港格價網</v>
      </c>
      <c r="C5157" s="80" t="s">
        <v>5611</v>
      </c>
      <c r="D5157" s="81" t="str">
        <f>HYPERLINK("https://youtube.com/watch?v=08EjNs_wsF0", "細部易裝節能日本分體機 | 三菱電機霧ヶ峰Kirigamine「小精菱」GS系列分體式冷氣機| 特約專題 | 廣東話 【Price.com.hk產品介紹】")</f>
        <v>細部易裝節能日本分體機 | 三菱電機霧ヶ峰Kirigamine「小精菱」GS系列分體式冷氣機| 特約專題 | 廣東話 【Price.com.hk產品介紹】</v>
      </c>
      <c r="E5157" s="82">
        <v>44706.0</v>
      </c>
      <c r="F5157" s="80">
        <v>412.0</v>
      </c>
      <c r="G5157" s="80" t="s">
        <v>63</v>
      </c>
      <c r="I5157" s="80" t="s">
        <v>63</v>
      </c>
      <c r="J5157" s="80">
        <v>1660.0</v>
      </c>
      <c r="K5157" s="80">
        <v>0.926339285714285</v>
      </c>
      <c r="L5157" s="80" t="s">
        <v>64</v>
      </c>
    </row>
    <row r="5158">
      <c r="A5158" s="80" t="s">
        <v>217</v>
      </c>
      <c r="B5158" s="81" t="str">
        <f>HYPERLINK("https://www.youtube.com/channel/UCXKg0qPRz32bs5Z4mTGF3TQ", "Stormtrooper白兵")</f>
        <v>Stormtrooper白兵</v>
      </c>
      <c r="C5158" s="80" t="s">
        <v>5612</v>
      </c>
      <c r="D5158" s="81" t="str">
        <f>HYPERLINK("https://youtube.com/watch?v=9XCCwDB-FTQ", "[金錢史]羅富齊打仗買兩邊＋操控股價，注定統治歐洲？｜首張股票出現因為一條魚？｜「牛頓」發明金本位？｜歐洲三大泡沫事件，揸Cash都死！｜粵語中字")</f>
        <v>[金錢史]羅富齊打仗買兩邊＋操控股價，注定統治歐洲？｜首張股票出現因為一條魚？｜「牛頓」發明金本位？｜歐洲三大泡沫事件，揸Cash都死！｜粵語中字</v>
      </c>
      <c r="E5158" s="82">
        <v>44693.0</v>
      </c>
      <c r="F5158" s="80">
        <v>1111.0</v>
      </c>
      <c r="G5158" s="80" t="s">
        <v>63</v>
      </c>
      <c r="I5158" s="80" t="s">
        <v>63</v>
      </c>
      <c r="J5158" s="80">
        <v>4521.0</v>
      </c>
      <c r="K5158" s="80">
        <v>0.972676419965576</v>
      </c>
      <c r="L5158" s="80" t="s">
        <v>64</v>
      </c>
    </row>
    <row r="5159">
      <c r="A5159" s="80" t="s">
        <v>140</v>
      </c>
      <c r="B5159" s="81" t="str">
        <f>HYPERLINK("https://www.youtube.com/channel/UCHK0CZf9HEXs42qIO1GUouA", "TechiCardia")</f>
        <v>TechiCardia</v>
      </c>
      <c r="C5159" s="80" t="s">
        <v>5613</v>
      </c>
      <c r="D5159" s="81" t="str">
        <f>HYPERLINK("https://youtube.com/watch?v=btQvPKCErpA", "唔洗$600「低延遲」真無線藍牙耳機真係有分別？全新 SOUL S-PLAY 實測比較 | 打機睇片 | 聽歌收音 | 通透模式 //4K【TechiCardia】[cc廣東話字幕]")</f>
        <v>唔洗$600「低延遲」真無線藍牙耳機真係有分別？全新 SOUL S-PLAY 實測比較 | 打機睇片 | 聽歌收音 | 通透模式 //4K【TechiCardia】[cc廣東話字幕]</v>
      </c>
      <c r="E5159" s="82">
        <v>44696.0</v>
      </c>
      <c r="F5159" s="80">
        <v>780.0</v>
      </c>
      <c r="G5159" s="80" t="s">
        <v>63</v>
      </c>
      <c r="I5159" s="80" t="s">
        <v>63</v>
      </c>
      <c r="J5159" s="80">
        <v>3063.0</v>
      </c>
      <c r="K5159" s="80">
        <v>0.818765036086607</v>
      </c>
      <c r="L5159" s="80" t="s">
        <v>102</v>
      </c>
    </row>
    <row r="5160">
      <c r="A5160" s="80" t="s">
        <v>248</v>
      </c>
      <c r="B5160" s="81" t="str">
        <f>HYPERLINK("https://www.youtube.com/channel/UCUEJok-GiWaGlv5nIPwk-GQ", "Price.com.hk 香港格價網")</f>
        <v>Price.com.hk 香港格價網</v>
      </c>
      <c r="C5160" s="80" t="s">
        <v>5614</v>
      </c>
      <c r="D5160" s="81" t="str">
        <f>HYPERLINK("https://youtube.com/watch?v=6vjsBVFXFd4", "Wi-Fi 6E Router 即將推出？Snapchat Pixy 自拍航拍機 · Marshall Emberton II、Willen【Price Weekly #113 2022年5月 】")</f>
        <v>Wi-Fi 6E Router 即將推出？Snapchat Pixy 自拍航拍機 · Marshall Emberton II、Willen【Price Weekly #113 2022年5月 】</v>
      </c>
      <c r="E5160" s="82">
        <v>44688.0</v>
      </c>
      <c r="F5160" s="80">
        <v>373.0</v>
      </c>
      <c r="G5160" s="80" t="s">
        <v>63</v>
      </c>
      <c r="I5160" s="80" t="s">
        <v>63</v>
      </c>
      <c r="J5160" s="80">
        <v>1266.0</v>
      </c>
      <c r="K5160" s="80">
        <v>0.701385041551246</v>
      </c>
      <c r="L5160" s="80" t="s">
        <v>64</v>
      </c>
    </row>
    <row r="5161">
      <c r="A5161" s="80" t="s">
        <v>96</v>
      </c>
      <c r="B5161" s="81" t="str">
        <f>HYPERLINK("https://www.youtube.com/channel/UCGtyHJ-L_4RDIHe3XaLofQQ", "Anson Cheung")</f>
        <v>Anson Cheung</v>
      </c>
      <c r="C5161" s="80" t="s">
        <v>5615</v>
      </c>
      <c r="D5161" s="81" t="str">
        <f>HYPERLINK("https://youtube.com/watch?v=OSXJYwO0_RE", "Samsung Galaxy Tab S8 Ultra 評測：我終於覺得Android Tablet有起色了！｜Samsung Galaxy Tab S8 Ultra Review")</f>
        <v>Samsung Galaxy Tab S8 Ultra 評測：我終於覺得Android Tablet有起色了！｜Samsung Galaxy Tab S8 Ultra Review</v>
      </c>
      <c r="E5161" s="82">
        <v>44703.0</v>
      </c>
      <c r="F5161" s="80">
        <v>727.0</v>
      </c>
      <c r="G5161" s="80" t="s">
        <v>63</v>
      </c>
      <c r="I5161" s="80" t="s">
        <v>63</v>
      </c>
      <c r="J5161" s="80">
        <v>2729.0</v>
      </c>
      <c r="K5161" s="80">
        <v>0.646835743067077</v>
      </c>
      <c r="L5161" s="80" t="s">
        <v>102</v>
      </c>
    </row>
    <row r="5162">
      <c r="A5162" s="80" t="s">
        <v>140</v>
      </c>
      <c r="B5162" s="81" t="str">
        <f>HYPERLINK("https://www.youtube.com/channel/UCHK0CZf9HEXs42qIO1GUouA", "TechiCardia")</f>
        <v>TechiCardia</v>
      </c>
      <c r="C5162" s="80" t="s">
        <v>5616</v>
      </c>
      <c r="D5162" s="81" t="str">
        <f>HYPERLINK("https://youtube.com/watch?v=J1uF0sSAeiU", "5件必試/不要試的Nintendo Switch 配件！1080P秒變4K畫面？！便攜配件、直播神器 | 值唔值得買？真實使用分享 //4K【TechiCardia】[CC廣東話字幕]")</f>
        <v>5件必試/不要試的Nintendo Switch 配件！1080P秒變4K畫面？！便攜配件、直播神器 | 值唔值得買？真實使用分享 //4K【TechiCardia】[CC廣東話字幕]</v>
      </c>
      <c r="E5162" s="82">
        <v>44633.0</v>
      </c>
      <c r="F5162" s="80">
        <v>868.0</v>
      </c>
      <c r="G5162" s="80" t="s">
        <v>63</v>
      </c>
      <c r="I5162" s="80" t="s">
        <v>63</v>
      </c>
      <c r="J5162" s="80">
        <v>3093.0</v>
      </c>
      <c r="K5162" s="80">
        <v>0.696621621621621</v>
      </c>
      <c r="L5162" s="80" t="s">
        <v>102</v>
      </c>
    </row>
    <row r="5163">
      <c r="A5163" s="80" t="s">
        <v>217</v>
      </c>
      <c r="B5163" s="81" t="str">
        <f>HYPERLINK("https://www.youtube.com/channel/UCXKg0qPRz32bs5Z4mTGF3TQ", "Stormtrooper白兵")</f>
        <v>Stormtrooper白兵</v>
      </c>
      <c r="C5163" s="80" t="s">
        <v>5617</v>
      </c>
      <c r="D5163" s="81" t="str">
        <f>HYPERLINK("https://youtube.com/watch?v=XhVEITMN72c", "[病態香港]飛越瘋人院｜到底係社會痴線定你有病？｜戲內奸角如同777？｜粵語中字")</f>
        <v>[病態香港]飛越瘋人院｜到底係社會痴線定你有病？｜戲內奸角如同777？｜粵語中字</v>
      </c>
      <c r="E5163" s="82">
        <v>44637.0</v>
      </c>
      <c r="F5163" s="80">
        <v>896.0</v>
      </c>
      <c r="G5163" s="80" t="s">
        <v>63</v>
      </c>
      <c r="I5163" s="80" t="s">
        <v>63</v>
      </c>
      <c r="J5163" s="80">
        <v>3628.0</v>
      </c>
      <c r="K5163" s="80">
        <v>0.852844381758345</v>
      </c>
      <c r="L5163" s="80" t="s">
        <v>64</v>
      </c>
    </row>
    <row r="5164">
      <c r="A5164" s="80" t="s">
        <v>293</v>
      </c>
      <c r="B5164" s="81" t="str">
        <f t="shared" ref="B5164:B5165" si="281">HYPERLINK("https://www.youtube.com/channel/UCXRcbXqjORdIvl63I7MtOLQ", "趁熱 Kerry 's kitchen")</f>
        <v>趁熱 Kerry 's kitchen</v>
      </c>
      <c r="C5164" s="80" t="s">
        <v>5618</v>
      </c>
      <c r="D5164" s="81" t="str">
        <f>HYPERLINK("https://youtube.com/watch?v=mE0ZFBOHdLs", "瑞士汁 雞翼 /糖心蛋/一個汁做兩樣野/無明火也可以/超簡單糖心蛋/地新手 人門/廣東話/中字/sweet soy sauce chicken wing HK style")</f>
        <v>瑞士汁 雞翼 /糖心蛋/一個汁做兩樣野/無明火也可以/超簡單糖心蛋/地新手 人門/廣東話/中字/sweet soy sauce chicken wing HK style</v>
      </c>
      <c r="E5164" s="82">
        <v>44636.0</v>
      </c>
      <c r="F5164" s="80">
        <v>543.0</v>
      </c>
      <c r="G5164" s="80" t="s">
        <v>63</v>
      </c>
      <c r="I5164" s="80" t="s">
        <v>63</v>
      </c>
      <c r="J5164" s="80">
        <v>739.0</v>
      </c>
      <c r="K5164" s="80">
        <v>0.990616621983914</v>
      </c>
      <c r="L5164" s="80" t="s">
        <v>64</v>
      </c>
    </row>
    <row r="5165">
      <c r="A5165" s="80" t="s">
        <v>293</v>
      </c>
      <c r="B5165" s="81" t="str">
        <f t="shared" si="281"/>
        <v>趁熱 Kerry 's kitchen</v>
      </c>
      <c r="C5165" s="80" t="s">
        <v>5619</v>
      </c>
      <c r="D5165" s="81" t="str">
        <f>HYPERLINK("https://youtube.com/watch?v=BgQhVJiGk-U", "三文魚/如何在家做米芝連脆皮爆汁三文魚/無須慢煮機,,抽真空/一隻鑊攪掂/完美口感/新手都得/廣東話/中字 How to pan-fried warm crispy &amp; juicy salmon")</f>
        <v>三文魚/如何在家做米芝連脆皮爆汁三文魚/無須慢煮機,,抽真空/一隻鑊攪掂/完美口感/新手都得/廣東話/中字 How to pan-fried warm crispy &amp; juicy salmon</v>
      </c>
      <c r="E5165" s="82">
        <v>44697.0</v>
      </c>
      <c r="F5165" s="80">
        <v>599.0</v>
      </c>
      <c r="G5165" s="80" t="s">
        <v>63</v>
      </c>
      <c r="I5165" s="80" t="s">
        <v>63</v>
      </c>
      <c r="J5165" s="80">
        <v>742.0</v>
      </c>
      <c r="K5165" s="80">
        <v>0.984084880636604</v>
      </c>
      <c r="L5165" s="80" t="s">
        <v>64</v>
      </c>
    </row>
    <row r="5166">
      <c r="A5166" s="80" t="s">
        <v>96</v>
      </c>
      <c r="B5166" s="81" t="str">
        <f>HYPERLINK("https://www.youtube.com/channel/UCGtyHJ-L_4RDIHe3XaLofQQ", "Anson Cheung")</f>
        <v>Anson Cheung</v>
      </c>
      <c r="C5166" s="80" t="s">
        <v>5620</v>
      </c>
      <c r="D5166" s="81" t="str">
        <f>HYPERLINK("https://youtube.com/watch?v=bDuVepkuCCc", "M1 Ultra 晶片其實比大家想像中更加痴線🤯🤯🤯｜Apple 春季發佈會整合｜iPhone SE 3 / iPad Air 5 / Mac Studio 發佈會後感")</f>
        <v>M1 Ultra 晶片其實比大家想像中更加痴線🤯🤯🤯｜Apple 春季發佈會整合｜iPhone SE 3 / iPad Air 5 / Mac Studio 發佈會後感</v>
      </c>
      <c r="E5166" s="82">
        <v>44632.0</v>
      </c>
      <c r="F5166" s="80">
        <v>615.0</v>
      </c>
      <c r="G5166" s="80" t="s">
        <v>63</v>
      </c>
      <c r="I5166" s="80" t="s">
        <v>63</v>
      </c>
      <c r="J5166" s="80">
        <v>2240.0</v>
      </c>
      <c r="K5166" s="80">
        <v>0.581365169997404</v>
      </c>
      <c r="L5166" s="80" t="s">
        <v>64</v>
      </c>
    </row>
    <row r="5167">
      <c r="A5167" s="80" t="s">
        <v>248</v>
      </c>
      <c r="B5167" s="81" t="str">
        <f>HYPERLINK("https://www.youtube.com/channel/UCUEJok-GiWaGlv5nIPwk-GQ", "Price.com.hk 香港格價網")</f>
        <v>Price.com.hk 香港格價網</v>
      </c>
      <c r="C5167" s="80" t="s">
        <v>5621</v>
      </c>
      <c r="D5167" s="81" t="str">
        <f>HYPERLINK("https://youtube.com/watch?v=zP0WDMTu72c", "高色準創作者熒幕 ASUS ProArt PA329CV 開箱實測｜Calman認證、ΔE ≦ 2、100% sRGB｜特約專題｜廣東話｜中文字幕【Price.com.hk產品介紹】")</f>
        <v>高色準創作者熒幕 ASUS ProArt PA329CV 開箱實測｜Calman認證、ΔE ≦ 2、100% sRGB｜特約專題｜廣東話｜中文字幕【Price.com.hk產品介紹】</v>
      </c>
      <c r="E5167" s="82">
        <v>44621.0</v>
      </c>
      <c r="F5167" s="80">
        <v>329.0</v>
      </c>
      <c r="G5167" s="80" t="s">
        <v>63</v>
      </c>
      <c r="I5167" s="80" t="s">
        <v>63</v>
      </c>
      <c r="J5167" s="80">
        <v>1166.0</v>
      </c>
      <c r="K5167" s="80">
        <v>0.701986754966887</v>
      </c>
      <c r="L5167" s="80" t="s">
        <v>64</v>
      </c>
    </row>
    <row r="5168">
      <c r="A5168" s="80" t="s">
        <v>755</v>
      </c>
      <c r="B5168" s="81" t="str">
        <f>HYPERLINK("https://www.youtube.com/channel/UCBiJDTc82IM68KVH873VeAw", "Live in Kwangsi廣西人·情·味")</f>
        <v>Live in Kwangsi廣西人·情·味</v>
      </c>
      <c r="C5168" s="80" t="s">
        <v>5622</v>
      </c>
      <c r="D5168" s="81" t="str">
        <f>HYPERLINK("https://youtube.com/watch?v=AFbBu8Meu6g", "喺安靜村賞花 欣賞古蹟烏龍橋 遊覽荔水青山溼地公園 試荔浦芋頭 行夜街｜廣西vlog 20220312")</f>
        <v>喺安靜村賞花 欣賞古蹟烏龍橋 遊覽荔水青山溼地公園 試荔浦芋頭 行夜街｜廣西vlog 20220312</v>
      </c>
      <c r="E5168" s="82">
        <v>44637.0</v>
      </c>
      <c r="F5168" s="80">
        <v>655.0</v>
      </c>
      <c r="G5168" s="80" t="s">
        <v>63</v>
      </c>
      <c r="I5168" s="80" t="s">
        <v>63</v>
      </c>
      <c r="J5168" s="80">
        <v>1394.0</v>
      </c>
      <c r="K5168" s="80">
        <v>0.998567335243553</v>
      </c>
      <c r="L5168" s="80" t="s">
        <v>757</v>
      </c>
    </row>
    <row r="5169">
      <c r="A5169" s="80" t="s">
        <v>1260</v>
      </c>
      <c r="B5169" s="81" t="str">
        <f>HYPERLINK("https://www.youtube.com/channel/UCh1k4i86BpiXEO3nzJIYynw", "The Wave")</f>
        <v>The Wave</v>
      </c>
      <c r="C5169" s="80" t="s">
        <v>5623</v>
      </c>
      <c r="D5169" s="81" t="str">
        <f>HYPERLINK("https://youtube.com/watch?v=ph0oYrYhvRA", "TheWave | Sony WF-L900 簡單開箱 + 簡單測試")</f>
        <v>TheWave | Sony WF-L900 簡單開箱 + 簡單測試</v>
      </c>
      <c r="E5169" s="82">
        <v>44625.0</v>
      </c>
      <c r="F5169" s="80">
        <v>173.0</v>
      </c>
      <c r="G5169" s="80" t="s">
        <v>63</v>
      </c>
      <c r="H5169" s="80" t="s">
        <v>63</v>
      </c>
      <c r="I5169" s="80" t="s">
        <v>63</v>
      </c>
      <c r="J5169" s="80">
        <v>486.0</v>
      </c>
      <c r="K5169" s="80">
        <v>0.81</v>
      </c>
      <c r="L5169" s="80" t="s">
        <v>1634</v>
      </c>
    </row>
    <row r="5170">
      <c r="A5170" s="80" t="s">
        <v>274</v>
      </c>
      <c r="B5170" s="81" t="str">
        <f>HYPERLINK("https://www.youtube.com/channel/UC2oB9QCXs-RKtaKChrz4dKg", "MtzCherry")</f>
        <v>MtzCherry</v>
      </c>
      <c r="C5170" s="80" t="s">
        <v>5624</v>
      </c>
      <c r="D5170" s="81" t="str">
        <f>HYPERLINK("https://youtube.com/watch?v=F1NgB2clQtk", "[EN/CANTO Sub] Cafe Adventure, Grocery Shopping &amp; Home-Cooking 散吓步買吓嘢煮吓飯嘅一個週末 :D")</f>
        <v>[EN/CANTO Sub] Cafe Adventure, Grocery Shopping &amp; Home-Cooking 散吓步買吓嘢煮吓飯嘅一個週末 :D</v>
      </c>
      <c r="E5170" s="82">
        <v>44646.0</v>
      </c>
      <c r="F5170" s="80">
        <v>516.0</v>
      </c>
      <c r="G5170" s="80" t="s">
        <v>63</v>
      </c>
      <c r="I5170" s="80" t="s">
        <v>63</v>
      </c>
      <c r="J5170" s="80">
        <v>1439.0</v>
      </c>
      <c r="K5170" s="80">
        <v>0.881200244947948</v>
      </c>
      <c r="L5170" s="80" t="s">
        <v>287</v>
      </c>
    </row>
    <row r="5171">
      <c r="A5171" s="80" t="s">
        <v>414</v>
      </c>
      <c r="B5171" s="81" t="str">
        <f>HYPERLINK("https://www.youtube.com/channel/UCCVn38j5xSJZN-II-TeyomA", "Uncle Calvin Cantonese Class")</f>
        <v>Uncle Calvin Cantonese Class</v>
      </c>
      <c r="C5171" s="80" t="s">
        <v>5625</v>
      </c>
      <c r="D5171" s="81" t="str">
        <f>HYPERLINK("https://youtube.com/watch?v=ebzJU70BFvs", "【10種球類運動】10 Ball Games in Cantonese I 幼童認字 for Toddlers I 廣東話教室 I 字幕/Subtitles")</f>
        <v>【10種球類運動】10 Ball Games in Cantonese I 幼童認字 for Toddlers I 廣東話教室 I 字幕/Subtitles</v>
      </c>
      <c r="E5171" s="82">
        <v>44653.0</v>
      </c>
      <c r="F5171" s="80">
        <v>780.0</v>
      </c>
      <c r="G5171" s="80" t="s">
        <v>63</v>
      </c>
      <c r="H5171" s="80" t="s">
        <v>63</v>
      </c>
      <c r="I5171" s="80" t="s">
        <v>63</v>
      </c>
      <c r="J5171" s="80">
        <v>1822.0</v>
      </c>
      <c r="K5171" s="80">
        <v>0.892822025565388</v>
      </c>
      <c r="L5171" s="80" t="s">
        <v>426</v>
      </c>
    </row>
    <row r="5172">
      <c r="A5172" s="80" t="s">
        <v>98</v>
      </c>
      <c r="B5172" s="81" t="str">
        <f>HYPERLINK("https://www.youtube.com/channel/UCrquuQB6v1Ued2xyRKZreGQ", "Stephen Leung ")</f>
        <v>Stephen Leung </v>
      </c>
      <c r="C5172" s="80" t="s">
        <v>5626</v>
      </c>
      <c r="D5172" s="81" t="str">
        <f>HYPERLINK("https://youtube.com/watch?v=c_DTX9AVElQ", "【原味食材】銅鑼灣 最強高級食材超市 包羅萬有 環境舒適唔使同人迫! Ft. 利園商場二期 LEEGARDENS | 吃喝玩樂")</f>
        <v>【原味食材】銅鑼灣 最強高級食材超市 包羅萬有 環境舒適唔使同人迫! Ft. 利園商場二期 LEEGARDENS | 吃喝玩樂</v>
      </c>
      <c r="E5172" s="82">
        <v>44649.0</v>
      </c>
      <c r="F5172" s="80">
        <v>590.0</v>
      </c>
      <c r="G5172" s="80" t="s">
        <v>63</v>
      </c>
      <c r="I5172" s="80" t="s">
        <v>63</v>
      </c>
      <c r="J5172" s="80">
        <v>1474.0</v>
      </c>
      <c r="K5172" s="80">
        <v>0.778247096092925</v>
      </c>
      <c r="L5172" s="80" t="s">
        <v>64</v>
      </c>
    </row>
    <row r="5173">
      <c r="A5173" s="80" t="s">
        <v>293</v>
      </c>
      <c r="B5173" s="81" t="str">
        <f>HYPERLINK("https://www.youtube.com/channel/UCXRcbXqjORdIvl63I7MtOLQ", "趁熱 Kerry 's kitchen")</f>
        <v>趁熱 Kerry 's kitchen</v>
      </c>
      <c r="C5173" s="80" t="s">
        <v>5627</v>
      </c>
      <c r="D5173" s="81" t="str">
        <f>HYPERLINK("https://youtube.com/watch?v=Rx0zb2XbMlk", "鹹魚 雞粒/鹹魚雞粒豆腐煲/勁惹味/新手 入門/好餸飯/少油免炸簡單 家做//廣東話/中字/tofu recipe")</f>
        <v>鹹魚 雞粒/鹹魚雞粒豆腐煲/勁惹味/新手 入門/好餸飯/少油免炸簡單 家做//廣東話/中字/tofu recipe</v>
      </c>
      <c r="E5173" s="82">
        <v>44662.0</v>
      </c>
      <c r="F5173" s="80">
        <v>566.0</v>
      </c>
      <c r="G5173" s="80" t="s">
        <v>63</v>
      </c>
      <c r="I5173" s="80" t="s">
        <v>63</v>
      </c>
      <c r="J5173" s="80">
        <v>632.0</v>
      </c>
      <c r="K5173" s="80">
        <v>0.976816074188562</v>
      </c>
      <c r="L5173" s="80" t="s">
        <v>64</v>
      </c>
    </row>
    <row r="5174">
      <c r="A5174" s="80" t="s">
        <v>2780</v>
      </c>
      <c r="B5174" s="81" t="str">
        <f>HYPERLINK("https://www.youtube.com/channel/UC0CojhLcc0VESgaG633m5kA", "RainErs")</f>
        <v>RainErs</v>
      </c>
      <c r="C5174" s="80" t="s">
        <v>5628</v>
      </c>
      <c r="D5174" s="81" t="str">
        <f>HYPERLINK("https://youtube.com/watch?v=tBmEQtF4LD0", "SHURE MV7開箱!!---佢可能係暫時平民級嘅天花板 !! // MIC世一哥 ?? //直播主恩物 !?[有CC字幕]")</f>
        <v>SHURE MV7開箱!!---佢可能係暫時平民級嘅天花板 !! // MIC世一哥 ?? //直播主恩物 !?[有CC字幕]</v>
      </c>
      <c r="E5174" s="82">
        <v>44685.0</v>
      </c>
      <c r="F5174" s="80">
        <v>603.0</v>
      </c>
      <c r="G5174" s="80" t="s">
        <v>63</v>
      </c>
      <c r="I5174" s="80" t="s">
        <v>63</v>
      </c>
      <c r="J5174" s="80">
        <v>2405.0</v>
      </c>
      <c r="K5174" s="80">
        <v>0.900074850299401</v>
      </c>
      <c r="L5174" s="80" t="s">
        <v>64</v>
      </c>
    </row>
    <row r="5175">
      <c r="A5175" s="80" t="s">
        <v>242</v>
      </c>
      <c r="B5175" s="81" t="str">
        <f>HYPERLINK("https://www.youtube.com/channel/UCZGVB6g74LXWtkR3fX50ykg", "Edwin H.")</f>
        <v>Edwin H.</v>
      </c>
      <c r="C5175" s="80" t="s">
        <v>5629</v>
      </c>
      <c r="D5175" s="81" t="str">
        <f>HYPERLINK("https://youtube.com/watch?v=-cKBD9SbyUQ", "不應該打開嗎？這設定最多餘 | Galaxy S22 S22 Ultra vs iPhone 13 Pro Peak Brightness")</f>
        <v>不應該打開嗎？這設定最多餘 | Galaxy S22 S22 Ultra vs iPhone 13 Pro Peak Brightness</v>
      </c>
      <c r="E5175" s="82">
        <v>44643.0</v>
      </c>
      <c r="F5175" s="80">
        <v>320.0</v>
      </c>
      <c r="G5175" s="80" t="s">
        <v>63</v>
      </c>
      <c r="I5175" s="80" t="s">
        <v>63</v>
      </c>
      <c r="J5175" s="80">
        <v>1112.0</v>
      </c>
      <c r="K5175" s="80">
        <v>0.785865724381625</v>
      </c>
      <c r="L5175" s="80" t="s">
        <v>64</v>
      </c>
    </row>
    <row r="5176">
      <c r="A5176" s="80" t="s">
        <v>1312</v>
      </c>
      <c r="B5176" s="81" t="str">
        <f>HYPERLINK("https://www.youtube.com/channel/UC1NxU2rbVZW0Rq6VHmaqoEQ", "Jarvis &amp; Isabella")</f>
        <v>Jarvis &amp; Isabella</v>
      </c>
      <c r="C5176" s="80" t="s">
        <v>5630</v>
      </c>
      <c r="D5176" s="81" t="str">
        <f>HYPERLINK("https://youtube.com/watch?v=_6lDFvpyGDA", "【 London Vlog #1】倫敦之旅正式開始 | 好有feel嘅倫敦地鐵 | 打晒蛇餅嘅博物館 |  ￼誤打誤撞去咗間出名嘅日本Cafe｜CC 中文字幕｜Jarvis &amp; Isabella")</f>
        <v>【 London Vlog #1】倫敦之旅正式開始 | 好有feel嘅倫敦地鐵 | 打晒蛇餅嘅博物館 |  ￼誤打誤撞去咗間出名嘅日本Cafe｜CC 中文字幕｜Jarvis &amp; Isabella</v>
      </c>
      <c r="E5176" s="82">
        <v>44634.0</v>
      </c>
      <c r="F5176" s="80">
        <v>619.0</v>
      </c>
      <c r="G5176" s="80" t="s">
        <v>63</v>
      </c>
      <c r="I5176" s="80" t="s">
        <v>63</v>
      </c>
      <c r="J5176" s="80">
        <v>979.0</v>
      </c>
      <c r="K5176" s="80">
        <v>0.801801801801801</v>
      </c>
      <c r="L5176" s="80" t="s">
        <v>64</v>
      </c>
    </row>
    <row r="5177">
      <c r="A5177" s="80" t="s">
        <v>293</v>
      </c>
      <c r="B5177" s="81" t="str">
        <f>HYPERLINK("https://www.youtube.com/channel/UCXRcbXqjORdIvl63I7MtOLQ", "趁熱 Kerry 's kitchen")</f>
        <v>趁熱 Kerry 's kitchen</v>
      </c>
      <c r="C5177" s="80" t="s">
        <v>5631</v>
      </c>
      <c r="D5177" s="81" t="str">
        <f>HYPERLINK("https://youtube.com/watch?v=mMg2Q6mNMRU", "粟米 肉粒/栗米肉粒飯/避疫自己做零失敗/急凍豬肉軟滑竅門/茶記風味/廣東話/中字")</f>
        <v>粟米 肉粒/栗米肉粒飯/避疫自己做零失敗/急凍豬肉軟滑竅門/茶記風味/廣東話/中字</v>
      </c>
      <c r="E5177" s="82">
        <v>44620.0</v>
      </c>
      <c r="F5177" s="80">
        <v>497.0</v>
      </c>
      <c r="G5177" s="80" t="s">
        <v>63</v>
      </c>
      <c r="I5177" s="80" t="s">
        <v>63</v>
      </c>
      <c r="J5177" s="80">
        <v>607.0</v>
      </c>
      <c r="K5177" s="80">
        <v>0.9712</v>
      </c>
      <c r="L5177" s="80" t="s">
        <v>64</v>
      </c>
    </row>
    <row r="5178">
      <c r="A5178" s="80" t="s">
        <v>98</v>
      </c>
      <c r="B5178" s="81" t="str">
        <f>HYPERLINK("https://www.youtube.com/channel/UCrquuQB6v1Ued2xyRKZreGQ", "Stephen Leung ")</f>
        <v>Stephen Leung </v>
      </c>
      <c r="C5178" s="80" t="s">
        <v>5632</v>
      </c>
      <c r="D5178" s="81" t="str">
        <f>HYPERLINK("https://youtube.com/watch?v=cTQToqPgjWg", "【放題速報】會員九折 牛角 buffet 澳洲和牛 任燒海鮮 廣島蠔 池魚!  任食任飲 燒肉放題 日式燒肉 無限制 尖沙咀美麗華 牛角 食べ放題 Hong Kong Food Tour | 吃喝玩樂")</f>
        <v>【放題速報】會員九折 牛角 buffet 澳洲和牛 任燒海鮮 廣島蠔 池魚!  任食任飲 燒肉放題 日式燒肉 無限制 尖沙咀美麗華 牛角 食べ放題 Hong Kong Food Tour | 吃喝玩樂</v>
      </c>
      <c r="E5178" s="82">
        <v>44707.0</v>
      </c>
      <c r="F5178" s="80">
        <v>480.0</v>
      </c>
      <c r="G5178" s="80" t="s">
        <v>63</v>
      </c>
      <c r="I5178" s="80" t="s">
        <v>63</v>
      </c>
      <c r="J5178" s="80">
        <v>1320.0</v>
      </c>
      <c r="K5178" s="80">
        <v>0.956521739130434</v>
      </c>
      <c r="L5178" s="80" t="s">
        <v>64</v>
      </c>
    </row>
    <row r="5179">
      <c r="A5179" s="80" t="s">
        <v>1670</v>
      </c>
      <c r="B5179" s="81" t="str">
        <f>HYPERLINK("https://www.youtube.com/channel/UC-PIt5m-WOg8UVBkt2RnN0g", "阿JACK睇樓團")</f>
        <v>阿JACK睇樓團</v>
      </c>
      <c r="C5179" s="80" t="s">
        <v>5633</v>
      </c>
      <c r="D5179" s="81" t="str">
        <f>HYPERLINK("https://youtube.com/watch?v=wA7KBK5CdgY", "超震撼景觀🤩 望晒半個屯門‼️ 仲有個細單位收租推介 😍琴日有冇感覺到地震呀🥶 阿Jack睇樓團 屯門樓 疫情睇樓")</f>
        <v>超震撼景觀🤩 望晒半個屯門‼️ 仲有個細單位收租推介 😍琴日有冇感覺到地震呀🥶 阿Jack睇樓團 屯門樓 疫情睇樓</v>
      </c>
      <c r="E5179" s="82">
        <v>44634.0</v>
      </c>
      <c r="F5179" s="80">
        <v>622.0</v>
      </c>
      <c r="G5179" s="80" t="s">
        <v>63</v>
      </c>
      <c r="I5179" s="80" t="s">
        <v>63</v>
      </c>
      <c r="J5179" s="80">
        <v>2286.0</v>
      </c>
      <c r="K5179" s="80">
        <v>0.994345367551109</v>
      </c>
      <c r="L5179" s="80" t="s">
        <v>64</v>
      </c>
    </row>
    <row r="5180">
      <c r="A5180" s="80" t="s">
        <v>217</v>
      </c>
      <c r="B5180" s="81" t="str">
        <f>HYPERLINK("https://www.youtube.com/channel/UCXKg0qPRz32bs5Z4mTGF3TQ", "Stormtrooper白兵")</f>
        <v>Stormtrooper白兵</v>
      </c>
      <c r="C5180" s="80" t="s">
        <v>5634</v>
      </c>
      <c r="D5180" s="81" t="str">
        <f>HYPERLINK("https://youtube.com/watch?v=9BVfx1peL4Y", "[本土專題]香港點解會出現私煙？｜最平＄23蚊包？｜有樹枝樹葉？｜收煙稅有冇用？｜海關冚本都有｜粵語中字")</f>
        <v>[本土專題]香港點解會出現私煙？｜最平＄23蚊包？｜有樹枝樹葉？｜收煙稅有冇用？｜海關冚本都有｜粵語中字</v>
      </c>
      <c r="E5180" s="82">
        <v>44691.0</v>
      </c>
      <c r="F5180" s="80">
        <v>757.0</v>
      </c>
      <c r="G5180" s="80" t="s">
        <v>63</v>
      </c>
      <c r="I5180" s="80" t="s">
        <v>63</v>
      </c>
      <c r="J5180" s="80">
        <v>2585.0</v>
      </c>
      <c r="K5180" s="80">
        <v>0.97768532526475</v>
      </c>
      <c r="L5180" s="80" t="s">
        <v>64</v>
      </c>
    </row>
    <row r="5181">
      <c r="A5181" s="80" t="s">
        <v>2804</v>
      </c>
      <c r="B5181" s="81" t="str">
        <f>HYPERLINK("https://www.youtube.com/channel/UCrFrg50t0JqgqV2dkIrH5Hg", "投智財女 GirlbossInvest 創業投資智慧")</f>
        <v>投智財女 GirlbossInvest 創業投資智慧</v>
      </c>
      <c r="C5181" s="80" t="s">
        <v>5635</v>
      </c>
      <c r="D5181" s="81" t="str">
        <f>HYPERLINK("https://youtube.com/watch?v=DAk-z8Atwao", "不工作賺$8000?【被動收入實測成功】挑戰4日假期躺著賺錢 |  破訂閱開戶慶送$1200 Staycation現金券 😛  #被動收入實測 #睡後收入 #躺著賺2022")</f>
        <v>不工作賺$8000?【被動收入實測成功】挑戰4日假期躺著賺錢 |  破訂閱開戶慶送$1200 Staycation現金券 😛  #被動收入實測 #睡後收入 #躺著賺2022</v>
      </c>
      <c r="E5181" s="82">
        <v>44672.0</v>
      </c>
      <c r="F5181" s="80">
        <v>736.0</v>
      </c>
      <c r="G5181" s="80" t="s">
        <v>63</v>
      </c>
      <c r="I5181" s="80" t="s">
        <v>63</v>
      </c>
      <c r="J5181" s="80">
        <v>2609.0</v>
      </c>
      <c r="K5181" s="80">
        <v>0.973144349123461</v>
      </c>
      <c r="L5181" s="80" t="s">
        <v>91</v>
      </c>
    </row>
    <row r="5182">
      <c r="A5182" s="80" t="s">
        <v>414</v>
      </c>
      <c r="B5182" s="81" t="str">
        <f>HYPERLINK("https://www.youtube.com/channel/UCCVn38j5xSJZN-II-TeyomA", "Uncle Calvin Cantonese Class")</f>
        <v>Uncle Calvin Cantonese Class</v>
      </c>
      <c r="C5182" s="80" t="s">
        <v>5636</v>
      </c>
      <c r="D5182" s="81" t="str">
        <f>HYPERLINK("https://youtube.com/watch?v=DTQRpYFZm9Q", "【10種特別用途車輛(幼兒版)】10 Special Vehicles in Cantonese I 幼兒認字 for Toddlers I 廣東話教室 I 字幕/Subtitles")</f>
        <v>【10種特別用途車輛(幼兒版)】10 Special Vehicles in Cantonese I 幼兒認字 for Toddlers I 廣東話教室 I 字幕/Subtitles</v>
      </c>
      <c r="E5182" s="82">
        <v>44666.0</v>
      </c>
      <c r="F5182" s="80">
        <v>564.0</v>
      </c>
      <c r="G5182" s="80" t="s">
        <v>63</v>
      </c>
      <c r="H5182" s="80" t="s">
        <v>63</v>
      </c>
      <c r="I5182" s="80" t="s">
        <v>63</v>
      </c>
      <c r="J5182" s="80">
        <v>1254.0</v>
      </c>
      <c r="K5182" s="80">
        <v>0.815374507227332</v>
      </c>
      <c r="L5182" s="80" t="s">
        <v>426</v>
      </c>
    </row>
    <row r="5183">
      <c r="A5183" s="80" t="s">
        <v>3139</v>
      </c>
      <c r="B5183" s="81" t="str">
        <f>HYPERLINK("https://www.youtube.com/channel/UCThO2xnH7XMg6plE8OgJm_w", "choyuen草原")</f>
        <v>choyuen草原</v>
      </c>
      <c r="C5183" s="80" t="s">
        <v>5637</v>
      </c>
      <c r="D5183" s="81" t="str">
        <f>HYPERLINK("https://youtube.com/watch?v=_O04A1QQhvI", "【着草號外】英國cheap精生活   UK Lowest Living Cost Challenge")</f>
        <v>【着草號外】英國cheap精生活   UK Lowest Living Cost Challenge</v>
      </c>
      <c r="E5183" s="82">
        <v>44705.0</v>
      </c>
      <c r="F5183" s="80">
        <v>474.0</v>
      </c>
      <c r="G5183" s="80" t="s">
        <v>63</v>
      </c>
      <c r="I5183" s="80" t="s">
        <v>63</v>
      </c>
      <c r="J5183" s="80">
        <v>1037.0</v>
      </c>
      <c r="K5183" s="80">
        <v>0.841038118410381</v>
      </c>
      <c r="L5183" s="80" t="s">
        <v>64</v>
      </c>
    </row>
    <row r="5184">
      <c r="A5184" s="80" t="s">
        <v>248</v>
      </c>
      <c r="B5184" s="81" t="str">
        <f>HYPERLINK("https://www.youtube.com/channel/UCUEJok-GiWaGlv5nIPwk-GQ", "Price.com.hk 香港格價網")</f>
        <v>Price.com.hk 香港格價網</v>
      </c>
      <c r="C5184" s="80" t="s">
        <v>5638</v>
      </c>
      <c r="D5184" s="81" t="str">
        <f>HYPERLINK("https://youtube.com/watch?v=LX8brzDrbvQ", "四大升級 Apple iPad Air 5 買唔買好？ 對比iPad Air 4｜用後感｜M1晶片｜5G｜人物置中｜五色機身｜ 廣東話【Price.com.hk產品比較】")</f>
        <v>四大升級 Apple iPad Air 5 買唔買好？ 對比iPad Air 4｜用後感｜M1晶片｜5G｜人物置中｜五色機身｜ 廣東話【Price.com.hk產品比較】</v>
      </c>
      <c r="E5184" s="82">
        <v>44636.0</v>
      </c>
      <c r="F5184" s="80">
        <v>379.0</v>
      </c>
      <c r="G5184" s="80" t="s">
        <v>63</v>
      </c>
      <c r="I5184" s="80" t="s">
        <v>63</v>
      </c>
      <c r="J5184" s="80">
        <v>1328.0</v>
      </c>
      <c r="K5184" s="80">
        <v>0.749012972363226</v>
      </c>
      <c r="L5184" s="80" t="s">
        <v>64</v>
      </c>
    </row>
    <row r="5185">
      <c r="A5185" s="80" t="s">
        <v>217</v>
      </c>
      <c r="B5185" s="81" t="str">
        <f>HYPERLINK("https://www.youtube.com/channel/UCXKg0qPRz32bs5Z4mTGF3TQ", "Stormtrooper白兵")</f>
        <v>Stormtrooper白兵</v>
      </c>
      <c r="C5185" s="80" t="s">
        <v>5639</v>
      </c>
      <c r="D5185" s="81" t="str">
        <f>HYPERLINK("https://youtube.com/watch?v=Pj_YQg39XNc", "[人物誌]左膠末日！｜收購Twitter目的係……？｜一人改變俄烏局勢！｜盤點手上千億生意｜如何改變人類歷史｜一己之力左右俄烏戰局｜言論自由絕對主義者｜粵語中字")</f>
        <v>[人物誌]左膠末日！｜收購Twitter目的係……？｜一人改變俄烏局勢！｜盤點手上千億生意｜如何改變人類歷史｜一己之力左右俄烏戰局｜言論自由絕對主義者｜粵語中字</v>
      </c>
      <c r="E5185" s="82">
        <v>44679.0</v>
      </c>
      <c r="F5185" s="80">
        <v>1039.0</v>
      </c>
      <c r="G5185" s="80" t="s">
        <v>63</v>
      </c>
      <c r="I5185" s="80" t="s">
        <v>63</v>
      </c>
      <c r="J5185" s="80">
        <v>3520.0</v>
      </c>
      <c r="K5185" s="80">
        <v>0.763226366001734</v>
      </c>
      <c r="L5185" s="80" t="s">
        <v>64</v>
      </c>
    </row>
    <row r="5186">
      <c r="A5186" s="80" t="s">
        <v>74</v>
      </c>
      <c r="B5186" s="81" t="str">
        <f>HYPERLINK("https://www.youtube.com/channel/UCO_5XP-qd-udNxBlzzSzgvw", "Handline Fishing")</f>
        <v>Handline Fishing</v>
      </c>
      <c r="C5186" s="80" t="s">
        <v>5640</v>
      </c>
      <c r="D5186" s="81" t="str">
        <f>HYPERLINK("https://youtube.com/watch?v=fGTtnFX-yNs", "#275 【4K橫屏】香港果洲外遇鯨鯊 現本港水域 | 香港釣魚 | 艇釣 | 果洲外")</f>
        <v>#275 【4K橫屏】香港果洲外遇鯨鯊 現本港水域 | 香港釣魚 | 艇釣 | 果洲外</v>
      </c>
      <c r="E5186" s="82">
        <v>44683.0</v>
      </c>
      <c r="F5186" s="80">
        <v>92.0</v>
      </c>
      <c r="G5186" s="80" t="s">
        <v>63</v>
      </c>
      <c r="H5186" s="80" t="s">
        <v>63</v>
      </c>
      <c r="I5186" s="80" t="s">
        <v>63</v>
      </c>
      <c r="J5186" s="80">
        <v>237.0</v>
      </c>
      <c r="K5186" s="80">
        <v>0.977477477477477</v>
      </c>
      <c r="L5186" s="80" t="s">
        <v>240</v>
      </c>
    </row>
    <row r="5187">
      <c r="A5187" s="80" t="s">
        <v>96</v>
      </c>
      <c r="B5187" s="81" t="str">
        <f>HYPERLINK("https://www.youtube.com/channel/UCGtyHJ-L_4RDIHe3XaLofQQ", "Anson Cheung")</f>
        <v>Anson Cheung</v>
      </c>
      <c r="C5187" s="80" t="s">
        <v>5641</v>
      </c>
      <c r="D5187" s="81" t="str">
        <f>HYPERLINK("https://youtube.com/watch?v=Jv6vMGpq6Rc", "LG StanbyME：有三個理由買，更有四個理由不買🤦｜LG StanbyME 27"" 無線屏幕評測")</f>
        <v>LG StanbyME：有三個理由買，更有四個理由不買🤦｜LG StanbyME 27" 無線屏幕評測</v>
      </c>
      <c r="E5187" s="82">
        <v>44684.0</v>
      </c>
      <c r="F5187" s="80">
        <v>871.0</v>
      </c>
      <c r="G5187" s="80" t="s">
        <v>63</v>
      </c>
      <c r="I5187" s="80" t="s">
        <v>63</v>
      </c>
      <c r="J5187" s="80">
        <v>3052.0</v>
      </c>
      <c r="K5187" s="80">
        <v>0.619569630531871</v>
      </c>
      <c r="L5187" s="80" t="s">
        <v>64</v>
      </c>
    </row>
    <row r="5188">
      <c r="A5188" s="80" t="s">
        <v>3139</v>
      </c>
      <c r="B5188" s="81" t="str">
        <f t="shared" ref="B5188:B5189" si="282">HYPERLINK("https://www.youtube.com/channel/UCThO2xnH7XMg6plE8OgJm_w", "choyuen草原")</f>
        <v>choyuen草原</v>
      </c>
      <c r="C5188" s="80" t="s">
        <v>5642</v>
      </c>
      <c r="D5188" s="81" t="str">
        <f>HYPERLINK("https://youtube.com/watch?v=YwwK-gH8H-Q", "米高積遜 Scary Movie 3 Michael Jackson")</f>
        <v>米高積遜 Scary Movie 3 Michael Jackson</v>
      </c>
      <c r="E5188" s="82">
        <v>44625.0</v>
      </c>
      <c r="F5188" s="80">
        <v>94.0</v>
      </c>
      <c r="G5188" s="80" t="s">
        <v>63</v>
      </c>
      <c r="I5188" s="80" t="s">
        <v>63</v>
      </c>
      <c r="J5188" s="80">
        <v>52.0</v>
      </c>
      <c r="K5188" s="80">
        <v>1.0</v>
      </c>
      <c r="L5188" s="80" t="s">
        <v>64</v>
      </c>
    </row>
    <row r="5189">
      <c r="A5189" s="80" t="s">
        <v>3139</v>
      </c>
      <c r="B5189" s="81" t="str">
        <f t="shared" si="282"/>
        <v>choyuen草原</v>
      </c>
      <c r="C5189" s="80" t="s">
        <v>5643</v>
      </c>
      <c r="D5189" s="81" t="str">
        <f>HYPERLINK("https://youtube.com/watch?v=nikzO_I0qiI", "米高積遜的一生 , 娛樂圈的黑暗 (B. 幕後勢力) Michael Jackson alone in the Dark (B. Ritual to the Behind)")</f>
        <v>米高積遜的一生 , 娛樂圈的黑暗 (B. 幕後勢力) Michael Jackson alone in the Dark (B. Ritual to the Behind)</v>
      </c>
      <c r="E5189" s="82">
        <v>44638.0</v>
      </c>
      <c r="F5189" s="80">
        <v>311.0</v>
      </c>
      <c r="G5189" s="80" t="s">
        <v>63</v>
      </c>
      <c r="I5189" s="80" t="s">
        <v>63</v>
      </c>
      <c r="J5189" s="80">
        <v>868.0</v>
      </c>
      <c r="K5189" s="80">
        <v>0.777777777777777</v>
      </c>
      <c r="L5189" s="80" t="s">
        <v>64</v>
      </c>
    </row>
    <row r="5190">
      <c r="A5190" s="80" t="s">
        <v>124</v>
      </c>
      <c r="B5190" s="81" t="str">
        <f>HYPERLINK("https://www.youtube.com/channel/UCg0vuSE0fBF_NvodyYhMcWg", "Wallace Studio HK")</f>
        <v>Wallace Studio HK</v>
      </c>
      <c r="C5190" s="80" t="s">
        <v>5644</v>
      </c>
      <c r="D5190" s="81" t="str">
        <f>HYPERLINK("https://youtube.com/watch?v=rN453WG6by4", "ASUSTOR NAS 詳盡上手教學 ｜廣東話教學 （繁中字幕）")</f>
        <v>ASUSTOR NAS 詳盡上手教學 ｜廣東話教學 （繁中字幕）</v>
      </c>
      <c r="E5190" s="82">
        <v>44703.0</v>
      </c>
      <c r="F5190" s="80">
        <v>782.0</v>
      </c>
      <c r="G5190" s="80" t="s">
        <v>63</v>
      </c>
      <c r="H5190" s="80" t="s">
        <v>63</v>
      </c>
      <c r="I5190" s="80" t="s">
        <v>63</v>
      </c>
      <c r="J5190" s="80">
        <v>2974.0</v>
      </c>
      <c r="K5190" s="80">
        <v>0.668501949988529</v>
      </c>
      <c r="L5190" s="80" t="s">
        <v>86</v>
      </c>
    </row>
    <row r="5191">
      <c r="A5191" s="80" t="s">
        <v>84</v>
      </c>
      <c r="B5191" s="81" t="str">
        <f>HYPERLINK("https://www.youtube.com/channel/UCs6fW24aVjefTsognevmDnA", "PakTil 拍跳")</f>
        <v>PakTil 拍跳</v>
      </c>
      <c r="C5191" s="80" t="s">
        <v>5645</v>
      </c>
      <c r="D5191" s="81" t="str">
        <f>HYPERLINK("https://youtube.com/watch?v=X_c1t8JWXVE", "【拍住試】完美解辣原來就係差呢樣嘢🤪😜😍😍 | 挑戰譚仔攻略 | Money熱姑熱姑")</f>
        <v>【拍住試】完美解辣原來就係差呢樣嘢🤪😜😍😍 | 挑戰譚仔攻略 | Money熱姑熱姑</v>
      </c>
      <c r="E5191" s="82">
        <v>44665.0</v>
      </c>
      <c r="F5191" s="80">
        <v>400.0</v>
      </c>
      <c r="G5191" s="80" t="s">
        <v>63</v>
      </c>
      <c r="I5191" s="80" t="s">
        <v>63</v>
      </c>
      <c r="J5191" s="80">
        <v>1390.0</v>
      </c>
      <c r="K5191" s="80">
        <v>0.939824205544286</v>
      </c>
      <c r="L5191" s="80" t="s">
        <v>64</v>
      </c>
    </row>
    <row r="5192">
      <c r="A5192" s="80" t="s">
        <v>5646</v>
      </c>
      <c r="B5192" s="81" t="str">
        <f>HYPERLINK("https://www.youtube.com/channel/UC39djHphtdnlBen8ak5n4EQ", "JyutToi 粵台 | Learn Cantonese")</f>
        <v>JyutToi 粵台 | Learn Cantonese</v>
      </c>
      <c r="C5192" s="80" t="s">
        <v>5647</v>
      </c>
      <c r="D5192" s="81" t="str">
        <f>HYPERLINK("https://youtube.com/watch?v=lJx8BUW96Cg", "ZIDOU 知道 ｜ 廣東話WORDLE 介紹+攻略+試玩 ｜ Cantonese Wordle")</f>
        <v>ZIDOU 知道 ｜ 廣東話WORDLE 介紹+攻略+試玩 ｜ Cantonese Wordle</v>
      </c>
      <c r="E5192" s="82">
        <v>44601.0</v>
      </c>
      <c r="F5192" s="80">
        <v>1030.0</v>
      </c>
      <c r="G5192" s="80" t="s">
        <v>63</v>
      </c>
      <c r="I5192" s="80" t="s">
        <v>63</v>
      </c>
      <c r="J5192" s="80">
        <v>3728.0</v>
      </c>
      <c r="K5192" s="80">
        <v>0.908160779537149</v>
      </c>
      <c r="L5192" s="80" t="s">
        <v>64</v>
      </c>
    </row>
    <row r="5193">
      <c r="A5193" s="80" t="s">
        <v>84</v>
      </c>
      <c r="B5193" s="81" t="str">
        <f>HYPERLINK("https://www.youtube.com/channel/UCs6fW24aVjefTsognevmDnA", "PakTil 拍跳")</f>
        <v>PakTil 拍跳</v>
      </c>
      <c r="C5193" s="80" t="s">
        <v>5648</v>
      </c>
      <c r="D5193" s="81" t="str">
        <f>HYPERLINK("https://youtube.com/watch?v=jCe_PWapNdU", "【配音片】疫情第五波 | 香港另類度假村")</f>
        <v>【配音片】疫情第五波 | 香港另類度假村</v>
      </c>
      <c r="E5193" s="82">
        <v>44650.0</v>
      </c>
      <c r="F5193" s="80">
        <v>172.0</v>
      </c>
      <c r="G5193" s="80" t="s">
        <v>63</v>
      </c>
      <c r="I5193" s="80" t="s">
        <v>63</v>
      </c>
      <c r="J5193" s="80">
        <v>15.0</v>
      </c>
      <c r="K5193" s="80">
        <v>0.9375</v>
      </c>
      <c r="L5193" s="80" t="s">
        <v>64</v>
      </c>
    </row>
    <row r="5194">
      <c r="A5194" s="80" t="s">
        <v>971</v>
      </c>
      <c r="B5194" s="81" t="str">
        <f>HYPERLINK("https://www.youtube.com/channel/UC4nsi0oM9WBNFv1RdLh3c2g", "JASON")</f>
        <v>JASON</v>
      </c>
      <c r="C5194" s="80" t="s">
        <v>5649</v>
      </c>
      <c r="D5194" s="81" t="str">
        <f>HYPERLINK("https://youtube.com/watch?v=H9dJ5zb9vrg", "【Ep.02】我今日正式宣佈🔥！我係一個「地主」！｜我們的一戶建 Ep.02")</f>
        <v>【Ep.02】我今日正式宣佈🔥！我係一個「地主」！｜我們的一戶建 Ep.02</v>
      </c>
      <c r="E5194" s="82">
        <v>44695.0</v>
      </c>
      <c r="F5194" s="80">
        <v>772.0</v>
      </c>
      <c r="G5194" s="80" t="s">
        <v>63</v>
      </c>
      <c r="I5194" s="80" t="s">
        <v>63</v>
      </c>
      <c r="J5194" s="80">
        <v>3159.0</v>
      </c>
      <c r="K5194" s="80">
        <v>0.951219512195121</v>
      </c>
      <c r="L5194" s="80" t="s">
        <v>102</v>
      </c>
    </row>
    <row r="5195">
      <c r="A5195" s="80" t="s">
        <v>293</v>
      </c>
      <c r="B5195" s="81" t="str">
        <f>HYPERLINK("https://www.youtube.com/channel/UCXRcbXqjORdIvl63I7MtOLQ", "趁熱 Kerry 's kitchen")</f>
        <v>趁熱 Kerry 's kitchen</v>
      </c>
      <c r="C5195" s="80" t="s">
        <v>5650</v>
      </c>
      <c r="D5195" s="81" t="str">
        <f>HYPERLINK("https://youtube.com/watch?v=yWcNbm3WZ2A", "椒鹽 薯仔/椒鹽馬玲薯/低 成本/不辣的/不用炸/最簡單的材料做到極致/堅好味//細路都食得/廣東話/中字")</f>
        <v>椒鹽 薯仔/椒鹽馬玲薯/低 成本/不辣的/不用炸/最簡單的材料做到極致/堅好味//細路都食得/廣東話/中字</v>
      </c>
      <c r="E5195" s="82">
        <v>44624.0</v>
      </c>
      <c r="F5195" s="80">
        <v>570.0</v>
      </c>
      <c r="G5195" s="80" t="s">
        <v>63</v>
      </c>
      <c r="I5195" s="80" t="s">
        <v>63</v>
      </c>
      <c r="J5195" s="80">
        <v>793.0</v>
      </c>
      <c r="K5195" s="80">
        <v>0.979012345679012</v>
      </c>
      <c r="L5195" s="80" t="s">
        <v>64</v>
      </c>
    </row>
    <row r="5196">
      <c r="A5196" s="80" t="s">
        <v>98</v>
      </c>
      <c r="B5196" s="81" t="str">
        <f>HYPERLINK("https://www.youtube.com/channel/UCrquuQB6v1Ued2xyRKZreGQ", "Stephen Leung ")</f>
        <v>Stephen Leung </v>
      </c>
      <c r="C5196" s="80" t="s">
        <v>5651</v>
      </c>
      <c r="D5196" s="81" t="str">
        <f>HYPERLINK("https://youtube.com/watch?v=2uqE_OYcSAg", "【松本清香港】觀塘APM 香港1號店 即拍即剪 自費排隊版 真實體驗 值得來嗎？ 松本清 全場9折! 日本藥妝店 美妝天堂 松本清必買產品!!! 10大區域 邊樣最抵買?｜吃喝玩樂")</f>
        <v>【松本清香港】觀塘APM 香港1號店 即拍即剪 自費排隊版 真實體驗 值得來嗎？ 松本清 全場9折! 日本藥妝店 美妝天堂 松本清必買產品!!! 10大區域 邊樣最抵買?｜吃喝玩樂</v>
      </c>
      <c r="E5196" s="82">
        <v>44692.0</v>
      </c>
      <c r="F5196" s="80">
        <v>430.0</v>
      </c>
      <c r="G5196" s="80" t="s">
        <v>63</v>
      </c>
      <c r="I5196" s="80" t="s">
        <v>63</v>
      </c>
      <c r="J5196" s="80">
        <v>1029.0</v>
      </c>
      <c r="K5196" s="80">
        <v>0.959888059701492</v>
      </c>
      <c r="L5196" s="80" t="s">
        <v>64</v>
      </c>
    </row>
    <row r="5197">
      <c r="A5197" s="80" t="s">
        <v>5459</v>
      </c>
      <c r="B5197" s="81" t="str">
        <f>HYPERLINK("https://www.youtube.com/channel/UC8_4V541ZqVTev0mWbp10oA", "COMPUTE_B 砌機師")</f>
        <v>COMPUTE_B 砌機師</v>
      </c>
      <c r="C5197" s="80" t="s">
        <v>5652</v>
      </c>
      <c r="D5197" s="81" t="str">
        <f>HYPERLINK("https://youtube.com/watch?v=P90SrMOvQ8A", "[CB]和你砌$25,800機 -  ATX (NZXT H510i) Sakura Miko 白色主題 3080-TI 打機電腦 COMPUTE_B砌機💰")</f>
        <v>[CB]和你砌$25,800機 -  ATX (NZXT H510i) Sakura Miko 白色主題 3080-TI 打機電腦 COMPUTE_B砌機💰</v>
      </c>
      <c r="E5197" s="82">
        <v>44542.0</v>
      </c>
      <c r="F5197" s="80">
        <v>448.0</v>
      </c>
      <c r="G5197" s="80" t="s">
        <v>63</v>
      </c>
      <c r="I5197" s="80" t="s">
        <v>63</v>
      </c>
      <c r="J5197" s="80">
        <v>25.0</v>
      </c>
      <c r="K5197" s="80">
        <v>0.735294117647058</v>
      </c>
      <c r="L5197" s="80" t="s">
        <v>64</v>
      </c>
    </row>
    <row r="5198">
      <c r="A5198" s="80" t="s">
        <v>5653</v>
      </c>
      <c r="B5198" s="81" t="str">
        <f>HYPERLINK("https://www.youtube.com/channel/UCTX8oKfF_kGOvieI4K4Q7Cg", "SMY 琛·文")</f>
        <v>SMY 琛·文</v>
      </c>
      <c r="C5198" s="80" t="s">
        <v>5654</v>
      </c>
      <c r="D5198" s="81" t="str">
        <f>HYPERLINK("https://youtube.com/watch?v=8wMQN7dtvYs", "離開香港好咩？移民英國要幾多錢？💰詳細列表話你知 //CC廣東話字幕//")</f>
        <v>離開香港好咩？移民英國要幾多錢？💰詳細列表話你知 //CC廣東話字幕//</v>
      </c>
      <c r="E5198" s="82">
        <v>44576.0</v>
      </c>
      <c r="F5198" s="80">
        <v>1231.0</v>
      </c>
      <c r="G5198" s="80" t="s">
        <v>63</v>
      </c>
      <c r="I5198" s="80" t="s">
        <v>63</v>
      </c>
      <c r="J5198" s="80">
        <v>4294.0</v>
      </c>
      <c r="K5198" s="80">
        <v>0.88865894039735</v>
      </c>
      <c r="L5198" s="80" t="s">
        <v>64</v>
      </c>
    </row>
    <row r="5199">
      <c r="A5199" s="80" t="s">
        <v>1670</v>
      </c>
      <c r="B5199" s="81" t="str">
        <f>HYPERLINK("https://www.youtube.com/channel/UC-PIt5m-WOg8UVBkt2RnN0g", "阿JACK睇樓團")</f>
        <v>阿JACK睇樓團</v>
      </c>
      <c r="C5199" s="80" t="s">
        <v>5655</v>
      </c>
      <c r="D5199" s="81" t="str">
        <f>HYPERLINK("https://youtube.com/watch?v=8r_qIWtpBx4", "呎價不過萬系列🤩元朗屏山低密度🚘三房套加車位 超舒服環境 #非村屋 可以九成按揭 同場加映尚城連天台 開CC字幕")</f>
        <v>呎價不過萬系列🤩元朗屏山低密度🚘三房套加車位 超舒服環境 #非村屋 可以九成按揭 同場加映尚城連天台 開CC字幕</v>
      </c>
      <c r="E5199" s="82">
        <v>44621.0</v>
      </c>
      <c r="F5199" s="80">
        <v>874.0</v>
      </c>
      <c r="G5199" s="80" t="s">
        <v>63</v>
      </c>
      <c r="I5199" s="80" t="s">
        <v>63</v>
      </c>
      <c r="J5199" s="80">
        <v>3004.0</v>
      </c>
      <c r="K5199" s="80">
        <v>0.996351575456053</v>
      </c>
      <c r="L5199" s="80" t="s">
        <v>64</v>
      </c>
    </row>
    <row r="5200">
      <c r="A5200" s="80" t="s">
        <v>5656</v>
      </c>
      <c r="B5200" s="81" t="str">
        <f>HYPERLINK("https://www.youtube.com/channel/UCH2t6jvINIOeYzBQR0iI5kw", "賭Sir【杜氏數學】HermanToMath")</f>
        <v>賭Sir【杜氏數學】HermanToMath</v>
      </c>
      <c r="C5200" s="80" t="s">
        <v>5657</v>
      </c>
      <c r="D5200" s="81" t="str">
        <f>HYPERLINK("https://youtube.com/watch?v=mbSiT8uZLes", "六合彩【一注獨得】頭獎機率如何提升? 賭Sir教你3招! ★")</f>
        <v>六合彩【一注獨得】頭獎機率如何提升? 賭Sir教你3招! ★</v>
      </c>
      <c r="E5200" s="82">
        <v>42701.0</v>
      </c>
      <c r="F5200" s="80">
        <v>420.0</v>
      </c>
      <c r="G5200" s="80" t="s">
        <v>63</v>
      </c>
      <c r="I5200" s="80" t="s">
        <v>63</v>
      </c>
      <c r="J5200" s="80">
        <v>1822.0</v>
      </c>
      <c r="K5200" s="80">
        <v>0.897536945812807</v>
      </c>
      <c r="L5200" s="80" t="s">
        <v>64</v>
      </c>
    </row>
    <row r="5201">
      <c r="A5201" s="80" t="s">
        <v>2041</v>
      </c>
      <c r="B5201" s="81" t="str">
        <f>HYPERLINK("https://www.youtube.com/channel/UCO6pB-ZN4XJ6MVkibvuEe0A", "SingSingTracker 星昇財經指標")</f>
        <v>SingSingTracker 星昇財經指標</v>
      </c>
      <c r="C5201" s="80" t="s">
        <v>5658</v>
      </c>
      <c r="D5201" s="81" t="str">
        <f>HYPERLINK("https://youtube.com/watch?v=w4vM5RuynyY", "【4隻高息股  2022最強被動收入】 最高股息率達8%｜懶人收息之選｜跌市買收息股 有咩好選擇？｜公用收息股｜穩陣收息方法 提早退休 財務自由必備 #收息股推薦 ＃2022收息組合 #abbv")</f>
        <v>【4隻高息股  2022最強被動收入】 最高股息率達8%｜懶人收息之選｜跌市買收息股 有咩好選擇？｜公用收息股｜穩陣收息方法 提早退休 財務自由必備 #收息股推薦 ＃2022收息組合 #abbv</v>
      </c>
      <c r="E5201" s="82">
        <v>44635.0</v>
      </c>
      <c r="F5201" s="80">
        <v>515.0</v>
      </c>
      <c r="G5201" s="80" t="s">
        <v>63</v>
      </c>
      <c r="I5201" s="80" t="s">
        <v>63</v>
      </c>
      <c r="J5201" s="80">
        <v>1675.0</v>
      </c>
      <c r="K5201" s="80">
        <v>0.890010626992561</v>
      </c>
      <c r="L5201" s="80" t="s">
        <v>64</v>
      </c>
    </row>
    <row r="5202">
      <c r="A5202" s="80" t="s">
        <v>217</v>
      </c>
      <c r="B5202" s="81" t="str">
        <f>HYPERLINK("https://www.youtube.com/channel/UCXKg0qPRz32bs5Z4mTGF3TQ", "Stormtrooper白兵")</f>
        <v>Stormtrooper白兵</v>
      </c>
      <c r="C5202" s="80" t="s">
        <v>5659</v>
      </c>
      <c r="D5202" s="81" t="str">
        <f>HYPERLINK("https://youtube.com/watch?v=0cW8Lzay4ac", "[留下來的人]由搞笑演員成為總統－澤連斯基｜特朗普被彈劾關佢事…？｜背後金主得罪晒美俄？｜拜登父子有把柄係佢手？｜粵語中字")</f>
        <v>[留下來的人]由搞笑演員成為總統－澤連斯基｜特朗普被彈劾關佢事…？｜背後金主得罪晒美俄？｜拜登父子有把柄係佢手？｜粵語中字</v>
      </c>
      <c r="E5202" s="82">
        <v>44630.0</v>
      </c>
      <c r="F5202" s="80">
        <v>944.0</v>
      </c>
      <c r="G5202" s="80" t="s">
        <v>63</v>
      </c>
      <c r="I5202" s="80" t="s">
        <v>63</v>
      </c>
      <c r="J5202" s="80">
        <v>3900.0</v>
      </c>
      <c r="K5202" s="80">
        <v>0.873851669280752</v>
      </c>
      <c r="L5202" s="80" t="s">
        <v>64</v>
      </c>
    </row>
    <row r="5203">
      <c r="A5203" s="80" t="s">
        <v>248</v>
      </c>
      <c r="B5203" s="81" t="str">
        <f>HYPERLINK("https://www.youtube.com/channel/UCUEJok-GiWaGlv5nIPwk-GQ", "Price.com.hk 香港格價網")</f>
        <v>Price.com.hk 香港格價網</v>
      </c>
      <c r="C5203" s="80" t="s">
        <v>5660</v>
      </c>
      <c r="D5203" s="81" t="str">
        <f>HYPERLINK("https://youtube.com/watch?v=zIotwYcPW5U", "可能係最抵玩的旗艦電話!? Samsung Galaxy S22、S22+邊部好啲？外形、效能、熒幕、50MP攝力、Nightography夜拍、電量全面試｜廣東話【Price.com.hk產品比較】")</f>
        <v>可能係最抵玩的旗艦電話!? Samsung Galaxy S22、S22+邊部好啲？外形、效能、熒幕、50MP攝力、Nightography夜拍、電量全面試｜廣東話【Price.com.hk產品比較】</v>
      </c>
      <c r="E5203" s="82">
        <v>44627.0</v>
      </c>
      <c r="F5203" s="80">
        <v>652.0</v>
      </c>
      <c r="G5203" s="80" t="s">
        <v>63</v>
      </c>
      <c r="I5203" s="80" t="s">
        <v>63</v>
      </c>
      <c r="J5203" s="80">
        <v>1863.0</v>
      </c>
      <c r="K5203" s="80">
        <v>0.803710094909404</v>
      </c>
      <c r="L5203" s="80" t="s">
        <v>64</v>
      </c>
    </row>
    <row r="5204">
      <c r="A5204" s="80" t="s">
        <v>124</v>
      </c>
      <c r="B5204" s="81" t="str">
        <f>HYPERLINK("https://www.youtube.com/channel/UCg0vuSE0fBF_NvodyYhMcWg", "Wallace Studio HK")</f>
        <v>Wallace Studio HK</v>
      </c>
      <c r="C5204" s="80" t="s">
        <v>5661</v>
      </c>
      <c r="D5204" s="81" t="str">
        <f>HYPERLINK("https://youtube.com/watch?v=h1XuZuR4hBQ", "IPhone 13 Pro 松嶺綠色 iPad Air 5 開箱! | iPad Air vs iPad 9 | iOS 15.4 口罩解鎖實試| iPhone 過機/Android 轉會iOS 教學")</f>
        <v>IPhone 13 Pro 松嶺綠色 iPad Air 5 開箱! | iPad Air vs iPad 9 | iOS 15.4 口罩解鎖實試| iPhone 過機/Android 轉會iOS 教學</v>
      </c>
      <c r="E5204" s="82">
        <v>44647.0</v>
      </c>
      <c r="F5204" s="80">
        <v>869.0</v>
      </c>
      <c r="G5204" s="80" t="s">
        <v>63</v>
      </c>
      <c r="I5204" s="80" t="s">
        <v>63</v>
      </c>
      <c r="J5204" s="80">
        <v>2228.0</v>
      </c>
      <c r="K5204" s="80">
        <v>0.655294117647058</v>
      </c>
      <c r="L5204" s="80" t="s">
        <v>64</v>
      </c>
    </row>
    <row r="5205">
      <c r="A5205" s="80" t="s">
        <v>2829</v>
      </c>
      <c r="B5205" s="81" t="str">
        <f>HYPERLINK("https://www.youtube.com/channel/UC7GnES6AEQlDzaP04UqtyjA", "SOLID IDEA")</f>
        <v>SOLID IDEA</v>
      </c>
      <c r="C5205" s="80" t="s">
        <v>5662</v>
      </c>
      <c r="D5205" s="81" t="str">
        <f>HYPERLINK("https://youtube.com/watch?v=nj2YZhxJSSc", "[#設計概念]  #弧形窗可以點設計？  | 室內設計 | 空間擺位 | SOLID IDEA | (CC中文字幕)")</f>
        <v>[#設計概念]  #弧形窗可以點設計？  | 室內設計 | 空間擺位 | SOLID IDEA | (CC中文字幕)</v>
      </c>
      <c r="E5205" s="82">
        <v>44666.0</v>
      </c>
      <c r="F5205" s="80">
        <v>179.0</v>
      </c>
      <c r="G5205" s="80" t="s">
        <v>63</v>
      </c>
      <c r="I5205" s="80" t="s">
        <v>63</v>
      </c>
      <c r="J5205" s="80">
        <v>373.0</v>
      </c>
      <c r="K5205" s="80">
        <v>0.865429234338747</v>
      </c>
      <c r="L5205" s="80" t="s">
        <v>64</v>
      </c>
    </row>
    <row r="5206">
      <c r="A5206" s="80" t="s">
        <v>414</v>
      </c>
      <c r="B5206" s="81" t="str">
        <f>HYPERLINK("https://www.youtube.com/channel/UCCVn38j5xSJZN-II-TeyomA", "Uncle Calvin Cantonese Class")</f>
        <v>Uncle Calvin Cantonese Class</v>
      </c>
      <c r="C5206" s="80" t="s">
        <v>5663</v>
      </c>
      <c r="D5206" s="81" t="str">
        <f>HYPERLINK("https://youtube.com/watch?v=7OGBBc08r4U", "【為孩子解說抗疫日常】Why STAYING HOME in Cantonese  I 兒童常識 for Children I 廣東話教室 I 字幕/Subtitles")</f>
        <v>【為孩子解說抗疫日常】Why STAYING HOME in Cantonese  I 兒童常識 for Children I 廣東話教室 I 字幕/Subtitles</v>
      </c>
      <c r="E5206" s="82">
        <v>44624.0</v>
      </c>
      <c r="F5206" s="80">
        <v>330.0</v>
      </c>
      <c r="G5206" s="80" t="s">
        <v>63</v>
      </c>
      <c r="H5206" s="80" t="s">
        <v>63</v>
      </c>
      <c r="I5206" s="80" t="s">
        <v>63</v>
      </c>
      <c r="J5206" s="80">
        <v>1098.0</v>
      </c>
      <c r="K5206" s="80">
        <v>0.921914357682619</v>
      </c>
      <c r="L5206" s="80" t="s">
        <v>426</v>
      </c>
    </row>
    <row r="5207">
      <c r="A5207" s="80" t="s">
        <v>3139</v>
      </c>
      <c r="B5207" s="81" t="str">
        <f>HYPERLINK("https://www.youtube.com/channel/UCThO2xnH7XMg6plE8OgJm_w", "choyuen草原")</f>
        <v>choyuen草原</v>
      </c>
      <c r="C5207" s="80" t="s">
        <v>5664</v>
      </c>
      <c r="D5207" s="81" t="str">
        <f>HYPERLINK("https://youtube.com/watch?v=aHDQrWdyvqQ", "蜥蜴人終極圖鑑 (B. 三眼證明) Reptilian lookbook (B. Third eye)")</f>
        <v>蜥蜴人終極圖鑑 (B. 三眼證明) Reptilian lookbook (B. Third eye)</v>
      </c>
      <c r="E5207" s="82">
        <v>44677.0</v>
      </c>
      <c r="F5207" s="80">
        <v>394.0</v>
      </c>
      <c r="G5207" s="80" t="s">
        <v>63</v>
      </c>
      <c r="I5207" s="80" t="s">
        <v>63</v>
      </c>
      <c r="J5207" s="80">
        <v>1227.0</v>
      </c>
      <c r="K5207" s="80">
        <v>0.901542983100661</v>
      </c>
      <c r="L5207" s="80" t="s">
        <v>64</v>
      </c>
    </row>
    <row r="5208">
      <c r="A5208" s="80" t="s">
        <v>260</v>
      </c>
      <c r="B5208" s="81" t="str">
        <f>HYPERLINK("https://www.youtube.com/channel/UC-HXOikkLx7BGEfILGIpYOg", "港短 . 英移")</f>
        <v>港短 . 英移</v>
      </c>
      <c r="C5208" s="80" t="s">
        <v>5665</v>
      </c>
      <c r="D5208" s="81" t="str">
        <f>HYPERLINK("https://youtube.com/watch?v=Hv78GGB4ZxA", "最緊要輸人唔輸陣💪 | 必學6句串人英文口語 | 港短.英移 #英文口語 #英文用語")</f>
        <v>最緊要輸人唔輸陣💪 | 必學6句串人英文口語 | 港短.英移 #英文口語 #英文用語</v>
      </c>
      <c r="E5208" s="82">
        <v>44686.0</v>
      </c>
      <c r="F5208" s="80">
        <v>506.0</v>
      </c>
      <c r="G5208" s="80" t="s">
        <v>63</v>
      </c>
      <c r="I5208" s="80" t="s">
        <v>63</v>
      </c>
      <c r="J5208" s="80">
        <v>1492.0</v>
      </c>
      <c r="K5208" s="80">
        <v>0.56794822992006</v>
      </c>
      <c r="L5208" s="80" t="s">
        <v>102</v>
      </c>
    </row>
    <row r="5209">
      <c r="A5209" s="80" t="s">
        <v>248</v>
      </c>
      <c r="B5209" s="81" t="str">
        <f>HYPERLINK("https://www.youtube.com/channel/UCUEJok-GiWaGlv5nIPwk-GQ", "Price.com.hk 香港格價網")</f>
        <v>Price.com.hk 香港格價網</v>
      </c>
      <c r="C5209" s="80" t="s">
        <v>5666</v>
      </c>
      <c r="D5209" s="81" t="str">
        <f>HYPERLINK("https://youtube.com/watch?v=ZAswVI7Av-8", "見機斟水！8部即熱式飲水機推介 入手考慮4大要點｜過濾淨水、水溫容量控制、加熱出水速度、機身尺寸 ｜加熱原理解說｜廣東話【Price.com.hk選購攻略】")</f>
        <v>見機斟水！8部即熱式飲水機推介 入手考慮4大要點｜過濾淨水、水溫容量控制、加熱出水速度、機身尺寸 ｜加熱原理解說｜廣東話【Price.com.hk選購攻略】</v>
      </c>
      <c r="E5209" s="82">
        <v>44664.0</v>
      </c>
      <c r="F5209" s="80">
        <v>539.0</v>
      </c>
      <c r="G5209" s="80" t="s">
        <v>63</v>
      </c>
      <c r="I5209" s="80" t="s">
        <v>63</v>
      </c>
      <c r="J5209" s="80">
        <v>2138.0</v>
      </c>
      <c r="K5209" s="80">
        <v>0.877308165777595</v>
      </c>
      <c r="L5209" s="80" t="s">
        <v>64</v>
      </c>
    </row>
    <row r="5210">
      <c r="A5210" s="80" t="s">
        <v>293</v>
      </c>
      <c r="B5210" s="81" t="str">
        <f>HYPERLINK("https://www.youtube.com/channel/UCXRcbXqjORdIvl63I7MtOLQ", "趁熱 Kerry 's kitchen")</f>
        <v>趁熱 Kerry 's kitchen</v>
      </c>
      <c r="C5210" s="80" t="s">
        <v>5667</v>
      </c>
      <c r="D5210" s="81" t="str">
        <f>HYPERLINK("https://youtube.com/watch?v=zUFgtqczSZI", "豉椒炒花甲/當造食材隻隻肥/吐沙 方法/可辣可唔辣/簡單 家做/廣東話/中字")</f>
        <v>豉椒炒花甲/當造食材隻隻肥/吐沙 方法/可辣可唔辣/簡單 家做/廣東話/中字</v>
      </c>
      <c r="E5210" s="82">
        <v>44706.0</v>
      </c>
      <c r="F5210" s="80">
        <v>535.0</v>
      </c>
      <c r="G5210" s="80" t="s">
        <v>63</v>
      </c>
      <c r="I5210" s="80" t="s">
        <v>63</v>
      </c>
      <c r="J5210" s="80">
        <v>590.0</v>
      </c>
      <c r="K5210" s="80">
        <v>0.964052287581699</v>
      </c>
      <c r="L5210" s="80" t="s">
        <v>64</v>
      </c>
    </row>
    <row r="5211">
      <c r="A5211" s="80" t="s">
        <v>248</v>
      </c>
      <c r="B5211" s="81" t="str">
        <f>HYPERLINK("https://www.youtube.com/channel/UCUEJok-GiWaGlv5nIPwk-GQ", "Price.com.hk 香港格價網")</f>
        <v>Price.com.hk 香港格價網</v>
      </c>
      <c r="C5211" s="80" t="s">
        <v>5668</v>
      </c>
      <c r="D5211" s="81" t="str">
        <f>HYPERLINK("https://youtube.com/watch?v=PtK-EUC7dGo", "$4,000 中階機點揀好？Samsung Galaxy A53 vs Galaxy S21 FE 深入評測｜效能跑分、5G網速、攝力、耗電量｜廣東話【Price.com.hk 產品比較】")</f>
        <v>$4,000 中階機點揀好？Samsung Galaxy A53 vs Galaxy S21 FE 深入評測｜效能跑分、5G網速、攝力、耗電量｜廣東話【Price.com.hk 產品比較】</v>
      </c>
      <c r="E5211" s="82">
        <v>44645.0</v>
      </c>
      <c r="F5211" s="80">
        <v>483.0</v>
      </c>
      <c r="G5211" s="80" t="s">
        <v>63</v>
      </c>
      <c r="I5211" s="80" t="s">
        <v>63</v>
      </c>
      <c r="J5211" s="80">
        <v>1480.0</v>
      </c>
      <c r="K5211" s="80">
        <v>0.791020844468198</v>
      </c>
      <c r="L5211" s="80" t="s">
        <v>64</v>
      </c>
    </row>
    <row r="5212">
      <c r="A5212" s="80" t="s">
        <v>2800</v>
      </c>
      <c r="B5212" s="81" t="str">
        <f>HYPERLINK("https://www.youtube.com/channel/UCMqrlsr-AECPc6_3oDr8m9w", "Unicorn 獸哥")</f>
        <v>Unicorn 獸哥</v>
      </c>
      <c r="C5212" s="80" t="s">
        <v>5669</v>
      </c>
      <c r="D5212" s="81" t="str">
        <f>HYPERLINK("https://youtube.com/watch?v=YtHKRsqq9_s", "「入場前必睇！」誰是Miss America 美國小姐？Marvel光明會無X用？Doctor Strange才是Defender始創人？奇異博士2：失控多元宇宙 原作及角色介紹")</f>
        <v>「入場前必睇！」誰是Miss America 美國小姐？Marvel光明會無X用？Doctor Strange才是Defender始創人？奇異博士2：失控多元宇宙 原作及角色介紹</v>
      </c>
      <c r="E5212" s="82">
        <v>44682.0</v>
      </c>
      <c r="F5212" s="80">
        <v>394.0</v>
      </c>
      <c r="G5212" s="80" t="s">
        <v>63</v>
      </c>
      <c r="I5212" s="80" t="s">
        <v>63</v>
      </c>
      <c r="J5212" s="80">
        <v>1528.0</v>
      </c>
      <c r="K5212" s="80">
        <v>0.624438087454025</v>
      </c>
      <c r="L5212" s="80" t="s">
        <v>64</v>
      </c>
    </row>
    <row r="5213">
      <c r="A5213" s="80" t="s">
        <v>74</v>
      </c>
      <c r="B5213" s="81" t="str">
        <f>HYPERLINK("https://www.youtube.com/channel/UCO_5XP-qd-udNxBlzzSzgvw", "Handline Fishing")</f>
        <v>Handline Fishing</v>
      </c>
      <c r="C5213" s="80" t="s">
        <v>5670</v>
      </c>
      <c r="D5213" s="81" t="str">
        <f>HYPERLINK("https://youtube.com/watch?v=OkpNVZjGxFI", "#278 港珠兩大特產 連續第二天 | 香港釣魚 | 岸釣 | 港珠澳橋墩 {粵語旁白+中英文字幕}")</f>
        <v>#278 港珠兩大特產 連續第二天 | 香港釣魚 | 岸釣 | 港珠澳橋墩 {粵語旁白+中英文字幕}</v>
      </c>
      <c r="E5213" s="82">
        <v>44694.0</v>
      </c>
      <c r="F5213" s="80">
        <v>291.0</v>
      </c>
      <c r="G5213" s="80" t="s">
        <v>63</v>
      </c>
      <c r="H5213" s="80" t="s">
        <v>63</v>
      </c>
      <c r="I5213" s="80" t="s">
        <v>63</v>
      </c>
      <c r="J5213" s="80">
        <v>348.0</v>
      </c>
      <c r="K5213" s="80">
        <v>0.945652173913043</v>
      </c>
      <c r="L5213" s="80" t="s">
        <v>2175</v>
      </c>
    </row>
    <row r="5214">
      <c r="A5214" s="80" t="s">
        <v>2804</v>
      </c>
      <c r="B5214" s="81" t="str">
        <f>HYPERLINK("https://www.youtube.com/channel/UCrFrg50t0JqgqV2dkIrH5Hg", "投智財女 GirlbossInvest 創業投資智慧")</f>
        <v>投智財女 GirlbossInvest 創業投資智慧</v>
      </c>
      <c r="C5214" s="80" t="s">
        <v>5671</v>
      </c>
      <c r="D5214" s="81" t="str">
        <f>HYPERLINK("https://youtube.com/watch?v=eFO0mwobHZI", "【8種精選被動收入】10年嘔心瀝血經驗 | $5000內可立即開始的「睡後被動收入方法」| 優缺點分析 🤩(cc字幕) #被動收入2022 #NFT賺錢 #睡後收入 #投資新手")</f>
        <v>【8種精選被動收入】10年嘔心瀝血經驗 | $5000內可立即開始的「睡後被動收入方法」| 優缺點分析 🤩(cc字幕) #被動收入2022 #NFT賺錢 #睡後收入 #投資新手</v>
      </c>
      <c r="E5214" s="82">
        <v>44665.0</v>
      </c>
      <c r="F5214" s="80">
        <v>1063.0</v>
      </c>
      <c r="G5214" s="80" t="s">
        <v>63</v>
      </c>
      <c r="I5214" s="80" t="s">
        <v>63</v>
      </c>
      <c r="J5214" s="80">
        <v>3552.0</v>
      </c>
      <c r="K5214" s="80">
        <v>0.919730709476954</v>
      </c>
      <c r="L5214" s="80" t="s">
        <v>102</v>
      </c>
    </row>
    <row r="5215">
      <c r="A5215" s="80" t="s">
        <v>293</v>
      </c>
      <c r="B5215" s="81" t="str">
        <f>HYPERLINK("https://www.youtube.com/channel/UCXRcbXqjORdIvl63I7MtOLQ", "趁熱 Kerry 's kitchen")</f>
        <v>趁熱 Kerry 's kitchen</v>
      </c>
      <c r="C5215" s="80" t="s">
        <v>5672</v>
      </c>
      <c r="D5215" s="81" t="str">
        <f>HYPERLINK("https://youtube.com/watch?v=b-Pl8KRR6g4", "廣東話/中字/椒鹽鯇魚骨腩/不用炸一樣香/外脆肉滑/新手 入門/無明火都得/好餸飯/重點 講解")</f>
        <v>廣東話/中字/椒鹽鯇魚骨腩/不用炸一樣香/外脆肉滑/新手 入門/無明火都得/好餸飯/重點 講解</v>
      </c>
      <c r="E5215" s="82">
        <v>44701.0</v>
      </c>
      <c r="F5215" s="80">
        <v>517.0</v>
      </c>
      <c r="G5215" s="80" t="s">
        <v>63</v>
      </c>
      <c r="I5215" s="80" t="s">
        <v>63</v>
      </c>
      <c r="J5215" s="80">
        <v>555.0</v>
      </c>
      <c r="K5215" s="80">
        <v>0.980565371024735</v>
      </c>
      <c r="L5215" s="80" t="s">
        <v>64</v>
      </c>
    </row>
    <row r="5216">
      <c r="A5216" s="80" t="s">
        <v>260</v>
      </c>
      <c r="B5216" s="81" t="str">
        <f>HYPERLINK("https://www.youtube.com/channel/UC-HXOikkLx7BGEfILGIpYOg", "港短 . 英移")</f>
        <v>港短 . 英移</v>
      </c>
      <c r="C5216" s="80" t="s">
        <v>5673</v>
      </c>
      <c r="D5216" s="81" t="str">
        <f>HYPERLINK("https://youtube.com/watch?v=Autxab86FjY", "佢做一件事 成就了最好的詹士邦 | 7分鐘講完Daniel Craig下的007 | 港短.英移 #詹士邦 #鐵金剛 #生死有時")</f>
        <v>佢做一件事 成就了最好的詹士邦 | 7分鐘講完Daniel Craig下的007 | 港短.英移 #詹士邦 #鐵金剛 #生死有時</v>
      </c>
      <c r="E5216" s="82">
        <v>44708.0</v>
      </c>
      <c r="F5216" s="80">
        <v>432.0</v>
      </c>
      <c r="G5216" s="80" t="s">
        <v>63</v>
      </c>
      <c r="I5216" s="80" t="s">
        <v>63</v>
      </c>
      <c r="J5216" s="80">
        <v>1622.0</v>
      </c>
      <c r="K5216" s="80">
        <v>0.679229480737018</v>
      </c>
      <c r="L5216" s="80" t="s">
        <v>102</v>
      </c>
    </row>
    <row r="5217">
      <c r="A5217" s="80" t="s">
        <v>293</v>
      </c>
      <c r="B5217" s="81" t="str">
        <f>HYPERLINK("https://www.youtube.com/channel/UCXRcbXqjORdIvl63I7MtOLQ", "趁熱 Kerry 's kitchen")</f>
        <v>趁熱 Kerry 's kitchen</v>
      </c>
      <c r="C5217" s="80" t="s">
        <v>5674</v>
      </c>
      <c r="D5217" s="81" t="str">
        <f>HYPERLINK("https://youtube.com/watch?v=z8bMhicYi-o", "抗疫潤肺湯/喉嚨火熱 ,全身缺力  ,除了荷包,身體更元氣大傷 ,飲啖湯先潤一潤,然後才補/廣東話/中字")</f>
        <v>抗疫潤肺湯/喉嚨火熱 ,全身缺力  ,除了荷包,身體更元氣大傷 ,飲啖湯先潤一潤,然後才補/廣東話/中字</v>
      </c>
      <c r="E5217" s="82">
        <v>44648.0</v>
      </c>
      <c r="F5217" s="80">
        <v>527.0</v>
      </c>
      <c r="G5217" s="80" t="s">
        <v>63</v>
      </c>
      <c r="I5217" s="80" t="s">
        <v>63</v>
      </c>
      <c r="J5217" s="80">
        <v>721.0</v>
      </c>
      <c r="K5217" s="80">
        <v>0.979619565217391</v>
      </c>
      <c r="L5217" s="80" t="s">
        <v>64</v>
      </c>
    </row>
    <row r="5218">
      <c r="A5218" s="80" t="s">
        <v>1390</v>
      </c>
      <c r="B5218" s="81" t="str">
        <f>HYPERLINK("https://www.youtube.com/channel/UCgwEJflQi4WnZ8PU0xdibZQ", "Kinson Ho")</f>
        <v>Kinson Ho</v>
      </c>
      <c r="C5218" s="80" t="s">
        <v>5675</v>
      </c>
      <c r="D5218" s="81" t="str">
        <f>HYPERLINK("https://youtube.com/watch?v=SownSYDg8DI", "K神任我行 -  [CC字幕4K] 大灘｜獅地｜筊杯石｜海下浮潛探毛仔")</f>
        <v>K神任我行 -  [CC字幕4K] 大灘｜獅地｜筊杯石｜海下浮潛探毛仔</v>
      </c>
      <c r="E5218" s="82">
        <v>44682.0</v>
      </c>
      <c r="F5218" s="80">
        <v>826.0</v>
      </c>
      <c r="G5218" s="80" t="s">
        <v>63</v>
      </c>
      <c r="I5218" s="80" t="s">
        <v>63</v>
      </c>
      <c r="J5218" s="80">
        <v>797.0</v>
      </c>
      <c r="K5218" s="80">
        <v>0.993765586034912</v>
      </c>
      <c r="L5218" s="80" t="s">
        <v>64</v>
      </c>
    </row>
    <row r="5219">
      <c r="A5219" s="80" t="s">
        <v>293</v>
      </c>
      <c r="B5219" s="81" t="str">
        <f>HYPERLINK("https://www.youtube.com/channel/UCXRcbXqjORdIvl63I7MtOLQ", "趁熱 Kerry 's kitchen")</f>
        <v>趁熱 Kerry 's kitchen</v>
      </c>
      <c r="C5219" s="80" t="s">
        <v>5676</v>
      </c>
      <c r="D5219" s="81" t="str">
        <f>HYPERLINK("https://youtube.com/watch?v=XHtgKA6wC3A", "西多士  /香港經典/免炸版本/5分鐘攪掂/兩種做法/無法抗拒的美味/新手 入門/廣東話/中字")</f>
        <v>西多士  /香港經典/免炸版本/5分鐘攪掂/兩種做法/無法抗拒的美味/新手 入門/廣東話/中字</v>
      </c>
      <c r="E5219" s="82">
        <v>44683.0</v>
      </c>
      <c r="F5219" s="80">
        <v>481.0</v>
      </c>
      <c r="G5219" s="80" t="s">
        <v>63</v>
      </c>
      <c r="I5219" s="80" t="s">
        <v>63</v>
      </c>
      <c r="J5219" s="80">
        <v>627.0</v>
      </c>
      <c r="K5219" s="80">
        <v>0.969088098918083</v>
      </c>
      <c r="L5219" s="80" t="s">
        <v>64</v>
      </c>
    </row>
    <row r="5220">
      <c r="A5220" s="80" t="s">
        <v>98</v>
      </c>
      <c r="B5220" s="81" t="str">
        <f>HYPERLINK("https://www.youtube.com/channel/UCrquuQB6v1Ued2xyRKZreGQ", "Stephen Leung ")</f>
        <v>Stephen Leung </v>
      </c>
      <c r="C5220" s="80" t="s">
        <v>5677</v>
      </c>
      <c r="D5220" s="81" t="str">
        <f>HYPERLINK("https://youtube.com/watch?v=72OD1l6K0pI", "保家衛國 烏克蘭 歐洲第二大國家 首都基輔 懶人包 烏克蘭 俄羅斯 戰爭 生活 文化 美食 Ukraine Kiev | 吃喝玩樂")</f>
        <v>保家衛國 烏克蘭 歐洲第二大國家 首都基輔 懶人包 烏克蘭 俄羅斯 戰爭 生活 文化 美食 Ukraine Kiev | 吃喝玩樂</v>
      </c>
      <c r="E5220" s="82">
        <v>44627.0</v>
      </c>
      <c r="F5220" s="80">
        <v>715.0</v>
      </c>
      <c r="G5220" s="80" t="s">
        <v>63</v>
      </c>
      <c r="I5220" s="80" t="s">
        <v>63</v>
      </c>
      <c r="J5220" s="80">
        <v>2324.0</v>
      </c>
      <c r="K5220" s="80">
        <v>0.970760233918128</v>
      </c>
      <c r="L5220" s="80" t="s">
        <v>64</v>
      </c>
    </row>
    <row r="5221">
      <c r="A5221" s="80" t="s">
        <v>755</v>
      </c>
      <c r="B5221" s="81" t="str">
        <f>HYPERLINK("https://www.youtube.com/channel/UCBiJDTc82IM68KVH873VeAw", "Live in Kwangsi廣西人·情·味")</f>
        <v>Live in Kwangsi廣西人·情·味</v>
      </c>
      <c r="C5221" s="80" t="s">
        <v>5678</v>
      </c>
      <c r="D5221" s="81" t="str">
        <f>HYPERLINK("https://youtube.com/watch?v=8nb8IlL2HYQ", "三大天然清潔劑：茶麩/茶籽粉、皂角、無患子")</f>
        <v>三大天然清潔劑：茶麩/茶籽粉、皂角、無患子</v>
      </c>
      <c r="E5221" s="82">
        <v>44643.0</v>
      </c>
      <c r="F5221" s="80">
        <v>418.0</v>
      </c>
      <c r="G5221" s="80" t="s">
        <v>63</v>
      </c>
      <c r="H5221" s="80" t="s">
        <v>63</v>
      </c>
      <c r="I5221" s="80" t="s">
        <v>63</v>
      </c>
      <c r="J5221" s="80">
        <v>1294.0</v>
      </c>
      <c r="K5221" s="80">
        <v>0.996904024767801</v>
      </c>
      <c r="L5221" s="80" t="s">
        <v>776</v>
      </c>
    </row>
    <row r="5222">
      <c r="A5222" s="80" t="s">
        <v>248</v>
      </c>
      <c r="B5222" s="81" t="str">
        <f>HYPERLINK("https://www.youtube.com/channel/UCUEJok-GiWaGlv5nIPwk-GQ", "Price.com.hk 香港格價網")</f>
        <v>Price.com.hk 香港格價網</v>
      </c>
      <c r="C5222" s="80" t="s">
        <v>5679</v>
      </c>
      <c r="D5222" s="81" t="str">
        <f>HYPERLINK("https://youtube.com/watch?v=qQg9vb9rIZA", "Sony Xperia 1 IV 率先速試！85-125mm無縫光學變焦、4K 120fps慢動作拍片｜Xperia 10 IV同步發售｜廣東話【Price.com.hk產品評測】")</f>
        <v>Sony Xperia 1 IV 率先速試！85-125mm無縫光學變焦、4K 120fps慢動作拍片｜Xperia 10 IV同步發售｜廣東話【Price.com.hk產品評測】</v>
      </c>
      <c r="E5222" s="82">
        <v>44692.0</v>
      </c>
      <c r="F5222" s="80">
        <v>537.0</v>
      </c>
      <c r="G5222" s="80" t="s">
        <v>63</v>
      </c>
      <c r="I5222" s="80" t="s">
        <v>63</v>
      </c>
      <c r="J5222" s="80">
        <v>1600.0</v>
      </c>
      <c r="K5222" s="80">
        <v>0.75187969924812</v>
      </c>
      <c r="L5222" s="80" t="s">
        <v>64</v>
      </c>
    </row>
    <row r="5223">
      <c r="A5223" s="80" t="s">
        <v>293</v>
      </c>
      <c r="B5223" s="81" t="str">
        <f>HYPERLINK("https://www.youtube.com/channel/UCXRcbXqjORdIvl63I7MtOLQ", "趁熱 Kerry 's kitchen")</f>
        <v>趁熱 Kerry 's kitchen</v>
      </c>
      <c r="C5223" s="80" t="s">
        <v>5680</v>
      </c>
      <c r="D5223" s="81" t="str">
        <f>HYPERLINK("https://youtube.com/watch?v=KJXMkum8V1g", "薑葱 魚腩/薑蔥炆魚腩/啖啖肉/自家制冇腥味/好惹味/老人細路都食得/廣東話/中字/pan fried fresh water fish w/ ginger &amp; spring onion")</f>
        <v>薑葱 魚腩/薑蔥炆魚腩/啖啖肉/自家制冇腥味/好惹味/老人細路都食得/廣東話/中字/pan fried fresh water fish w/ ginger &amp; spring onion</v>
      </c>
      <c r="E5223" s="82">
        <v>44652.0</v>
      </c>
      <c r="F5223" s="80">
        <v>639.0</v>
      </c>
      <c r="G5223" s="80" t="s">
        <v>63</v>
      </c>
      <c r="I5223" s="80" t="s">
        <v>63</v>
      </c>
      <c r="J5223" s="80">
        <v>571.0</v>
      </c>
      <c r="K5223" s="80">
        <v>0.974402730375426</v>
      </c>
      <c r="L5223" s="80" t="s">
        <v>64</v>
      </c>
    </row>
    <row r="5224">
      <c r="A5224" s="80" t="s">
        <v>2761</v>
      </c>
      <c r="B5224" s="81" t="str">
        <f>HYPERLINK("https://www.youtube.com/channel/UCr_L9cZdbBU_XDsKDHBBlew", "am730")</f>
        <v>am730</v>
      </c>
      <c r="C5224" s="80" t="s">
        <v>5681</v>
      </c>
      <c r="D5224" s="81" t="str">
        <f>HYPERLINK("https://youtube.com/watch?v=k_sXSa6U5x0", "松本清APM店明日開幕 自家品牌「matsukiyo」進駐＋2大獨家品牌")</f>
        <v>松本清APM店明日開幕 自家品牌「matsukiyo」進駐＋2大獨家品牌</v>
      </c>
      <c r="E5224" s="82">
        <v>44691.0</v>
      </c>
      <c r="F5224" s="80">
        <v>131.0</v>
      </c>
      <c r="G5224" s="80" t="s">
        <v>63</v>
      </c>
      <c r="I5224" s="80" t="s">
        <v>63</v>
      </c>
      <c r="J5224" s="80">
        <v>211.0</v>
      </c>
      <c r="K5224" s="80">
        <v>0.613372093023255</v>
      </c>
      <c r="L5224" s="80" t="s">
        <v>91</v>
      </c>
    </row>
    <row r="5225">
      <c r="A5225" s="80" t="s">
        <v>1312</v>
      </c>
      <c r="B5225" s="81" t="str">
        <f>HYPERLINK("https://www.youtube.com/channel/UC1NxU2rbVZW0Rq6VHmaqoEQ", "Jarvis &amp; Isabella")</f>
        <v>Jarvis &amp; Isabella</v>
      </c>
      <c r="C5225" s="80" t="s">
        <v>5682</v>
      </c>
      <c r="D5225" s="81" t="str">
        <f>HYPERLINK("https://youtube.com/watch?v=JxlFrCLgmbE", "【 英國 Vlog 】 日常護膚 Routine ｜ 超級好天嘅一日 ! ! ! ｜ 一齊行吓曼城 IKEA ｜CC 中文字幕｜Jarvis &amp; Isabella")</f>
        <v>【 英國 Vlog 】 日常護膚 Routine ｜ 超級好天嘅一日 ! ! ! ｜ 一齊行吓曼城 IKEA ｜CC 中文字幕｜Jarvis &amp; Isabella</v>
      </c>
      <c r="E5225" s="82">
        <v>44622.0</v>
      </c>
      <c r="F5225" s="80">
        <v>753.0</v>
      </c>
      <c r="G5225" s="80" t="s">
        <v>63</v>
      </c>
      <c r="I5225" s="80" t="s">
        <v>63</v>
      </c>
      <c r="J5225" s="80">
        <v>1888.0</v>
      </c>
      <c r="K5225" s="80">
        <v>0.870848708487084</v>
      </c>
      <c r="L5225" s="80" t="s">
        <v>64</v>
      </c>
    </row>
    <row r="5226">
      <c r="A5226" s="80" t="s">
        <v>108</v>
      </c>
      <c r="B5226" s="81" t="str">
        <f>HYPERLINK("https://www.youtube.com/channel/UCZL6QN6Xs-ZrKY3y6Pv6Emg", "廢青 - 日賺3000")</f>
        <v>廢青 - 日賺3000</v>
      </c>
      <c r="C5226" s="80" t="s">
        <v>5683</v>
      </c>
      <c r="D5226" s="81" t="str">
        <f>HYPERLINK("https://youtube.com/watch?v=Na2qRgQ1I3o", "$10,000 電子消費券, 點轉真.資產?? | 2022 財務自由教學 EP28【廢青 日賺3000】【點CC看中文字幕】")</f>
        <v>$10,000 電子消費券, 點轉真.資產?? | 2022 財務自由教學 EP28【廢青 日賺3000】【點CC看中文字幕】</v>
      </c>
      <c r="E5226" s="82">
        <v>44640.0</v>
      </c>
      <c r="F5226" s="80">
        <v>768.0</v>
      </c>
      <c r="G5226" s="80" t="s">
        <v>63</v>
      </c>
      <c r="I5226" s="80" t="s">
        <v>63</v>
      </c>
      <c r="J5226" s="80">
        <v>3165.0</v>
      </c>
      <c r="K5226" s="80">
        <v>0.905061481269659</v>
      </c>
      <c r="L5226" s="80" t="s">
        <v>64</v>
      </c>
    </row>
    <row r="5227">
      <c r="A5227" s="80" t="s">
        <v>2800</v>
      </c>
      <c r="B5227" s="81" t="str">
        <f>HYPERLINK("https://www.youtube.com/channel/UCMqrlsr-AECPc6_3oDr8m9w", "Unicorn 獸哥")</f>
        <v>Unicorn 獸哥</v>
      </c>
      <c r="C5227" s="80" t="s">
        <v>5684</v>
      </c>
      <c r="D5227" s="81" t="str">
        <f>HYPERLINK("https://youtube.com/watch?v=r50873BbCKk", "越南大戰有無越南？故事講啲乜？系列邊隻最好玩？邊隻又最垃圾？metal slug系列舊街機點評")</f>
        <v>越南大戰有無越南？故事講啲乜？系列邊隻最好玩？邊隻又最垃圾？metal slug系列舊街機點評</v>
      </c>
      <c r="E5227" s="82">
        <v>44639.0</v>
      </c>
      <c r="F5227" s="80">
        <v>746.0</v>
      </c>
      <c r="G5227" s="80" t="s">
        <v>63</v>
      </c>
      <c r="I5227" s="80" t="s">
        <v>63</v>
      </c>
      <c r="J5227" s="80">
        <v>3503.0</v>
      </c>
      <c r="K5227" s="80">
        <v>0.908454356846473</v>
      </c>
      <c r="L5227" s="80" t="s">
        <v>64</v>
      </c>
    </row>
    <row r="5228">
      <c r="A5228" s="80" t="s">
        <v>2785</v>
      </c>
      <c r="B5228" s="81" t="str">
        <f>HYPERLINK("https://www.youtube.com/channel/UC_w7pV_Xz9XO0ChNFxMtV0w", "MPWeekly明周")</f>
        <v>MPWeekly明周</v>
      </c>
      <c r="C5228" s="80" t="s">
        <v>5685</v>
      </c>
      <c r="D5228" s="81" t="str">
        <f>HYPERLINK("https://youtube.com/watch?v=wQ7q12ez1NQ", "輸咗要接受大懲罰！和《全民造星IV》新星YOYO、ALICE、ASH和SICA玩層層疊")</f>
        <v>輸咗要接受大懲罰！和《全民造星IV》新星YOYO、ALICE、ASH和SICA玩層層疊</v>
      </c>
      <c r="E5228" s="82">
        <v>44638.0</v>
      </c>
      <c r="F5228" s="80">
        <v>276.0</v>
      </c>
      <c r="G5228" s="80" t="s">
        <v>63</v>
      </c>
      <c r="I5228" s="80" t="s">
        <v>63</v>
      </c>
      <c r="J5228" s="80">
        <v>179.0</v>
      </c>
      <c r="K5228" s="80">
        <v>0.84037558685446</v>
      </c>
      <c r="L5228" s="80" t="s">
        <v>64</v>
      </c>
    </row>
    <row r="5229">
      <c r="A5229" s="80" t="s">
        <v>5656</v>
      </c>
      <c r="B5229" s="81" t="str">
        <f>HYPERLINK("https://www.youtube.com/channel/UCH2t6jvINIOeYzBQR0iI5kw", "賭Sir【杜氏數學】HermanToMath")</f>
        <v>賭Sir【杜氏數學】HermanToMath</v>
      </c>
      <c r="C5229" s="80" t="s">
        <v>5686</v>
      </c>
      <c r="D5229" s="81" t="str">
        <f>HYPERLINK("https://youtube.com/watch?v=JcEHCGztWqI", "99%賭仔中伏！賭波為何不應過關？")</f>
        <v>99%賭仔中伏！賭波為何不應過關？</v>
      </c>
      <c r="E5229" s="82">
        <v>42759.0</v>
      </c>
      <c r="F5229" s="80">
        <v>224.0</v>
      </c>
      <c r="G5229" s="80" t="s">
        <v>63</v>
      </c>
      <c r="H5229" s="80" t="s">
        <v>63</v>
      </c>
      <c r="I5229" s="80" t="s">
        <v>63</v>
      </c>
      <c r="J5229" s="80">
        <v>771.0</v>
      </c>
      <c r="K5229" s="80">
        <v>0.922248803827751</v>
      </c>
      <c r="L5229" s="80" t="s">
        <v>236</v>
      </c>
    </row>
    <row r="5230">
      <c r="A5230" s="80" t="s">
        <v>293</v>
      </c>
      <c r="B5230" s="81" t="str">
        <f>HYPERLINK("https://www.youtube.com/channel/UCXRcbXqjORdIvl63I7MtOLQ", "趁熱 Kerry 's kitchen")</f>
        <v>趁熱 Kerry 's kitchen</v>
      </c>
      <c r="C5230" s="80" t="s">
        <v>5687</v>
      </c>
      <c r="D5230" s="81" t="str">
        <f>HYPERLINK("https://youtube.com/watch?v=ctFGGI8oHs4", "沖菜煮馬頭魚/馬頭仔超嫩滑/祖輩做法傳承/低 成本/簡單 家做/新手都得/一隻平底鑊攪掂/廣東話/中字")</f>
        <v>沖菜煮馬頭魚/馬頭仔超嫩滑/祖輩做法傳承/低 成本/簡單 家做/新手都得/一隻平底鑊攪掂/廣東話/中字</v>
      </c>
      <c r="E5230" s="82">
        <v>44676.0</v>
      </c>
      <c r="F5230" s="80">
        <v>607.0</v>
      </c>
      <c r="G5230" s="80" t="s">
        <v>63</v>
      </c>
      <c r="I5230" s="80" t="s">
        <v>63</v>
      </c>
      <c r="J5230" s="80">
        <v>497.0</v>
      </c>
      <c r="K5230" s="80">
        <v>0.970703125</v>
      </c>
      <c r="L5230" s="80" t="s">
        <v>64</v>
      </c>
    </row>
    <row r="5231">
      <c r="A5231" s="80" t="s">
        <v>248</v>
      </c>
      <c r="B5231" s="81" t="str">
        <f>HYPERLINK("https://www.youtube.com/channel/UCUEJok-GiWaGlv5nIPwk-GQ", "Price.com.hk 香港格價網")</f>
        <v>Price.com.hk 香港格價網</v>
      </c>
      <c r="C5231" s="80" t="s">
        <v>5688</v>
      </c>
      <c r="D5231" s="81" t="str">
        <f>HYPERLINK("https://youtube.com/watch?v=jZMnJ_klsQI", "LG UltraWide 21:9 熒幕 40WP95C｜準5K解析度｜98% DCI-P3｜特約專題｜廣東話【Price.com.hk產品介紹】")</f>
        <v>LG UltraWide 21:9 熒幕 40WP95C｜準5K解析度｜98% DCI-P3｜特約專題｜廣東話【Price.com.hk產品介紹】</v>
      </c>
      <c r="E5231" s="82">
        <v>44697.0</v>
      </c>
      <c r="F5231" s="80">
        <v>367.0</v>
      </c>
      <c r="G5231" s="80" t="s">
        <v>63</v>
      </c>
      <c r="I5231" s="80" t="s">
        <v>63</v>
      </c>
      <c r="J5231" s="80">
        <v>1261.0</v>
      </c>
      <c r="K5231" s="80">
        <v>0.777914867365823</v>
      </c>
      <c r="L5231" s="80" t="s">
        <v>64</v>
      </c>
    </row>
    <row r="5232">
      <c r="A5232" s="80" t="s">
        <v>61</v>
      </c>
      <c r="B5232" s="81" t="str">
        <f>HYPERLINK("https://www.youtube.com/channel/UCJ4XVrJuqKHbc9yF9oUFseg", "MEeeep More")</f>
        <v>MEeeep More</v>
      </c>
      <c r="C5232" s="80" t="s">
        <v>5689</v>
      </c>
      <c r="D5232" s="81" t="str">
        <f>HYPERLINK("https://youtube.com/watch?v=WCCHNaDGi-M", "直擊小米12系列發佈會 獨家測評 小米12 pro 小米12 小米12x | mi12 mi12pro mi12x 香港5G 手機開箱 Z世代達人 麥卓華")</f>
        <v>直擊小米12系列發佈會 獨家測評 小米12 pro 小米12 小米12x | mi12 mi12pro mi12x 香港5G 手機開箱 Z世代達人 麥卓華</v>
      </c>
      <c r="E5232" s="82">
        <v>44636.0</v>
      </c>
      <c r="F5232" s="80">
        <v>217.0</v>
      </c>
      <c r="G5232" s="80" t="s">
        <v>63</v>
      </c>
      <c r="I5232" s="80" t="s">
        <v>63</v>
      </c>
      <c r="J5232" s="80">
        <v>585.0</v>
      </c>
      <c r="K5232" s="80">
        <v>0.702280912364945</v>
      </c>
      <c r="L5232" s="80" t="s">
        <v>64</v>
      </c>
    </row>
    <row r="5233">
      <c r="A5233" s="80" t="s">
        <v>4470</v>
      </c>
      <c r="B5233" s="81" t="str">
        <f>HYPERLINK("https://www.youtube.com/channel/UC4VI_WmdfVMTkT4vKCiZA4A", "BossMind")</f>
        <v>BossMind</v>
      </c>
      <c r="C5233" s="80" t="s">
        <v>5690</v>
      </c>
      <c r="D5233" s="81" t="str">
        <f>HYPERLINK("https://youtube.com/watch?v=08p-Q9gLTWs", "美股軍工股入場前必知背景 #LMT #RTX｜ 衛星股Maxar一眼睇穿俄羅斯軍隊 低位升5成後仲有無得炒？ 關鍵日子睇7月 股價隨時40蚊見｜#MAXR #華爾街戰線 #杜昇")</f>
        <v>美股軍工股入場前必知背景 #LMT #RTX｜ 衛星股Maxar一眼睇穿俄羅斯軍隊 低位升5成後仲有無得炒？ 關鍵日子睇7月 股價隨時40蚊見｜#MAXR #華爾街戰線 #杜昇</v>
      </c>
      <c r="E5233" s="82">
        <v>44623.0</v>
      </c>
      <c r="F5233" s="80">
        <v>709.0</v>
      </c>
      <c r="G5233" s="80" t="s">
        <v>63</v>
      </c>
      <c r="I5233" s="80" t="s">
        <v>63</v>
      </c>
      <c r="J5233" s="80">
        <v>1725.0</v>
      </c>
      <c r="K5233" s="80">
        <v>0.890092879256965</v>
      </c>
      <c r="L5233" s="80" t="s">
        <v>64</v>
      </c>
    </row>
    <row r="5234">
      <c r="A5234" s="80" t="s">
        <v>293</v>
      </c>
      <c r="B5234" s="81" t="str">
        <f t="shared" ref="B5234:B5235" si="283">HYPERLINK("https://www.youtube.com/channel/UCXRcbXqjORdIvl63I7MtOLQ", "趁熱 Kerry 's kitchen")</f>
        <v>趁熱 Kerry 's kitchen</v>
      </c>
      <c r="C5234" s="80" t="s">
        <v>5691</v>
      </c>
      <c r="D5234" s="81" t="str">
        <f>HYPERLINK("https://youtube.com/watch?v=RDYHkmMB1-Y", "煎簿罉/懶人做法/兩種做法 1 鹹1甜/1個麵粉就攪掂唔駛煩/超方便簡單/不黏鑊竅門/廣東話/中字Chinese pan cake")</f>
        <v>煎簿罉/懶人做法/兩種做法 1 鹹1甜/1個麵粉就攪掂唔駛煩/超方便簡單/不黏鑊竅門/廣東話/中字Chinese pan cake</v>
      </c>
      <c r="E5234" s="82">
        <v>44673.0</v>
      </c>
      <c r="F5234" s="80">
        <v>593.0</v>
      </c>
      <c r="G5234" s="80" t="s">
        <v>63</v>
      </c>
      <c r="I5234" s="80" t="s">
        <v>63</v>
      </c>
      <c r="J5234" s="80">
        <v>710.0</v>
      </c>
      <c r="K5234" s="80">
        <v>0.983379501385041</v>
      </c>
      <c r="L5234" s="80" t="s">
        <v>64</v>
      </c>
    </row>
    <row r="5235">
      <c r="A5235" s="80" t="s">
        <v>293</v>
      </c>
      <c r="B5235" s="81" t="str">
        <f t="shared" si="283"/>
        <v>趁熱 Kerry 's kitchen</v>
      </c>
      <c r="C5235" s="80" t="s">
        <v>5692</v>
      </c>
      <c r="D5235" s="81" t="str">
        <f>HYPERLINK("https://youtube.com/watch?v=6dgfPCbc59w", "炆 牛腩/韓式豆腐炆牛腩/軟而 不爛/重點 講解/簡單 家做/新手唔會一鑊泡/廣東話 /中字/beef stew Korea style")</f>
        <v>炆 牛腩/韓式豆腐炆牛腩/軟而 不爛/重點 講解/簡單 家做/新手唔會一鑊泡/廣東話 /中字/beef stew Korea style</v>
      </c>
      <c r="E5235" s="82">
        <v>44664.0</v>
      </c>
      <c r="F5235" s="80">
        <v>561.0</v>
      </c>
      <c r="G5235" s="80" t="s">
        <v>63</v>
      </c>
      <c r="I5235" s="80" t="s">
        <v>63</v>
      </c>
      <c r="J5235" s="80">
        <v>668.0</v>
      </c>
      <c r="K5235" s="80">
        <v>0.966714905933429</v>
      </c>
      <c r="L5235" s="80" t="s">
        <v>64</v>
      </c>
    </row>
    <row r="5236">
      <c r="A5236" s="80" t="s">
        <v>2780</v>
      </c>
      <c r="B5236" s="81" t="str">
        <f>HYPERLINK("https://www.youtube.com/channel/UC0CojhLcc0VESgaG633m5kA", "RainErs")</f>
        <v>RainErs</v>
      </c>
      <c r="C5236" s="80" t="s">
        <v>5693</v>
      </c>
      <c r="D5236" s="81" t="str">
        <f>HYPERLINK("https://youtube.com/watch?v=bX-OmTv1DOM", "如何令iPad有生產力💡💡‼️--7個程式令iPad有生產力 ⁉️//生產力滿滿‼️[有CC字幕]")</f>
        <v>如何令iPad有生產力💡💡‼️--7個程式令iPad有生產力 ⁉️//生產力滿滿‼️[有CC字幕]</v>
      </c>
      <c r="E5236" s="82">
        <v>44622.0</v>
      </c>
      <c r="F5236" s="80">
        <v>456.0</v>
      </c>
      <c r="G5236" s="80" t="s">
        <v>63</v>
      </c>
      <c r="I5236" s="80" t="s">
        <v>63</v>
      </c>
      <c r="J5236" s="80">
        <v>2147.0</v>
      </c>
      <c r="K5236" s="80">
        <v>0.833462732919254</v>
      </c>
      <c r="L5236" s="80" t="s">
        <v>64</v>
      </c>
    </row>
    <row r="5237">
      <c r="A5237" s="80" t="s">
        <v>5596</v>
      </c>
      <c r="B5237" s="81" t="str">
        <f>HYPERLINK("https://www.youtube.com/channel/UCnQ7ryVdrmfKvNvlnOILnvQ", "儫仔教室")</f>
        <v>儫仔教室</v>
      </c>
      <c r="C5237" s="80" t="s">
        <v>5694</v>
      </c>
      <c r="D5237" s="81" t="str">
        <f>HYPERLINK("https://youtube.com/watch?v=1tJP1-o0yNE", "IT新手入行仕途雜談")</f>
        <v>IT新手入行仕途雜談</v>
      </c>
      <c r="E5237" s="82">
        <v>44637.0</v>
      </c>
      <c r="F5237" s="80">
        <v>1753.0</v>
      </c>
      <c r="G5237" s="80" t="s">
        <v>63</v>
      </c>
      <c r="I5237" s="80" t="s">
        <v>63</v>
      </c>
      <c r="J5237" s="80">
        <v>343.0</v>
      </c>
      <c r="K5237" s="80">
        <v>0.78132118451025</v>
      </c>
      <c r="L5237" s="80" t="s">
        <v>64</v>
      </c>
    </row>
    <row r="5238">
      <c r="A5238" s="80" t="s">
        <v>4150</v>
      </c>
      <c r="B5238" s="81" t="str">
        <f>HYPERLINK("https://www.youtube.com/channel/UCRWbxsxc-oDcMKNNPTxM9Bw", "Fred哥～")</f>
        <v>Fred哥～</v>
      </c>
      <c r="C5238" s="80" t="s">
        <v>5695</v>
      </c>
      <c r="D5238" s="81" t="str">
        <f>HYPERLINK("https://youtube.com/watch?v=IRLr-RNcO5k", "【Vlog you Canada EP0】移民加拿大的生存旅程（記得開CC字幕😊）")</f>
        <v>【Vlog you Canada EP0】移民加拿大的生存旅程（記得開CC字幕😊）</v>
      </c>
      <c r="E5238" s="82">
        <v>44652.0</v>
      </c>
      <c r="F5238" s="80">
        <v>66.0</v>
      </c>
      <c r="G5238" s="80" t="s">
        <v>63</v>
      </c>
      <c r="I5238" s="80" t="s">
        <v>63</v>
      </c>
      <c r="J5238" s="80">
        <v>67.0</v>
      </c>
      <c r="K5238" s="80">
        <v>0.893333333333333</v>
      </c>
      <c r="L5238" s="80" t="s">
        <v>64</v>
      </c>
    </row>
    <row r="5239">
      <c r="A5239" s="80" t="s">
        <v>61</v>
      </c>
      <c r="B5239" s="81" t="str">
        <f>HYPERLINK("https://www.youtube.com/channel/UCJ4XVrJuqKHbc9yF9oUFseg", "MEeeep More")</f>
        <v>MEeeep More</v>
      </c>
      <c r="C5239" s="80" t="s">
        <v>5696</v>
      </c>
      <c r="D5239" s="81" t="str">
        <f>HYPERLINK("https://youtube.com/watch?v=YsR6LopRLEI", "[Redmi Note11 Pro+ 5G開箱] 紅米Note11Pro+5G開箱 片尾有彩蛋 家燕姐生日現真身！ | 1億800萬像素鏡頭 108MP | 紅米 香港5G POCO X4 5G")</f>
        <v>[Redmi Note11 Pro+ 5G開箱] 紅米Note11Pro+5G開箱 片尾有彩蛋 家燕姐生日現真身！ | 1億800萬像素鏡頭 108MP | 紅米 香港5G POCO X4 5G</v>
      </c>
      <c r="E5239" s="82">
        <v>44650.0</v>
      </c>
      <c r="F5239" s="80">
        <v>254.0</v>
      </c>
      <c r="G5239" s="80" t="s">
        <v>63</v>
      </c>
      <c r="I5239" s="80" t="s">
        <v>63</v>
      </c>
      <c r="J5239" s="80">
        <v>740.0</v>
      </c>
      <c r="K5239" s="80">
        <v>0.73778664007976</v>
      </c>
      <c r="L5239" s="80" t="s">
        <v>64</v>
      </c>
    </row>
    <row r="5240">
      <c r="A5240" s="80" t="s">
        <v>124</v>
      </c>
      <c r="B5240" s="81" t="str">
        <f>HYPERLINK("https://www.youtube.com/channel/UCg0vuSE0fBF_NvodyYhMcWg", "Wallace Studio HK")</f>
        <v>Wallace Studio HK</v>
      </c>
      <c r="C5240" s="80" t="s">
        <v>5697</v>
      </c>
      <c r="D5240" s="81" t="str">
        <f>HYPERLINK("https://youtube.com/watch?v=pGo3efBGed4", "ASUSTOR NAS 你不可不知的安全性設定 (廣東話教學｜繁中字幕)")</f>
        <v>ASUSTOR NAS 你不可不知的安全性設定 (廣東話教學｜繁中字幕)</v>
      </c>
      <c r="E5240" s="82">
        <v>44654.0</v>
      </c>
      <c r="F5240" s="80">
        <v>505.0</v>
      </c>
      <c r="G5240" s="80" t="s">
        <v>63</v>
      </c>
      <c r="H5240" s="80" t="s">
        <v>63</v>
      </c>
      <c r="I5240" s="80" t="s">
        <v>63</v>
      </c>
      <c r="J5240" s="80">
        <v>1829.0</v>
      </c>
      <c r="K5240" s="80">
        <v>0.710291262135922</v>
      </c>
      <c r="L5240" s="80" t="s">
        <v>86</v>
      </c>
    </row>
    <row r="5241">
      <c r="A5241" s="80" t="s">
        <v>140</v>
      </c>
      <c r="B5241" s="81" t="str">
        <f>HYPERLINK("https://www.youtube.com/channel/UCHK0CZf9HEXs42qIO1GUouA", "TechiCardia")</f>
        <v>TechiCardia</v>
      </c>
      <c r="C5241" s="80" t="s">
        <v>5698</v>
      </c>
      <c r="D5241" s="81" t="str">
        <f>HYPERLINK("https://youtube.com/watch?v=yq6Qjto5_wc", "砌部高效能直立ITX電腦！極少數0卡關砌SFF | HYTE Revolt 3 | 砌機 | 機箱 | 散熱測試 //4K【TechiCardia】")</f>
        <v>砌部高效能直立ITX電腦！極少數0卡關砌SFF | HYTE Revolt 3 | 砌機 | 機箱 | 散熱測試 //4K【TechiCardia】</v>
      </c>
      <c r="E5241" s="82">
        <v>44668.0</v>
      </c>
      <c r="F5241" s="80">
        <v>1221.0</v>
      </c>
      <c r="G5241" s="80" t="s">
        <v>63</v>
      </c>
      <c r="I5241" s="80" t="s">
        <v>63</v>
      </c>
      <c r="J5241" s="80">
        <v>4048.0</v>
      </c>
      <c r="K5241" s="80">
        <v>0.770607272035027</v>
      </c>
      <c r="L5241" s="80" t="s">
        <v>102</v>
      </c>
    </row>
    <row r="5242">
      <c r="A5242" s="80" t="s">
        <v>1312</v>
      </c>
      <c r="B5242" s="81" t="str">
        <f>HYPERLINK("https://www.youtube.com/channel/UC1NxU2rbVZW0Rq6VHmaqoEQ", "Jarvis &amp; Isabella")</f>
        <v>Jarvis &amp; Isabella</v>
      </c>
      <c r="C5242" s="80" t="s">
        <v>5699</v>
      </c>
      <c r="D5242" s="81" t="str">
        <f>HYPERLINK("https://youtube.com/watch?v=JHZCr8g_P5s", "【 London Vlog #2】超大型Vintage集中地 | Brick lane一日遊 | 百年歷史Bagel店 | 復古懷舊文青愛好者必去！｜CC 中文字幕｜Jarvis &amp; Isabella")</f>
        <v>【 London Vlog #2】超大型Vintage集中地 | Brick lane一日遊 | 百年歷史Bagel店 | 復古懷舊文青愛好者必去！｜CC 中文字幕｜Jarvis &amp; Isabella</v>
      </c>
      <c r="E5242" s="82">
        <v>44639.0</v>
      </c>
      <c r="F5242" s="80">
        <v>795.0</v>
      </c>
      <c r="G5242" s="80" t="s">
        <v>63</v>
      </c>
      <c r="I5242" s="80" t="s">
        <v>63</v>
      </c>
      <c r="J5242" s="80">
        <v>1570.0</v>
      </c>
      <c r="K5242" s="80">
        <v>0.788152610441767</v>
      </c>
      <c r="L5242" s="80" t="s">
        <v>64</v>
      </c>
    </row>
    <row r="5243">
      <c r="A5243" s="80" t="s">
        <v>82</v>
      </c>
      <c r="B5243" s="81" t="str">
        <f>HYPERLINK("https://www.youtube.com/channel/UC6C2hkbggXIgapf5jn_V2Dw", "SpongeMob 852")</f>
        <v>SpongeMob 852</v>
      </c>
      <c r="C5243" s="80" t="s">
        <v>5700</v>
      </c>
      <c r="D5243" s="81" t="str">
        <f>HYPERLINK("https://youtube.com/watch?v=V6wCx8WUMxY", "Novel Flash - 囉囉攣  LorLorLuen [Official Music Video] (Prod.by Zacuri)")</f>
        <v>Novel Flash - 囉囉攣  LorLorLuen [Official Music Video] (Prod.by Zacuri)</v>
      </c>
      <c r="E5243" s="82">
        <v>44660.0</v>
      </c>
      <c r="F5243" s="80">
        <v>179.0</v>
      </c>
      <c r="G5243" s="80" t="s">
        <v>63</v>
      </c>
      <c r="I5243" s="80" t="s">
        <v>63</v>
      </c>
      <c r="J5243" s="80">
        <v>490.0</v>
      </c>
      <c r="K5243" s="80">
        <v>0.688202247191011</v>
      </c>
      <c r="L5243" s="80" t="s">
        <v>64</v>
      </c>
    </row>
    <row r="5244">
      <c r="A5244" s="80" t="s">
        <v>108</v>
      </c>
      <c r="B5244" s="81" t="str">
        <f>HYPERLINK("https://www.youtube.com/channel/UCZL6QN6Xs-ZrKY3y6Pv6Emg", "廢青 - 日賺3000")</f>
        <v>廢青 - 日賺3000</v>
      </c>
      <c r="C5244" s="80" t="s">
        <v>5701</v>
      </c>
      <c r="D5244" s="81" t="str">
        <f>HYPERLINK("https://youtube.com/watch?v=h5GLB3t22Gg", "半個首期 買一隻優質股 !  | EP73【廢青 日賺3000】【點CC看中文字幕】")</f>
        <v>半個首期 買一隻優質股 !  | EP73【廢青 日賺3000】【點CC看中文字幕】</v>
      </c>
      <c r="E5244" s="82">
        <v>44653.0</v>
      </c>
      <c r="F5244" s="80">
        <v>705.0</v>
      </c>
      <c r="G5244" s="80" t="s">
        <v>63</v>
      </c>
      <c r="I5244" s="80" t="s">
        <v>63</v>
      </c>
      <c r="J5244" s="80">
        <v>3054.0</v>
      </c>
      <c r="K5244" s="80">
        <v>0.863443596268023</v>
      </c>
      <c r="L5244" s="80" t="s">
        <v>64</v>
      </c>
    </row>
    <row r="5245">
      <c r="A5245" s="80" t="s">
        <v>5702</v>
      </c>
      <c r="B5245" s="81" t="str">
        <f>HYPERLINK("https://www.youtube.com/channel/UC249m2fxYzK-NnfH06YNP3A", "Siu Mei小美")</f>
        <v>Siu Mei小美</v>
      </c>
      <c r="C5245" s="80" t="s">
        <v>5703</v>
      </c>
      <c r="D5245" s="81" t="str">
        <f>HYPERLINK("https://youtube.com/watch?v=lr13ZiTXzdY", "【開箱!】第一次購買中古袋😳只須1/3價錢就買到全新DIOR?🔥大型網購平台可信嗎?! 貨不對辦點算呀😨原來無得退款🥺")</f>
        <v>【開箱!】第一次購買中古袋😳只須1/3價錢就買到全新DIOR?🔥大型網購平台可信嗎?! 貨不對辦點算呀😨原來無得退款🥺</v>
      </c>
      <c r="E5245" s="82">
        <v>44694.0</v>
      </c>
      <c r="F5245" s="80">
        <v>617.0</v>
      </c>
      <c r="G5245" s="80" t="s">
        <v>63</v>
      </c>
      <c r="I5245" s="80" t="s">
        <v>63</v>
      </c>
      <c r="J5245" s="80">
        <v>3240.0</v>
      </c>
      <c r="K5245" s="80">
        <v>0.843969783797864</v>
      </c>
      <c r="L5245" s="80" t="s">
        <v>64</v>
      </c>
    </row>
    <row r="5246">
      <c r="A5246" s="80" t="s">
        <v>2585</v>
      </c>
      <c r="B5246" s="81" t="str">
        <f>HYPERLINK("https://www.youtube.com/channel/UCyyruuN0VecuYxPNR4un88Q", "混血肥仔")</f>
        <v>混血肥仔</v>
      </c>
      <c r="C5246" s="80" t="s">
        <v>5704</v>
      </c>
      <c r="D5246" s="81" t="str">
        <f>HYPERLINK("https://youtube.com/watch?v=r3TXhUInmGc", "《試鏡時的某些事》")</f>
        <v>《試鏡時的某些事》</v>
      </c>
      <c r="E5246" s="82">
        <v>44651.0</v>
      </c>
      <c r="F5246" s="80">
        <v>627.0</v>
      </c>
      <c r="G5246" s="80" t="s">
        <v>63</v>
      </c>
      <c r="I5246" s="80" t="s">
        <v>63</v>
      </c>
      <c r="J5246" s="80">
        <v>1305.0</v>
      </c>
      <c r="K5246" s="80">
        <v>0.85742444152431</v>
      </c>
      <c r="L5246" s="80" t="s">
        <v>64</v>
      </c>
    </row>
    <row r="5247">
      <c r="A5247" s="80" t="s">
        <v>219</v>
      </c>
      <c r="B5247" s="81" t="str">
        <f>HYPERLINK("https://www.youtube.com/channel/UC9_PnptBIpNF0JXbJjd8TsQ", "Brown's Channel")</f>
        <v>Brown's Channel</v>
      </c>
      <c r="C5247" s="80" t="s">
        <v>5705</v>
      </c>
      <c r="D5247" s="81" t="str">
        <f>HYPERLINK("https://youtube.com/watch?v=-cAFXSDx250", "【Brown’s Vlog #5 @香港】(偽)日本賞櫻之旅－－唔使坐飛機、唔使隔離！搶先睇2022年櫻花 🌸🌸")</f>
        <v>【Brown’s Vlog #5 @香港】(偽)日本賞櫻之旅－－唔使坐飛機、唔使隔離！搶先睇2022年櫻花 🌸🌸</v>
      </c>
      <c r="E5247" s="82">
        <v>44639.0</v>
      </c>
      <c r="F5247" s="80">
        <v>362.0</v>
      </c>
      <c r="G5247" s="80" t="s">
        <v>63</v>
      </c>
      <c r="I5247" s="80" t="s">
        <v>63</v>
      </c>
      <c r="J5247" s="80">
        <v>1297.0</v>
      </c>
      <c r="K5247" s="80">
        <v>0.917905166312809</v>
      </c>
      <c r="L5247" s="80" t="s">
        <v>64</v>
      </c>
    </row>
    <row r="5248">
      <c r="A5248" s="80" t="s">
        <v>2829</v>
      </c>
      <c r="B5248" s="81" t="str">
        <f>HYPERLINK("https://www.youtube.com/channel/UC7GnES6AEQlDzaP04UqtyjA", "SOLID IDEA")</f>
        <v>SOLID IDEA</v>
      </c>
      <c r="C5248" s="80" t="s">
        <v>5706</v>
      </c>
      <c r="D5248" s="81" t="str">
        <f>HYPERLINK("https://youtube.com/watch?v=CLY3_wL_gxs", "[#設計概念]   #海茵莊園 康城站同你續個盤設計 EP.1  | 室內設計 | 空間擺位 | SOLID IDEA | (CC中文字幕)")</f>
        <v>[#設計概念]   #海茵莊園 康城站同你續個盤設計 EP.1  | 室內設計 | 空間擺位 | SOLID IDEA | (CC中文字幕)</v>
      </c>
      <c r="E5248" s="82">
        <v>44645.0</v>
      </c>
      <c r="F5248" s="80">
        <v>137.0</v>
      </c>
      <c r="G5248" s="80" t="s">
        <v>63</v>
      </c>
      <c r="I5248" s="80" t="s">
        <v>63</v>
      </c>
      <c r="J5248" s="80">
        <v>407.0</v>
      </c>
      <c r="K5248" s="80">
        <v>0.906458797327394</v>
      </c>
      <c r="L5248" s="80" t="s">
        <v>64</v>
      </c>
    </row>
    <row r="5249">
      <c r="A5249" s="80" t="s">
        <v>1118</v>
      </c>
      <c r="B5249" s="81" t="str">
        <f>HYPERLINK("https://www.youtube.com/channel/UCeyXZA7ofepOhL9Z9BATC1w", "80後夫婦移英日記 80s Couple UK Diary")</f>
        <v>80後夫婦移英日記 80s Couple UK Diary</v>
      </c>
      <c r="C5249" s="80" t="s">
        <v>5707</v>
      </c>
      <c r="D5249" s="81" t="str">
        <f>HYPERLINK("https://youtube.com/watch?v=cGxSu0yXdUg", "移英藍領家庭月入高達 ￡5000/ 9 個月可以收支平衡?/ 有錯就要改/ 數簿大公開!")</f>
        <v>移英藍領家庭月入高達 ￡5000/ 9 個月可以收支平衡?/ 有錯就要改/ 數簿大公開!</v>
      </c>
      <c r="E5249" s="82">
        <v>44696.0</v>
      </c>
      <c r="F5249" s="80">
        <v>1250.0</v>
      </c>
      <c r="G5249" s="80" t="s">
        <v>63</v>
      </c>
      <c r="I5249" s="80" t="s">
        <v>63</v>
      </c>
      <c r="J5249" s="80">
        <v>3870.0</v>
      </c>
      <c r="K5249" s="80">
        <v>0.893558069729854</v>
      </c>
      <c r="L5249" s="80" t="s">
        <v>102</v>
      </c>
    </row>
    <row r="5250">
      <c r="A5250" s="80" t="s">
        <v>74</v>
      </c>
      <c r="B5250" s="81" t="str">
        <f>HYPERLINK("https://www.youtube.com/channel/UCO_5XP-qd-udNxBlzzSzgvw", "Handline Fishing")</f>
        <v>Handline Fishing</v>
      </c>
      <c r="C5250" s="80" t="s">
        <v>5708</v>
      </c>
      <c r="D5250" s="81" t="str">
        <f>HYPERLINK("https://youtube.com/watch?v=H8_wmPms2Xg", "#277 港珠兩大特產 泥鯭 金鼓 | 香港釣魚 | 岸釣 | 港珠澳橋墩 {粵語旁白+中英文字幕}")</f>
        <v>#277 港珠兩大特產 泥鯭 金鼓 | 香港釣魚 | 岸釣 | 港珠澳橋墩 {粵語旁白+中英文字幕}</v>
      </c>
      <c r="E5250" s="82">
        <v>44692.0</v>
      </c>
      <c r="F5250" s="80">
        <v>372.0</v>
      </c>
      <c r="G5250" s="80" t="s">
        <v>63</v>
      </c>
      <c r="H5250" s="80" t="s">
        <v>63</v>
      </c>
      <c r="I5250" s="80" t="s">
        <v>63</v>
      </c>
      <c r="J5250" s="80">
        <v>184.0</v>
      </c>
      <c r="K5250" s="80">
        <v>0.893203883495145</v>
      </c>
      <c r="L5250" s="80" t="s">
        <v>2175</v>
      </c>
    </row>
    <row r="5251">
      <c r="A5251" s="80" t="s">
        <v>293</v>
      </c>
      <c r="B5251" s="81" t="str">
        <f>HYPERLINK("https://www.youtube.com/channel/UCXRcbXqjORdIvl63I7MtOLQ", "趁熱 Kerry 's kitchen")</f>
        <v>趁熱 Kerry 's kitchen</v>
      </c>
      <c r="C5251" s="80" t="s">
        <v>5709</v>
      </c>
      <c r="D5251" s="81" t="str">
        <f>HYPERLINK("https://youtube.com/watch?v=dQtZLtFuU8E", "1 罐鹹牛肉做三個菜/薯蓉餅羹,炒滑蛋,/低 成本/荷包窄窄地,日日都是糧尾/冇難度/廣東話/中字/corned beef 3 way")</f>
        <v>1 罐鹹牛肉做三個菜/薯蓉餅羹,炒滑蛋,/低 成本/荷包窄窄地,日日都是糧尾/冇難度/廣東話/中字/corned beef 3 way</v>
      </c>
      <c r="E5251" s="82">
        <v>44655.0</v>
      </c>
      <c r="F5251" s="80">
        <v>619.0</v>
      </c>
      <c r="G5251" s="80" t="s">
        <v>63</v>
      </c>
      <c r="I5251" s="80" t="s">
        <v>63</v>
      </c>
      <c r="J5251" s="80">
        <v>525.0</v>
      </c>
      <c r="K5251" s="80">
        <v>0.954545454545454</v>
      </c>
      <c r="L5251" s="80" t="s">
        <v>64</v>
      </c>
    </row>
    <row r="5252">
      <c r="A5252" s="80" t="s">
        <v>248</v>
      </c>
      <c r="B5252" s="81" t="str">
        <f t="shared" ref="B5252:B5253" si="284">HYPERLINK("https://www.youtube.com/channel/UCUEJok-GiWaGlv5nIPwk-GQ", "Price.com.hk 香港格價網")</f>
        <v>Price.com.hk 香港格價網</v>
      </c>
      <c r="C5252" s="80" t="s">
        <v>5710</v>
      </c>
      <c r="D5252" s="81" t="str">
        <f>HYPERLINK("https://youtube.com/watch?v=1Ip5Wcroki4", "Price送禮｜一年四季都啱用！ Whirlpool 惠而浦 Puri-Pro 抽濕淨化機｜五重全護過濾、獨立乾衣功能｜廣東話｜特約專題【Price.com.hk產品比較】")</f>
        <v>Price送禮｜一年四季都啱用！ Whirlpool 惠而浦 Puri-Pro 抽濕淨化機｜五重全護過濾、獨立乾衣功能｜廣東話｜特約專題【Price.com.hk產品比較】</v>
      </c>
      <c r="E5252" s="82">
        <v>44644.0</v>
      </c>
      <c r="F5252" s="80">
        <v>370.0</v>
      </c>
      <c r="G5252" s="80" t="s">
        <v>63</v>
      </c>
      <c r="I5252" s="80" t="s">
        <v>63</v>
      </c>
      <c r="J5252" s="80">
        <v>1390.0</v>
      </c>
      <c r="K5252" s="80">
        <v>0.963270963270963</v>
      </c>
      <c r="L5252" s="80" t="s">
        <v>64</v>
      </c>
    </row>
    <row r="5253">
      <c r="A5253" s="80" t="s">
        <v>248</v>
      </c>
      <c r="B5253" s="81" t="str">
        <f t="shared" si="284"/>
        <v>Price.com.hk 香港格價網</v>
      </c>
      <c r="C5253" s="80" t="s">
        <v>5711</v>
      </c>
      <c r="D5253" s="81" t="str">
        <f>HYPERLINK("https://youtube.com/watch?v=K-cl8pGQVMU", "Google I/O 懶人包・《FIFA》將改名為《EA Sports FC》・21年歷史 iPod Touch 停產 | 廣東話【Price Weekly #114 2022年5月】")</f>
        <v>Google I/O 懶人包・《FIFA》將改名為《EA Sports FC》・21年歷史 iPod Touch 停產 | 廣東話【Price Weekly #114 2022年5月】</v>
      </c>
      <c r="E5253" s="82">
        <v>44695.0</v>
      </c>
      <c r="F5253" s="80">
        <v>626.0</v>
      </c>
      <c r="G5253" s="80" t="s">
        <v>63</v>
      </c>
      <c r="I5253" s="80" t="s">
        <v>63</v>
      </c>
      <c r="J5253" s="80">
        <v>2343.0</v>
      </c>
      <c r="K5253" s="80">
        <v>0.787563025210084</v>
      </c>
      <c r="L5253" s="80" t="s">
        <v>64</v>
      </c>
    </row>
    <row r="5254">
      <c r="A5254" s="80" t="s">
        <v>293</v>
      </c>
      <c r="B5254" s="81" t="str">
        <f>HYPERLINK("https://www.youtube.com/channel/UCXRcbXqjORdIvl63I7MtOLQ", "趁熱 Kerry 's kitchen")</f>
        <v>趁熱 Kerry 's kitchen</v>
      </c>
      <c r="C5254" s="80" t="s">
        <v>5712</v>
      </c>
      <c r="D5254" s="81" t="str">
        <f>HYPERLINK("https://youtube.com/watch?v=USSI2EBT8do", "葡國 雞/香濃軟滑竅門/無明火都可以做/簡單 家做/不辣全家都食得/廣東話/中字")</f>
        <v>葡國 雞/香濃軟滑竅門/無明火都可以做/簡單 家做/不辣全家都食得/廣東話/中字</v>
      </c>
      <c r="E5254" s="82">
        <v>44657.0</v>
      </c>
      <c r="F5254" s="80">
        <v>637.0</v>
      </c>
      <c r="G5254" s="80" t="s">
        <v>63</v>
      </c>
      <c r="I5254" s="80" t="s">
        <v>63</v>
      </c>
      <c r="J5254" s="80">
        <v>510.0</v>
      </c>
      <c r="K5254" s="80">
        <v>0.973282442748091</v>
      </c>
      <c r="L5254" s="80" t="s">
        <v>64</v>
      </c>
    </row>
    <row r="5255">
      <c r="A5255" s="80" t="s">
        <v>1670</v>
      </c>
      <c r="B5255" s="81" t="str">
        <f>HYPERLINK("https://www.youtube.com/channel/UC-PIt5m-WOg8UVBkt2RnN0g", "阿JACK睇樓團")</f>
        <v>阿JACK睇樓團</v>
      </c>
      <c r="C5255" s="80" t="s">
        <v>5713</v>
      </c>
      <c r="D5255" s="81" t="str">
        <f>HYPERLINK("https://youtube.com/watch?v=rj7DB-8SQUA", "屯門樓單位大比拼￼💪🏻💪🏻瓏門🐉天生樓💪🏻💪🏻你會鍾意邊一度多啲？￼留言話我知 #睇樓 #瓏門 #天生樓 #屯門樓￼  #買樓")</f>
        <v>屯門樓單位大比拼￼💪🏻💪🏻瓏門🐉天生樓💪🏻💪🏻你會鍾意邊一度多啲？￼留言話我知 #睇樓 #瓏門 #天生樓 #屯門樓￼  #買樓</v>
      </c>
      <c r="E5255" s="82">
        <v>44630.0</v>
      </c>
      <c r="F5255" s="80">
        <v>702.0</v>
      </c>
      <c r="G5255" s="80" t="s">
        <v>63</v>
      </c>
      <c r="I5255" s="80" t="s">
        <v>63</v>
      </c>
      <c r="J5255" s="80">
        <v>2367.0</v>
      </c>
      <c r="K5255" s="80">
        <v>0.986661108795331</v>
      </c>
      <c r="L5255" s="80" t="s">
        <v>64</v>
      </c>
    </row>
    <row r="5256">
      <c r="A5256" s="80" t="s">
        <v>61</v>
      </c>
      <c r="B5256" s="81" t="str">
        <f t="shared" ref="B5256:B5257" si="285">HYPERLINK("https://www.youtube.com/channel/UCJ4XVrJuqKHbc9yF9oUFseg", "MEeeep More")</f>
        <v>MEeeep More</v>
      </c>
      <c r="C5256" s="80" t="s">
        <v>5714</v>
      </c>
      <c r="D5256" s="81" t="str">
        <f>HYPERLINK("https://youtube.com/watch?v=1TBuD-tXsdo", "POCO X4 Pro 5G 手機評測 特強配置 性價比首選 | 小米 poco 5g手機 2022 高性價比 pocox4pro x4pro5g 香港5G xiaomi x4 pro 5g mix4")</f>
        <v>POCO X4 Pro 5G 手機評測 特強配置 性價比首選 | 小米 poco 5g手機 2022 高性價比 pocox4pro x4pro5g 香港5G xiaomi x4 pro 5g mix4</v>
      </c>
      <c r="E5256" s="82">
        <v>44628.0</v>
      </c>
      <c r="F5256" s="80">
        <v>307.0</v>
      </c>
      <c r="G5256" s="80" t="s">
        <v>63</v>
      </c>
      <c r="I5256" s="80" t="s">
        <v>63</v>
      </c>
      <c r="J5256" s="80">
        <v>724.0</v>
      </c>
      <c r="K5256" s="80">
        <v>0.758909853249475</v>
      </c>
      <c r="L5256" s="80" t="s">
        <v>64</v>
      </c>
    </row>
    <row r="5257">
      <c r="A5257" s="80" t="s">
        <v>61</v>
      </c>
      <c r="B5257" s="81" t="str">
        <f t="shared" si="285"/>
        <v>MEeeep More</v>
      </c>
      <c r="C5257" s="80" t="s">
        <v>5715</v>
      </c>
      <c r="D5257" s="81" t="str">
        <f>HYPERLINK("https://youtube.com/watch?v=BB0pCdGM86I", "Now H1 NowTV 全新Android TV機頂盒子 Google Play 裝 Disney+ Netflix Google 助理 用廣東話操控智能家居")</f>
        <v>Now H1 NowTV 全新Android TV機頂盒子 Google Play 裝 Disney+ Netflix Google 助理 用廣東話操控智能家居</v>
      </c>
      <c r="E5257" s="82">
        <v>44707.0</v>
      </c>
      <c r="F5257" s="80">
        <v>156.0</v>
      </c>
      <c r="G5257" s="80" t="s">
        <v>63</v>
      </c>
      <c r="I5257" s="80" t="s">
        <v>63</v>
      </c>
      <c r="J5257" s="80">
        <v>443.0</v>
      </c>
      <c r="K5257" s="80">
        <v>0.700949367088607</v>
      </c>
      <c r="L5257" s="80" t="s">
        <v>64</v>
      </c>
    </row>
    <row r="5258">
      <c r="A5258" s="80" t="s">
        <v>248</v>
      </c>
      <c r="B5258" s="81" t="str">
        <f>HYPERLINK("https://www.youtube.com/channel/UCUEJok-GiWaGlv5nIPwk-GQ", "Price.com.hk 香港格價網")</f>
        <v>Price.com.hk 香港格價網</v>
      </c>
      <c r="C5258" s="80" t="s">
        <v>5716</v>
      </c>
      <c r="D5258" s="81" t="str">
        <f>HYPERLINK("https://youtube.com/watch?v=o7XLtjKcVYI", "200W GaN氮化鎵充電器實測！可以一次過叉3部MacBook？｜XPowerPro、EGO Exinno、ProMini【Price.com.hk產品評測】")</f>
        <v>200W GaN氮化鎵充電器實測！可以一次過叉3部MacBook？｜XPowerPro、EGO Exinno、ProMini【Price.com.hk產品評測】</v>
      </c>
      <c r="E5258" s="82">
        <v>44684.0</v>
      </c>
      <c r="F5258" s="80">
        <v>583.0</v>
      </c>
      <c r="G5258" s="80" t="s">
        <v>63</v>
      </c>
      <c r="I5258" s="80" t="s">
        <v>63</v>
      </c>
      <c r="J5258" s="80">
        <v>2132.0</v>
      </c>
      <c r="K5258" s="80">
        <v>0.764705882352941</v>
      </c>
      <c r="L5258" s="80" t="s">
        <v>64</v>
      </c>
    </row>
    <row r="5259">
      <c r="A5259" s="80" t="s">
        <v>140</v>
      </c>
      <c r="B5259" s="81" t="str">
        <f>HYPERLINK("https://www.youtube.com/channel/UCHK0CZf9HEXs42qIO1GUouA", "TechiCardia")</f>
        <v>TechiCardia</v>
      </c>
      <c r="C5259" s="80" t="s">
        <v>5717</v>
      </c>
      <c r="D5259" s="81" t="str">
        <f>HYPERLINK("https://youtube.com/watch?v=JTKrlXoEc7k", "穩打穩紮！但有一方面要控制期望... Sennheiser CX Plus TW 三星期用後評測 | 真無線藍芽耳機 | CX TW功能升級 //4K 【TechiCardia】[cc廣東話字幕]")</f>
        <v>穩打穩紮！但有一方面要控制期望... Sennheiser CX Plus TW 三星期用後評測 | 真無線藍芽耳機 | CX TW功能升級 //4K 【TechiCardia】[cc廣東話字幕]</v>
      </c>
      <c r="E5259" s="82">
        <v>44675.0</v>
      </c>
      <c r="F5259" s="80">
        <v>761.0</v>
      </c>
      <c r="G5259" s="80" t="s">
        <v>63</v>
      </c>
      <c r="I5259" s="80" t="s">
        <v>63</v>
      </c>
      <c r="J5259" s="80">
        <v>2951.0</v>
      </c>
      <c r="K5259" s="80">
        <v>0.749174917491749</v>
      </c>
      <c r="L5259" s="80" t="s">
        <v>102</v>
      </c>
    </row>
    <row r="5260">
      <c r="A5260" s="80" t="s">
        <v>2829</v>
      </c>
      <c r="B5260" s="81" t="str">
        <f>HYPERLINK("https://www.youtube.com/channel/UC7GnES6AEQlDzaP04UqtyjA", "SOLID IDEA")</f>
        <v>SOLID IDEA</v>
      </c>
      <c r="C5260" s="80" t="s">
        <v>5718</v>
      </c>
      <c r="D5260" s="81" t="str">
        <f>HYPERLINK("https://youtube.com/watch?v=OxI18oHNjnE", "[#設計概念] #蝶翠苑 居屋都可以有品味生活  | 室內設計 | 空間擺位 | SOLID IDEA | (CC中文字幕)")</f>
        <v>[#設計概念] #蝶翠苑 居屋都可以有品味生活  | 室內設計 | 空間擺位 | SOLID IDEA | (CC中文字幕)</v>
      </c>
      <c r="E5260" s="82">
        <v>44687.0</v>
      </c>
      <c r="F5260" s="80">
        <v>183.0</v>
      </c>
      <c r="G5260" s="80" t="s">
        <v>63</v>
      </c>
      <c r="I5260" s="80" t="s">
        <v>63</v>
      </c>
      <c r="J5260" s="80">
        <v>405.0</v>
      </c>
      <c r="K5260" s="80">
        <v>0.916289592760181</v>
      </c>
      <c r="L5260" s="80" t="s">
        <v>64</v>
      </c>
    </row>
    <row r="5261">
      <c r="A5261" s="80" t="s">
        <v>260</v>
      </c>
      <c r="B5261" s="81" t="str">
        <f>HYPERLINK("https://www.youtube.com/channel/UC-HXOikkLx7BGEfILGIpYOg", "港短 . 英移")</f>
        <v>港短 . 英移</v>
      </c>
      <c r="C5261" s="80" t="s">
        <v>5719</v>
      </c>
      <c r="D5261" s="81" t="str">
        <f>HYPERLINK("https://youtube.com/watch?v=Z67YN1ckdfM", "【英文口語】幫拖變開拖😓 | 有D英文口語真係唔可以搞錯 | 港短.英移 #英文口語 #英文用語 #學英文")</f>
        <v>【英文口語】幫拖變開拖😓 | 有D英文口語真係唔可以搞錯 | 港短.英移 #英文口語 #英文用語 #學英文</v>
      </c>
      <c r="E5261" s="82">
        <v>44651.0</v>
      </c>
      <c r="F5261" s="80">
        <v>439.0</v>
      </c>
      <c r="G5261" s="80" t="s">
        <v>63</v>
      </c>
      <c r="I5261" s="80" t="s">
        <v>63</v>
      </c>
      <c r="J5261" s="80">
        <v>1377.0</v>
      </c>
      <c r="K5261" s="80">
        <v>0.723594324750394</v>
      </c>
      <c r="L5261" s="80" t="s">
        <v>102</v>
      </c>
    </row>
    <row r="5262">
      <c r="A5262" s="80" t="s">
        <v>2780</v>
      </c>
      <c r="B5262" s="81" t="str">
        <f>HYPERLINK("https://www.youtube.com/channel/UC0CojhLcc0VESgaG633m5kA", "RainErs")</f>
        <v>RainErs</v>
      </c>
      <c r="C5262" s="80" t="s">
        <v>5720</v>
      </c>
      <c r="D5262" s="81" t="str">
        <f>HYPERLINK("https://youtube.com/watch?v=LqVL591cVCk", "Nanoleaf 智能燈板開箱 !!--最有玩味智能燈??//安裝超簡單 !!//消費券大力推介??[有CC字幕]")</f>
        <v>Nanoleaf 智能燈板開箱 !!--最有玩味智能燈??//安裝超簡單 !!//消費券大力推介??[有CC字幕]</v>
      </c>
      <c r="E5262" s="82">
        <v>44671.0</v>
      </c>
      <c r="F5262" s="80">
        <v>528.0</v>
      </c>
      <c r="G5262" s="80" t="s">
        <v>63</v>
      </c>
      <c r="I5262" s="80" t="s">
        <v>63</v>
      </c>
      <c r="J5262" s="80">
        <v>2254.0</v>
      </c>
      <c r="K5262" s="80">
        <v>0.906312826698834</v>
      </c>
      <c r="L5262" s="80" t="s">
        <v>64</v>
      </c>
    </row>
    <row r="5263">
      <c r="A5263" s="80" t="s">
        <v>2804</v>
      </c>
      <c r="B5263" s="81" t="str">
        <f>HYPERLINK("https://www.youtube.com/channel/UCrFrg50t0JqgqV2dkIrH5Hg", "投智財女 GirlbossInvest 創業投資智慧")</f>
        <v>投智財女 GirlbossInvest 創業投資智慧</v>
      </c>
      <c r="C5263" s="80" t="s">
        <v>5721</v>
      </c>
      <c r="D5263" s="81" t="str">
        <f>HYPERLINK("https://youtube.com/watch?v=RcLWzpGzIK4", "自製10％厘利息賺$4000！$500小本金進擊2022高收息股！🤑🤑🤑送收息股加禮物🎁  cc中文字幕 #2022收息股 #美股收息 #睡後收入 #美股 #美股大跌")</f>
        <v>自製10％厘利息賺$4000！$500小本金進擊2022高收息股！🤑🤑🤑送收息股加禮物🎁  cc中文字幕 #2022收息股 #美股收息 #睡後收入 #美股 #美股大跌</v>
      </c>
      <c r="E5263" s="82">
        <v>44686.0</v>
      </c>
      <c r="F5263" s="80">
        <v>748.0</v>
      </c>
      <c r="G5263" s="80" t="s">
        <v>63</v>
      </c>
      <c r="I5263" s="80" t="s">
        <v>63</v>
      </c>
      <c r="J5263" s="80">
        <v>2493.0</v>
      </c>
      <c r="K5263" s="80">
        <v>0.954806587514362</v>
      </c>
      <c r="L5263" s="80" t="s">
        <v>102</v>
      </c>
    </row>
    <row r="5264">
      <c r="A5264" s="80" t="s">
        <v>2585</v>
      </c>
      <c r="B5264" s="81" t="str">
        <f>HYPERLINK("https://www.youtube.com/channel/UCyyruuN0VecuYxPNR4un88Q", "混血肥仔")</f>
        <v>混血肥仔</v>
      </c>
      <c r="C5264" s="80" t="s">
        <v>5722</v>
      </c>
      <c r="D5264" s="81" t="str">
        <f>HYPERLINK("https://youtube.com/watch?v=2pPNbIIgu64", "一男一女被關在車上12小時😫｜ 唔好咁癲先 EP06")</f>
        <v>一男一女被關在車上12小時😫｜ 唔好咁癲先 EP06</v>
      </c>
      <c r="E5264" s="82">
        <v>44699.0</v>
      </c>
      <c r="F5264" s="80">
        <v>869.0</v>
      </c>
      <c r="G5264" s="80" t="s">
        <v>63</v>
      </c>
      <c r="I5264" s="80" t="s">
        <v>63</v>
      </c>
      <c r="J5264" s="80">
        <v>2244.0</v>
      </c>
      <c r="K5264" s="80">
        <v>0.855508959207014</v>
      </c>
      <c r="L5264" s="80" t="s">
        <v>1071</v>
      </c>
    </row>
    <row r="5265">
      <c r="A5265" s="80" t="s">
        <v>1260</v>
      </c>
      <c r="B5265" s="81" t="str">
        <f t="shared" ref="B5265:B5266" si="286">HYPERLINK("https://www.youtube.com/channel/UCh1k4i86BpiXEO3nzJIYynw", "The Wave")</f>
        <v>The Wave</v>
      </c>
      <c r="C5265" s="80" t="s">
        <v>5723</v>
      </c>
      <c r="D5265" s="81" t="str">
        <f>HYPERLINK("https://youtube.com/watch?v=END7AxiFp3s", "TheWave | SEL2470GM 快速簡單開箱")</f>
        <v>TheWave | SEL2470GM 快速簡單開箱</v>
      </c>
      <c r="E5265" s="82">
        <v>44706.0</v>
      </c>
      <c r="F5265" s="80">
        <v>144.0</v>
      </c>
      <c r="G5265" s="80" t="s">
        <v>63</v>
      </c>
      <c r="H5265" s="80" t="s">
        <v>63</v>
      </c>
      <c r="I5265" s="80" t="s">
        <v>63</v>
      </c>
      <c r="J5265" s="80">
        <v>459.0</v>
      </c>
      <c r="K5265" s="80">
        <v>0.853658536585365</v>
      </c>
      <c r="L5265" s="80" t="s">
        <v>1634</v>
      </c>
    </row>
    <row r="5266">
      <c r="A5266" s="80" t="s">
        <v>1260</v>
      </c>
      <c r="B5266" s="81" t="str">
        <f t="shared" si="286"/>
        <v>The Wave</v>
      </c>
      <c r="C5266" s="80" t="s">
        <v>5724</v>
      </c>
      <c r="D5266" s="81" t="str">
        <f>HYPERLINK("https://youtube.com/watch?v=MmXJB_TPdCE", "TheWave | Xperia 1 IV 簡單開箱 + 簡單跑分")</f>
        <v>TheWave | Xperia 1 IV 簡單開箱 + 簡單跑分</v>
      </c>
      <c r="E5266" s="82">
        <v>44705.0</v>
      </c>
      <c r="F5266" s="80">
        <v>245.0</v>
      </c>
      <c r="G5266" s="80" t="s">
        <v>63</v>
      </c>
      <c r="H5266" s="80" t="s">
        <v>63</v>
      </c>
      <c r="I5266" s="80" t="s">
        <v>63</v>
      </c>
      <c r="J5266" s="80">
        <v>511.0</v>
      </c>
      <c r="K5266" s="80">
        <v>0.693259972489683</v>
      </c>
      <c r="L5266" s="80" t="s">
        <v>1634</v>
      </c>
    </row>
    <row r="5267">
      <c r="A5267" s="80" t="s">
        <v>140</v>
      </c>
      <c r="B5267" s="81" t="str">
        <f>HYPERLINK("https://www.youtube.com/channel/UCHK0CZf9HEXs42qIO1GUouA", "TechiCardia")</f>
        <v>TechiCardia</v>
      </c>
      <c r="C5267" s="80" t="s">
        <v>5725</v>
      </c>
      <c r="D5267" s="81" t="str">
        <f>HYPERLINK("https://youtube.com/watch?v=0L9GAmd4aLg", "變型ITX機箱？！不過揀佢嘅理由並不多...  機箱評測 | 組裝 | 散熱測試 | Phanteks Evolv Shift XT //4K 【TechiCardia】[CC廣東話字幕]")</f>
        <v>變型ITX機箱？！不過揀佢嘅理由並不多...  機箱評測 | 組裝 | 散熱測試 | Phanteks Evolv Shift XT //4K 【TechiCardia】[CC廣東話字幕]</v>
      </c>
      <c r="E5267" s="82">
        <v>44654.0</v>
      </c>
      <c r="F5267" s="80">
        <v>893.0</v>
      </c>
      <c r="G5267" s="80" t="s">
        <v>63</v>
      </c>
      <c r="I5267" s="80" t="s">
        <v>63</v>
      </c>
      <c r="J5267" s="80">
        <v>2928.0</v>
      </c>
      <c r="K5267" s="80">
        <v>0.760914760914761</v>
      </c>
      <c r="L5267" s="80" t="s">
        <v>102</v>
      </c>
    </row>
    <row r="5268">
      <c r="A5268" s="80" t="s">
        <v>755</v>
      </c>
      <c r="B5268" s="81" t="str">
        <f>HYPERLINK("https://www.youtube.com/channel/UCBiJDTc82IM68KVH873VeAw", "Live in Kwangsi廣西人·情·味")</f>
        <v>Live in Kwangsi廣西人·情·味</v>
      </c>
      <c r="C5268" s="80" t="s">
        <v>5726</v>
      </c>
      <c r="D5268" s="81" t="str">
        <f>HYPERLINK("https://youtube.com/watch?v=7rRKauoPyKs", "夾帶私貨，試下 Samsung Galaxy S21 嘅防震效果係點 😋｜Hakone Estate and Gardens（位於加州 Saratoga 嘅箱根花園）")</f>
        <v>夾帶私貨，試下 Samsung Galaxy S21 嘅防震效果係點 😋｜Hakone Estate and Gardens（位於加州 Saratoga 嘅箱根花園）</v>
      </c>
      <c r="E5268" s="82">
        <v>44651.0</v>
      </c>
      <c r="F5268" s="80">
        <v>408.0</v>
      </c>
      <c r="G5268" s="80" t="s">
        <v>63</v>
      </c>
      <c r="I5268" s="80" t="s">
        <v>63</v>
      </c>
      <c r="J5268" s="80">
        <v>429.0</v>
      </c>
      <c r="K5268" s="80">
        <v>0.729591836734693</v>
      </c>
      <c r="L5268" s="80" t="s">
        <v>757</v>
      </c>
    </row>
    <row r="5269">
      <c r="A5269" s="80" t="s">
        <v>260</v>
      </c>
      <c r="B5269" s="81" t="str">
        <f>HYPERLINK("https://www.youtube.com/channel/UC-HXOikkLx7BGEfILGIpYOg", "港短 . 英移")</f>
        <v>港短 . 英移</v>
      </c>
      <c r="C5269" s="80" t="s">
        <v>5727</v>
      </c>
      <c r="D5269" s="81" t="str">
        <f>HYPERLINK("https://youtube.com/watch?v=Bg6I9BexJZg", "倫敦北部近郊落腳地 Welwyn Garden City | 港短.英移  #WelwynGardenCity #英國落腳地")</f>
        <v>倫敦北部近郊落腳地 Welwyn Garden City | 港短.英移  #WelwynGardenCity #英國落腳地</v>
      </c>
      <c r="E5269" s="82">
        <v>44624.0</v>
      </c>
      <c r="F5269" s="80">
        <v>483.0</v>
      </c>
      <c r="G5269" s="80" t="s">
        <v>63</v>
      </c>
      <c r="I5269" s="80" t="s">
        <v>63</v>
      </c>
      <c r="J5269" s="80">
        <v>1650.0</v>
      </c>
      <c r="K5269" s="80">
        <v>0.655281969817315</v>
      </c>
      <c r="L5269" s="80" t="s">
        <v>102</v>
      </c>
    </row>
    <row r="5270">
      <c r="A5270" s="80" t="s">
        <v>2519</v>
      </c>
      <c r="B5270" s="81" t="str">
        <f>HYPERLINK("https://www.youtube.com/channel/UCRaC6ToPRzGZT5nGgz9vzGw", "C90s 港仔音樂")</f>
        <v>C90s 港仔音樂</v>
      </c>
      <c r="C5270" s="80" t="s">
        <v>5728</v>
      </c>
      <c r="D5270" s="81" t="str">
        <f>HYPERLINK("https://youtube.com/watch?v=4JUd_xM_m1M", "電影""金枝玉葉""片段 (張國榮 Leslie Cheung - 今生今世)")</f>
        <v>電影"金枝玉葉"片段 (張國榮 Leslie Cheung - 今生今世)</v>
      </c>
      <c r="E5270" s="82">
        <v>44681.0</v>
      </c>
      <c r="F5270" s="80">
        <v>89.0</v>
      </c>
      <c r="G5270" s="80" t="s">
        <v>63</v>
      </c>
      <c r="I5270" s="80" t="s">
        <v>63</v>
      </c>
      <c r="J5270" s="80">
        <v>400.0</v>
      </c>
      <c r="K5270" s="80">
        <v>0.230680507497116</v>
      </c>
      <c r="L5270" s="80" t="s">
        <v>64</v>
      </c>
    </row>
    <row r="5271">
      <c r="A5271" s="80" t="s">
        <v>1139</v>
      </c>
      <c r="B5271" s="81" t="str">
        <f>HYPERLINK("https://www.youtube.com/channel/UCw51gVFijIewmXH4tIR0ufw", "Crystal Zen")</f>
        <v>Crystal Zen</v>
      </c>
      <c r="C5271" s="80" t="s">
        <v>5729</v>
      </c>
      <c r="D5271" s="81" t="str">
        <f>HYPERLINK("https://youtube.com/watch?v=k9MHCYBr2eg", "[淨。VLOG] (3月22號) 三小時長洲快閃! 重溫經典長洲地道美食! 走訪疫情下長洲生活實況 (中文字幕)")</f>
        <v>[淨。VLOG] (3月22號) 三小時長洲快閃! 重溫經典長洲地道美食! 走訪疫情下長洲生活實況 (中文字幕)</v>
      </c>
      <c r="E5271" s="82">
        <v>44646.0</v>
      </c>
      <c r="F5271" s="80">
        <v>1200.0</v>
      </c>
      <c r="G5271" s="80" t="s">
        <v>63</v>
      </c>
      <c r="I5271" s="80" t="s">
        <v>63</v>
      </c>
      <c r="J5271" s="80">
        <v>3759.0</v>
      </c>
      <c r="K5271" s="80">
        <v>0.967318579516212</v>
      </c>
      <c r="L5271" s="80" t="s">
        <v>64</v>
      </c>
    </row>
    <row r="5272">
      <c r="A5272" s="80" t="s">
        <v>293</v>
      </c>
      <c r="B5272" s="81" t="str">
        <f>HYPERLINK("https://www.youtube.com/channel/UCXRcbXqjORdIvl63I7MtOLQ", "趁熱 Kerry 's kitchen")</f>
        <v>趁熱 Kerry 's kitchen</v>
      </c>
      <c r="C5272" s="80" t="s">
        <v>5730</v>
      </c>
      <c r="D5272" s="81" t="str">
        <f>HYPERLINK("https://youtube.com/watch?v=JYKS7IIARco", "照燒雞腿/堅簡單/想唔到煮乜就煮它/懶人至愛/新手 入門/廣東話/中字")</f>
        <v>照燒雞腿/堅簡單/想唔到煮乜就煮它/懶人至愛/新手 入門/廣東話/中字</v>
      </c>
      <c r="E5272" s="82">
        <v>44690.0</v>
      </c>
      <c r="F5272" s="80">
        <v>500.0</v>
      </c>
      <c r="G5272" s="80" t="s">
        <v>63</v>
      </c>
      <c r="I5272" s="80" t="s">
        <v>63</v>
      </c>
      <c r="J5272" s="80">
        <v>530.0</v>
      </c>
      <c r="K5272" s="80">
        <v>0.972477064220183</v>
      </c>
      <c r="L5272" s="80" t="s">
        <v>64</v>
      </c>
    </row>
    <row r="5273">
      <c r="A5273" s="80" t="s">
        <v>124</v>
      </c>
      <c r="B5273" s="81" t="str">
        <f>HYPERLINK("https://www.youtube.com/channel/UCg0vuSE0fBF_NvodyYhMcWg", "Wallace Studio HK")</f>
        <v>Wallace Studio HK</v>
      </c>
      <c r="C5273" s="80" t="s">
        <v>5731</v>
      </c>
      <c r="D5273" s="81" t="str">
        <f>HYPERLINK("https://youtube.com/watch?v=TRmD0Sjj9H0", "Pamu Z1 真無線藍芽耳機，ANC 降噪，$500 左右就買到！")</f>
        <v>Pamu Z1 真無線藍芽耳機，ANC 降噪，$500 左右就買到！</v>
      </c>
      <c r="E5273" s="82">
        <v>44626.0</v>
      </c>
      <c r="F5273" s="80">
        <v>499.0</v>
      </c>
      <c r="G5273" s="80" t="s">
        <v>63</v>
      </c>
      <c r="H5273" s="80" t="s">
        <v>63</v>
      </c>
      <c r="I5273" s="80" t="s">
        <v>63</v>
      </c>
      <c r="J5273" s="80">
        <v>1845.0</v>
      </c>
      <c r="K5273" s="80">
        <v>0.885316698656429</v>
      </c>
      <c r="L5273" s="80" t="s">
        <v>86</v>
      </c>
    </row>
    <row r="5274">
      <c r="A5274" s="80" t="s">
        <v>293</v>
      </c>
      <c r="B5274" s="81" t="str">
        <f>HYPERLINK("https://www.youtube.com/channel/UCXRcbXqjORdIvl63I7MtOLQ", "趁熱 Kerry 's kitchen")</f>
        <v>趁熱 Kerry 's kitchen</v>
      </c>
      <c r="C5274" s="80" t="s">
        <v>5732</v>
      </c>
      <c r="D5274" s="81" t="str">
        <f>HYPERLINK("https://youtube.com/watch?v=5goj0uEKZJ0", "蒜蓉牛油雞翼/超香/簡單易做/新手 入門/廣東話/中字")</f>
        <v>蒜蓉牛油雞翼/超香/簡單易做/新手 入門/廣東話/中字</v>
      </c>
      <c r="E5274" s="82">
        <v>44669.0</v>
      </c>
      <c r="F5274" s="80">
        <v>484.0</v>
      </c>
      <c r="G5274" s="80" t="s">
        <v>63</v>
      </c>
      <c r="I5274" s="80" t="s">
        <v>63</v>
      </c>
      <c r="J5274" s="80">
        <v>542.0</v>
      </c>
      <c r="K5274" s="80">
        <v>0.978339350180505</v>
      </c>
      <c r="L5274" s="80" t="s">
        <v>64</v>
      </c>
    </row>
    <row r="5275">
      <c r="A5275" s="80" t="s">
        <v>217</v>
      </c>
      <c r="B5275" s="81" t="str">
        <f>HYPERLINK("https://www.youtube.com/channel/UCXKg0qPRz32bs5Z4mTGF3TQ", "Stormtrooper白兵")</f>
        <v>Stormtrooper白兵</v>
      </c>
      <c r="C5275" s="80" t="s">
        <v>5733</v>
      </c>
      <c r="D5275" s="81" t="str">
        <f>HYPERLINK("https://youtube.com/watch?v=IXOkYwDNvJY", "[玩命系列]成功預言瘟疫的全球首富｜不停資助中共實驗室｜研發Email背後推手｜搭上愛撥斯坦，搞到要離婚｜｜蓋茨基金會(bill and melinda gates foundation)｜ 粵語中字")</f>
        <v>[玩命系列]成功預言瘟疫的全球首富｜不停資助中共實驗室｜研發Email背後推手｜搭上愛撥斯坦，搞到要離婚｜｜蓋茨基金會(bill and melinda gates foundation)｜ 粵語中字</v>
      </c>
      <c r="E5275" s="82">
        <v>44658.0</v>
      </c>
      <c r="F5275" s="80">
        <v>899.0</v>
      </c>
      <c r="G5275" s="80" t="s">
        <v>63</v>
      </c>
      <c r="I5275" s="80" t="s">
        <v>63</v>
      </c>
      <c r="J5275" s="80">
        <v>2930.0</v>
      </c>
      <c r="K5275" s="80">
        <v>0.579280347963621</v>
      </c>
      <c r="L5275" s="80" t="s">
        <v>64</v>
      </c>
    </row>
    <row r="5276">
      <c r="A5276" s="80" t="s">
        <v>2800</v>
      </c>
      <c r="B5276" s="81" t="str">
        <f>HYPERLINK("https://www.youtube.com/channel/UCMqrlsr-AECPc6_3oDr8m9w", "Unicorn 獸哥")</f>
        <v>Unicorn 獸哥</v>
      </c>
      <c r="C5276" s="80" t="s">
        <v>5734</v>
      </c>
      <c r="D5276" s="81" t="str">
        <f>HYPERLINK("https://youtube.com/watch?v=iPDA7s2H_Jo", "令人失望之作 ghostwire tokyo 遊戲評測")</f>
        <v>令人失望之作 ghostwire tokyo 遊戲評測</v>
      </c>
      <c r="E5276" s="82">
        <v>44651.0</v>
      </c>
      <c r="F5276" s="80">
        <v>403.0</v>
      </c>
      <c r="G5276" s="80" t="s">
        <v>63</v>
      </c>
      <c r="I5276" s="80" t="s">
        <v>63</v>
      </c>
      <c r="J5276" s="80">
        <v>1608.0</v>
      </c>
      <c r="K5276" s="80">
        <v>0.890365448504983</v>
      </c>
      <c r="L5276" s="80" t="s">
        <v>64</v>
      </c>
    </row>
    <row r="5277">
      <c r="A5277" s="80" t="s">
        <v>3139</v>
      </c>
      <c r="B5277" s="81" t="str">
        <f>HYPERLINK("https://www.youtube.com/channel/UCThO2xnH7XMg6plE8OgJm_w", "choyuen草原")</f>
        <v>choyuen草原</v>
      </c>
      <c r="C5277" s="80" t="s">
        <v>5735</v>
      </c>
      <c r="D5277" s="81" t="str">
        <f>HYPERLINK("https://youtube.com/watch?v=DX3zvKdq_KE", "蜥蜴人終極圖鑑 (A. 鬆懈現形) Reptilian lookbook (A. Shapeshift)")</f>
        <v>蜥蜴人終極圖鑑 (A. 鬆懈現形) Reptilian lookbook (A. Shapeshift)</v>
      </c>
      <c r="E5277" s="82">
        <v>44663.0</v>
      </c>
      <c r="F5277" s="80">
        <v>365.0</v>
      </c>
      <c r="G5277" s="80" t="s">
        <v>63</v>
      </c>
      <c r="I5277" s="80" t="s">
        <v>63</v>
      </c>
      <c r="J5277" s="80">
        <v>837.0</v>
      </c>
      <c r="K5277" s="80">
        <v>0.885714285714285</v>
      </c>
      <c r="L5277" s="80" t="s">
        <v>64</v>
      </c>
    </row>
    <row r="5278">
      <c r="A5278" s="80" t="s">
        <v>207</v>
      </c>
      <c r="B5278" s="81" t="str">
        <f>HYPERLINK("https://www.youtube.com/channel/UCMDQ0yBIh37t3Nm-mnMODCA", "麥兜Mcdull")</f>
        <v>麥兜Mcdull</v>
      </c>
      <c r="C5278" s="80" t="s">
        <v>5736</v>
      </c>
      <c r="D5278" s="81" t="str">
        <f>HYPERLINK("https://youtube.com/watch?v=kdF-YQV6z1A", "麥兜｜藉著腰膶說愛你【回應篇】")</f>
        <v>麥兜｜藉著腰膶說愛你【回應篇】</v>
      </c>
      <c r="E5278" s="82">
        <v>44644.0</v>
      </c>
      <c r="F5278" s="80">
        <v>272.0</v>
      </c>
      <c r="G5278" s="80" t="s">
        <v>63</v>
      </c>
      <c r="I5278" s="80" t="s">
        <v>63</v>
      </c>
      <c r="J5278" s="80">
        <v>329.0</v>
      </c>
      <c r="K5278" s="80">
        <v>0.996969696969697</v>
      </c>
      <c r="L5278" s="80" t="s">
        <v>64</v>
      </c>
    </row>
    <row r="5279">
      <c r="A5279" s="80" t="s">
        <v>248</v>
      </c>
      <c r="B5279" s="81" t="str">
        <f>HYPERLINK("https://www.youtube.com/channel/UCUEJok-GiWaGlv5nIPwk-GQ", "Price.com.hk 香港格價網")</f>
        <v>Price.com.hk 香港格價網</v>
      </c>
      <c r="C5279" s="80" t="s">
        <v>5737</v>
      </c>
      <c r="D5279" s="81" t="str">
        <f>HYPERLINK("https://youtube.com/watch?v=GcwHLFZmmZk", "Apple最強晶片M1 Ultra 推到盡，效能一加一等於二？ Mac Studio效能跑分測試｜散熱、實際應用表現｜對比M1 MAX｜廣東話【Price.com.hk產品比較】")</f>
        <v>Apple最強晶片M1 Ultra 推到盡，效能一加一等於二？ Mac Studio效能跑分測試｜散熱、實際應用表現｜對比M1 MAX｜廣東話【Price.com.hk產品比較】</v>
      </c>
      <c r="E5279" s="82">
        <v>44678.0</v>
      </c>
      <c r="F5279" s="80">
        <v>281.0</v>
      </c>
      <c r="G5279" s="80" t="s">
        <v>63</v>
      </c>
      <c r="I5279" s="80" t="s">
        <v>63</v>
      </c>
      <c r="J5279" s="80">
        <v>794.0</v>
      </c>
      <c r="K5279" s="80">
        <v>0.645528455284552</v>
      </c>
      <c r="L5279" s="80" t="s">
        <v>64</v>
      </c>
    </row>
    <row r="5280">
      <c r="A5280" s="80" t="s">
        <v>1260</v>
      </c>
      <c r="B5280" s="81" t="str">
        <f>HYPERLINK("https://www.youtube.com/channel/UCh1k4i86BpiXEO3nzJIYynw", "The Wave")</f>
        <v>The Wave</v>
      </c>
      <c r="C5280" s="80" t="s">
        <v>5738</v>
      </c>
      <c r="D5280" s="81" t="str">
        <f>HYPERLINK("https://youtube.com/watch?v=bwp-DzUCIEA", "TheWave | Xperia 1系列 - 3年回顧")</f>
        <v>TheWave | Xperia 1系列 - 3年回顧</v>
      </c>
      <c r="E5280" s="82">
        <v>44685.0</v>
      </c>
      <c r="F5280" s="80">
        <v>386.0</v>
      </c>
      <c r="G5280" s="80" t="s">
        <v>63</v>
      </c>
      <c r="H5280" s="80" t="s">
        <v>63</v>
      </c>
      <c r="I5280" s="80" t="s">
        <v>63</v>
      </c>
      <c r="J5280" s="80">
        <v>1183.0</v>
      </c>
      <c r="K5280" s="80">
        <v>0.813617606602476</v>
      </c>
      <c r="L5280" s="80" t="s">
        <v>1634</v>
      </c>
    </row>
    <row r="5281">
      <c r="A5281" s="80" t="s">
        <v>140</v>
      </c>
      <c r="B5281" s="81" t="str">
        <f>HYPERLINK("https://www.youtube.com/channel/UCHK0CZf9HEXs42qIO1GUouA", "TechiCardia")</f>
        <v>TechiCardia</v>
      </c>
      <c r="C5281" s="80" t="s">
        <v>5739</v>
      </c>
      <c r="D5281" s="81" t="str">
        <f>HYPERLINK("https://youtube.com/watch?v=qjOBtVaWM9w", "5件扺玩有趣的砌機新品！升級舊機、砌新機都用得著 | Giveaway 活動已完結//4K 【TechiCardia】[CC廣東話字幕]")</f>
        <v>5件扺玩有趣的砌機新品！升級舊機、砌新機都用得著 | Giveaway 活動已完結//4K 【TechiCardia】[CC廣東話字幕]</v>
      </c>
      <c r="E5281" s="82">
        <v>44640.0</v>
      </c>
      <c r="F5281" s="80">
        <v>786.0</v>
      </c>
      <c r="G5281" s="80" t="s">
        <v>63</v>
      </c>
      <c r="I5281" s="80" t="s">
        <v>63</v>
      </c>
      <c r="J5281" s="80">
        <v>2718.0</v>
      </c>
      <c r="K5281" s="80">
        <v>0.744249726177437</v>
      </c>
      <c r="L5281" s="80" t="s">
        <v>102</v>
      </c>
    </row>
    <row r="5282">
      <c r="A5282" s="80" t="s">
        <v>2041</v>
      </c>
      <c r="B5282" s="81" t="str">
        <f>HYPERLINK("https://www.youtube.com/channel/UCO6pB-ZN4XJ6MVkibvuEe0A", "SingSingTracker 星昇財經指標")</f>
        <v>SingSingTracker 星昇財經指標</v>
      </c>
      <c r="C5282" s="80" t="s">
        <v>5740</v>
      </c>
      <c r="D5282" s="81" t="str">
        <f>HYPERLINK("https://youtube.com/watch?v=5ACjaRk-KMg", "【跌市避險】避險情緒急劇升溫 首選兩類最穩陣股票｜避險股千祈唔可以亂咁㨂 教你選股4大要素｜資金避險工具 ｜美股收息 波幅較細 回報穩定｜避險投資組合2022 #wmt #cost #cl")</f>
        <v>【跌市避險】避險情緒急劇升溫 首選兩類最穩陣股票｜避險股千祈唔可以亂咁㨂 教你選股4大要素｜資金避險工具 ｜美股收息 波幅較細 回報穩定｜避險投資組合2022 #wmt #cost #cl</v>
      </c>
      <c r="E5282" s="82">
        <v>44622.0</v>
      </c>
      <c r="F5282" s="80">
        <v>401.0</v>
      </c>
      <c r="G5282" s="80" t="s">
        <v>63</v>
      </c>
      <c r="I5282" s="80" t="s">
        <v>63</v>
      </c>
      <c r="J5282" s="80">
        <v>1320.0</v>
      </c>
      <c r="K5282" s="80">
        <v>0.893703452945159</v>
      </c>
      <c r="L5282" s="80" t="s">
        <v>64</v>
      </c>
    </row>
    <row r="5283">
      <c r="A5283" s="80" t="s">
        <v>260</v>
      </c>
      <c r="B5283" s="81" t="str">
        <f>HYPERLINK("https://www.youtube.com/channel/UC-HXOikkLx7BGEfILGIpYOg", "港短 . 英移")</f>
        <v>港短 . 英移</v>
      </c>
      <c r="C5283" s="80" t="s">
        <v>5741</v>
      </c>
      <c r="D5283" s="81" t="str">
        <f>HYPERLINK("https://youtube.com/watch?v=Jt5YY-sXzdQ", "點解我地唔仲意Woking? | 港短.英移  #Woking #雷丁 #Surrey #Guildford")</f>
        <v>點解我地唔仲意Woking? | 港短.英移  #Woking #雷丁 #Surrey #Guildford</v>
      </c>
      <c r="E5283" s="82">
        <v>44666.0</v>
      </c>
      <c r="F5283" s="80">
        <v>451.0</v>
      </c>
      <c r="G5283" s="80" t="s">
        <v>63</v>
      </c>
      <c r="I5283" s="80" t="s">
        <v>63</v>
      </c>
      <c r="J5283" s="80">
        <v>1711.0</v>
      </c>
      <c r="K5283" s="80">
        <v>0.668881939014855</v>
      </c>
      <c r="L5283" s="80" t="s">
        <v>102</v>
      </c>
    </row>
    <row r="5284">
      <c r="A5284" s="80" t="s">
        <v>98</v>
      </c>
      <c r="B5284" s="81" t="str">
        <f>HYPERLINK("https://www.youtube.com/channel/UCrquuQB6v1Ued2xyRKZreGQ", "Stephen Leung ")</f>
        <v>Stephen Leung </v>
      </c>
      <c r="C5284" s="80" t="s">
        <v>5742</v>
      </c>
      <c r="D5284" s="81" t="str">
        <f>HYPERLINK("https://youtube.com/watch?v=HO8JYFhau7o", "【週末放縱 Weekend Brunch】12歲以下 免費食自助餐! 食足3小時 任食 胡椒炒大蟹 大頭蝦 麵包蟹 高質甜品 芝士蛋糕 週末早午自助餐 五星酒店 太子酒店 Savvy | 吃喝玩樂")</f>
        <v>【週末放縱 Weekend Brunch】12歲以下 免費食自助餐! 食足3小時 任食 胡椒炒大蟹 大頭蝦 麵包蟹 高質甜品 芝士蛋糕 週末早午自助餐 五星酒店 太子酒店 Savvy | 吃喝玩樂</v>
      </c>
      <c r="E5284" s="82">
        <v>44648.0</v>
      </c>
      <c r="F5284" s="80">
        <v>952.0</v>
      </c>
      <c r="G5284" s="80" t="s">
        <v>63</v>
      </c>
      <c r="I5284" s="80" t="s">
        <v>63</v>
      </c>
      <c r="J5284" s="80">
        <v>2641.0</v>
      </c>
      <c r="K5284" s="80">
        <v>0.969530102790014</v>
      </c>
      <c r="L5284" s="80" t="s">
        <v>64</v>
      </c>
    </row>
    <row r="5285">
      <c r="A5285" s="80" t="s">
        <v>2829</v>
      </c>
      <c r="B5285" s="81" t="str">
        <f>HYPERLINK("https://www.youtube.com/channel/UC7GnES6AEQlDzaP04UqtyjA", "SOLID IDEA")</f>
        <v>SOLID IDEA</v>
      </c>
      <c r="C5285" s="80" t="s">
        <v>5743</v>
      </c>
      <c r="D5285" s="81" t="str">
        <f>HYPERLINK("https://youtube.com/watch?v=oA691vQUgOc", "[#設計概念] #輕奢風燈光大不同  | 室內設計 | 空間擺位 | SOLID IDEA | (CC中文字幕)")</f>
        <v>[#設計概念] #輕奢風燈光大不同  | 室內設計 | 空間擺位 | SOLID IDEA | (CC中文字幕)</v>
      </c>
      <c r="E5285" s="82">
        <v>44694.0</v>
      </c>
      <c r="F5285" s="80">
        <v>173.0</v>
      </c>
      <c r="G5285" s="80" t="s">
        <v>63</v>
      </c>
      <c r="I5285" s="80" t="s">
        <v>63</v>
      </c>
      <c r="J5285" s="80">
        <v>376.0</v>
      </c>
      <c r="K5285" s="80">
        <v>0.872389791183294</v>
      </c>
      <c r="L5285" s="80" t="s">
        <v>64</v>
      </c>
    </row>
    <row r="5286">
      <c r="A5286" s="80" t="s">
        <v>755</v>
      </c>
      <c r="B5286" s="81" t="str">
        <f>HYPERLINK("https://www.youtube.com/channel/UCBiJDTc82IM68KVH873VeAw", "Live in Kwangsi廣西人·情·味")</f>
        <v>Live in Kwangsi廣西人·情·味</v>
      </c>
      <c r="C5286" s="80" t="s">
        <v>5744</v>
      </c>
      <c r="D5286" s="81" t="str">
        <f>HYPERLINK("https://youtube.com/watch?v=ZIgWxZvU1DE", "隔住個mon傾下近況又聽下靚歌 2022.4.16")</f>
        <v>隔住個mon傾下近況又聽下靚歌 2022.4.16</v>
      </c>
      <c r="E5286" s="82">
        <v>44667.0</v>
      </c>
      <c r="F5286" s="80">
        <v>1014.0</v>
      </c>
      <c r="G5286" s="80" t="s">
        <v>63</v>
      </c>
      <c r="I5286" s="80" t="s">
        <v>63</v>
      </c>
      <c r="J5286" s="80">
        <v>2680.0</v>
      </c>
      <c r="K5286" s="80">
        <v>0.969609261939218</v>
      </c>
      <c r="L5286" s="80" t="s">
        <v>757</v>
      </c>
    </row>
    <row r="5287">
      <c r="A5287" s="80" t="s">
        <v>2804</v>
      </c>
      <c r="B5287" s="81" t="str">
        <f>HYPERLINK("https://www.youtube.com/channel/UCrFrg50t0JqgqV2dkIrH5Hg", "投智財女 GirlbossInvest 創業投資智慧")</f>
        <v>投智財女 GirlbossInvest 創業投資智慧</v>
      </c>
      <c r="C5287" s="80" t="s">
        <v>5745</v>
      </c>
      <c r="D5287" s="81" t="str">
        <f>HYPERLINK("https://youtube.com/watch?v=LZC46YWuwsg", "穩定收20％高息做被動收入？同美元掛鉤的穩定幣收息法！😎   cc字幕 #穩定幣收息 #被動收入 #ust脫鉤")</f>
        <v>穩定收20％高息做被動收入？同美元掛鉤的穩定幣收息法！😎   cc字幕 #穩定幣收息 #被動收入 #ust脫鉤</v>
      </c>
      <c r="E5287" s="82">
        <v>44693.0</v>
      </c>
      <c r="F5287" s="80">
        <v>745.0</v>
      </c>
      <c r="G5287" s="80" t="s">
        <v>63</v>
      </c>
      <c r="I5287" s="80" t="s">
        <v>63</v>
      </c>
      <c r="J5287" s="80">
        <v>1433.0</v>
      </c>
      <c r="K5287" s="80">
        <v>0.93051948051948</v>
      </c>
      <c r="L5287" s="80" t="s">
        <v>102</v>
      </c>
    </row>
    <row r="5288">
      <c r="A5288" s="80" t="s">
        <v>248</v>
      </c>
      <c r="B5288" s="81" t="str">
        <f t="shared" ref="B5288:B5289" si="287">HYPERLINK("https://www.youtube.com/channel/UCUEJok-GiWaGlv5nIPwk-GQ", "Price.com.hk 香港格價網")</f>
        <v>Price.com.hk 香港格價網</v>
      </c>
      <c r="C5288" s="80" t="s">
        <v>5746</v>
      </c>
      <c r="D5288" s="81" t="str">
        <f>HYPERLINK("https://youtube.com/watch?v=Baw9qsxgq70", "平價5G電話對決！Samsung Galaxy A33 vs M33｜性能、熒幕、攝力比較｜廣東話【Price.com.hk 產品比較】")</f>
        <v>平價5G電話對決！Samsung Galaxy A33 vs M33｜性能、熒幕、攝力比較｜廣東話【Price.com.hk 產品比較】</v>
      </c>
      <c r="E5288" s="82">
        <v>44671.0</v>
      </c>
      <c r="F5288" s="80">
        <v>328.0</v>
      </c>
      <c r="G5288" s="80" t="s">
        <v>63</v>
      </c>
      <c r="I5288" s="80" t="s">
        <v>63</v>
      </c>
      <c r="J5288" s="80">
        <v>1120.0</v>
      </c>
      <c r="K5288" s="80">
        <v>0.852359208523592</v>
      </c>
      <c r="L5288" s="80" t="s">
        <v>64</v>
      </c>
    </row>
    <row r="5289">
      <c r="A5289" s="80" t="s">
        <v>248</v>
      </c>
      <c r="B5289" s="81" t="str">
        <f t="shared" si="287"/>
        <v>Price.com.hk 香港格價網</v>
      </c>
      <c r="C5289" s="80" t="s">
        <v>5747</v>
      </c>
      <c r="D5289" s="81" t="str">
        <f>HYPERLINK("https://youtube.com/watch?v=h0zJTAVRzAg", "新一代消暑神器？實測3大熱門掛頸式冷氣機｜Sony、Thanko、TORRAS｜解構製冷原理｜廣東話【Price.com.hk 產品比較】")</f>
        <v>新一代消暑神器？實測3大熱門掛頸式冷氣機｜Sony、Thanko、TORRAS｜解構製冷原理｜廣東話【Price.com.hk 產品比較】</v>
      </c>
      <c r="E5289" s="82">
        <v>44711.0</v>
      </c>
      <c r="F5289" s="80">
        <v>496.0</v>
      </c>
      <c r="G5289" s="80" t="s">
        <v>63</v>
      </c>
      <c r="I5289" s="80" t="s">
        <v>63</v>
      </c>
      <c r="J5289" s="80">
        <v>1907.0</v>
      </c>
      <c r="K5289" s="80">
        <v>0.827690972222222</v>
      </c>
      <c r="L5289" s="80" t="s">
        <v>64</v>
      </c>
    </row>
    <row r="5290">
      <c r="A5290" s="80" t="s">
        <v>1533</v>
      </c>
      <c r="B5290" s="81" t="str">
        <f>HYPERLINK("https://www.youtube.com/channel/UC8KiyunvRWgmUb9OmisoBug", "3分鐘教學")</f>
        <v>3分鐘教學</v>
      </c>
      <c r="C5290" s="80" t="s">
        <v>5748</v>
      </c>
      <c r="D5290" s="81" t="str">
        <f>HYPERLINK("https://youtube.com/watch?v=2FdQHj19UUM", "SSD為何更優勝？WD My Passport SSD")</f>
        <v>SSD為何更優勝？WD My Passport SSD</v>
      </c>
      <c r="E5290" s="82">
        <v>44715.0</v>
      </c>
      <c r="F5290" s="80">
        <v>476.0</v>
      </c>
      <c r="G5290" s="80" t="s">
        <v>63</v>
      </c>
      <c r="I5290" s="80" t="s">
        <v>63</v>
      </c>
      <c r="J5290" s="80">
        <v>1094.0</v>
      </c>
      <c r="K5290" s="80">
        <v>0.731283422459893</v>
      </c>
      <c r="L5290" s="80" t="s">
        <v>64</v>
      </c>
    </row>
    <row r="5291">
      <c r="A5291" s="80" t="s">
        <v>140</v>
      </c>
      <c r="B5291" s="81" t="str">
        <f>HYPERLINK("https://www.youtube.com/channel/UCHK0CZf9HEXs42qIO1GUouA", "TechiCardia")</f>
        <v>TechiCardia</v>
      </c>
      <c r="C5291" s="80" t="s">
        <v>5749</v>
      </c>
      <c r="D5291" s="81" t="str">
        <f>HYPERLINK("https://youtube.com/watch?v=3yvOCXqR2gg", "新手拍片只需要一部手機！本頻道超過24萬觀看數的影片都是手機拍 | 由零入門拍YouTube 必備裝備、小Tips分享 | 迷你VLOG示範  //4K 【TechiCardia】[CC廣東話字幕]")</f>
        <v>新手拍片只需要一部手機！本頻道超過24萬觀看數的影片都是手機拍 | 由零入門拍YouTube 必備裝備、小Tips分享 | 迷你VLOG示範  //4K 【TechiCardia】[CC廣東話字幕]</v>
      </c>
      <c r="E5291" s="82">
        <v>44710.0</v>
      </c>
      <c r="F5291" s="80">
        <v>1240.0</v>
      </c>
      <c r="G5291" s="80" t="s">
        <v>63</v>
      </c>
      <c r="I5291" s="80" t="s">
        <v>63</v>
      </c>
      <c r="J5291" s="80">
        <v>4993.0</v>
      </c>
      <c r="K5291" s="80">
        <v>0.814784595300261</v>
      </c>
      <c r="L5291" s="80" t="s">
        <v>102</v>
      </c>
    </row>
    <row r="5292">
      <c r="A5292" s="80" t="s">
        <v>96</v>
      </c>
      <c r="B5292" s="81" t="str">
        <f>HYPERLINK("https://www.youtube.com/channel/UCGtyHJ-L_4RDIHe3XaLofQQ", "Anson Cheung")</f>
        <v>Anson Cheung</v>
      </c>
      <c r="C5292" s="80" t="s">
        <v>5750</v>
      </c>
      <c r="D5292" s="81" t="str">
        <f>HYPERLINK("https://youtube.com/watch?v=Zm3u-qahrWw", "如果你住緊細單位「蝸居」，睇睇這一款Soundbar｜LG QP5 Eclair Soundbar 長期評測｜LG QP5 Eclair Review")</f>
        <v>如果你住緊細單位「蝸居」，睇睇這一款Soundbar｜LG QP5 Eclair Soundbar 長期評測｜LG QP5 Eclair Review</v>
      </c>
      <c r="E5292" s="82">
        <v>44715.0</v>
      </c>
      <c r="F5292" s="80">
        <v>591.0</v>
      </c>
      <c r="G5292" s="80" t="s">
        <v>63</v>
      </c>
      <c r="I5292" s="80" t="s">
        <v>63</v>
      </c>
      <c r="J5292" s="80">
        <v>2192.0</v>
      </c>
      <c r="K5292" s="80">
        <v>0.619734238054848</v>
      </c>
      <c r="L5292" s="80" t="s">
        <v>64</v>
      </c>
    </row>
    <row r="5293">
      <c r="A5293" s="80" t="s">
        <v>755</v>
      </c>
      <c r="B5293" s="81" t="str">
        <f>HYPERLINK("https://www.youtube.com/channel/UCBiJDTc82IM68KVH873VeAw", "Live in Kwangsi廣西人·情·味")</f>
        <v>Live in Kwangsi廣西人·情·味</v>
      </c>
      <c r="C5293" s="80" t="s">
        <v>5751</v>
      </c>
      <c r="D5293" s="81" t="str">
        <f>HYPERLINK("https://youtube.com/watch?v=Mu8ajpb7DSI", "大墟古鎮｜桂林市靈川縣｜廣西美景 20220602")</f>
        <v>大墟古鎮｜桂林市靈川縣｜廣西美景 20220602</v>
      </c>
      <c r="E5293" s="82">
        <v>44719.0</v>
      </c>
      <c r="F5293" s="80">
        <v>213.0</v>
      </c>
      <c r="G5293" s="80" t="s">
        <v>63</v>
      </c>
      <c r="I5293" s="80" t="s">
        <v>63</v>
      </c>
      <c r="J5293" s="80">
        <v>413.0</v>
      </c>
      <c r="K5293" s="80">
        <v>0.980997624703087</v>
      </c>
      <c r="L5293" s="80" t="s">
        <v>757</v>
      </c>
    </row>
    <row r="5294">
      <c r="A5294" s="80" t="s">
        <v>61</v>
      </c>
      <c r="B5294" s="81" t="str">
        <f>HYPERLINK("https://www.youtube.com/channel/UCJ4XVrJuqKHbc9yF9oUFseg", "MEeeep More")</f>
        <v>MEeeep More</v>
      </c>
      <c r="C5294" s="80" t="s">
        <v>5752</v>
      </c>
      <c r="D5294" s="81" t="str">
        <f>HYPERLINK("https://youtube.com/watch?v=Zqjr8NRNaU8", "[運動手錶]Amazfit T-Rex 2 發佈會現場即試 留意片尾有優惠 | 運動手錶推薦2022 trex pro xiaomi t rex 2")</f>
        <v>[運動手錶]Amazfit T-Rex 2 發佈會現場即試 留意片尾有優惠 | 運動手錶推薦2022 trex pro xiaomi t rex 2</v>
      </c>
      <c r="E5294" s="82">
        <v>44718.0</v>
      </c>
      <c r="F5294" s="80">
        <v>161.0</v>
      </c>
      <c r="G5294" s="80" t="s">
        <v>63</v>
      </c>
      <c r="I5294" s="80" t="s">
        <v>63</v>
      </c>
      <c r="J5294" s="80">
        <v>439.0</v>
      </c>
      <c r="K5294" s="80">
        <v>0.736577181208053</v>
      </c>
      <c r="L5294" s="80" t="s">
        <v>64</v>
      </c>
    </row>
    <row r="5295">
      <c r="A5295" s="80" t="s">
        <v>2519</v>
      </c>
      <c r="B5295" s="81" t="str">
        <f>HYPERLINK("https://www.youtube.com/channel/UCRaC6ToPRzGZT5nGgz9vzGw", "C90s 港仔音樂")</f>
        <v>C90s 港仔音樂</v>
      </c>
      <c r="C5295" s="80" t="s">
        <v>5753</v>
      </c>
      <c r="D5295" s="81" t="str">
        <f>HYPERLINK("https://youtube.com/watch?v=5TEUgUEoot8", "羅文 Roman Tam - 獅子山下【電視劇""獅子山下""主題曲】 [歌詞同步/粵拼字幕]")</f>
        <v>羅文 Roman Tam - 獅子山下【電視劇"獅子山下"主題曲】 [歌詞同步/粵拼字幕]</v>
      </c>
      <c r="E5295" s="82">
        <v>44719.0</v>
      </c>
      <c r="F5295" s="80">
        <v>226.0</v>
      </c>
      <c r="G5295" s="80" t="s">
        <v>63</v>
      </c>
      <c r="I5295" s="80" t="s">
        <v>63</v>
      </c>
      <c r="J5295" s="80">
        <v>174.0</v>
      </c>
      <c r="K5295" s="80">
        <v>0.222222222222222</v>
      </c>
      <c r="L5295" s="80" t="s">
        <v>64</v>
      </c>
    </row>
    <row r="5296">
      <c r="A5296" s="80" t="s">
        <v>248</v>
      </c>
      <c r="B5296" s="81" t="str">
        <f>HYPERLINK("https://www.youtube.com/channel/UCUEJok-GiWaGlv5nIPwk-GQ", "Price.com.hk 香港格價網")</f>
        <v>Price.com.hk 香港格價網</v>
      </c>
      <c r="C5296" s="80" t="s">
        <v>5754</v>
      </c>
      <c r="D5296" s="81" t="str">
        <f>HYPERLINK("https://youtube.com/watch?v=B6r3fo0thxE", "6分鐘看懂6GHz如何提升網速！要轉用 Wi-Fi 6E 嗎？｜入手新Router須知｜廣東話【Price.com.hk 選購資訊】")</f>
        <v>6分鐘看懂6GHz如何提升網速！要轉用 Wi-Fi 6E 嗎？｜入手新Router須知｜廣東話【Price.com.hk 選購資訊】</v>
      </c>
      <c r="E5296" s="82">
        <v>44718.0</v>
      </c>
      <c r="F5296" s="80">
        <v>362.0</v>
      </c>
      <c r="G5296" s="80" t="s">
        <v>63</v>
      </c>
      <c r="I5296" s="80" t="s">
        <v>63</v>
      </c>
      <c r="J5296" s="80">
        <v>1268.0</v>
      </c>
      <c r="K5296" s="80">
        <v>0.798991808443604</v>
      </c>
      <c r="L5296" s="80" t="s">
        <v>64</v>
      </c>
    </row>
    <row r="5297">
      <c r="A5297" s="80" t="s">
        <v>2804</v>
      </c>
      <c r="B5297" s="81" t="str">
        <f>HYPERLINK("https://www.youtube.com/channel/UCrFrg50t0JqgqV2dkIrH5Hg", "投智財女 GirlbossInvest 創業投資智慧")</f>
        <v>投智財女 GirlbossInvest 創業投資智慧</v>
      </c>
      <c r="C5297" s="80" t="s">
        <v>5755</v>
      </c>
      <c r="D5297" s="81" t="str">
        <f>HYPERLINK("https://youtube.com/watch?v=d1TOqarCchc", "徹底改造女人一生的6種投資習慣！| 25-35歲的你該如何投資自己 #穩賺不賠 #投資自己")</f>
        <v>徹底改造女人一生的6種投資習慣！| 25-35歲的你該如何投資自己 #穩賺不賠 #投資自己</v>
      </c>
      <c r="E5297" s="82">
        <v>44714.0</v>
      </c>
      <c r="F5297" s="80">
        <v>708.0</v>
      </c>
      <c r="G5297" s="80" t="s">
        <v>63</v>
      </c>
      <c r="I5297" s="80" t="s">
        <v>63</v>
      </c>
      <c r="J5297" s="80">
        <v>1112.0</v>
      </c>
      <c r="K5297" s="80">
        <v>0.949615713065755</v>
      </c>
      <c r="L5297" s="80" t="s">
        <v>102</v>
      </c>
    </row>
    <row r="5298">
      <c r="A5298" s="80" t="s">
        <v>140</v>
      </c>
      <c r="B5298" s="81" t="str">
        <f>HYPERLINK("https://www.youtube.com/channel/UCHK0CZf9HEXs42qIO1GUouA", "TechiCardia")</f>
        <v>TechiCardia</v>
      </c>
      <c r="C5298" s="80" t="s">
        <v>5756</v>
      </c>
      <c r="D5298" s="81" t="str">
        <f>HYPERLINK("https://youtube.com/watch?v=i1Siha0jfvU", "你需要的砌機入門 BIOS 導航 | 簡易學懂基本 UEFI BIOS 設定 | ft. ASUS PRIME B660M-A D4 //4K 【TechiCardia】[CC廣東話字幕]")</f>
        <v>你需要的砌機入門 BIOS 導航 | 簡易學懂基本 UEFI BIOS 設定 | ft. ASUS PRIME B660M-A D4 //4K 【TechiCardia】[CC廣東話字幕]</v>
      </c>
      <c r="E5298" s="82">
        <v>44717.0</v>
      </c>
      <c r="F5298" s="80">
        <v>689.0</v>
      </c>
      <c r="G5298" s="80" t="s">
        <v>63</v>
      </c>
      <c r="I5298" s="80" t="s">
        <v>63</v>
      </c>
      <c r="J5298" s="80">
        <v>2538.0</v>
      </c>
      <c r="K5298" s="80">
        <v>0.698403962575674</v>
      </c>
      <c r="L5298" s="80" t="s">
        <v>102</v>
      </c>
    </row>
    <row r="5299">
      <c r="A5299" s="80" t="s">
        <v>1139</v>
      </c>
      <c r="B5299" s="81" t="str">
        <f>HYPERLINK("https://www.youtube.com/channel/UCw51gVFijIewmXH4tIR0ufw", "Crystal Zen")</f>
        <v>Crystal Zen</v>
      </c>
      <c r="C5299" s="80" t="s">
        <v>5757</v>
      </c>
      <c r="D5299" s="81" t="str">
        <f>HYPERLINK("https://youtube.com/watch?v=yitAeF0sCeQ", "手掌心咁大嘅西瓜碧璽?! 大過一蚊銀嘅坦桑石?!  集合淨。晶最獨特嘅晶石收藏! 《ZEN Gallery》 #1")</f>
        <v>手掌心咁大嘅西瓜碧璽?! 大過一蚊銀嘅坦桑石?!  集合淨。晶最獨特嘅晶石收藏! 《ZEN Gallery》 #1</v>
      </c>
      <c r="E5299" s="82">
        <v>44712.0</v>
      </c>
      <c r="F5299" s="80">
        <v>497.0</v>
      </c>
      <c r="G5299" s="80" t="s">
        <v>63</v>
      </c>
      <c r="I5299" s="80" t="s">
        <v>63</v>
      </c>
      <c r="J5299" s="80">
        <v>1876.0</v>
      </c>
      <c r="K5299" s="80">
        <v>0.946518668012108</v>
      </c>
      <c r="L5299" s="80" t="s">
        <v>64</v>
      </c>
    </row>
    <row r="5300">
      <c r="A5300" s="80" t="s">
        <v>248</v>
      </c>
      <c r="B5300" s="81" t="str">
        <f>HYPERLINK("https://www.youtube.com/channel/UCUEJok-GiWaGlv5nIPwk-GQ", "Price.com.hk 香港格價網")</f>
        <v>Price.com.hk 香港格價網</v>
      </c>
      <c r="C5300" s="80" t="s">
        <v>5758</v>
      </c>
      <c r="D5300" s="81" t="str">
        <f>HYPERLINK("https://youtube.com/watch?v=--U4nYS9vXc", "Garmin fēnix 7X Sapphire Solar、Venu 2 Plus「大家減齡」｜活投入健康生活賺積分｜生理年齡模型BAM｜特約專題｜廣東話【Price.com.hk產品介紹】")</f>
        <v>Garmin fēnix 7X Sapphire Solar、Venu 2 Plus「大家減齡」｜活投入健康生活賺積分｜生理年齡模型BAM｜特約專題｜廣東話【Price.com.hk產品介紹】</v>
      </c>
      <c r="E5300" s="82">
        <v>44714.0</v>
      </c>
      <c r="F5300" s="80">
        <v>319.0</v>
      </c>
      <c r="G5300" s="80" t="s">
        <v>63</v>
      </c>
      <c r="I5300" s="80" t="s">
        <v>63</v>
      </c>
      <c r="J5300" s="80">
        <v>1202.0</v>
      </c>
      <c r="K5300" s="80">
        <v>0.79708222811671</v>
      </c>
      <c r="L5300" s="80" t="s">
        <v>64</v>
      </c>
    </row>
    <row r="5301">
      <c r="A5301" s="80" t="s">
        <v>5759</v>
      </c>
      <c r="B5301" s="81" t="str">
        <f>HYPERLINK("https://www.youtube.com/channel/UC7Zayxj2DitG-4C7JMUfd4w", "機動電視台RTV")</f>
        <v>機動電視台RTV</v>
      </c>
      <c r="C5301" s="80" t="s">
        <v>5760</v>
      </c>
      <c r="D5301" s="81" t="str">
        <f>HYPERLINK("https://youtube.com/watch?v=NwrxMf75E_g", "2021零時零分同你一齊倒數‼️🤩🎉 美女廚房外景靈異事件❓七八九十後係幾錢買一串魚蛋❓🧐 feat. 方力申 自爆童年秘密❓")</f>
        <v>2021零時零分同你一齊倒數‼️🤩🎉 美女廚房外景靈異事件❓七八九十後係幾錢買一串魚蛋❓🧐 feat. 方力申 自爆童年秘密❓</v>
      </c>
      <c r="E5301" s="82">
        <v>44196.0</v>
      </c>
      <c r="F5301" s="80">
        <v>1209.0</v>
      </c>
      <c r="G5301" s="80" t="s">
        <v>63</v>
      </c>
      <c r="I5301" s="80" t="s">
        <v>63</v>
      </c>
      <c r="J5301" s="80">
        <v>3253.0</v>
      </c>
      <c r="K5301" s="80">
        <v>0.883727248030426</v>
      </c>
      <c r="L5301" s="80" t="s">
        <v>102</v>
      </c>
    </row>
    <row r="5302">
      <c r="A5302" s="80" t="s">
        <v>1260</v>
      </c>
      <c r="B5302" s="81" t="str">
        <f>HYPERLINK("https://www.youtube.com/channel/UCh1k4i86BpiXEO3nzJIYynw", "The Wave")</f>
        <v>The Wave</v>
      </c>
      <c r="C5302" s="80" t="s">
        <v>5761</v>
      </c>
      <c r="D5302" s="81" t="str">
        <f>HYPERLINK("https://youtube.com/watch?v=hZhdaHMJxKY", "TheWave | Xperia 1 IV 攝影測試")</f>
        <v>TheWave | Xperia 1 IV 攝影測試</v>
      </c>
      <c r="E5302" s="82">
        <v>44715.0</v>
      </c>
      <c r="F5302" s="80">
        <v>133.0</v>
      </c>
      <c r="G5302" s="80" t="s">
        <v>63</v>
      </c>
      <c r="H5302" s="80" t="s">
        <v>63</v>
      </c>
      <c r="I5302" s="80" t="s">
        <v>63</v>
      </c>
      <c r="J5302" s="80">
        <v>247.0</v>
      </c>
      <c r="K5302" s="80">
        <v>0.789137380191693</v>
      </c>
      <c r="L5302" s="80" t="s">
        <v>1634</v>
      </c>
    </row>
    <row r="5303">
      <c r="A5303" s="80" t="s">
        <v>96</v>
      </c>
      <c r="B5303" s="81" t="str">
        <f>HYPERLINK("https://www.youtube.com/channel/UCGtyHJ-L_4RDIHe3XaLofQQ", "Anson Cheung")</f>
        <v>Anson Cheung</v>
      </c>
      <c r="C5303" s="80" t="s">
        <v>5762</v>
      </c>
      <c r="D5303" s="81" t="str">
        <f>HYPERLINK("https://youtube.com/watch?v=kC4-QltGnvk", "M2 Macbook Air/Pro 會係我今年最期待嘅產品？18 個 WWDC 2022 發佈的重點功能｜Apple WWDC 2022 懶人包｜ft. CASETiFY")</f>
        <v>M2 Macbook Air/Pro 會係我今年最期待嘅產品？18 個 WWDC 2022 發佈的重點功能｜Apple WWDC 2022 懶人包｜ft. CASETiFY</v>
      </c>
      <c r="E5303" s="82">
        <v>44720.0</v>
      </c>
      <c r="F5303" s="80">
        <v>1101.0</v>
      </c>
      <c r="G5303" s="80" t="s">
        <v>63</v>
      </c>
      <c r="I5303" s="80" t="s">
        <v>63</v>
      </c>
      <c r="J5303" s="80">
        <v>3841.0</v>
      </c>
      <c r="K5303" s="80">
        <v>0.565518256772673</v>
      </c>
      <c r="L5303" s="80" t="s">
        <v>102</v>
      </c>
    </row>
    <row r="5304">
      <c r="A5304" s="80" t="s">
        <v>1260</v>
      </c>
      <c r="B5304" s="81" t="str">
        <f>HYPERLINK("https://www.youtube.com/channel/UCh1k4i86BpiXEO3nzJIYynw", "The Wave")</f>
        <v>The Wave</v>
      </c>
      <c r="C5304" s="80" t="s">
        <v>5763</v>
      </c>
      <c r="D5304" s="81" t="str">
        <f>HYPERLINK("https://youtube.com/watch?v=5gZr08K-Mlo", "TheWave | Xperia 1 IV 喇叭測試")</f>
        <v>TheWave | Xperia 1 IV 喇叭測試</v>
      </c>
      <c r="E5304" s="82">
        <v>44717.0</v>
      </c>
      <c r="F5304" s="80">
        <v>114.0</v>
      </c>
      <c r="G5304" s="80" t="s">
        <v>63</v>
      </c>
      <c r="H5304" s="80" t="s">
        <v>63</v>
      </c>
      <c r="I5304" s="80" t="s">
        <v>63</v>
      </c>
      <c r="J5304" s="80">
        <v>287.0</v>
      </c>
      <c r="K5304" s="80">
        <v>0.604210526315789</v>
      </c>
      <c r="L5304" s="80" t="s">
        <v>1634</v>
      </c>
    </row>
    <row r="5305">
      <c r="A5305" s="80" t="s">
        <v>4470</v>
      </c>
      <c r="B5305" s="81" t="str">
        <f>HYPERLINK("https://www.youtube.com/channel/UC4VI_WmdfVMTkT4vKCiZA4A", "BossMind")</f>
        <v>BossMind</v>
      </c>
      <c r="C5305" s="80" t="s">
        <v>5764</v>
      </c>
      <c r="D5305" s="81" t="str">
        <f>HYPERLINK("https://youtube.com/watch?v=txsZPh68n6A", "油價短線好消息盡出? 等60蚊西方石油(OXY)再試｜標題黨大行報告︰萬一油股升十年｜#華爾街戰線｜#杜昇")</f>
        <v>油價短線好消息盡出? 等60蚊西方石油(OXY)再試｜標題黨大行報告︰萬一油股升十年｜#華爾街戰線｜#杜昇</v>
      </c>
      <c r="E5305" s="82">
        <v>44713.0</v>
      </c>
      <c r="F5305" s="80">
        <v>529.0</v>
      </c>
      <c r="G5305" s="80" t="s">
        <v>63</v>
      </c>
      <c r="I5305" s="80" t="s">
        <v>63</v>
      </c>
      <c r="J5305" s="80">
        <v>1515.0</v>
      </c>
      <c r="K5305" s="80">
        <v>0.953429830081812</v>
      </c>
      <c r="L5305" s="80" t="s">
        <v>64</v>
      </c>
    </row>
    <row r="5306">
      <c r="A5306" s="80" t="s">
        <v>124</v>
      </c>
      <c r="B5306" s="81" t="str">
        <f>HYPERLINK("https://www.youtube.com/channel/UCg0vuSE0fBF_NvodyYhMcWg", "Wallace Studio HK")</f>
        <v>Wallace Studio HK</v>
      </c>
      <c r="C5306" s="80" t="s">
        <v>5765</v>
      </c>
      <c r="D5306" s="81" t="str">
        <f>HYPERLINK("https://youtube.com/watch?v=Yla3IcwL6Ho", "Samsung Galaxy S22 &amp; S22+ 評測! 2022 最值得考慮既大眾手機 !")</f>
        <v>Samsung Galaxy S22 &amp; S22+ 評測! 2022 最值得考慮既大眾手機 !</v>
      </c>
      <c r="E5306" s="82">
        <v>44724.0</v>
      </c>
      <c r="F5306" s="80">
        <v>430.0</v>
      </c>
      <c r="G5306" s="80" t="s">
        <v>63</v>
      </c>
      <c r="H5306" s="80" t="s">
        <v>63</v>
      </c>
      <c r="I5306" s="80" t="s">
        <v>63</v>
      </c>
      <c r="J5306" s="80">
        <v>1469.0</v>
      </c>
      <c r="K5306" s="80">
        <v>0.806699615595826</v>
      </c>
      <c r="L5306" s="80" t="s">
        <v>86</v>
      </c>
    </row>
    <row r="5307">
      <c r="A5307" s="80" t="s">
        <v>74</v>
      </c>
      <c r="B5307" s="81" t="str">
        <f>HYPERLINK("https://www.youtube.com/channel/UCO_5XP-qd-udNxBlzzSzgvw", "Handline Fishing")</f>
        <v>Handline Fishing</v>
      </c>
      <c r="C5307" s="80" t="s">
        <v>5766</v>
      </c>
      <c r="D5307" s="81" t="str">
        <f>HYPERLINK("https://youtube.com/watch?v=PywjhwSNRU8", "#280 【Marco GIVEAWAYS】2022年維港最好魚的一天 | 香港釣魚 | 艇釣 | 維港東【曼德藥廠魚油丸】")</f>
        <v>#280 【Marco GIVEAWAYS】2022年維港最好魚的一天 | 香港釣魚 | 艇釣 | 維港東【曼德藥廠魚油丸】</v>
      </c>
      <c r="E5307" s="82">
        <v>44715.0</v>
      </c>
      <c r="F5307" s="80">
        <v>755.0</v>
      </c>
      <c r="G5307" s="80" t="s">
        <v>63</v>
      </c>
      <c r="H5307" s="80" t="s">
        <v>63</v>
      </c>
      <c r="I5307" s="80" t="s">
        <v>63</v>
      </c>
      <c r="J5307" s="80">
        <v>593.0</v>
      </c>
      <c r="K5307" s="80">
        <v>0.920454545454545</v>
      </c>
      <c r="L5307" s="80" t="s">
        <v>2175</v>
      </c>
    </row>
    <row r="5308">
      <c r="A5308" s="80" t="s">
        <v>293</v>
      </c>
      <c r="B5308" s="81" t="str">
        <f>HYPERLINK("https://www.youtube.com/channel/UCXRcbXqjORdIvl63I7MtOLQ", "趁熱 Kerry 's kitchen")</f>
        <v>趁熱 Kerry 's kitchen</v>
      </c>
      <c r="C5308" s="80" t="s">
        <v>5767</v>
      </c>
      <c r="D5308" s="81" t="str">
        <f>HYPERLINK("https://youtube.com/watch?v=MI0TsYeYcAI", "熱情果/百香果魚柳/酸酸甜甜好餸飯/家常菜/急凍魚柳沒有腥味/鮮熱情果處理方法/新手 入門/廣東話/中字 passion fruit fish fillet")</f>
        <v>熱情果/百香果魚柳/酸酸甜甜好餸飯/家常菜/急凍魚柳沒有腥味/鮮熱情果處理方法/新手 入門/廣東話/中字 passion fruit fish fillet</v>
      </c>
      <c r="E5308" s="82">
        <v>44720.0</v>
      </c>
      <c r="F5308" s="80">
        <v>544.0</v>
      </c>
      <c r="G5308" s="80" t="s">
        <v>63</v>
      </c>
      <c r="I5308" s="80" t="s">
        <v>63</v>
      </c>
      <c r="J5308" s="80">
        <v>756.0</v>
      </c>
      <c r="K5308" s="80">
        <v>0.966751918158567</v>
      </c>
      <c r="L5308" s="80" t="s">
        <v>64</v>
      </c>
    </row>
    <row r="5309">
      <c r="A5309" s="80" t="s">
        <v>2841</v>
      </c>
      <c r="B5309" s="81" t="str">
        <f>HYPERLINK("https://www.youtube.com/channel/UCBYGm7Iz6ck8jeno5AFiriw", "Seafront TV")</f>
        <v>Seafront TV</v>
      </c>
      <c r="C5309" s="80" t="s">
        <v>5768</v>
      </c>
      <c r="D5309" s="81" t="str">
        <f>HYPERLINK("https://youtube.com/watch?v=PW22-e20Qz8", "【JUPAS🐣看盡生命百態🐛🪴】港大理學士（生態學及生物多樣性） HKU BSc in Ecology &amp; Biodiversity| #大學Major系列 Seafront TV🌊")</f>
        <v>【JUPAS🐣看盡生命百態🐛🪴】港大理學士（生態學及生物多樣性） HKU BSc in Ecology &amp; Biodiversity| #大學Major系列 Seafront TV🌊</v>
      </c>
      <c r="E5309" s="82">
        <v>44716.0</v>
      </c>
      <c r="F5309" s="80">
        <v>1066.0</v>
      </c>
      <c r="G5309" s="80" t="s">
        <v>63</v>
      </c>
      <c r="I5309" s="80" t="s">
        <v>63</v>
      </c>
      <c r="J5309" s="80">
        <v>2727.0</v>
      </c>
      <c r="K5309" s="80">
        <v>0.534286833855799</v>
      </c>
      <c r="L5309" s="80" t="s">
        <v>102</v>
      </c>
    </row>
    <row r="5310">
      <c r="A5310" s="80" t="s">
        <v>248</v>
      </c>
      <c r="B5310" s="81" t="str">
        <f>HYPERLINK("https://www.youtube.com/channel/UCUEJok-GiWaGlv5nIPwk-GQ", "Price.com.hk 香港格價網")</f>
        <v>Price.com.hk 香港格價網</v>
      </c>
      <c r="C5310" s="80" t="s">
        <v>5769</v>
      </c>
      <c r="D5310" s="81" t="str">
        <f>HYPERLINK("https://youtube.com/watch?v=InqybO3sT8M", "歐盟拍板統一USB-C充電線規格！iOS 16 加入廣東話輸入法 、Nothing Phone (1) 透明電話下月發布 | 廣東話【Price Weekly #118 2022年6月】")</f>
        <v>歐盟拍板統一USB-C充電線規格！iOS 16 加入廣東話輸入法 、Nothing Phone (1) 透明電話下月發布 | 廣東話【Price Weekly #118 2022年6月】</v>
      </c>
      <c r="E5310" s="82">
        <v>44723.0</v>
      </c>
      <c r="F5310" s="80">
        <v>522.0</v>
      </c>
      <c r="G5310" s="80" t="s">
        <v>63</v>
      </c>
      <c r="I5310" s="80" t="s">
        <v>63</v>
      </c>
      <c r="J5310" s="80">
        <v>2028.0</v>
      </c>
      <c r="K5310" s="80">
        <v>0.715848923402753</v>
      </c>
      <c r="L5310" s="80" t="s">
        <v>64</v>
      </c>
    </row>
    <row r="5311">
      <c r="A5311" s="80" t="s">
        <v>124</v>
      </c>
      <c r="B5311" s="81" t="str">
        <f>HYPERLINK("https://www.youtube.com/channel/UCg0vuSE0fBF_NvodyYhMcWg", "Wallace Studio HK")</f>
        <v>Wallace Studio HK</v>
      </c>
      <c r="C5311" s="80" t="s">
        <v>5770</v>
      </c>
      <c r="D5311" s="81" t="str">
        <f>HYPERLINK("https://youtube.com/watch?v=kJjC6EXRbxY", "iPad Pro 2021 vs iPad Air 5 (Apple M1) 邊部更加適合你？")</f>
        <v>iPad Pro 2021 vs iPad Air 5 (Apple M1) 邊部更加適合你？</v>
      </c>
      <c r="E5311" s="82">
        <v>44710.0</v>
      </c>
      <c r="F5311" s="80">
        <v>565.0</v>
      </c>
      <c r="G5311" s="80" t="s">
        <v>63</v>
      </c>
      <c r="H5311" s="80" t="s">
        <v>63</v>
      </c>
      <c r="I5311" s="80" t="s">
        <v>63</v>
      </c>
      <c r="J5311" s="80">
        <v>2003.0</v>
      </c>
      <c r="K5311" s="80">
        <v>0.693079584775086</v>
      </c>
      <c r="L5311" s="80" t="s">
        <v>86</v>
      </c>
    </row>
    <row r="5312">
      <c r="A5312" s="80" t="s">
        <v>293</v>
      </c>
      <c r="B5312" s="81" t="str">
        <f>HYPERLINK("https://www.youtube.com/channel/UCXRcbXqjORdIvl63I7MtOLQ", "趁熱 Kerry 's kitchen")</f>
        <v>趁熱 Kerry 's kitchen</v>
      </c>
      <c r="C5312" s="80" t="s">
        <v>5771</v>
      </c>
      <c r="D5312" s="81" t="str">
        <f>HYPERLINK("https://youtube.com/watch?v=g57lEGjwjoY", "蒸蝦豆腐/蒜蓉蒸開邊蝦滑蛋豆腐/過節菜老友記都食得/蝦汁被豆腐滑蛋完美吸收//簡單 家做/廣東話/中字")</f>
        <v>蒸蝦豆腐/蒜蓉蒸開邊蝦滑蛋豆腐/過節菜老友記都食得/蝦汁被豆腐滑蛋完美吸收//簡單 家做/廣東話/中字</v>
      </c>
      <c r="E5312" s="82">
        <v>44715.0</v>
      </c>
      <c r="F5312" s="80">
        <v>580.0</v>
      </c>
      <c r="G5312" s="80" t="s">
        <v>63</v>
      </c>
      <c r="I5312" s="80" t="s">
        <v>63</v>
      </c>
      <c r="J5312" s="80">
        <v>699.0</v>
      </c>
      <c r="K5312" s="80">
        <v>0.984507042253521</v>
      </c>
      <c r="L5312" s="80" t="s">
        <v>64</v>
      </c>
    </row>
    <row r="5313">
      <c r="A5313" s="80" t="s">
        <v>2841</v>
      </c>
      <c r="B5313" s="81" t="str">
        <f>HYPERLINK("https://www.youtube.com/channel/UCBYGm7Iz6ck8jeno5AFiriw", "Seafront TV")</f>
        <v>Seafront TV</v>
      </c>
      <c r="C5313" s="80" t="s">
        <v>5772</v>
      </c>
      <c r="D5313" s="81" t="str">
        <f>HYPERLINK("https://youtube.com/watch?v=BlnahfO948c", "【JUPAS神科真係大晒？】科大工商管理學士（環球商業管理）HKUST BBA in Global Business| #大學Major系列 Seafront TV🌊")</f>
        <v>【JUPAS神科真係大晒？】科大工商管理學士（環球商業管理）HKUST BBA in Global Business| #大學Major系列 Seafront TV🌊</v>
      </c>
      <c r="E5313" s="82">
        <v>44709.0</v>
      </c>
      <c r="F5313" s="80">
        <v>1342.0</v>
      </c>
      <c r="G5313" s="80" t="s">
        <v>63</v>
      </c>
      <c r="I5313" s="80" t="s">
        <v>63</v>
      </c>
      <c r="J5313" s="80">
        <v>3011.0</v>
      </c>
      <c r="K5313" s="80">
        <v>0.521295013850415</v>
      </c>
      <c r="L5313" s="80" t="s">
        <v>102</v>
      </c>
    </row>
    <row r="5314">
      <c r="A5314" s="80" t="s">
        <v>260</v>
      </c>
      <c r="B5314" s="81" t="str">
        <f>HYPERLINK("https://www.youtube.com/channel/UC-HXOikkLx7BGEfILGIpYOg", "港短 . 英移")</f>
        <v>港短 . 英移</v>
      </c>
      <c r="C5314" s="80" t="s">
        <v>5773</v>
      </c>
      <c r="D5314" s="81" t="str">
        <f>HYPERLINK("https://youtube.com/watch?v=IGUbuwmQhy0", "英國東部好唔好住? Norwich諾域治 | 港短.英移 #移民英國港人#英國地區 #英國好地方")</f>
        <v>英國東部好唔好住? Norwich諾域治 | 港短.英移 #移民英國港人#英國地區 #英國好地方</v>
      </c>
      <c r="E5314" s="82">
        <v>44714.0</v>
      </c>
      <c r="F5314" s="80">
        <v>403.0</v>
      </c>
      <c r="G5314" s="80" t="s">
        <v>63</v>
      </c>
      <c r="I5314" s="80" t="s">
        <v>63</v>
      </c>
      <c r="J5314" s="80">
        <v>1688.0</v>
      </c>
      <c r="K5314" s="80">
        <v>0.735191637630662</v>
      </c>
      <c r="L5314" s="80" t="s">
        <v>102</v>
      </c>
    </row>
    <row r="5315">
      <c r="A5315" s="80" t="s">
        <v>755</v>
      </c>
      <c r="B5315" s="81" t="str">
        <f>HYPERLINK("https://www.youtube.com/channel/UCBiJDTc82IM68KVH873VeAw", "Live in Kwangsi廣西人·情·味")</f>
        <v>Live in Kwangsi廣西人·情·味</v>
      </c>
      <c r="C5315" s="80" t="s">
        <v>5774</v>
      </c>
      <c r="D5315" s="81" t="str">
        <f>HYPERLINK("https://youtube.com/watch?v=1ooHDlC33K8", "食當地家傳戶曉嘅豆腐花 行陵寧路食糖水｜北流市｜廣西日常實拍 20220521")</f>
        <v>食當地家傳戶曉嘅豆腐花 行陵寧路食糖水｜北流市｜廣西日常實拍 20220521</v>
      </c>
      <c r="E5315" s="82">
        <v>44710.0</v>
      </c>
      <c r="F5315" s="80">
        <v>1585.0</v>
      </c>
      <c r="G5315" s="80" t="s">
        <v>63</v>
      </c>
      <c r="I5315" s="80" t="s">
        <v>63</v>
      </c>
      <c r="J5315" s="80">
        <v>564.0</v>
      </c>
      <c r="K5315" s="80">
        <v>0.998230088495575</v>
      </c>
      <c r="L5315" s="80" t="s">
        <v>757</v>
      </c>
    </row>
    <row r="5316">
      <c r="A5316" s="80" t="s">
        <v>98</v>
      </c>
      <c r="B5316" s="81" t="str">
        <f>HYPERLINK("https://www.youtube.com/channel/UCrquuQB6v1Ued2xyRKZreGQ", "Stephen Leung ")</f>
        <v>Stephen Leung </v>
      </c>
      <c r="C5316" s="80" t="s">
        <v>5775</v>
      </c>
      <c r="D5316" s="81" t="str">
        <f>HYPERLINK("https://youtube.com/watch?v=H_EWoIFRWdM", "【香港美食】旺角鬧市 樓上餐廳 創意西餐有驚喜! 媽咪麵都可以做西餐? 鵝肝燉蛋 Cocktail 有質素 旺角 Lab Eat Bistro  | 吃喝玩樂")</f>
        <v>【香港美食】旺角鬧市 樓上餐廳 創意西餐有驚喜! 媽咪麵都可以做西餐? 鵝肝燉蛋 Cocktail 有質素 旺角 Lab Eat Bistro  | 吃喝玩樂</v>
      </c>
      <c r="E5316" s="82">
        <v>44718.0</v>
      </c>
      <c r="F5316" s="80">
        <v>661.0</v>
      </c>
      <c r="G5316" s="80" t="s">
        <v>63</v>
      </c>
      <c r="I5316" s="80" t="s">
        <v>63</v>
      </c>
      <c r="J5316" s="80">
        <v>1576.0</v>
      </c>
      <c r="K5316" s="80">
        <v>0.949397590361445</v>
      </c>
      <c r="L5316" s="80" t="s">
        <v>64</v>
      </c>
    </row>
    <row r="5317">
      <c r="A5317" s="80" t="s">
        <v>1260</v>
      </c>
      <c r="B5317" s="81" t="str">
        <f>HYPERLINK("https://www.youtube.com/channel/UCh1k4i86BpiXEO3nzJIYynw", "The Wave")</f>
        <v>The Wave</v>
      </c>
      <c r="C5317" s="80" t="s">
        <v>5776</v>
      </c>
      <c r="D5317" s="81" t="str">
        <f>HYPERLINK("https://youtube.com/watch?v=KJ4UCnY9HQY", "TheWave | Xperia 1 IV 影片播放電力測試 | 全字幕")</f>
        <v>TheWave | Xperia 1 IV 影片播放電力測試 | 全字幕</v>
      </c>
      <c r="E5317" s="82">
        <v>44710.0</v>
      </c>
      <c r="F5317" s="80">
        <v>86.0</v>
      </c>
      <c r="G5317" s="80" t="s">
        <v>63</v>
      </c>
      <c r="H5317" s="80" t="s">
        <v>63</v>
      </c>
      <c r="I5317" s="80" t="s">
        <v>63</v>
      </c>
      <c r="J5317" s="80">
        <v>204.0</v>
      </c>
      <c r="K5317" s="80">
        <v>0.697594501718213</v>
      </c>
      <c r="L5317" s="80" t="s">
        <v>1634</v>
      </c>
    </row>
    <row r="5318">
      <c r="A5318" s="80" t="s">
        <v>2800</v>
      </c>
      <c r="B5318" s="81" t="str">
        <f>HYPERLINK("https://www.youtube.com/channel/UCMqrlsr-AECPc6_3oDr8m9w", "Unicorn 獸哥")</f>
        <v>Unicorn 獸哥</v>
      </c>
      <c r="C5318" s="80" t="s">
        <v>5777</v>
      </c>
      <c r="D5318" s="81" t="str">
        <f>HYPERLINK("https://youtube.com/watch?v=5ggBHXuPSl4", "英雄新世代 能力如路飛 Ms.Marvel 原作及角色介紹")</f>
        <v>英雄新世代 能力如路飛 Ms.Marvel 原作及角色介紹</v>
      </c>
      <c r="E5318" s="82">
        <v>44720.0</v>
      </c>
      <c r="F5318" s="80">
        <v>279.0</v>
      </c>
      <c r="G5318" s="80" t="s">
        <v>63</v>
      </c>
      <c r="I5318" s="80" t="s">
        <v>63</v>
      </c>
      <c r="J5318" s="80">
        <v>1048.0</v>
      </c>
      <c r="K5318" s="80">
        <v>0.66497461928934</v>
      </c>
      <c r="L5318" s="80" t="s">
        <v>64</v>
      </c>
    </row>
    <row r="5319">
      <c r="A5319" s="80" t="s">
        <v>755</v>
      </c>
      <c r="B5319" s="81" t="str">
        <f>HYPERLINK("https://www.youtube.com/channel/UCBiJDTc82IM68KVH873VeAw", "Live in Kwangsi廣西人·情·味")</f>
        <v>Live in Kwangsi廣西人·情·味</v>
      </c>
      <c r="C5319" s="80" t="s">
        <v>5778</v>
      </c>
      <c r="D5319" s="81" t="str">
        <f>HYPERLINK("https://youtube.com/watch?v=dgPR9MvFmyY", "東漓古村｜桂林市靈川縣｜廣西美景 20220602")</f>
        <v>東漓古村｜桂林市靈川縣｜廣西美景 20220602</v>
      </c>
      <c r="E5319" s="82">
        <v>44720.0</v>
      </c>
      <c r="F5319" s="80">
        <v>251.0</v>
      </c>
      <c r="G5319" s="80" t="s">
        <v>63</v>
      </c>
      <c r="I5319" s="80" t="s">
        <v>63</v>
      </c>
      <c r="J5319" s="80">
        <v>277.0</v>
      </c>
      <c r="K5319" s="80">
        <v>1.0</v>
      </c>
      <c r="L5319" s="80" t="s">
        <v>757</v>
      </c>
    </row>
    <row r="5320">
      <c r="A5320" s="80" t="s">
        <v>293</v>
      </c>
      <c r="B5320" s="81" t="str">
        <f>HYPERLINK("https://www.youtube.com/channel/UCXRcbXqjORdIvl63I7MtOLQ", "趁熱 Kerry 's kitchen")</f>
        <v>趁熱 Kerry 's kitchen</v>
      </c>
      <c r="C5320" s="80" t="s">
        <v>5779</v>
      </c>
      <c r="D5320" s="81" t="str">
        <f>HYPERLINK("https://youtube.com/watch?v=h7gdM5sGZNw", "無骨海南雞飯/皮爽肉嫩爆汁竅門/自制醬汁不用買/新手都做到/熟雞去骨其實好簡單/廣東話/中字")</f>
        <v>無骨海南雞飯/皮爽肉嫩爆汁竅門/自制醬汁不用買/新手都做到/熟雞去骨其實好簡單/廣東話/中字</v>
      </c>
      <c r="E5320" s="82">
        <v>44721.0</v>
      </c>
      <c r="F5320" s="80">
        <v>1067.0</v>
      </c>
      <c r="G5320" s="80" t="s">
        <v>63</v>
      </c>
      <c r="I5320" s="80" t="s">
        <v>63</v>
      </c>
      <c r="J5320" s="80">
        <v>662.0</v>
      </c>
      <c r="K5320" s="80">
        <v>0.982195845697329</v>
      </c>
      <c r="L5320" s="80" t="s">
        <v>64</v>
      </c>
    </row>
    <row r="5321">
      <c r="A5321" s="80" t="s">
        <v>755</v>
      </c>
      <c r="B5321" s="81" t="str">
        <f>HYPERLINK("https://www.youtube.com/channel/UCBiJDTc82IM68KVH873VeAw", "Live in Kwangsi廣西人·情·味")</f>
        <v>Live in Kwangsi廣西人·情·味</v>
      </c>
      <c r="C5321" s="80" t="s">
        <v>5780</v>
      </c>
      <c r="D5321" s="81" t="str">
        <f>HYPERLINK("https://youtube.com/watch?v=AB8KZAEziIA", "圭江明珠大橋及河堤夜市🚶🏻｜北流市｜廣西日常實拍 20220521")</f>
        <v>圭江明珠大橋及河堤夜市🚶🏻｜北流市｜廣西日常實拍 20220521</v>
      </c>
      <c r="E5321" s="82">
        <v>44708.0</v>
      </c>
      <c r="F5321" s="80">
        <v>1234.0</v>
      </c>
      <c r="G5321" s="80" t="s">
        <v>63</v>
      </c>
      <c r="I5321" s="80" t="s">
        <v>63</v>
      </c>
      <c r="J5321" s="80">
        <v>228.0</v>
      </c>
      <c r="K5321" s="80">
        <v>1.0</v>
      </c>
      <c r="L5321" s="80" t="s">
        <v>757</v>
      </c>
    </row>
    <row r="5322">
      <c r="A5322" s="80" t="s">
        <v>248</v>
      </c>
      <c r="B5322" s="81" t="str">
        <f>HYPERLINK("https://www.youtube.com/channel/UCUEJok-GiWaGlv5nIPwk-GQ", "Price.com.hk 香港格價網")</f>
        <v>Price.com.hk 香港格價網</v>
      </c>
      <c r="C5322" s="80" t="s">
        <v>5781</v>
      </c>
      <c r="D5322" s="81" t="str">
        <f>HYPERLINK("https://youtube.com/watch?v=KO3IGQgdHTc", "父親節網購送禮指南｜低至3折激筍貨品每日開賣｜信用卡優惠碼支付折扣｜廣東話【Price.com.hk產品介紹】")</f>
        <v>父親節網購送禮指南｜低至3折激筍貨品每日開賣｜信用卡優惠碼支付折扣｜廣東話【Price.com.hk產品介紹】</v>
      </c>
      <c r="E5322" s="82">
        <v>44722.0</v>
      </c>
      <c r="F5322" s="80">
        <v>301.0</v>
      </c>
      <c r="G5322" s="80" t="s">
        <v>63</v>
      </c>
      <c r="I5322" s="80" t="s">
        <v>63</v>
      </c>
      <c r="J5322" s="80">
        <v>1101.0</v>
      </c>
      <c r="K5322" s="80">
        <v>0.839816933638443</v>
      </c>
      <c r="L5322" s="80" t="s">
        <v>64</v>
      </c>
    </row>
    <row r="5323">
      <c r="A5323" s="80" t="s">
        <v>61</v>
      </c>
      <c r="B5323" s="81" t="str">
        <f>HYPERLINK("https://www.youtube.com/channel/UCJ4XVrJuqKHbc9yF9oUFseg", "MEeeep More")</f>
        <v>MEeeep More</v>
      </c>
      <c r="C5323" s="80" t="s">
        <v>5782</v>
      </c>
      <c r="D5323" s="81" t="str">
        <f>HYPERLINK("https://youtube.com/watch?v=ZDtvCuhLS68", "[儲值咭大戰] 中移4G MySIM $33送30日50GB vs SoSIM $50 送無限影視數據 邊張最抵玩? | cmhk 3hk 電話卡登記 實名登記制")</f>
        <v>[儲值咭大戰] 中移4G MySIM $33送30日50GB vs SoSIM $50 送無限影視數據 邊張最抵玩? | cmhk 3hk 電話卡登記 實名登記制</v>
      </c>
      <c r="E5323" s="82">
        <v>44713.0</v>
      </c>
      <c r="F5323" s="80">
        <v>162.0</v>
      </c>
      <c r="G5323" s="80" t="s">
        <v>63</v>
      </c>
      <c r="I5323" s="80" t="s">
        <v>63</v>
      </c>
      <c r="J5323" s="80">
        <v>444.0</v>
      </c>
      <c r="K5323" s="80">
        <v>0.751269035532995</v>
      </c>
      <c r="L5323" s="80" t="s">
        <v>64</v>
      </c>
    </row>
    <row r="5324">
      <c r="A5324" s="80" t="s">
        <v>293</v>
      </c>
      <c r="B5324" s="81" t="str">
        <f>HYPERLINK("https://www.youtube.com/channel/UCXRcbXqjORdIvl63I7MtOLQ", "趁熱 Kerry 's kitchen")</f>
        <v>趁熱 Kerry 's kitchen</v>
      </c>
      <c r="C5324" s="80" t="s">
        <v>5783</v>
      </c>
      <c r="D5324" s="81" t="str">
        <f>HYPERLINK("https://youtube.com/watch?v=DwJvuDobFRo", "如何在家煎不乾柴多汁的雞胸/雞胸的兩種做法/煎 瑞士汁浸/十幾分鐘攪掂/收工做都得/新手 入門/廣東話/中字 juicy chichen breast /")</f>
        <v>如何在家煎不乾柴多汁的雞胸/雞胸的兩種做法/煎 瑞士汁浸/十幾分鐘攪掂/收工做都得/新手 入門/廣東話/中字 juicy chichen breast /</v>
      </c>
      <c r="E5324" s="82">
        <v>44713.0</v>
      </c>
      <c r="F5324" s="80">
        <v>590.0</v>
      </c>
      <c r="G5324" s="80" t="s">
        <v>63</v>
      </c>
      <c r="I5324" s="80" t="s">
        <v>63</v>
      </c>
      <c r="J5324" s="80">
        <v>671.0</v>
      </c>
      <c r="K5324" s="80">
        <v>0.983870967741935</v>
      </c>
      <c r="L5324" s="80" t="s">
        <v>64</v>
      </c>
    </row>
    <row r="5325">
      <c r="A5325" s="80" t="s">
        <v>755</v>
      </c>
      <c r="B5325" s="81" t="str">
        <f>HYPERLINK("https://www.youtube.com/channel/UCBiJDTc82IM68KVH873VeAw", "Live in Kwangsi廣西人·情·味")</f>
        <v>Live in Kwangsi廣西人·情·味</v>
      </c>
      <c r="C5325" s="80" t="s">
        <v>5784</v>
      </c>
      <c r="D5325" s="81" t="str">
        <f>HYPERLINK("https://youtube.com/watch?v=XCRrl46oFTk", "桃花島｜桂林市靈川縣｜廣西美景 20220602")</f>
        <v>桃花島｜桂林市靈川縣｜廣西美景 20220602</v>
      </c>
      <c r="E5325" s="82">
        <v>44721.0</v>
      </c>
      <c r="F5325" s="80">
        <v>149.0</v>
      </c>
      <c r="G5325" s="80" t="s">
        <v>63</v>
      </c>
      <c r="I5325" s="80" t="s">
        <v>63</v>
      </c>
      <c r="J5325" s="80">
        <v>263.0</v>
      </c>
      <c r="K5325" s="80">
        <v>1.0</v>
      </c>
      <c r="L5325" s="80" t="s">
        <v>757</v>
      </c>
    </row>
    <row r="5326">
      <c r="A5326" s="80" t="s">
        <v>248</v>
      </c>
      <c r="B5326" s="81" t="str">
        <f>HYPERLINK("https://www.youtube.com/channel/UCUEJok-GiWaGlv5nIPwk-GQ", "Price.com.hk 香港格價網")</f>
        <v>Price.com.hk 香港格價網</v>
      </c>
      <c r="C5326" s="80" t="s">
        <v>5785</v>
      </c>
      <c r="D5326" s="81" t="str">
        <f>HYPERLINK("https://youtube.com/watch?v=AILQIsFVPYA", "Apple WWDC 6月7日舉行．NVIDIA 與 ASUS 合作推出 500Hz 電競螢幕．小型無人機令6月1日生效 | 廣東話【Price Weekly #116 2022年5月】")</f>
        <v>Apple WWDC 6月7日舉行．NVIDIA 與 ASUS 合作推出 500Hz 電競螢幕．小型無人機令6月1日生效 | 廣東話【Price Weekly #116 2022年5月】</v>
      </c>
      <c r="E5326" s="82">
        <v>44709.0</v>
      </c>
      <c r="F5326" s="80">
        <v>516.0</v>
      </c>
      <c r="G5326" s="80" t="s">
        <v>63</v>
      </c>
      <c r="I5326" s="80" t="s">
        <v>63</v>
      </c>
      <c r="J5326" s="80">
        <v>1667.0</v>
      </c>
      <c r="K5326" s="80">
        <v>0.716680997420464</v>
      </c>
      <c r="L5326" s="80" t="s">
        <v>64</v>
      </c>
    </row>
    <row r="5327">
      <c r="A5327" s="80" t="s">
        <v>293</v>
      </c>
      <c r="B5327" s="81" t="str">
        <f>HYPERLINK("https://www.youtube.com/channel/UCXRcbXqjORdIvl63I7MtOLQ", "趁熱 Kerry 's kitchen")</f>
        <v>趁熱 Kerry 's kitchen</v>
      </c>
      <c r="C5327" s="80" t="s">
        <v>5786</v>
      </c>
      <c r="D5327" s="81" t="str">
        <f>HYPERLINK("https://youtube.com/watch?v=9DXKo7O8gio", "打冷菜/韭菜豬紅/在家做很容易/低成本/堅惹味/收工做都得/新手 入門/廣東話/中字")</f>
        <v>打冷菜/韭菜豬紅/在家做很容易/低成本/堅惹味/收工做都得/新手 入門/廣東話/中字</v>
      </c>
      <c r="E5327" s="82">
        <v>44711.0</v>
      </c>
      <c r="F5327" s="80">
        <v>568.0</v>
      </c>
      <c r="G5327" s="80" t="s">
        <v>63</v>
      </c>
      <c r="I5327" s="80" t="s">
        <v>63</v>
      </c>
      <c r="J5327" s="80">
        <v>714.0</v>
      </c>
      <c r="K5327" s="80">
        <v>0.976744186046511</v>
      </c>
      <c r="L5327" s="80" t="s">
        <v>64</v>
      </c>
    </row>
    <row r="5328">
      <c r="A5328" s="80" t="s">
        <v>5027</v>
      </c>
      <c r="B5328" s="81" t="str">
        <f>HYPERLINK("https://www.youtube.com/channel/UCZgs3pLaFisZ-TKVOwFEe8Q", "嘉芙姐姐 - 兒歌童謠 - 故事動畫 - Miss Ka Foo Kids Channel")</f>
        <v>嘉芙姐姐 - 兒歌童謠 - 故事動畫 - Miss Ka Foo Kids Channel</v>
      </c>
      <c r="C5328" s="80" t="s">
        <v>5787</v>
      </c>
      <c r="D5328" s="81" t="str">
        <f>HYPERLINK("https://youtube.com/watch?v=j22P5m4Po9o", "我愛遊樂場 | 認識兒童遊樂場公園設施 | 幼稚園中文粵語兒歌 | 嘉芙姐姐廣東話兒歌")</f>
        <v>我愛遊樂場 | 認識兒童遊樂場公園設施 | 幼稚園中文粵語兒歌 | 嘉芙姐姐廣東話兒歌</v>
      </c>
      <c r="E5328" s="82">
        <v>44718.0</v>
      </c>
      <c r="F5328" s="80">
        <v>138.0</v>
      </c>
      <c r="G5328" s="80" t="s">
        <v>63</v>
      </c>
      <c r="I5328" s="80" t="s">
        <v>63</v>
      </c>
      <c r="J5328" s="80">
        <v>118.0</v>
      </c>
      <c r="K5328" s="80">
        <v>1.0</v>
      </c>
      <c r="L5328" s="80" t="s">
        <v>91</v>
      </c>
    </row>
    <row r="5329">
      <c r="A5329" s="80" t="s">
        <v>2041</v>
      </c>
      <c r="B5329" s="81" t="str">
        <f>HYPERLINK("https://www.youtube.com/channel/UCO6pB-ZN4XJ6MVkibvuEe0A", "SingSingTracker 星昇財經指標")</f>
        <v>SingSingTracker 星昇財經指標</v>
      </c>
      <c r="C5329" s="80" t="s">
        <v>5788</v>
      </c>
      <c r="D5329" s="81" t="str">
        <f>HYPERLINK("https://youtube.com/watch?v=XEkiAbRLpD8", "【提早退休!不能錯過的5隻高息美股】")</f>
        <v>【提早退休!不能錯過的5隻高息美股】</v>
      </c>
      <c r="E5329" s="82">
        <v>44712.0</v>
      </c>
      <c r="F5329" s="80">
        <v>226.0</v>
      </c>
      <c r="G5329" s="80" t="s">
        <v>63</v>
      </c>
      <c r="I5329" s="80" t="s">
        <v>63</v>
      </c>
      <c r="J5329" s="80">
        <v>894.0</v>
      </c>
      <c r="K5329" s="80">
        <v>0.946031746031746</v>
      </c>
      <c r="L5329" s="80" t="s">
        <v>91</v>
      </c>
    </row>
    <row r="5330">
      <c r="A5330" s="80" t="s">
        <v>293</v>
      </c>
      <c r="B5330" s="81" t="str">
        <f>HYPERLINK("https://www.youtube.com/channel/UCXRcbXqjORdIvl63I7MtOLQ", "趁熱 Kerry 's kitchen")</f>
        <v>趁熱 Kerry 's kitchen</v>
      </c>
      <c r="C5330" s="80" t="s">
        <v>5789</v>
      </c>
      <c r="D5330" s="81" t="str">
        <f>HYPERLINK("https://youtube.com/watch?v=Zg6H-11PHb0", "薯仔炆雞翼/薯仔軟雞翼滑/入門家常菜/平平地  超簡單 味濃/唔知煮乜就煮佢/廣東話/中字")</f>
        <v>薯仔炆雞翼/薯仔軟雞翼滑/入門家常菜/平平地  超簡單 味濃/唔知煮乜就煮佢/廣東話/中字</v>
      </c>
      <c r="E5330" s="82">
        <v>44708.0</v>
      </c>
      <c r="F5330" s="80">
        <v>502.0</v>
      </c>
      <c r="G5330" s="80" t="s">
        <v>63</v>
      </c>
      <c r="I5330" s="80" t="s">
        <v>63</v>
      </c>
      <c r="J5330" s="80">
        <v>545.0</v>
      </c>
      <c r="K5330" s="80">
        <v>0.971479500891265</v>
      </c>
      <c r="L5330" s="80" t="s">
        <v>64</v>
      </c>
    </row>
    <row r="5331">
      <c r="A5331" s="80" t="s">
        <v>755</v>
      </c>
      <c r="B5331" s="81" t="str">
        <f>HYPERLINK("https://www.youtube.com/channel/UCBiJDTc82IM68KVH873VeAw", "Live in Kwangsi廣西人·情·味")</f>
        <v>Live in Kwangsi廣西人·情·味</v>
      </c>
      <c r="C5331" s="80" t="s">
        <v>5790</v>
      </c>
      <c r="D5331" s="81" t="str">
        <f>HYPERLINK("https://youtube.com/watch?v=QX6Hv2EvWQs", "端午喺東西巷🚶🏻行夜街食嘢｜桂林市｜廣西日常實拍 20220603")</f>
        <v>端午喺東西巷🚶🏻行夜街食嘢｜桂林市｜廣西日常實拍 20220603</v>
      </c>
      <c r="E5331" s="82">
        <v>44716.0</v>
      </c>
      <c r="F5331" s="80">
        <v>1562.0</v>
      </c>
      <c r="G5331" s="80" t="s">
        <v>63</v>
      </c>
      <c r="I5331" s="80" t="s">
        <v>63</v>
      </c>
      <c r="J5331" s="80">
        <v>775.0</v>
      </c>
      <c r="K5331" s="80">
        <v>0.983502538071066</v>
      </c>
      <c r="L5331" s="80" t="s">
        <v>757</v>
      </c>
    </row>
    <row r="5332">
      <c r="A5332" s="80" t="s">
        <v>260</v>
      </c>
      <c r="B5332" s="81" t="str">
        <f>HYPERLINK("https://www.youtube.com/channel/UC-HXOikkLx7BGEfILGIpYOg", "港短 . 英移")</f>
        <v>港短 . 英移</v>
      </c>
      <c r="C5332" s="80" t="s">
        <v>5791</v>
      </c>
      <c r="D5332" s="81" t="str">
        <f>HYPERLINK("https://youtube.com/watch?v=9WST58SEkHY", "點解人地得 我唔得? | 港短.英移 #英國人物 #英國首富")</f>
        <v>點解人地得 我唔得? | 港短.英移 #英國人物 #英國首富</v>
      </c>
      <c r="E5332" s="82">
        <v>44645.0</v>
      </c>
      <c r="F5332" s="80">
        <v>456.0</v>
      </c>
      <c r="G5332" s="80" t="s">
        <v>63</v>
      </c>
      <c r="I5332" s="80" t="s">
        <v>63</v>
      </c>
      <c r="J5332" s="80">
        <v>1176.0</v>
      </c>
      <c r="K5332" s="80">
        <v>0.976744186046511</v>
      </c>
      <c r="L5332" s="80" t="s">
        <v>102</v>
      </c>
    </row>
    <row r="5333">
      <c r="A5333" s="80" t="s">
        <v>248</v>
      </c>
      <c r="B5333" s="81" t="str">
        <f>HYPERLINK("https://www.youtube.com/channel/UCUEJok-GiWaGlv5nIPwk-GQ", "Price.com.hk 香港格價網")</f>
        <v>Price.com.hk 香港格價網</v>
      </c>
      <c r="C5333" s="80" t="s">
        <v>5792</v>
      </c>
      <c r="D5333" s="81" t="str">
        <f>HYPERLINK("https://youtube.com/watch?v=VqX2UxBcTeI", "M2 MacBook Air/Pro登場 效能比M1勁18%！iOS 16大玩鎖定畫面｜macOS Ventura、iPadOS 16、watchOS 9【Apple WWDC 2022 懶人包】")</f>
        <v>M2 MacBook Air/Pro登場 效能比M1勁18%！iOS 16大玩鎖定畫面｜macOS Ventura、iPadOS 16、watchOS 9【Apple WWDC 2022 懶人包】</v>
      </c>
      <c r="E5333" s="82">
        <v>44718.0</v>
      </c>
      <c r="F5333" s="80">
        <v>342.0</v>
      </c>
      <c r="G5333" s="80" t="s">
        <v>63</v>
      </c>
      <c r="I5333" s="80" t="s">
        <v>63</v>
      </c>
      <c r="J5333" s="80">
        <v>1171.0</v>
      </c>
      <c r="K5333" s="80">
        <v>0.627545551982851</v>
      </c>
      <c r="L5333" s="80" t="s">
        <v>64</v>
      </c>
    </row>
    <row r="5334">
      <c r="A5334" s="80" t="s">
        <v>755</v>
      </c>
      <c r="B5334" s="81" t="str">
        <f>HYPERLINK("https://www.youtube.com/channel/UCBiJDTc82IM68KVH873VeAw", "Live in Kwangsi廣西人·情·味")</f>
        <v>Live in Kwangsi廣西人·情·味</v>
      </c>
      <c r="C5334" s="80" t="s">
        <v>5793</v>
      </c>
      <c r="D5334" s="81" t="str">
        <f>HYPERLINK("https://youtube.com/watch?v=P6h_ZSnyJu4", "五彩田園本草健康小鎮水街｜玉林市｜廣西美景 20220521")</f>
        <v>五彩田園本草健康小鎮水街｜玉林市｜廣西美景 20220521</v>
      </c>
      <c r="E5334" s="82">
        <v>44714.0</v>
      </c>
      <c r="F5334" s="80">
        <v>245.0</v>
      </c>
      <c r="G5334" s="80" t="s">
        <v>63</v>
      </c>
      <c r="I5334" s="80" t="s">
        <v>63</v>
      </c>
      <c r="J5334" s="80">
        <v>442.0</v>
      </c>
      <c r="K5334" s="80">
        <v>0.997742663656884</v>
      </c>
      <c r="L5334" s="80" t="s">
        <v>757</v>
      </c>
    </row>
    <row r="5335">
      <c r="A5335" s="80" t="s">
        <v>293</v>
      </c>
      <c r="B5335" s="81" t="str">
        <f t="shared" ref="B5335:B5336" si="288">HYPERLINK("https://www.youtube.com/channel/UCXRcbXqjORdIvl63I7MtOLQ", "趁熱 Kerry 's kitchen")</f>
        <v>趁熱 Kerry 's kitchen</v>
      </c>
      <c r="C5335" s="80" t="s">
        <v>5794</v>
      </c>
      <c r="D5335" s="81" t="str">
        <f>HYPERLINK("https://youtube.com/watch?v=wuN_8jFyF9c", "[黃標]海南雞飯/皮爽肉嫩爆汁竅門/自制醬汁不用買/新手都做到/熟雞去骨其實好簡單/廣東話/中字")</f>
        <v>[黃標]海南雞飯/皮爽肉嫩爆汁竅門/自制醬汁不用買/新手都做到/熟雞去骨其實好簡單/廣東話/中字</v>
      </c>
      <c r="E5335" s="82">
        <v>44718.0</v>
      </c>
      <c r="F5335" s="80">
        <v>1123.0</v>
      </c>
      <c r="G5335" s="80" t="s">
        <v>63</v>
      </c>
      <c r="I5335" s="80" t="s">
        <v>63</v>
      </c>
      <c r="J5335" s="80">
        <v>662.0</v>
      </c>
      <c r="K5335" s="80">
        <v>0.982195845697329</v>
      </c>
      <c r="L5335" s="80" t="s">
        <v>64</v>
      </c>
    </row>
    <row r="5336">
      <c r="A5336" s="80" t="s">
        <v>293</v>
      </c>
      <c r="B5336" s="81" t="str">
        <f t="shared" si="288"/>
        <v>趁熱 Kerry 's kitchen</v>
      </c>
      <c r="C5336" s="80" t="s">
        <v>5795</v>
      </c>
      <c r="D5336" s="81" t="str">
        <f>HYPERLINK("https://youtube.com/watch?v=veH-dElAV3E", "京都豬扒/豬排/不用炸/天然方法醃腍滑多汁豬扒方法/新手都做到/簡單設備/廣東話/中字")</f>
        <v>京都豬扒/豬排/不用炸/天然方法醃腍滑多汁豬扒方法/新手都做到/簡單設備/廣東話/中字</v>
      </c>
      <c r="E5336" s="82">
        <v>44722.0</v>
      </c>
      <c r="F5336" s="80">
        <v>590.0</v>
      </c>
      <c r="G5336" s="80" t="s">
        <v>63</v>
      </c>
      <c r="I5336" s="80" t="s">
        <v>63</v>
      </c>
      <c r="J5336" s="80">
        <v>798.0</v>
      </c>
      <c r="K5336" s="80">
        <v>0.970802919708029</v>
      </c>
      <c r="L5336" s="80" t="s">
        <v>64</v>
      </c>
    </row>
    <row r="5337">
      <c r="A5337" s="80" t="s">
        <v>124</v>
      </c>
      <c r="B5337" s="81" t="str">
        <f>HYPERLINK("https://www.youtube.com/channel/UCg0vuSE0fBF_NvodyYhMcWg", "Wallace Studio HK")</f>
        <v>Wallace Studio HK</v>
      </c>
      <c r="C5337" s="80" t="s">
        <v>5796</v>
      </c>
      <c r="D5337" s="81" t="str">
        <f>HYPERLINK("https://youtube.com/watch?v=Y_0REplsi4A", "Samsung Galaxy Tab S8 vs Tab S8+ vs Tab S8 Ultra! 揀邊部好？？")</f>
        <v>Samsung Galaxy Tab S8 vs Tab S8+ vs Tab S8 Ultra! 揀邊部好？？</v>
      </c>
      <c r="E5337" s="82">
        <v>44717.0</v>
      </c>
      <c r="F5337" s="80">
        <v>635.0</v>
      </c>
      <c r="G5337" s="80" t="s">
        <v>63</v>
      </c>
      <c r="H5337" s="80" t="s">
        <v>63</v>
      </c>
      <c r="I5337" s="80" t="s">
        <v>63</v>
      </c>
      <c r="J5337" s="80">
        <v>2352.0</v>
      </c>
      <c r="K5337" s="80">
        <v>0.726150046310589</v>
      </c>
      <c r="L5337" s="80" t="s">
        <v>86</v>
      </c>
    </row>
    <row r="5338">
      <c r="A5338" s="80" t="s">
        <v>2041</v>
      </c>
      <c r="B5338" s="81" t="str">
        <f>HYPERLINK("https://www.youtube.com/channel/UCO6pB-ZN4XJ6MVkibvuEe0A", "SingSingTracker 星昇財經指標")</f>
        <v>SingSingTracker 星昇財經指標</v>
      </c>
      <c r="C5338" s="80" t="s">
        <v>5797</v>
      </c>
      <c r="D5338" s="81" t="str">
        <f>HYPERLINK("https://youtube.com/watch?v=ERT6x8RBCEw", "【假如巴菲特不幸離世...】")</f>
        <v>【假如巴菲特不幸離世...】</v>
      </c>
      <c r="E5338" s="82">
        <v>44719.0</v>
      </c>
      <c r="F5338" s="80">
        <v>199.0</v>
      </c>
      <c r="G5338" s="80" t="s">
        <v>63</v>
      </c>
      <c r="I5338" s="80" t="s">
        <v>63</v>
      </c>
      <c r="J5338" s="80">
        <v>1083.0</v>
      </c>
      <c r="K5338" s="80">
        <v>0.993577981651376</v>
      </c>
      <c r="L5338" s="80" t="s">
        <v>64</v>
      </c>
    </row>
    <row r="5339">
      <c r="A5339" s="80" t="s">
        <v>1260</v>
      </c>
      <c r="B5339" s="81" t="str">
        <f>HYPERLINK("https://www.youtube.com/channel/UCh1k4i86BpiXEO3nzJIYynw", "The Wave")</f>
        <v>The Wave</v>
      </c>
      <c r="C5339" s="80" t="s">
        <v>5798</v>
      </c>
      <c r="D5339" s="81" t="str">
        <f>HYPERLINK("https://youtube.com/watch?v=bOWXuHgOFY8", "TheWave | Xperia 1 IV 充電測試 | USB PD 30W")</f>
        <v>TheWave | Xperia 1 IV 充電測試 | USB PD 30W</v>
      </c>
      <c r="E5339" s="82">
        <v>44709.0</v>
      </c>
      <c r="F5339" s="80">
        <v>73.0</v>
      </c>
      <c r="G5339" s="80" t="s">
        <v>63</v>
      </c>
      <c r="H5339" s="80" t="s">
        <v>63</v>
      </c>
      <c r="I5339" s="80" t="s">
        <v>63</v>
      </c>
      <c r="J5339" s="80">
        <v>212.0</v>
      </c>
      <c r="K5339" s="80">
        <v>0.790076335877862</v>
      </c>
      <c r="L5339" s="80" t="s">
        <v>1634</v>
      </c>
    </row>
    <row r="5340">
      <c r="A5340" s="80" t="s">
        <v>2519</v>
      </c>
      <c r="B5340" s="81" t="str">
        <f>HYPERLINK("https://www.youtube.com/channel/UCRaC6ToPRzGZT5nGgz9vzGw", "C90s 港仔音樂")</f>
        <v>C90s 港仔音樂</v>
      </c>
      <c r="C5340" s="80" t="s">
        <v>5799</v>
      </c>
      <c r="D5340" s="81" t="str">
        <f>HYPERLINK("https://youtube.com/watch?v=d_4mTOwg20A", "黃明志 Namewee  (Feat. 盧巧音 Candy Lo) - 唱廣東歌 [歌詞同步/粵拼字幕]")</f>
        <v>黃明志 Namewee  (Feat. 盧巧音 Candy Lo) - 唱廣東歌 [歌詞同步/粵拼字幕]</v>
      </c>
      <c r="E5340" s="82">
        <v>44716.0</v>
      </c>
      <c r="F5340" s="80">
        <v>219.0</v>
      </c>
      <c r="G5340" s="80" t="s">
        <v>63</v>
      </c>
      <c r="I5340" s="80" t="s">
        <v>63</v>
      </c>
      <c r="J5340" s="80">
        <v>627.0</v>
      </c>
      <c r="K5340" s="80">
        <v>0.224731182795698</v>
      </c>
      <c r="L5340" s="80" t="s">
        <v>64</v>
      </c>
    </row>
    <row r="5341">
      <c r="A5341" s="80" t="s">
        <v>1260</v>
      </c>
      <c r="B5341" s="81" t="str">
        <f>HYPERLINK("https://www.youtube.com/channel/UCh1k4i86BpiXEO3nzJIYynw", "The Wave")</f>
        <v>The Wave</v>
      </c>
      <c r="C5341" s="80" t="s">
        <v>5800</v>
      </c>
      <c r="D5341" s="81" t="str">
        <f>HYPERLINK("https://youtube.com/watch?v=FFu66OGnmk0", "TheWave | Xperia 1 IV 過熱警告+顯示屏亮度測試 | 全字幕")</f>
        <v>TheWave | Xperia 1 IV 過熱警告+顯示屏亮度測試 | 全字幕</v>
      </c>
      <c r="E5341" s="82">
        <v>44711.0</v>
      </c>
      <c r="F5341" s="80">
        <v>83.0</v>
      </c>
      <c r="G5341" s="80" t="s">
        <v>63</v>
      </c>
      <c r="H5341" s="80" t="s">
        <v>63</v>
      </c>
      <c r="I5341" s="80" t="s">
        <v>63</v>
      </c>
      <c r="J5341" s="80">
        <v>267.0</v>
      </c>
      <c r="K5341" s="80">
        <v>0.769679300291545</v>
      </c>
      <c r="L5341" s="80" t="s">
        <v>1634</v>
      </c>
    </row>
    <row r="5342">
      <c r="A5342" s="80" t="s">
        <v>755</v>
      </c>
      <c r="B5342" s="81" t="str">
        <f>HYPERLINK("https://www.youtube.com/channel/UCBiJDTc82IM68KVH873VeAw", "Live in Kwangsi廣西人·情·味")</f>
        <v>Live in Kwangsi廣西人·情·味</v>
      </c>
      <c r="C5342" s="80" t="s">
        <v>5801</v>
      </c>
      <c r="D5342" s="81" t="str">
        <f>HYPERLINK("https://youtube.com/watch?v=l-j7zOje3Sw", "會仙河公園｜北流市｜廣西美景 20220521")</f>
        <v>會仙河公園｜北流市｜廣西美景 20220521</v>
      </c>
      <c r="E5342" s="82">
        <v>44713.0</v>
      </c>
      <c r="F5342" s="80">
        <v>396.0</v>
      </c>
      <c r="G5342" s="80" t="s">
        <v>63</v>
      </c>
      <c r="I5342" s="80" t="s">
        <v>63</v>
      </c>
      <c r="J5342" s="80">
        <v>412.0</v>
      </c>
      <c r="K5342" s="80">
        <v>0.985645933014354</v>
      </c>
      <c r="L5342" s="80" t="s">
        <v>757</v>
      </c>
    </row>
    <row r="5343">
      <c r="A5343" s="80" t="s">
        <v>124</v>
      </c>
      <c r="B5343" s="81" t="str">
        <f>HYPERLINK("https://www.youtube.com/channel/UCg0vuSE0fBF_NvodyYhMcWg", "Wallace Studio HK")</f>
        <v>Wallace Studio HK</v>
      </c>
      <c r="C5343" s="80" t="s">
        <v>5802</v>
      </c>
      <c r="D5343" s="81" t="str">
        <f>HYPERLINK("https://youtube.com/watch?v=zMA9N18mdPw", "Apple WWDC 2022 發佈會亮點分析! MacBook Air / Pro  M2 , MacOS, iPad OS, WatchOS (懶人包)")</f>
        <v>Apple WWDC 2022 發佈會亮點分析! MacBook Air / Pro  M2 , MacOS, iPad OS, WatchOS (懶人包)</v>
      </c>
      <c r="E5343" s="82">
        <v>44721.0</v>
      </c>
      <c r="F5343" s="80">
        <v>568.0</v>
      </c>
      <c r="G5343" s="80" t="s">
        <v>63</v>
      </c>
      <c r="I5343" s="80" t="s">
        <v>63</v>
      </c>
      <c r="J5343" s="80">
        <v>2240.0</v>
      </c>
      <c r="K5343" s="80">
        <v>0.759837177747625</v>
      </c>
      <c r="L5343" s="80" t="s">
        <v>64</v>
      </c>
    </row>
    <row r="5344">
      <c r="A5344" s="80" t="s">
        <v>248</v>
      </c>
      <c r="B5344" s="81" t="str">
        <f t="shared" ref="B5344:B5346" si="289">HYPERLINK("https://www.youtube.com/channel/UCUEJok-GiWaGlv5nIPwk-GQ", "Price.com.hk 香港格價網")</f>
        <v>Price.com.hk 香港格價網</v>
      </c>
      <c r="C5344" s="80" t="s">
        <v>5803</v>
      </c>
      <c r="D5344" s="81" t="str">
        <f>HYPERLINK("https://youtube.com/watch?v=8g3uu5UNRRI", "最細OLED電視  42吋LG OLED evo C2電視開箱實試 ｜蝸居必備｜Smart TV｜電視評測｜廣東話｜特約專題【Price.com.hk產品評測】")</f>
        <v>最細OLED電視  42吋LG OLED evo C2電視開箱實試 ｜蝸居必備｜Smart TV｜電視評測｜廣東話｜特約專題【Price.com.hk產品評測】</v>
      </c>
      <c r="E5344" s="82">
        <v>44717.0</v>
      </c>
      <c r="F5344" s="80">
        <v>403.0</v>
      </c>
      <c r="G5344" s="80" t="s">
        <v>63</v>
      </c>
      <c r="I5344" s="80" t="s">
        <v>63</v>
      </c>
      <c r="J5344" s="80">
        <v>1251.0</v>
      </c>
      <c r="K5344" s="80">
        <v>0.716494845360824</v>
      </c>
      <c r="L5344" s="80" t="s">
        <v>64</v>
      </c>
    </row>
    <row r="5345">
      <c r="A5345" s="80" t="s">
        <v>248</v>
      </c>
      <c r="B5345" s="81" t="str">
        <f t="shared" si="289"/>
        <v>Price.com.hk 香港格價網</v>
      </c>
      <c r="C5345" s="80" t="s">
        <v>5804</v>
      </c>
      <c r="D5345" s="81" t="str">
        <f>HYPERLINK("https://youtube.com/watch?v=wwD5MV-IqQc", "全港首發 6GHz 開通｜搶先實測Wi-Fi 6E AXE5400 Mesh ︳TP-Link Deco XE75 開箱介紹｜片尾有GIVEAWAY｜特約專題")</f>
        <v>全港首發 6GHz 開通｜搶先實測Wi-Fi 6E AXE5400 Mesh ︳TP-Link Deco XE75 開箱介紹｜片尾有GIVEAWAY｜特約專題</v>
      </c>
      <c r="E5345" s="82">
        <v>44712.0</v>
      </c>
      <c r="F5345" s="80">
        <v>509.0</v>
      </c>
      <c r="G5345" s="80" t="s">
        <v>63</v>
      </c>
      <c r="I5345" s="80" t="s">
        <v>63</v>
      </c>
      <c r="J5345" s="80">
        <v>1479.0</v>
      </c>
      <c r="K5345" s="80">
        <v>0.578864970645792</v>
      </c>
      <c r="L5345" s="80" t="s">
        <v>64</v>
      </c>
    </row>
    <row r="5346">
      <c r="A5346" s="80" t="s">
        <v>248</v>
      </c>
      <c r="B5346" s="81" t="str">
        <f t="shared" si="289"/>
        <v>Price.com.hk 香港格價網</v>
      </c>
      <c r="C5346" s="80" t="s">
        <v>5805</v>
      </c>
      <c r="D5346" s="81" t="str">
        <f>HYPERLINK("https://youtube.com/watch?v=3G2Ksn1QbUI", "iPhone 14新設計 感嘆號打窿MON．Dyson傳推出掃地機器人．Google地圖 公佈港人熱門搜尋街景| 廣東話【Price Weekly #117 2022年6月】")</f>
        <v>iPhone 14新設計 感嘆號打窿MON．Dyson傳推出掃地機器人．Google地圖 公佈港人熱門搜尋街景| 廣東話【Price Weekly #117 2022年6月】</v>
      </c>
      <c r="E5346" s="82">
        <v>44715.0</v>
      </c>
      <c r="F5346" s="80">
        <v>550.0</v>
      </c>
      <c r="G5346" s="80" t="s">
        <v>63</v>
      </c>
      <c r="I5346" s="80" t="s">
        <v>63</v>
      </c>
      <c r="J5346" s="80">
        <v>1914.0</v>
      </c>
      <c r="K5346" s="80">
        <v>0.74765625</v>
      </c>
      <c r="L5346" s="80" t="s">
        <v>64</v>
      </c>
    </row>
    <row r="5347">
      <c r="A5347" s="80" t="s">
        <v>2780</v>
      </c>
      <c r="B5347" s="81" t="str">
        <f>HYPERLINK("https://www.youtube.com/channel/UC0CojhLcc0VESgaG633m5kA", "RainErs")</f>
        <v>RainErs</v>
      </c>
      <c r="C5347" s="80" t="s">
        <v>5806</v>
      </c>
      <c r="D5347" s="81" t="str">
        <f>HYPERLINK("https://youtube.com/watch?v=_IrmchymgS0", "【中環大館🏰】---香港唯一擁有最大英式古蹟嘅地方🧱⁉️//差點行到蕩失路❓//強烈建議一定要去一次❕❕[有CC字幕]")</f>
        <v>【中環大館🏰】---香港唯一擁有最大英式古蹟嘅地方🧱⁉️//差點行到蕩失路❓//強烈建議一定要去一次❕❕[有CC字幕]</v>
      </c>
      <c r="E5347" s="82">
        <v>44713.0</v>
      </c>
      <c r="F5347" s="80">
        <v>439.0</v>
      </c>
      <c r="G5347" s="80" t="s">
        <v>63</v>
      </c>
      <c r="I5347" s="80" t="s">
        <v>63</v>
      </c>
      <c r="J5347" s="80">
        <v>1664.0</v>
      </c>
      <c r="K5347" s="80">
        <v>0.947068867387592</v>
      </c>
      <c r="L5347" s="80" t="s">
        <v>64</v>
      </c>
    </row>
    <row r="5348">
      <c r="A5348" s="80" t="s">
        <v>217</v>
      </c>
      <c r="B5348" s="81" t="str">
        <f>HYPERLINK("https://www.youtube.com/channel/UCXKg0qPRz32bs5Z4mTGF3TQ", "Stormtrooper白兵")</f>
        <v>Stormtrooper白兵</v>
      </c>
      <c r="C5348" s="80" t="s">
        <v>5807</v>
      </c>
      <c r="D5348" s="81" t="str">
        <f>HYPERLINK("https://youtube.com/watch?v=rBHT8a5fUyY", "[定期玩命]踢爆世衛的《全球流行病約章》｜下次大流行，全球執行上海式封城｜移民都冇用｜世衛去旅行洗錢多過救人？｜社會信用系統全球化｜碳排放｜氣候變化｜中央銀行數碼貨幣｜粵語中字")</f>
        <v>[定期玩命]踢爆世衛的《全球流行病約章》｜下次大流行，全球執行上海式封城｜移民都冇用｜世衛去旅行洗錢多過救人？｜社會信用系統全球化｜碳排放｜氣候變化｜中央銀行數碼貨幣｜粵語中字</v>
      </c>
      <c r="E5348" s="82">
        <v>44714.0</v>
      </c>
      <c r="F5348" s="80">
        <v>1171.0</v>
      </c>
      <c r="G5348" s="80" t="s">
        <v>63</v>
      </c>
      <c r="I5348" s="80" t="s">
        <v>63</v>
      </c>
      <c r="J5348" s="80">
        <v>4042.0</v>
      </c>
      <c r="K5348" s="80">
        <v>0.885238720981165</v>
      </c>
      <c r="L5348" s="80" t="s">
        <v>64</v>
      </c>
    </row>
    <row r="5349">
      <c r="A5349" s="80" t="s">
        <v>260</v>
      </c>
      <c r="B5349" s="81" t="str">
        <f>HYPERLINK("https://www.youtube.com/channel/UC-HXOikkLx7BGEfILGIpYOg", "港短 . 英移")</f>
        <v>港短 . 英移</v>
      </c>
      <c r="C5349" s="80" t="s">
        <v>5808</v>
      </c>
      <c r="D5349" s="81" t="str">
        <f>HYPERLINK("https://youtube.com/watch?v=cmyPJhoymH8", "我做少3樣野 英文終於有起色 | 我學英文既3大錯誤 |港短.英移 #學英文方法 #學英文注意 #英文口語")</f>
        <v>我做少3樣野 英文終於有起色 | 我學英文既3大錯誤 |港短.英移 #學英文方法 #學英文注意 #英文口語</v>
      </c>
      <c r="E5349" s="82">
        <v>44722.0</v>
      </c>
      <c r="F5349" s="80">
        <v>419.0</v>
      </c>
      <c r="G5349" s="80" t="s">
        <v>63</v>
      </c>
      <c r="I5349" s="80" t="s">
        <v>63</v>
      </c>
      <c r="J5349" s="80">
        <v>1404.0</v>
      </c>
      <c r="K5349" s="80">
        <v>0.749599572877736</v>
      </c>
      <c r="L5349" s="80" t="s">
        <v>102</v>
      </c>
    </row>
    <row r="5350">
      <c r="A5350" s="80" t="s">
        <v>217</v>
      </c>
      <c r="B5350" s="81" t="str">
        <f>HYPERLINK("https://www.youtube.com/channel/UCXKg0qPRz32bs5Z4mTGF3TQ", "Stormtrooper白兵")</f>
        <v>Stormtrooper白兵</v>
      </c>
      <c r="C5350" s="80" t="s">
        <v>5809</v>
      </c>
      <c r="D5350" s="81" t="str">
        <f>HYPERLINK("https://youtube.com/watch?v=MviTMe75fBQ", "[1萬5千字專題]由以物易物，講到硬幣、紙幣出現，再到全球金融以及加密貨幣的出現｜粵語中字")</f>
        <v>[1萬5千字專題]由以物易物，講到硬幣、紙幣出現，再到全球金融以及加密貨幣的出現｜粵語中字</v>
      </c>
      <c r="E5350" s="82">
        <v>44712.0</v>
      </c>
      <c r="F5350" s="80">
        <v>4153.0</v>
      </c>
      <c r="G5350" s="80" t="s">
        <v>63</v>
      </c>
      <c r="I5350" s="80" t="s">
        <v>63</v>
      </c>
      <c r="J5350" s="80">
        <v>15739.0</v>
      </c>
      <c r="K5350" s="80">
        <v>0.965642063930302</v>
      </c>
      <c r="L5350" s="80" t="s">
        <v>64</v>
      </c>
    </row>
    <row r="5351">
      <c r="A5351" s="80" t="s">
        <v>248</v>
      </c>
      <c r="B5351" s="81" t="str">
        <f>HYPERLINK("https://www.youtube.com/channel/UCUEJok-GiWaGlv5nIPwk-GQ", "Price.com.hk 香港格價網")</f>
        <v>Price.com.hk 香港格價網</v>
      </c>
      <c r="C5351" s="80" t="s">
        <v>5810</v>
      </c>
      <c r="D5351" s="81" t="str">
        <f>HYPERLINK("https://youtube.com/watch?v=6oZHiHCCrfs", "Price送禮！實測OSIM推拿教主 特有痛爽體驗 多國按摩手法｜全腿無縫推拿機 uSqueez3 ｜GIVEAWAY｜特約專題｜廣東話【Price.com.hk產品測試】")</f>
        <v>Price送禮！實測OSIM推拿教主 特有痛爽體驗 多國按摩手法｜全腿無縫推拿機 uSqueez3 ｜GIVEAWAY｜特約專題｜廣東話【Price.com.hk產品測試】</v>
      </c>
      <c r="E5351" s="82">
        <v>44720.0</v>
      </c>
      <c r="F5351" s="80">
        <v>344.0</v>
      </c>
      <c r="G5351" s="80" t="s">
        <v>63</v>
      </c>
      <c r="I5351" s="80" t="s">
        <v>63</v>
      </c>
      <c r="J5351" s="80">
        <v>1383.0</v>
      </c>
      <c r="K5351" s="80">
        <v>0.951823812801101</v>
      </c>
      <c r="L5351" s="80" t="s">
        <v>64</v>
      </c>
    </row>
    <row r="5352">
      <c r="A5352" s="80" t="s">
        <v>217</v>
      </c>
      <c r="B5352" s="81" t="str">
        <f>HYPERLINK("https://www.youtube.com/channel/UCXKg0qPRz32bs5Z4mTGF3TQ", "Stormtrooper白兵")</f>
        <v>Stormtrooper白兵</v>
      </c>
      <c r="C5352" s="80" t="s">
        <v>5811</v>
      </c>
      <c r="D5352" s="81" t="str">
        <f>HYPERLINK("https://youtube.com/watch?v=t-RSAwE-QZk", "[懶人包]3分鐘解釋黃牛出現原因｜點解主辦方咁好死推實名制？｜最終點樣打擊黃牛？｜粵語中字")</f>
        <v>[懶人包]3分鐘解釋黃牛出現原因｜點解主辦方咁好死推實名制？｜最終點樣打擊黃牛？｜粵語中字</v>
      </c>
      <c r="E5352" s="82">
        <v>44721.0</v>
      </c>
      <c r="F5352" s="80">
        <v>1001.0</v>
      </c>
      <c r="G5352" s="80" t="s">
        <v>63</v>
      </c>
      <c r="I5352" s="80" t="s">
        <v>63</v>
      </c>
      <c r="J5352" s="80">
        <v>3099.0</v>
      </c>
      <c r="K5352" s="80">
        <v>0.906405381690552</v>
      </c>
      <c r="L5352" s="80" t="s">
        <v>64</v>
      </c>
    </row>
    <row r="5353">
      <c r="A5353" s="80" t="s">
        <v>293</v>
      </c>
      <c r="B5353" s="81" t="str">
        <f>HYPERLINK("https://www.youtube.com/channel/UCXRcbXqjORdIvl63I7MtOLQ", "趁熱 Kerry 's kitchen")</f>
        <v>趁熱 Kerry 's kitchen</v>
      </c>
      <c r="C5353" s="80" t="s">
        <v>5812</v>
      </c>
      <c r="D5353" s="81" t="str">
        <f>HYPERLINK("https://youtube.com/watch?v=Xz9xy1ApSNA", "爌肉飯/台式爌肉飯/天氣熱口淡淡/一煲過方便/無明火都得/新手 入門/廣東話/中字")</f>
        <v>爌肉飯/台式爌肉飯/天氣熱口淡淡/一煲過方便/無明火都得/新手 入門/廣東話/中字</v>
      </c>
      <c r="E5353" s="82">
        <v>44739.0</v>
      </c>
      <c r="F5353" s="80">
        <v>657.0</v>
      </c>
      <c r="G5353" s="80" t="s">
        <v>63</v>
      </c>
      <c r="I5353" s="80" t="s">
        <v>63</v>
      </c>
      <c r="J5353" s="80">
        <v>529.0</v>
      </c>
      <c r="K5353" s="80">
        <v>0.976014760147601</v>
      </c>
      <c r="L5353" s="80" t="s">
        <v>64</v>
      </c>
    </row>
    <row r="5354">
      <c r="A5354" s="80" t="s">
        <v>1533</v>
      </c>
      <c r="B5354" s="81" t="str">
        <f>HYPERLINK("https://www.youtube.com/channel/UC8KiyunvRWgmUb9OmisoBug", "3分鐘教學")</f>
        <v>3分鐘教學</v>
      </c>
      <c r="C5354" s="80" t="s">
        <v>5813</v>
      </c>
      <c r="D5354" s="81" t="str">
        <f>HYPERLINK("https://youtube.com/watch?v=eexLM9cnchE", "尋找最好防毒軟件的故事：要有咩功能先叫好？選購軟防毒軟件要留意啲咩？Trend Micro PC-cillin（廣東話中文字幕）")</f>
        <v>尋找最好防毒軟件的故事：要有咩功能先叫好？選購軟防毒軟件要留意啲咩？Trend Micro PC-cillin（廣東話中文字幕）</v>
      </c>
      <c r="E5354" s="82">
        <v>44729.0</v>
      </c>
      <c r="F5354" s="80">
        <v>952.0</v>
      </c>
      <c r="G5354" s="80" t="s">
        <v>63</v>
      </c>
      <c r="I5354" s="80" t="s">
        <v>63</v>
      </c>
      <c r="J5354" s="80">
        <v>3615.0</v>
      </c>
      <c r="K5354" s="80">
        <v>0.887552172845568</v>
      </c>
      <c r="L5354" s="80" t="s">
        <v>64</v>
      </c>
    </row>
    <row r="5355">
      <c r="A5355" s="80" t="s">
        <v>217</v>
      </c>
      <c r="B5355" s="81" t="str">
        <f>HYPERLINK("https://www.youtube.com/channel/UCXKg0qPRz32bs5Z4mTGF3TQ", "Stormtrooper白兵")</f>
        <v>Stormtrooper白兵</v>
      </c>
      <c r="C5355" s="80" t="s">
        <v>5814</v>
      </c>
      <c r="D5355" s="81" t="str">
        <f>HYPERLINK("https://youtube.com/watch?v=NA4Vp4rAG6Q", "[智能叛變]如何判斷人工智能有意識？｜明白佛學思想！？｜Google被爆人工智能laMDA自視為人，不想死亡｜圖靈測試｜黑白瑪利｜不可挽回後果｜粵語中字")</f>
        <v>[智能叛變]如何判斷人工智能有意識？｜明白佛學思想！？｜Google被爆人工智能laMDA自視為人，不想死亡｜圖靈測試｜黑白瑪利｜不可挽回後果｜粵語中字</v>
      </c>
      <c r="E5355" s="82">
        <v>44728.0</v>
      </c>
      <c r="F5355" s="80">
        <v>1171.0</v>
      </c>
      <c r="G5355" s="80" t="s">
        <v>63</v>
      </c>
      <c r="I5355" s="80" t="s">
        <v>63</v>
      </c>
      <c r="J5355" s="80">
        <v>2381.0</v>
      </c>
      <c r="K5355" s="80">
        <v>0.854630294328786</v>
      </c>
      <c r="L5355" s="80" t="s">
        <v>64</v>
      </c>
    </row>
    <row r="5356">
      <c r="A5356" s="80" t="s">
        <v>5702</v>
      </c>
      <c r="B5356" s="81" t="str">
        <f>HYPERLINK("https://www.youtube.com/channel/UC249m2fxYzK-NnfH06YNP3A", "Siu Mei小美")</f>
        <v>Siu Mei小美</v>
      </c>
      <c r="C5356" s="80" t="s">
        <v>5815</v>
      </c>
      <c r="D5356" s="81" t="str">
        <f>HYPERLINK("https://youtube.com/watch?v=E-qPGLteMwA", "乖乖掏出銀包💸我就不信燒不到你!!🔥🔥Fendi神仙配色水桶袋🧚🏻‍♀️/$2xxx趕上藤籃潮流☀️/修飾臉型神器🕶/一塊$40既面膜就有半支秘貼精華?! | 小美")</f>
        <v>乖乖掏出銀包💸我就不信燒不到你!!🔥🔥Fendi神仙配色水桶袋🧚🏻‍♀️/$2xxx趕上藤籃潮流☀️/修飾臉型神器🕶/一塊$40既面膜就有半支秘貼精華?! | 小美</v>
      </c>
      <c r="E5356" s="82">
        <v>44739.0</v>
      </c>
      <c r="F5356" s="80">
        <v>815.0</v>
      </c>
      <c r="G5356" s="80" t="s">
        <v>63</v>
      </c>
      <c r="I5356" s="80" t="s">
        <v>63</v>
      </c>
      <c r="J5356" s="80">
        <v>3912.0</v>
      </c>
      <c r="K5356" s="80">
        <v>0.86472148541114</v>
      </c>
      <c r="L5356" s="80" t="s">
        <v>64</v>
      </c>
    </row>
    <row r="5357">
      <c r="A5357" s="80" t="s">
        <v>293</v>
      </c>
      <c r="B5357" s="81" t="str">
        <f>HYPERLINK("https://www.youtube.com/channel/UCXRcbXqjORdIvl63I7MtOLQ", "趁熱 Kerry 's kitchen")</f>
        <v>趁熱 Kerry 's kitchen</v>
      </c>
      <c r="C5357" s="80" t="s">
        <v>5816</v>
      </c>
      <c r="D5357" s="81" t="str">
        <f>HYPERLINK("https://youtube.com/watch?v=xuj0ZGY2CXg", "老少平安/層層疊超彈牙/魚肉蒸豆腐/乾蔥油做法低成本/好下飯/新手入門/廣東話/中字")</f>
        <v>老少平安/層層疊超彈牙/魚肉蒸豆腐/乾蔥油做法低成本/好下飯/新手入門/廣東話/中字</v>
      </c>
      <c r="E5357" s="82">
        <v>44727.0</v>
      </c>
      <c r="F5357" s="80">
        <v>504.0</v>
      </c>
      <c r="G5357" s="80" t="s">
        <v>63</v>
      </c>
      <c r="I5357" s="80" t="s">
        <v>63</v>
      </c>
      <c r="J5357" s="80">
        <v>537.0</v>
      </c>
      <c r="K5357" s="80">
        <v>0.971066907775768</v>
      </c>
      <c r="L5357" s="80" t="s">
        <v>64</v>
      </c>
    </row>
    <row r="5358">
      <c r="A5358" s="80" t="s">
        <v>3139</v>
      </c>
      <c r="B5358" s="81" t="str">
        <f>HYPERLINK("https://www.youtube.com/channel/UCThO2xnH7XMg6plE8OgJm_w", "choyuen草原")</f>
        <v>choyuen草原</v>
      </c>
      <c r="C5358" s="80" t="s">
        <v>5817</v>
      </c>
      <c r="D5358" s="81" t="str">
        <f>HYPERLINK("https://youtube.com/watch?v=Hcf8oZJulho", "火星難民營 (B. 走難熱點)  Hunting Martians (B. Refugee spots)")</f>
        <v>火星難民營 (B. 走難熱點)  Hunting Martians (B. Refugee spots)</v>
      </c>
      <c r="E5358" s="82">
        <v>44736.0</v>
      </c>
      <c r="F5358" s="80">
        <v>355.0</v>
      </c>
      <c r="G5358" s="80" t="s">
        <v>63</v>
      </c>
      <c r="I5358" s="80" t="s">
        <v>63</v>
      </c>
      <c r="J5358" s="80">
        <v>1064.0</v>
      </c>
      <c r="K5358" s="80">
        <v>0.849840255591054</v>
      </c>
      <c r="L5358" s="80" t="s">
        <v>64</v>
      </c>
    </row>
    <row r="5359">
      <c r="A5359" s="80" t="s">
        <v>1007</v>
      </c>
      <c r="B5359" s="81" t="str">
        <f>HYPERLINK("https://www.youtube.com/channel/UCCzgNTkFyDel0FDJtVNgEtQ", "香港人. 德國讀書之【真.洗濕左個頭.無得返轉頭】Miss Chan Life in Germany")</f>
        <v>香港人. 德國讀書之【真.洗濕左個頭.無得返轉頭】Miss Chan Life in Germany</v>
      </c>
      <c r="C5359" s="80" t="s">
        <v>5818</v>
      </c>
      <c r="D5359" s="81" t="str">
        <f>HYPERLINK("https://youtube.com/watch?v=HTWqrydStUw", "【滅chan 生活系列】我的第一堂陶瓷 Ceramics hand building | 上色 glazing (香港人製作. 廣東話. 中文字幕)")</f>
        <v>【滅chan 生活系列】我的第一堂陶瓷 Ceramics hand building | 上色 glazing (香港人製作. 廣東話. 中文字幕)</v>
      </c>
      <c r="E5359" s="82">
        <v>44727.0</v>
      </c>
      <c r="F5359" s="80">
        <v>133.0</v>
      </c>
      <c r="G5359" s="80" t="s">
        <v>63</v>
      </c>
      <c r="I5359" s="80" t="s">
        <v>63</v>
      </c>
      <c r="J5359" s="80">
        <v>224.0</v>
      </c>
      <c r="K5359" s="80">
        <v>0.829629629629629</v>
      </c>
      <c r="L5359" s="80" t="s">
        <v>64</v>
      </c>
    </row>
    <row r="5360">
      <c r="A5360" s="80" t="s">
        <v>2041</v>
      </c>
      <c r="B5360" s="81" t="str">
        <f>HYPERLINK("https://www.youtube.com/channel/UCO6pB-ZN4XJ6MVkibvuEe0A", "SingSingTracker 星昇財經指標")</f>
        <v>SingSingTracker 星昇財經指標</v>
      </c>
      <c r="C5360" s="80" t="s">
        <v>5819</v>
      </c>
      <c r="D5360" s="81" t="str">
        <f>HYPERLINK("https://youtube.com/watch?v=2Qb4jW4-F_U", "【美國加息對股票市場既影響】")</f>
        <v>【美國加息對股票市場既影響】</v>
      </c>
      <c r="E5360" s="82">
        <v>44733.0</v>
      </c>
      <c r="F5360" s="80">
        <v>176.0</v>
      </c>
      <c r="G5360" s="80" t="s">
        <v>63</v>
      </c>
      <c r="I5360" s="80" t="s">
        <v>63</v>
      </c>
      <c r="J5360" s="80">
        <v>773.0</v>
      </c>
      <c r="K5360" s="80">
        <v>0.996134020618556</v>
      </c>
      <c r="L5360" s="80" t="s">
        <v>64</v>
      </c>
    </row>
    <row r="5361">
      <c r="A5361" s="80" t="s">
        <v>3139</v>
      </c>
      <c r="B5361" s="81" t="str">
        <f>HYPERLINK("https://www.youtube.com/channel/UCThO2xnH7XMg6plE8OgJm_w", "choyuen草原")</f>
        <v>choyuen草原</v>
      </c>
      <c r="C5361" s="80" t="s">
        <v>5820</v>
      </c>
      <c r="D5361" s="81" t="str">
        <f>HYPERLINK("https://youtube.com/watch?v=Kcei1HIo5lA", "火星難民營 (A. 偉大山窿) Hunting Martians (A. Underground city)")</f>
        <v>火星難民營 (A. 偉大山窿) Hunting Martians (A. Underground city)</v>
      </c>
      <c r="E5361" s="82">
        <v>44727.0</v>
      </c>
      <c r="F5361" s="80">
        <v>263.0</v>
      </c>
      <c r="G5361" s="80" t="s">
        <v>63</v>
      </c>
      <c r="I5361" s="80" t="s">
        <v>63</v>
      </c>
      <c r="J5361" s="80">
        <v>669.0</v>
      </c>
      <c r="K5361" s="80">
        <v>0.93175487465181</v>
      </c>
      <c r="L5361" s="80" t="s">
        <v>64</v>
      </c>
    </row>
    <row r="5362">
      <c r="A5362" s="80" t="s">
        <v>293</v>
      </c>
      <c r="B5362" s="81" t="str">
        <f>HYPERLINK("https://www.youtube.com/channel/UCXRcbXqjORdIvl63I7MtOLQ", "趁熱 Kerry 's kitchen")</f>
        <v>趁熱 Kerry 's kitchen</v>
      </c>
      <c r="C5362" s="80" t="s">
        <v>5821</v>
      </c>
      <c r="D5362" s="81" t="str">
        <f>HYPERLINK("https://youtube.com/watch?v=hGUqiFunydA", "西檸煎軟雞/不用炸/無須吉士粉/清香開胃住家菜/無添加純天然/簡單 家做/廣東話/中字/pan-fried chicken w/lemon sauce")</f>
        <v>西檸煎軟雞/不用炸/無須吉士粉/清香開胃住家菜/無添加純天然/簡單 家做/廣東話/中字/pan-fried chicken w/lemon sauce</v>
      </c>
      <c r="E5362" s="82">
        <v>44732.0</v>
      </c>
      <c r="F5362" s="80">
        <v>711.0</v>
      </c>
      <c r="G5362" s="80" t="s">
        <v>63</v>
      </c>
      <c r="I5362" s="80" t="s">
        <v>63</v>
      </c>
      <c r="J5362" s="80">
        <v>554.0</v>
      </c>
      <c r="K5362" s="80">
        <v>0.970227670753064</v>
      </c>
      <c r="L5362" s="80" t="s">
        <v>64</v>
      </c>
    </row>
    <row r="5363">
      <c r="A5363" s="80" t="s">
        <v>248</v>
      </c>
      <c r="B5363" s="81" t="str">
        <f>HYPERLINK("https://www.youtube.com/channel/UCUEJok-GiWaGlv5nIPwk-GQ", "Price.com.hk 香港格價網")</f>
        <v>Price.com.hk 香港格價網</v>
      </c>
      <c r="C5363" s="80" t="s">
        <v>5822</v>
      </c>
      <c r="D5363" s="81" t="str">
        <f>HYPERLINK("https://youtube.com/watch?v=LeViabRc2so", "Nothing Phone (1)透明實機曝光！MacBook瀏海變成AirDrop捷徑？Microsoft用石英玻璃記錄全球音樂資料 | 廣東話【Price Weekly #120 2022年6月】")</f>
        <v>Nothing Phone (1)透明實機曝光！MacBook瀏海變成AirDrop捷徑？Microsoft用石英玻璃記錄全球音樂資料 | 廣東話【Price Weekly #120 2022年6月】</v>
      </c>
      <c r="E5363" s="82">
        <v>44737.0</v>
      </c>
      <c r="F5363" s="80">
        <v>443.0</v>
      </c>
      <c r="G5363" s="80" t="s">
        <v>63</v>
      </c>
      <c r="I5363" s="80" t="s">
        <v>63</v>
      </c>
      <c r="J5363" s="80">
        <v>1618.0</v>
      </c>
      <c r="K5363" s="80">
        <v>0.775275515093435</v>
      </c>
      <c r="L5363" s="80" t="s">
        <v>64</v>
      </c>
    </row>
    <row r="5364">
      <c r="A5364" s="80" t="s">
        <v>96</v>
      </c>
      <c r="B5364" s="81" t="str">
        <f>HYPERLINK("https://www.youtube.com/channel/UCGtyHJ-L_4RDIHe3XaLofQQ", "Anson Cheung")</f>
        <v>Anson Cheung</v>
      </c>
      <c r="C5364" s="80" t="s">
        <v>5823</v>
      </c>
      <c r="D5364" s="81" t="str">
        <f>HYPERLINK("https://youtube.com/watch?v=rmSNQuES02Y", "Sony Xperia 1 IV 評測：用家需求 vs SONY設計理念的執着！到底邊樣重要啲？｜Sony Xperia 1 IV Review｜Anson Cheung 手機評測")</f>
        <v>Sony Xperia 1 IV 評測：用家需求 vs SONY設計理念的執着！到底邊樣重要啲？｜Sony Xperia 1 IV Review｜Anson Cheung 手機評測</v>
      </c>
      <c r="E5364" s="82">
        <v>44737.0</v>
      </c>
      <c r="F5364" s="80">
        <v>697.0</v>
      </c>
      <c r="G5364" s="80" t="s">
        <v>63</v>
      </c>
      <c r="I5364" s="80" t="s">
        <v>63</v>
      </c>
      <c r="J5364" s="80">
        <v>2554.0</v>
      </c>
      <c r="K5364" s="80">
        <v>0.663548973759418</v>
      </c>
      <c r="L5364" s="80" t="s">
        <v>64</v>
      </c>
    </row>
    <row r="5365">
      <c r="A5365" s="80" t="s">
        <v>2519</v>
      </c>
      <c r="B5365" s="81" t="str">
        <f>HYPERLINK("https://www.youtube.com/channel/UCRaC6ToPRzGZT5nGgz9vzGw", "C90s 港仔音樂")</f>
        <v>C90s 港仔音樂</v>
      </c>
      <c r="C5365" s="80" t="s">
        <v>5824</v>
      </c>
      <c r="D5365" s="81" t="str">
        <f>HYPERLINK("https://youtube.com/watch?v=_uDadnLm1QA", "農夫 Fama - 十年人事 [歌詞同步/粵拼字幕]")</f>
        <v>農夫 Fama - 十年人事 [歌詞同步/粵拼字幕]</v>
      </c>
      <c r="E5365" s="82">
        <v>44727.0</v>
      </c>
      <c r="F5365" s="80">
        <v>245.0</v>
      </c>
      <c r="G5365" s="80" t="s">
        <v>63</v>
      </c>
      <c r="I5365" s="80" t="s">
        <v>63</v>
      </c>
      <c r="J5365" s="80">
        <v>715.0</v>
      </c>
      <c r="K5365" s="80">
        <v>0.230125523012552</v>
      </c>
      <c r="L5365" s="80" t="s">
        <v>64</v>
      </c>
    </row>
    <row r="5366">
      <c r="A5366" s="80" t="s">
        <v>293</v>
      </c>
      <c r="B5366" s="81" t="str">
        <f>HYPERLINK("https://www.youtube.com/channel/UCXRcbXqjORdIvl63I7MtOLQ", "趁熱 Kerry 's kitchen")</f>
        <v>趁熱 Kerry 's kitchen</v>
      </c>
      <c r="C5366" s="80" t="s">
        <v>5825</v>
      </c>
      <c r="D5366" s="81" t="str">
        <f>HYPERLINK("https://youtube.com/watch?v=DGleQ3DYzKc", "蝦醬蒸五花肉/堅惹味/ 簡簡單單又一餐/收工做都得/好餸飯/新手 入門/廣東話/中字")</f>
        <v>蝦醬蒸五花肉/堅惹味/ 簡簡單單又一餐/收工做都得/好餸飯/新手 入門/廣東話/中字</v>
      </c>
      <c r="E5366" s="82">
        <v>44729.0</v>
      </c>
      <c r="F5366" s="80">
        <v>484.0</v>
      </c>
      <c r="G5366" s="80" t="s">
        <v>63</v>
      </c>
      <c r="I5366" s="80" t="s">
        <v>63</v>
      </c>
      <c r="J5366" s="80">
        <v>657.0</v>
      </c>
      <c r="K5366" s="80">
        <v>0.983532934131736</v>
      </c>
      <c r="L5366" s="80" t="s">
        <v>64</v>
      </c>
    </row>
    <row r="5367">
      <c r="A5367" s="80" t="s">
        <v>61</v>
      </c>
      <c r="B5367" s="81" t="str">
        <f>HYPERLINK("https://www.youtube.com/channel/UCJ4XVrJuqKHbc9yF9oUFseg", "MEeeep More")</f>
        <v>MEeeep More</v>
      </c>
      <c r="C5367" s="80" t="s">
        <v>5826</v>
      </c>
      <c r="D5367" s="81" t="str">
        <f>HYPERLINK("https://youtube.com/watch?v=TygFLahikac", "迪比亞 DBA DEBI003A-H 智能冷風機 | 潮濕夏季 為清爽Office做好準備 | 冷風機2022")</f>
        <v>迪比亞 DBA DEBI003A-H 智能冷風機 | 潮濕夏季 為清爽Office做好準備 | 冷風機2022</v>
      </c>
      <c r="E5367" s="82">
        <v>44742.0</v>
      </c>
      <c r="F5367" s="80">
        <v>204.0</v>
      </c>
      <c r="G5367" s="80" t="s">
        <v>63</v>
      </c>
      <c r="I5367" s="80" t="s">
        <v>63</v>
      </c>
      <c r="J5367" s="80">
        <v>600.0</v>
      </c>
      <c r="K5367" s="80">
        <v>0.825309491059147</v>
      </c>
      <c r="L5367" s="80" t="s">
        <v>64</v>
      </c>
    </row>
    <row r="5368">
      <c r="A5368" s="80" t="s">
        <v>2841</v>
      </c>
      <c r="B5368" s="81" t="str">
        <f>HYPERLINK("https://www.youtube.com/channel/UCBYGm7Iz6ck8jeno5AFiriw", "Seafront TV")</f>
        <v>Seafront TV</v>
      </c>
      <c r="C5368" s="80" t="s">
        <v>5827</v>
      </c>
      <c r="D5368" s="81" t="str">
        <f>HYPERLINK("https://youtube.com/watch?v=nePg5IF0lfw", "【JUPAS 30分鐘解說隱藏金融財俊📈】科大工商管理學士（金融學）HKUST BBA in Finance💰💵| #大學Major系列 Seafront TV🌊")</f>
        <v>【JUPAS 30分鐘解說隱藏金融財俊📈】科大工商管理學士（金融學）HKUST BBA in Finance💰💵| #大學Major系列 Seafront TV🌊</v>
      </c>
      <c r="E5368" s="82">
        <v>44730.0</v>
      </c>
      <c r="F5368" s="80">
        <v>1785.0</v>
      </c>
      <c r="G5368" s="80" t="s">
        <v>63</v>
      </c>
      <c r="I5368" s="80" t="s">
        <v>63</v>
      </c>
      <c r="J5368" s="80">
        <v>5805.0</v>
      </c>
      <c r="K5368" s="80">
        <v>0.561411992263056</v>
      </c>
      <c r="L5368" s="80" t="s">
        <v>102</v>
      </c>
    </row>
    <row r="5369">
      <c r="A5369" s="80" t="s">
        <v>293</v>
      </c>
      <c r="B5369" s="81" t="str">
        <f>HYPERLINK("https://www.youtube.com/channel/UCXRcbXqjORdIvl63I7MtOLQ", "趁熱 Kerry 's kitchen")</f>
        <v>趁熱 Kerry 's kitchen</v>
      </c>
      <c r="C5369" s="80" t="s">
        <v>5828</v>
      </c>
      <c r="D5369" s="81" t="str">
        <f>HYPERLINK("https://youtube.com/watch?v=88XvwsB7beY", "潮汕砂鍋蟹粥/7分鐘煲粥就攪掂綿綿的/不用看火/簡單溫柔劏蟹方法/蟹仔低成本超鮮甜/在家做都得/新手 入門/廣東話/中字")</f>
        <v>潮汕砂鍋蟹粥/7分鐘煲粥就攪掂綿綿的/不用看火/簡單溫柔劏蟹方法/蟹仔低成本超鮮甜/在家做都得/新手 入門/廣東話/中字</v>
      </c>
      <c r="E5369" s="82">
        <v>44736.0</v>
      </c>
      <c r="F5369" s="80">
        <v>533.0</v>
      </c>
      <c r="G5369" s="80" t="s">
        <v>63</v>
      </c>
      <c r="I5369" s="80" t="s">
        <v>63</v>
      </c>
      <c r="J5369" s="80">
        <v>722.0</v>
      </c>
      <c r="K5369" s="80">
        <v>0.986338797814207</v>
      </c>
      <c r="L5369" s="80" t="s">
        <v>64</v>
      </c>
    </row>
    <row r="5370">
      <c r="A5370" s="80" t="s">
        <v>1016</v>
      </c>
      <c r="B5370" s="81" t="str">
        <f>HYPERLINK("https://www.youtube.com/channel/UCSbiR1l-cfzk44iTJVSAZVQ", "Rhapsody in Lingo")</f>
        <v>Rhapsody in Lingo</v>
      </c>
      <c r="C5370" s="80" t="s">
        <v>5829</v>
      </c>
      <c r="D5370" s="81" t="str">
        <f>HYPERLINK("https://youtube.com/watch?v=mpqvgPfKWgo", "航班取消、機場淪陷 😱 我到底去唔去得成Polyglot Gathering？ 【粵字/en subs】曼城✈️阿姆斯特丹✈️華沙，DAY 0 VLOG")</f>
        <v>航班取消、機場淪陷 😱 我到底去唔去得成Polyglot Gathering？ 【粵字/en subs】曼城✈️阿姆斯特丹✈️華沙，DAY 0 VLOG</v>
      </c>
      <c r="E5370" s="82">
        <v>44730.0</v>
      </c>
      <c r="F5370" s="80">
        <v>751.0</v>
      </c>
      <c r="G5370" s="80" t="s">
        <v>63</v>
      </c>
      <c r="I5370" s="80" t="s">
        <v>63</v>
      </c>
      <c r="J5370" s="80">
        <v>1604.0</v>
      </c>
      <c r="K5370" s="80">
        <v>0.496748219262929</v>
      </c>
      <c r="L5370" s="80" t="s">
        <v>5830</v>
      </c>
    </row>
    <row r="5371">
      <c r="A5371" s="80" t="s">
        <v>293</v>
      </c>
      <c r="B5371" s="81" t="str">
        <f t="shared" ref="B5371:B5372" si="290">HYPERLINK("https://www.youtube.com/channel/UCXRcbXqjORdIvl63I7MtOLQ", "趁熱 Kerry 's kitchen")</f>
        <v>趁熱 Kerry 's kitchen</v>
      </c>
      <c r="C5371" s="80" t="s">
        <v>5831</v>
      </c>
      <c r="D5371" s="81" t="str">
        <f>HYPERLINK("https://youtube.com/watch?v=xgR0Em01GEU", "雞翼/香茅雞翼/不用炸/香茅出味竅門/簡單 家做/新手 入門/廣東話/中字")</f>
        <v>雞翼/香茅雞翼/不用炸/香茅出味竅門/簡單 家做/新手 入門/廣東話/中字</v>
      </c>
      <c r="E5371" s="82">
        <v>44741.0</v>
      </c>
      <c r="F5371" s="80">
        <v>540.0</v>
      </c>
      <c r="G5371" s="80" t="s">
        <v>63</v>
      </c>
      <c r="I5371" s="80" t="s">
        <v>63</v>
      </c>
      <c r="J5371" s="80">
        <v>678.0</v>
      </c>
      <c r="K5371" s="80">
        <v>0.974137931034482</v>
      </c>
      <c r="L5371" s="80" t="s">
        <v>64</v>
      </c>
    </row>
    <row r="5372">
      <c r="A5372" s="80" t="s">
        <v>293</v>
      </c>
      <c r="B5372" s="81" t="str">
        <f t="shared" si="290"/>
        <v>趁熱 Kerry 's kitchen</v>
      </c>
      <c r="C5372" s="80" t="s">
        <v>5832</v>
      </c>
      <c r="D5372" s="81" t="str">
        <f>HYPERLINK("https://youtube.com/watch?v=A8us1oFupJo", "話梅豬手/酸酸甜甜/軟而不爛竅門/急凍豬手做法/低成本平平地一大煲/新手入門/廣東話/中字")</f>
        <v>話梅豬手/酸酸甜甜/軟而不爛竅門/急凍豬手做法/低成本平平地一大煲/新手入門/廣東話/中字</v>
      </c>
      <c r="E5372" s="82">
        <v>44725.0</v>
      </c>
      <c r="F5372" s="80">
        <v>684.0</v>
      </c>
      <c r="G5372" s="80" t="s">
        <v>63</v>
      </c>
      <c r="I5372" s="80" t="s">
        <v>63</v>
      </c>
      <c r="J5372" s="80">
        <v>527.0</v>
      </c>
      <c r="K5372" s="80">
        <v>0.972324723247232</v>
      </c>
      <c r="L5372" s="80" t="s">
        <v>64</v>
      </c>
    </row>
    <row r="5373">
      <c r="A5373" s="80" t="s">
        <v>248</v>
      </c>
      <c r="B5373" s="81" t="str">
        <f>HYPERLINK("https://www.youtube.com/channel/UCUEJok-GiWaGlv5nIPwk-GQ", "Price.com.hk 香港格價網")</f>
        <v>Price.com.hk 香港格價網</v>
      </c>
      <c r="C5373" s="80" t="s">
        <v>5833</v>
      </c>
      <c r="D5373" s="81" t="str">
        <f>HYPERLINK("https://youtube.com/watch?v=VwC1RU_505Q", "爆AI有人類感知 Google工程師被停職． WhatsApp 資料轉移工具正式登場．入門 Intel Arc A380 顯示卡登場 | 廣東話【Price Weekly #119 2022年6月】")</f>
        <v>爆AI有人類感知 Google工程師被停職． WhatsApp 資料轉移工具正式登場．入門 Intel Arc A380 顯示卡登場 | 廣東話【Price Weekly #119 2022年6月】</v>
      </c>
      <c r="E5373" s="82">
        <v>44730.0</v>
      </c>
      <c r="F5373" s="80">
        <v>509.0</v>
      </c>
      <c r="G5373" s="80" t="s">
        <v>63</v>
      </c>
      <c r="I5373" s="80" t="s">
        <v>63</v>
      </c>
      <c r="J5373" s="80">
        <v>1976.0</v>
      </c>
      <c r="K5373" s="80">
        <v>0.799352750809061</v>
      </c>
      <c r="L5373" s="80" t="s">
        <v>64</v>
      </c>
    </row>
    <row r="5374">
      <c r="A5374" s="80" t="s">
        <v>217</v>
      </c>
      <c r="B5374" s="81" t="str">
        <f>HYPERLINK("https://www.youtube.com/channel/UCXKg0qPRz32bs5Z4mTGF3TQ", "Stormtrooper白兵")</f>
        <v>Stormtrooper白兵</v>
      </c>
      <c r="C5374" s="80" t="s">
        <v>5834</v>
      </c>
      <c r="D5374" s="81" t="str">
        <f>HYPERLINK("https://youtube.com/watch?v=Z4dlsMnjX8M", "[全面分析]你有看懂蝙蝠俠嗎？｜背後隱喻感動每位仍為香港付出的人｜隱喻、劇情、配樂、攝影、導演背後訊息｜香港人天生了解葛咸城｜為何成為我2022年的最愛電影？｜粵語中字")</f>
        <v>[全面分析]你有看懂蝙蝠俠嗎？｜背後隱喻感動每位仍為香港付出的人｜隱喻、劇情、配樂、攝影、導演背後訊息｜香港人天生了解葛咸城｜為何成為我2022年的最愛電影？｜粵語中字</v>
      </c>
      <c r="E5374" s="82">
        <v>44736.0</v>
      </c>
      <c r="F5374" s="80">
        <v>1266.0</v>
      </c>
      <c r="G5374" s="80" t="s">
        <v>63</v>
      </c>
      <c r="I5374" s="80" t="s">
        <v>63</v>
      </c>
      <c r="J5374" s="80">
        <v>4534.0</v>
      </c>
      <c r="K5374" s="80">
        <v>0.77464548094994</v>
      </c>
      <c r="L5374" s="80" t="s">
        <v>64</v>
      </c>
    </row>
    <row r="5375">
      <c r="A5375" s="80" t="s">
        <v>248</v>
      </c>
      <c r="B5375" s="81" t="str">
        <f>HYPERLINK("https://www.youtube.com/channel/UCUEJok-GiWaGlv5nIPwk-GQ", "Price.com.hk 香港格價網")</f>
        <v>Price.com.hk 香港格價網</v>
      </c>
      <c r="C5375" s="80" t="s">
        <v>5835</v>
      </c>
      <c r="D5375" s="81" t="str">
        <f>HYPERLINK("https://youtube.com/watch?v=m1hSRPq2Qc8", "Wi-Fi 6E Router 快幾多？實試NETGEAR全球首部四頻 Mesh 系統 - Orbi RBKE963｜Nighthawk RAXE500｜特約專題【Price.com.hk產品評測】")</f>
        <v>Wi-Fi 6E Router 快幾多？實試NETGEAR全球首部四頻 Mesh 系統 - Orbi RBKE963｜Nighthawk RAXE500｜特約專題【Price.com.hk產品評測】</v>
      </c>
      <c r="E5375" s="82">
        <v>44739.0</v>
      </c>
      <c r="F5375" s="80">
        <v>467.0</v>
      </c>
      <c r="G5375" s="80" t="s">
        <v>63</v>
      </c>
      <c r="I5375" s="80" t="s">
        <v>63</v>
      </c>
      <c r="J5375" s="80">
        <v>1476.0</v>
      </c>
      <c r="K5375" s="80">
        <v>0.643698211949411</v>
      </c>
      <c r="L5375" s="80" t="s">
        <v>64</v>
      </c>
    </row>
    <row r="5376">
      <c r="A5376" s="80" t="s">
        <v>124</v>
      </c>
      <c r="B5376" s="81" t="str">
        <f>HYPERLINK("https://www.youtube.com/channel/UCg0vuSE0fBF_NvodyYhMcWg", "Wallace Studio HK")</f>
        <v>Wallace Studio HK</v>
      </c>
      <c r="C5376" s="80" t="s">
        <v>5836</v>
      </c>
      <c r="D5376" s="81" t="str">
        <f>HYPERLINK("https://youtube.com/watch?v=_vtiUleKpc4", "Gigabyte AERO 16 YE5！Windows 頂配創作者電腦 夠唔夠打 M1 Max MacBook Pro ?")</f>
        <v>Gigabyte AERO 16 YE5！Windows 頂配創作者電腦 夠唔夠打 M1 Max MacBook Pro ?</v>
      </c>
      <c r="E5376" s="82">
        <v>44731.0</v>
      </c>
      <c r="F5376" s="80">
        <v>858.0</v>
      </c>
      <c r="G5376" s="80" t="s">
        <v>63</v>
      </c>
      <c r="H5376" s="80" t="s">
        <v>63</v>
      </c>
      <c r="I5376" s="80" t="s">
        <v>63</v>
      </c>
      <c r="J5376" s="80">
        <v>2960.0</v>
      </c>
      <c r="K5376" s="80">
        <v>0.693930772878141</v>
      </c>
      <c r="L5376" s="80" t="s">
        <v>86</v>
      </c>
    </row>
    <row r="5377">
      <c r="A5377" s="80" t="s">
        <v>755</v>
      </c>
      <c r="B5377" s="81" t="str">
        <f>HYPERLINK("https://www.youtube.com/channel/UCBiJDTc82IM68KVH873VeAw", "Live in Kwangsi廣西人·情·味")</f>
        <v>Live in Kwangsi廣西人·情·味</v>
      </c>
      <c r="C5377" s="80" t="s">
        <v>5837</v>
      </c>
      <c r="D5377" s="81" t="str">
        <f>HYPERLINK("https://youtube.com/watch?v=iO225kPEMLI", "富川舊城(古明城)🚶🏻｜賀州市富川縣｜廣西日常實拍 20220610")</f>
        <v>富川舊城(古明城)🚶🏻｜賀州市富川縣｜廣西日常實拍 20220610</v>
      </c>
      <c r="E5377" s="82">
        <v>44726.0</v>
      </c>
      <c r="F5377" s="80">
        <v>2240.0</v>
      </c>
      <c r="G5377" s="80" t="s">
        <v>63</v>
      </c>
      <c r="I5377" s="80" t="s">
        <v>63</v>
      </c>
      <c r="J5377" s="80">
        <v>2058.0</v>
      </c>
      <c r="K5377" s="80">
        <v>0.978136882129277</v>
      </c>
      <c r="L5377" s="80" t="s">
        <v>757</v>
      </c>
    </row>
    <row r="5378">
      <c r="A5378" s="80" t="s">
        <v>124</v>
      </c>
      <c r="B5378" s="81" t="str">
        <f>HYPERLINK("https://www.youtube.com/channel/UCg0vuSE0fBF_NvodyYhMcWg", "Wallace Studio HK")</f>
        <v>Wallace Studio HK</v>
      </c>
      <c r="C5378" s="80" t="s">
        <v>5838</v>
      </c>
      <c r="D5378" s="81" t="str">
        <f>HYPERLINK("https://youtube.com/watch?v=r04dCNJtdrc", "Portable SSD 推薦2022?  WD My Passport SSD，4大實用場景分享!  速度實測，仲有Drop Test!")</f>
        <v>Portable SSD 推薦2022?  WD My Passport SSD，4大實用場景分享!  速度實測，仲有Drop Test!</v>
      </c>
      <c r="E5378" s="82">
        <v>44739.0</v>
      </c>
      <c r="F5378" s="80">
        <v>320.0</v>
      </c>
      <c r="G5378" s="80" t="s">
        <v>63</v>
      </c>
      <c r="H5378" s="80" t="s">
        <v>63</v>
      </c>
      <c r="I5378" s="80" t="s">
        <v>63</v>
      </c>
      <c r="J5378" s="80">
        <v>1057.0</v>
      </c>
      <c r="K5378" s="80">
        <v>0.695073235685752</v>
      </c>
      <c r="L5378" s="80" t="s">
        <v>86</v>
      </c>
    </row>
    <row r="5379">
      <c r="A5379" s="80" t="s">
        <v>74</v>
      </c>
      <c r="B5379" s="81" t="str">
        <f>HYPERLINK("https://www.youtube.com/channel/UCO_5XP-qd-udNxBlzzSzgvw", "Handline Fishing")</f>
        <v>Handline Fishing</v>
      </c>
      <c r="C5379" s="80" t="s">
        <v>5839</v>
      </c>
      <c r="D5379" s="81" t="str">
        <f>HYPERLINK("https://youtube.com/watch?v=BPZkCw0qjAg", "#281 與愛人兄釣維港 | 香港釣魚 | 艇釣 | 維港 {粵語旁白}")</f>
        <v>#281 與愛人兄釣維港 | 香港釣魚 | 艇釣 | 維港 {粵語旁白}</v>
      </c>
      <c r="E5379" s="82">
        <v>44734.0</v>
      </c>
      <c r="F5379" s="80">
        <v>226.0</v>
      </c>
      <c r="G5379" s="80" t="s">
        <v>63</v>
      </c>
      <c r="H5379" s="80" t="s">
        <v>63</v>
      </c>
      <c r="I5379" s="80" t="s">
        <v>63</v>
      </c>
      <c r="J5379" s="80">
        <v>214.0</v>
      </c>
      <c r="K5379" s="80">
        <v>0.906779661016949</v>
      </c>
      <c r="L5379" s="80" t="s">
        <v>2175</v>
      </c>
    </row>
    <row r="5380">
      <c r="A5380" s="80" t="s">
        <v>140</v>
      </c>
      <c r="B5380" s="81" t="str">
        <f>HYPERLINK("https://www.youtube.com/channel/UCHK0CZf9HEXs42qIO1GUouA", "TechiCardia")</f>
        <v>TechiCardia</v>
      </c>
      <c r="C5380" s="80" t="s">
        <v>5840</v>
      </c>
      <c r="D5380" s="81" t="str">
        <f>HYPERLINK("https://youtube.com/watch?v=NixDV9YR6Bk", "2022 上半年最愛嘅真無線耳機 B&amp;O Beoplay EX | 詳細評測 | 外觀、規格、效能全不馬虎！//4K 【TechiCardia】[CC廣東話字幕]")</f>
        <v>2022 上半年最愛嘅真無線耳機 B&amp;O Beoplay EX | 詳細評測 | 外觀、規格、效能全不馬虎！//4K 【TechiCardia】[CC廣東話字幕]</v>
      </c>
      <c r="E5380" s="82">
        <v>44731.0</v>
      </c>
      <c r="F5380" s="80">
        <v>873.0</v>
      </c>
      <c r="G5380" s="80" t="s">
        <v>63</v>
      </c>
      <c r="I5380" s="80" t="s">
        <v>63</v>
      </c>
      <c r="J5380" s="80">
        <v>3409.0</v>
      </c>
      <c r="K5380" s="80">
        <v>0.821841851494696</v>
      </c>
      <c r="L5380" s="80" t="s">
        <v>102</v>
      </c>
    </row>
    <row r="5381">
      <c r="A5381" s="80" t="s">
        <v>755</v>
      </c>
      <c r="B5381" s="81" t="str">
        <f>HYPERLINK("https://www.youtube.com/channel/UCBiJDTc82IM68KVH873VeAw", "Live in Kwangsi廣西人·情·味")</f>
        <v>Live in Kwangsi廣西人·情·味</v>
      </c>
      <c r="C5381" s="80" t="s">
        <v>5841</v>
      </c>
      <c r="D5381" s="81" t="str">
        <f>HYPERLINK("https://youtube.com/watch?v=kTq6F_dh14k", "講咗會好傷人嘅30句說話")</f>
        <v>講咗會好傷人嘅30句說話</v>
      </c>
      <c r="E5381" s="82">
        <v>44735.0</v>
      </c>
      <c r="F5381" s="80">
        <v>109.0</v>
      </c>
      <c r="G5381" s="80" t="s">
        <v>63</v>
      </c>
      <c r="I5381" s="80" t="s">
        <v>63</v>
      </c>
      <c r="J5381" s="80">
        <v>286.0</v>
      </c>
      <c r="K5381" s="80">
        <v>1.0</v>
      </c>
      <c r="L5381" s="80" t="s">
        <v>757</v>
      </c>
    </row>
    <row r="5382">
      <c r="A5382" s="80" t="s">
        <v>248</v>
      </c>
      <c r="B5382" s="81" t="str">
        <f>HYPERLINK("https://www.youtube.com/channel/UCUEJok-GiWaGlv5nIPwk-GQ", "Price.com.hk 香港格價網")</f>
        <v>Price.com.hk 香港格價網</v>
      </c>
      <c r="C5382" s="80" t="s">
        <v>5842</v>
      </c>
      <c r="D5382" s="81" t="str">
        <f>HYPERLINK("https://youtube.com/watch?v=hvzmW1Q_V7Q", "首部同時兼備活氧+蒸氣殺菌！惠而浦全新洗衣機Supreme Oxycare試用 連皮褸都可以放入滾桶？｜特約專題｜廣東話【 Price.com.hk產品介紹】")</f>
        <v>首部同時兼備活氧+蒸氣殺菌！惠而浦全新洗衣機Supreme Oxycare試用 連皮褸都可以放入滾桶？｜特約專題｜廣東話【 Price.com.hk產品介紹】</v>
      </c>
      <c r="E5382" s="82">
        <v>44728.0</v>
      </c>
      <c r="F5382" s="80">
        <v>316.0</v>
      </c>
      <c r="G5382" s="80" t="s">
        <v>63</v>
      </c>
      <c r="I5382" s="80" t="s">
        <v>63</v>
      </c>
      <c r="J5382" s="80">
        <v>1178.0</v>
      </c>
      <c r="K5382" s="80">
        <v>0.871946706143597</v>
      </c>
      <c r="L5382" s="80" t="s">
        <v>64</v>
      </c>
    </row>
    <row r="5383">
      <c r="A5383" s="80" t="s">
        <v>2780</v>
      </c>
      <c r="B5383" s="81" t="str">
        <f>HYPERLINK("https://www.youtube.com/channel/UC0CojhLcc0VESgaG633m5kA", "RainErs")</f>
        <v>RainErs</v>
      </c>
      <c r="C5383" s="80" t="s">
        <v>5843</v>
      </c>
      <c r="D5383" s="81" t="str">
        <f>HYPERLINK("https://youtube.com/watch?v=MALYVHSrNog", "Iron Man最後一套嘅戰甲...😥😥Hot Toys Mask85bd unboxing---hot toys高質作品之一??//擁有最仔細嘅頭雕??//iron man迷必買!![有CC字幕]")</f>
        <v>Iron Man最後一套嘅戰甲...😥😥Hot Toys Mask85bd unboxing---hot toys高質作品之一??//擁有最仔細嘅頭雕??//iron man迷必買!![有CC字幕]</v>
      </c>
      <c r="E5383" s="82">
        <v>44741.0</v>
      </c>
      <c r="F5383" s="80">
        <v>450.0</v>
      </c>
      <c r="G5383" s="80" t="s">
        <v>63</v>
      </c>
      <c r="I5383" s="80" t="s">
        <v>63</v>
      </c>
      <c r="J5383" s="80">
        <v>1704.0</v>
      </c>
      <c r="K5383" s="80">
        <v>0.876994338651569</v>
      </c>
      <c r="L5383" s="80" t="s">
        <v>64</v>
      </c>
    </row>
    <row r="5384">
      <c r="A5384" s="80" t="s">
        <v>1670</v>
      </c>
      <c r="B5384" s="81" t="str">
        <f>HYPERLINK("https://www.youtube.com/channel/UC-PIt5m-WOg8UVBkt2RnN0g", "阿JACK睇樓團")</f>
        <v>阿JACK睇樓團</v>
      </c>
      <c r="C5384" s="80" t="s">
        <v>5844</v>
      </c>
      <c r="D5384" s="81" t="str">
        <f>HYPERLINK("https://youtube.com/watch?v=Ki_a2eme7TI", "GRAND JETÉ屯門飛揚 最後大直路 🛫準備開放示位今日先帶你到現場實測一下食🍻住🏡行⛳️ #Jack睇樓團 #屯門 #飛揚 #青山公路 #GRANDJETÉ #飛揚GRANDJETÉ")</f>
        <v>GRAND JETÉ屯門飛揚 最後大直路 🛫準備開放示位今日先帶你到現場實測一下食🍻住🏡行⛳️ #Jack睇樓團 #屯門 #飛揚 #青山公路 #GRANDJETÉ #飛揚GRANDJETÉ</v>
      </c>
      <c r="E5384" s="82">
        <v>44725.0</v>
      </c>
      <c r="F5384" s="80">
        <v>800.0</v>
      </c>
      <c r="G5384" s="80" t="s">
        <v>63</v>
      </c>
      <c r="I5384" s="80" t="s">
        <v>63</v>
      </c>
      <c r="J5384" s="80">
        <v>2446.0</v>
      </c>
      <c r="K5384" s="80">
        <v>0.989482200647249</v>
      </c>
      <c r="L5384" s="80" t="s">
        <v>1074</v>
      </c>
    </row>
    <row r="5385">
      <c r="A5385" s="80" t="s">
        <v>74</v>
      </c>
      <c r="B5385" s="81" t="str">
        <f>HYPERLINK("https://www.youtube.com/channel/UCO_5XP-qd-udNxBlzzSzgvw", "Handline Fishing")</f>
        <v>Handline Fishing</v>
      </c>
      <c r="C5385" s="80" t="s">
        <v>5845</v>
      </c>
      <c r="D5385" s="81" t="str">
        <f>HYPERLINK("https://youtube.com/watch?v=J-GKMRj-ixw", "#282 征戰長洲外 | 香港釣魚 | 艇釣 | 長洲外 {粵語旁白}")</f>
        <v>#282 征戰長洲外 | 香港釣魚 | 艇釣 | 長洲外 {粵語旁白}</v>
      </c>
      <c r="E5385" s="82">
        <v>44739.0</v>
      </c>
      <c r="F5385" s="80">
        <v>485.0</v>
      </c>
      <c r="G5385" s="80" t="s">
        <v>63</v>
      </c>
      <c r="H5385" s="80" t="s">
        <v>63</v>
      </c>
      <c r="I5385" s="80" t="s">
        <v>63</v>
      </c>
      <c r="J5385" s="80">
        <v>399.0</v>
      </c>
      <c r="K5385" s="80">
        <v>0.966101694915254</v>
      </c>
      <c r="L5385" s="80" t="s">
        <v>2175</v>
      </c>
    </row>
    <row r="5386">
      <c r="A5386" s="80" t="s">
        <v>124</v>
      </c>
      <c r="B5386" s="81" t="str">
        <f>HYPERLINK("https://www.youtube.com/channel/UCg0vuSE0fBF_NvodyYhMcWg", "Wallace Studio HK")</f>
        <v>Wallace Studio HK</v>
      </c>
      <c r="C5386" s="80" t="s">
        <v>5846</v>
      </c>
      <c r="D5386" s="81" t="str">
        <f>HYPERLINK("https://youtube.com/watch?v=PJAddaXnWVM", "Microsoft Surface Laptop Studio 終極評測！設計一流！但能否襯得起專業用戶？")</f>
        <v>Microsoft Surface Laptop Studio 終極評測！設計一流！但能否襯得起專業用戶？</v>
      </c>
      <c r="E5386" s="82">
        <v>44738.0</v>
      </c>
      <c r="F5386" s="80">
        <v>1065.0</v>
      </c>
      <c r="G5386" s="80" t="s">
        <v>63</v>
      </c>
      <c r="I5386" s="80" t="s">
        <v>63</v>
      </c>
      <c r="J5386" s="80">
        <v>4035.0</v>
      </c>
      <c r="K5386" s="80">
        <v>0.731375747688961</v>
      </c>
      <c r="L5386" s="80" t="s">
        <v>64</v>
      </c>
    </row>
    <row r="5387">
      <c r="A5387" s="80" t="s">
        <v>2800</v>
      </c>
      <c r="B5387" s="81" t="str">
        <f>HYPERLINK("https://www.youtube.com/channel/UCMqrlsr-AECPc6_3oDr8m9w", "Unicorn 獸哥")</f>
        <v>Unicorn 獸哥</v>
      </c>
      <c r="C5387" s="80" t="s">
        <v>5847</v>
      </c>
      <c r="D5387" s="81" t="str">
        <f>HYPERLINK("https://youtube.com/watch?v=iq1tSmQScig", "【劇評】有情懷就想當Fans弱智？obi wan kenobi 狂屌60秒！")</f>
        <v>【劇評】有情懷就想當Fans弱智？obi wan kenobi 狂屌60秒！</v>
      </c>
      <c r="E5387" s="82">
        <v>44740.0</v>
      </c>
      <c r="F5387" s="80">
        <v>451.0</v>
      </c>
      <c r="G5387" s="80" t="s">
        <v>63</v>
      </c>
      <c r="I5387" s="80" t="s">
        <v>63</v>
      </c>
      <c r="J5387" s="80">
        <v>1634.0</v>
      </c>
      <c r="K5387" s="80">
        <v>0.73142345568487</v>
      </c>
      <c r="L5387" s="80" t="s">
        <v>64</v>
      </c>
    </row>
    <row r="5388">
      <c r="A5388" s="80" t="s">
        <v>248</v>
      </c>
      <c r="B5388" s="81" t="str">
        <f t="shared" ref="B5388:B5389" si="291">HYPERLINK("https://www.youtube.com/channel/UCUEJok-GiWaGlv5nIPwk-GQ", "Price.com.hk 香港格價網")</f>
        <v>Price.com.hk 香港格價網</v>
      </c>
      <c r="C5388" s="80" t="s">
        <v>5848</v>
      </c>
      <c r="D5388" s="81" t="str">
        <f>HYPERLINK("https://youtube.com/watch?v=I_48h9_v7Lk", "復古靚聲！ Fender Indio 2 便攜式藍牙喇叭評測｜經典結他Amp設計、Party / Duo 立體聲模式｜特約專題｜廣東話【Price.com.hk產品評測】")</f>
        <v>復古靚聲！ Fender Indio 2 便攜式藍牙喇叭評測｜經典結他Amp設計、Party / Duo 立體聲模式｜特約專題｜廣東話【Price.com.hk產品評測】</v>
      </c>
      <c r="E5388" s="82">
        <v>44736.0</v>
      </c>
      <c r="F5388" s="80">
        <v>379.0</v>
      </c>
      <c r="G5388" s="80" t="s">
        <v>63</v>
      </c>
      <c r="I5388" s="80" t="s">
        <v>63</v>
      </c>
      <c r="J5388" s="80">
        <v>1251.0</v>
      </c>
      <c r="K5388" s="80">
        <v>0.805019305019305</v>
      </c>
      <c r="L5388" s="80" t="s">
        <v>64</v>
      </c>
    </row>
    <row r="5389">
      <c r="A5389" s="80" t="s">
        <v>248</v>
      </c>
      <c r="B5389" s="81" t="str">
        <f t="shared" si="291"/>
        <v>Price.com.hk 香港格價網</v>
      </c>
      <c r="C5389" s="80" t="s">
        <v>5849</v>
      </c>
      <c r="D5389" s="81" t="str">
        <f>HYPERLINK("https://youtube.com/watch?v=FwRGU-oSdaI", "日本製Acoustune入門、進階有線耳機 HS1750CU・HS1790TI｜Pentaconn Ear｜用後感｜Acoustune特約【Price.com.hk產品評測】")</f>
        <v>日本製Acoustune入門、進階有線耳機 HS1750CU・HS1790TI｜Pentaconn Ear｜用後感｜Acoustune特約【Price.com.hk產品評測】</v>
      </c>
      <c r="E5389" s="82">
        <v>44733.0</v>
      </c>
      <c r="F5389" s="80">
        <v>408.0</v>
      </c>
      <c r="G5389" s="80" t="s">
        <v>63</v>
      </c>
      <c r="I5389" s="80" t="s">
        <v>63</v>
      </c>
      <c r="J5389" s="80">
        <v>993.0</v>
      </c>
      <c r="K5389" s="80">
        <v>0.801452784503632</v>
      </c>
      <c r="L5389" s="80" t="s">
        <v>64</v>
      </c>
    </row>
    <row r="5390">
      <c r="A5390" s="80" t="s">
        <v>61</v>
      </c>
      <c r="B5390" s="81" t="str">
        <f>HYPERLINK("https://www.youtube.com/channel/UCJ4XVrJuqKHbc9yF9oUFseg", "MEeeep More")</f>
        <v>MEeeep More</v>
      </c>
      <c r="C5390" s="80" t="s">
        <v>5850</v>
      </c>
      <c r="D5390" s="81" t="str">
        <f>HYPERLINK("https://youtube.com/watch?v=ACdvk36bi74", "[入門手機] Nokia G21 開箱評測 | 罕有keep住3.5mm 插孔 + 外置 SD Card | nokiag21 nokia 平手機 平價手機推介2022香港")</f>
        <v>[入門手機] Nokia G21 開箱評測 | 罕有keep住3.5mm 插孔 + 外置 SD Card | nokiag21 nokia 平手機 平價手機推介2022香港</v>
      </c>
      <c r="E5390" s="82">
        <v>44733.0</v>
      </c>
      <c r="F5390" s="80">
        <v>205.0</v>
      </c>
      <c r="G5390" s="80" t="s">
        <v>63</v>
      </c>
      <c r="I5390" s="80" t="s">
        <v>63</v>
      </c>
      <c r="J5390" s="80">
        <v>582.0</v>
      </c>
      <c r="K5390" s="80">
        <v>0.784366576819407</v>
      </c>
      <c r="L5390" s="80" t="s">
        <v>64</v>
      </c>
    </row>
    <row r="5391">
      <c r="A5391" s="80" t="s">
        <v>755</v>
      </c>
      <c r="B5391" s="81" t="str">
        <f>HYPERLINK("https://www.youtube.com/channel/UCBiJDTc82IM68KVH873VeAw", "Live in Kwangsi廣西人·情·味")</f>
        <v>Live in Kwangsi廣西人·情·味</v>
      </c>
      <c r="C5391" s="80" t="s">
        <v>5851</v>
      </c>
      <c r="D5391" s="81" t="str">
        <f>HYPERLINK("https://youtube.com/watch?v=9VTb0Nw6Vhs", "轉個方式「享受」落雨天")</f>
        <v>轉個方式「享受」落雨天</v>
      </c>
      <c r="E5391" s="82">
        <v>44735.0</v>
      </c>
      <c r="F5391" s="80">
        <v>221.0</v>
      </c>
      <c r="G5391" s="80" t="s">
        <v>63</v>
      </c>
      <c r="I5391" s="80" t="s">
        <v>63</v>
      </c>
      <c r="J5391" s="80">
        <v>632.0</v>
      </c>
      <c r="K5391" s="80">
        <v>0.993710691823899</v>
      </c>
      <c r="L5391" s="80" t="s">
        <v>757</v>
      </c>
    </row>
    <row r="5392">
      <c r="A5392" s="80" t="s">
        <v>61</v>
      </c>
      <c r="B5392" s="81" t="str">
        <f>HYPERLINK("https://www.youtube.com/channel/UCJ4XVrJuqKHbc9yF9oUFseg", "MEeeep More")</f>
        <v>MEeeep More</v>
      </c>
      <c r="C5392" s="80" t="s">
        <v>5852</v>
      </c>
      <c r="D5392" s="81" t="str">
        <f>HYPERLINK("https://youtube.com/watch?v=BE01J_yTTr4", "【POCO F4】POCO 輕旗艋手機登場！即睇強勁配置 Snapdragon 870 電競手機 xiaomi poco f4 pocof4 pocophone 小米f4手機 小米開箱")</f>
        <v>【POCO F4】POCO 輕旗艋手機登場！即睇強勁配置 Snapdragon 870 電競手機 xiaomi poco f4 pocof4 pocophone 小米f4手機 小米開箱</v>
      </c>
      <c r="E5392" s="82">
        <v>44738.0</v>
      </c>
      <c r="F5392" s="80">
        <v>173.0</v>
      </c>
      <c r="G5392" s="80" t="s">
        <v>63</v>
      </c>
      <c r="I5392" s="80" t="s">
        <v>63</v>
      </c>
      <c r="J5392" s="80">
        <v>472.0</v>
      </c>
      <c r="K5392" s="80">
        <v>0.712990936555891</v>
      </c>
      <c r="L5392" s="80" t="s">
        <v>64</v>
      </c>
    </row>
    <row r="5393">
      <c r="A5393" s="80" t="s">
        <v>96</v>
      </c>
      <c r="B5393" s="81" t="str">
        <f>HYPERLINK("https://www.youtube.com/channel/UCGtyHJ-L_4RDIHe3XaLofQQ", "Anson Cheung")</f>
        <v>Anson Cheung</v>
      </c>
      <c r="C5393" s="80" t="s">
        <v>5853</v>
      </c>
      <c r="D5393" s="81" t="str">
        <f>HYPERLINK("https://youtube.com/watch?v=piuqO1_Hn-w", "$15,999 「入門」M1 Max 版 Mac Studio 已經夠快？值唔值得三萬元升級 M1 Ultra 晶片呢？｜Mac Studio 評測｜Anson Cheung")</f>
        <v>$15,999 「入門」M1 Max 版 Mac Studio 已經夠快？值唔值得三萬元升級 M1 Ultra 晶片呢？｜Mac Studio 評測｜Anson Cheung</v>
      </c>
      <c r="E5393" s="82">
        <v>44730.0</v>
      </c>
      <c r="F5393" s="80">
        <v>793.0</v>
      </c>
      <c r="G5393" s="80" t="s">
        <v>63</v>
      </c>
      <c r="I5393" s="80" t="s">
        <v>63</v>
      </c>
      <c r="J5393" s="80">
        <v>2713.0</v>
      </c>
      <c r="K5393" s="80">
        <v>0.548413179704871</v>
      </c>
      <c r="L5393" s="80" t="s">
        <v>102</v>
      </c>
    </row>
    <row r="5394">
      <c r="A5394" s="80" t="s">
        <v>5854</v>
      </c>
      <c r="B5394" s="81" t="str">
        <f>HYPERLINK("https://www.youtube.com/channel/UCiJnCs2K5gP-DXnMxlstC9A", "毛記電視")</f>
        <v>毛記電視</v>
      </c>
      <c r="C5394" s="80" t="s">
        <v>5855</v>
      </c>
      <c r="D5394" s="81" t="str">
        <f>HYPERLINK("https://youtube.com/watch?v=qPCZBOctKIY", "24/6《圍爐取戀》愛情與麵包の兩難抉擇")</f>
        <v>24/6《圍爐取戀》愛情與麵包の兩難抉擇</v>
      </c>
      <c r="E5394" s="82">
        <v>44736.0</v>
      </c>
      <c r="F5394" s="80">
        <v>794.0</v>
      </c>
      <c r="G5394" s="80" t="s">
        <v>63</v>
      </c>
      <c r="I5394" s="80" t="s">
        <v>63</v>
      </c>
      <c r="J5394" s="80">
        <v>4099.0</v>
      </c>
      <c r="K5394" s="80">
        <v>0.846900826446281</v>
      </c>
      <c r="L5394" s="80" t="s">
        <v>102</v>
      </c>
    </row>
    <row r="5395">
      <c r="A5395" s="80" t="s">
        <v>260</v>
      </c>
      <c r="B5395" s="81" t="str">
        <f>HYPERLINK("https://www.youtube.com/channel/UC-HXOikkLx7BGEfILGIpYOg", "港短 . 英移")</f>
        <v>港短 . 英移</v>
      </c>
      <c r="C5395" s="80" t="s">
        <v>5856</v>
      </c>
      <c r="D5395" s="81" t="str">
        <f>HYPERLINK("https://youtube.com/watch?v=OMwHHXJK3hI", "Hello意大利!! 開箱意大利南部【Day 1 Day2】活在當下 | 港短.英移 #意大利南部 #歐洲自遊行")</f>
        <v>Hello意大利!! 開箱意大利南部【Day 1 Day2】活在當下 | 港短.英移 #意大利南部 #歐洲自遊行</v>
      </c>
      <c r="E5395" s="82">
        <v>44729.0</v>
      </c>
      <c r="F5395" s="80">
        <v>431.0</v>
      </c>
      <c r="G5395" s="80" t="s">
        <v>63</v>
      </c>
      <c r="I5395" s="80" t="s">
        <v>63</v>
      </c>
      <c r="J5395" s="80">
        <v>1997.0</v>
      </c>
      <c r="K5395" s="80">
        <v>0.901173285198556</v>
      </c>
      <c r="L5395" s="80" t="s">
        <v>102</v>
      </c>
    </row>
    <row r="5396">
      <c r="A5396" s="80" t="s">
        <v>2841</v>
      </c>
      <c r="B5396" s="81" t="str">
        <f>HYPERLINK("https://www.youtube.com/channel/UCBYGm7Iz6ck8jeno5AFiriw", "Seafront TV")</f>
        <v>Seafront TV</v>
      </c>
      <c r="C5396" s="80" t="s">
        <v>5857</v>
      </c>
      <c r="D5396" s="81" t="str">
        <f>HYPERLINK("https://youtube.com/watch?v=3z8j0MJCihc", "【JUPAS♻️大家都係環保小先鋒🌲】科大理學士（環境管理及科技）HKUST BSc in EVMT🏭⚡️| #大學Major系列 Seafront TV🌊")</f>
        <v>【JUPAS♻️大家都係環保小先鋒🌲】科大理學士（環境管理及科技）HKUST BSc in EVMT🏭⚡️| #大學Major系列 Seafront TV🌊</v>
      </c>
      <c r="E5396" s="82">
        <v>44737.0</v>
      </c>
      <c r="F5396" s="80">
        <v>870.0</v>
      </c>
      <c r="G5396" s="80" t="s">
        <v>63</v>
      </c>
      <c r="I5396" s="80" t="s">
        <v>63</v>
      </c>
      <c r="J5396" s="80">
        <v>1825.0</v>
      </c>
      <c r="K5396" s="80">
        <v>0.508073496659242</v>
      </c>
      <c r="L5396" s="80" t="s">
        <v>102</v>
      </c>
    </row>
    <row r="5397">
      <c r="A5397" s="80" t="s">
        <v>248</v>
      </c>
      <c r="B5397" s="81" t="str">
        <f>HYPERLINK("https://www.youtube.com/channel/UCUEJok-GiWaGlv5nIPwk-GQ", "Price.com.hk 香港格價網")</f>
        <v>Price.com.hk 香港格價網</v>
      </c>
      <c r="C5397" s="80" t="s">
        <v>5858</v>
      </c>
      <c r="D5397" s="81" t="str">
        <f>HYPERLINK("https://youtube.com/watch?v=_o4F-wkFAl0", "三大旗艦級真無線耳機Astell&amp;Kern．B&amp;O．Sennheiser開箱實試 機身設計 佩戴感 操作 音質  降噪 通話 | 廣東話 | 耳機評測 【Price.com.hk產品比較】")</f>
        <v>三大旗艦級真無線耳機Astell&amp;Kern．B&amp;O．Sennheiser開箱實試 機身設計 佩戴感 操作 音質  降噪 通話 | 廣東話 | 耳機評測 【Price.com.hk產品比較】</v>
      </c>
      <c r="E5397" s="82">
        <v>44734.0</v>
      </c>
      <c r="F5397" s="80">
        <v>945.0</v>
      </c>
      <c r="G5397" s="80" t="s">
        <v>63</v>
      </c>
      <c r="I5397" s="80" t="s">
        <v>63</v>
      </c>
      <c r="J5397" s="80">
        <v>2691.0</v>
      </c>
      <c r="K5397" s="80">
        <v>0.812990936555891</v>
      </c>
      <c r="L5397" s="80" t="s">
        <v>64</v>
      </c>
    </row>
    <row r="5398">
      <c r="A5398" s="80" t="s">
        <v>129</v>
      </c>
      <c r="B5398" s="81" t="str">
        <f>HYPERLINK("https://www.youtube.com/channel/UCBbTnorwzva0ZIMGW0ttwVA", "阿豬 Ah Ju")</f>
        <v>阿豬 Ah Ju</v>
      </c>
      <c r="C5398" s="80" t="s">
        <v>5859</v>
      </c>
      <c r="D5398" s="81" t="str">
        <f>HYPERLINK("https://youtube.com/watch?v=UsUZEi_8c1A", "Youtuber究竟賺幾錢？ ｜ 移民後五個收入來源")</f>
        <v>Youtuber究竟賺幾錢？ ｜ 移民後五個收入來源</v>
      </c>
      <c r="E5398" s="82">
        <v>44732.0</v>
      </c>
      <c r="F5398" s="80">
        <v>484.0</v>
      </c>
      <c r="G5398" s="80" t="s">
        <v>63</v>
      </c>
      <c r="H5398" s="80" t="s">
        <v>63</v>
      </c>
      <c r="I5398" s="80" t="s">
        <v>63</v>
      </c>
      <c r="J5398" s="80">
        <v>1946.0</v>
      </c>
      <c r="K5398" s="80">
        <v>0.804132231404958</v>
      </c>
      <c r="L5398" s="80" t="s">
        <v>2017</v>
      </c>
    </row>
    <row r="5399">
      <c r="A5399" s="80" t="s">
        <v>260</v>
      </c>
      <c r="B5399" s="81" t="str">
        <f>HYPERLINK("https://www.youtube.com/channel/UC-HXOikkLx7BGEfILGIpYOg", "港短 . 英移")</f>
        <v>港短 . 英移</v>
      </c>
      <c r="C5399" s="80" t="s">
        <v>5860</v>
      </c>
      <c r="D5399" s="81" t="str">
        <f>HYPERLINK("https://youtube.com/watch?v=Ghhps9M6TwE", "愈簡單愈好食 開箱意大利南部【Day3 Day4】| 港短.英移 #意大利南部 #香港人在意大利")</f>
        <v>愈簡單愈好食 開箱意大利南部【Day3 Day4】| 港短.英移 #意大利南部 #香港人在意大利</v>
      </c>
      <c r="E5399" s="82">
        <v>44736.0</v>
      </c>
      <c r="F5399" s="80">
        <v>402.0</v>
      </c>
      <c r="G5399" s="80" t="s">
        <v>63</v>
      </c>
      <c r="I5399" s="80" t="s">
        <v>63</v>
      </c>
      <c r="J5399" s="80">
        <v>1807.0</v>
      </c>
      <c r="K5399" s="80">
        <v>0.944589649764767</v>
      </c>
      <c r="L5399" s="80" t="s">
        <v>102</v>
      </c>
    </row>
    <row r="5400">
      <c r="A5400" s="80" t="s">
        <v>755</v>
      </c>
      <c r="B5400" s="81" t="str">
        <f>HYPERLINK("https://www.youtube.com/channel/UCBiJDTc82IM68KVH873VeAw", "Live in Kwangsi廣西人·情·味")</f>
        <v>Live in Kwangsi廣西人·情·味</v>
      </c>
      <c r="C5400" s="80" t="s">
        <v>5861</v>
      </c>
      <c r="D5400" s="81" t="str">
        <f>HYPERLINK("https://youtube.com/watch?v=Ox0QSjkvKsk", "五大沙漠：戈壁沙漠、澳大利亞沙漠、利比亞沙漠、阿拉伯沙漠、撒哈拉沙漠")</f>
        <v>五大沙漠：戈壁沙漠、澳大利亞沙漠、利比亞沙漠、阿拉伯沙漠、撒哈拉沙漠</v>
      </c>
      <c r="E5400" s="82">
        <v>44732.0</v>
      </c>
      <c r="F5400" s="80">
        <v>500.0</v>
      </c>
      <c r="G5400" s="80" t="s">
        <v>63</v>
      </c>
      <c r="I5400" s="80" t="s">
        <v>63</v>
      </c>
      <c r="J5400" s="80">
        <v>1311.0</v>
      </c>
      <c r="K5400" s="80">
        <v>0.998476770753998</v>
      </c>
      <c r="L5400" s="80" t="s">
        <v>757</v>
      </c>
    </row>
    <row r="5401">
      <c r="A5401" s="80" t="s">
        <v>248</v>
      </c>
      <c r="B5401" s="81" t="str">
        <f>HYPERLINK("https://www.youtube.com/channel/UCUEJok-GiWaGlv5nIPwk-GQ", "Price.com.hk 香港格價網")</f>
        <v>Price.com.hk 香港格價網</v>
      </c>
      <c r="C5401" s="80" t="s">
        <v>5862</v>
      </c>
      <c r="D5401" s="81" t="str">
        <f>HYPERLINK("https://youtube.com/watch?v=9j8cgln7ztg", "商務電腦流動高效生產力之選 ｜ Microsoft Surface Pro 8 &amp; Laptop Studio應用攻略｜商務版及零售版分別? ｜廣東話｜特約專題【Price.com.hk產品評測】")</f>
        <v>商務電腦流動高效生產力之選 ｜ Microsoft Surface Pro 8 &amp; Laptop Studio應用攻略｜商務版及零售版分別? ｜廣東話｜特約專題【Price.com.hk產品評測】</v>
      </c>
      <c r="E5401" s="82">
        <v>44741.0</v>
      </c>
      <c r="F5401" s="80">
        <v>504.0</v>
      </c>
      <c r="G5401" s="80" t="s">
        <v>63</v>
      </c>
      <c r="I5401" s="80" t="s">
        <v>63</v>
      </c>
      <c r="J5401" s="80">
        <v>1683.0</v>
      </c>
      <c r="K5401" s="80">
        <v>0.612891478514202</v>
      </c>
      <c r="L5401" s="80" t="s">
        <v>64</v>
      </c>
    </row>
    <row r="5402">
      <c r="A5402" s="80" t="s">
        <v>755</v>
      </c>
      <c r="B5402" s="81" t="str">
        <f>HYPERLINK("https://www.youtube.com/channel/UCBiJDTc82IM68KVH873VeAw", "Live in Kwangsi廣西人·情·味")</f>
        <v>Live in Kwangsi廣西人·情·味</v>
      </c>
      <c r="C5402" s="80" t="s">
        <v>5863</v>
      </c>
      <c r="D5402" s="81" t="str">
        <f>HYPERLINK("https://youtube.com/watch?v=TH-2fI_Kgjk", "古明城內多語言介紹富川｜賀州市富川縣 20220610")</f>
        <v>古明城內多語言介紹富川｜賀州市富川縣 20220610</v>
      </c>
      <c r="E5402" s="82">
        <v>44728.0</v>
      </c>
      <c r="F5402" s="80">
        <v>188.0</v>
      </c>
      <c r="G5402" s="80" t="s">
        <v>63</v>
      </c>
      <c r="I5402" s="80" t="s">
        <v>63</v>
      </c>
      <c r="J5402" s="80">
        <v>58.0</v>
      </c>
      <c r="K5402" s="80">
        <v>1.0</v>
      </c>
      <c r="L5402" s="80" t="s">
        <v>757</v>
      </c>
    </row>
    <row r="5403">
      <c r="A5403" s="80" t="s">
        <v>2780</v>
      </c>
      <c r="B5403" s="81" t="str">
        <f>HYPERLINK("https://www.youtube.com/channel/UC0CojhLcc0VESgaG633m5kA", "RainErs")</f>
        <v>RainErs</v>
      </c>
      <c r="C5403" s="80" t="s">
        <v>5864</v>
      </c>
      <c r="D5403" s="81" t="str">
        <f>HYPERLINK("https://youtube.com/watch?v=4rF6VvDFKPo", "HomePod Mini Unboxing🍎//最有驚喜嘅蘋果產品🍎?//意想不到嘅方便!!//果粉必須買!![有CC字幕]")</f>
        <v>HomePod Mini Unboxing🍎//最有驚喜嘅蘋果產品🍎?//意想不到嘅方便!!//果粉必須買!![有CC字幕]</v>
      </c>
      <c r="E5403" s="82">
        <v>44727.0</v>
      </c>
      <c r="F5403" s="80">
        <v>527.0</v>
      </c>
      <c r="G5403" s="80" t="s">
        <v>63</v>
      </c>
      <c r="I5403" s="80" t="s">
        <v>63</v>
      </c>
      <c r="J5403" s="80">
        <v>2340.0</v>
      </c>
      <c r="K5403" s="80">
        <v>0.866987773249351</v>
      </c>
      <c r="L5403" s="80" t="s">
        <v>64</v>
      </c>
    </row>
    <row r="5404">
      <c r="A5404" s="80" t="s">
        <v>293</v>
      </c>
      <c r="B5404" s="81" t="str">
        <f>HYPERLINK("https://www.youtube.com/channel/UCXRcbXqjORdIvl63I7MtOLQ", "趁熱 Kerry 's kitchen")</f>
        <v>趁熱 Kerry 's kitchen</v>
      </c>
      <c r="C5404" s="80" t="s">
        <v>5865</v>
      </c>
      <c r="D5404" s="81" t="str">
        <f>HYPERLINK("https://youtube.com/watch?v=OHu7kK4m7nY", "蒜子叉燒醬炆門鱔/惹味好餸飯/少骨啖啖肉/海鱔超容易處理/簡單 家做/新手 入門/廣東話/中字")</f>
        <v>蒜子叉燒醬炆門鱔/惹味好餸飯/少骨啖啖肉/海鱔超容易處理/簡單 家做/新手 入門/廣東話/中字</v>
      </c>
      <c r="E5404" s="82">
        <v>44734.0</v>
      </c>
      <c r="F5404" s="80">
        <v>553.0</v>
      </c>
      <c r="G5404" s="80" t="s">
        <v>63</v>
      </c>
      <c r="I5404" s="80" t="s">
        <v>63</v>
      </c>
      <c r="J5404" s="80">
        <v>661.0</v>
      </c>
      <c r="K5404" s="80">
        <v>0.976366322008862</v>
      </c>
      <c r="L5404" s="80" t="s">
        <v>64</v>
      </c>
    </row>
    <row r="5405">
      <c r="A5405" s="80" t="s">
        <v>5866</v>
      </c>
      <c r="B5405" s="81" t="str">
        <f>HYPERLINK("https://www.youtube.com/channel/UCOPLu2jjrQ8bIgP9olEZ4lQ", "香港Vtuber宣傳大使")</f>
        <v>香港Vtuber宣傳大使</v>
      </c>
      <c r="C5405" s="80" t="s">
        <v>5867</v>
      </c>
      <c r="D5405" s="81" t="str">
        <f>HYPERLINK("https://youtube.com/watch?v=dsGNKcnTFiE", "【香港Vtuber精華/短片】Aisu版本凱婷潮文【小林あいす】")</f>
        <v>【香港Vtuber精華/短片】Aisu版本凱婷潮文【小林あいす】</v>
      </c>
      <c r="E5405" s="82">
        <v>44227.0</v>
      </c>
      <c r="F5405" s="80">
        <v>69.0</v>
      </c>
      <c r="G5405" s="80" t="s">
        <v>63</v>
      </c>
      <c r="I5405" s="80" t="s">
        <v>63</v>
      </c>
      <c r="J5405" s="80">
        <v>194.0</v>
      </c>
      <c r="K5405" s="80">
        <v>0.98477157360406</v>
      </c>
      <c r="L5405" s="80" t="s">
        <v>820</v>
      </c>
    </row>
    <row r="5406">
      <c r="A5406" s="80" t="s">
        <v>5868</v>
      </c>
      <c r="B5406" s="81" t="str">
        <f>HYPERLINK("https://www.youtube.com/channel/UCVvdX8wGBmCM9KerhiVu_Ig", "McFatty 麥花田")</f>
        <v>McFatty 麥花田</v>
      </c>
      <c r="C5406" s="80" t="s">
        <v>5869</v>
      </c>
      <c r="D5406" s="81" t="str">
        <f>HYPERLINK("https://youtube.com/watch?v=_qTiLkGGQuU", "乾煸四季豆 干扁四季豆 點解炸先好食？ 附廣東話字幕 Ep45")</f>
        <v>乾煸四季豆 干扁四季豆 點解炸先好食？ 附廣東話字幕 Ep45</v>
      </c>
      <c r="E5406" s="82">
        <v>44407.0</v>
      </c>
      <c r="F5406" s="80">
        <v>603.0</v>
      </c>
      <c r="G5406" s="80" t="s">
        <v>63</v>
      </c>
      <c r="I5406" s="80" t="s">
        <v>63</v>
      </c>
      <c r="J5406" s="80">
        <v>2384.0</v>
      </c>
      <c r="K5406" s="80">
        <v>0.95781438328646</v>
      </c>
      <c r="L5406" s="80" t="s">
        <v>102</v>
      </c>
    </row>
    <row r="5407">
      <c r="A5407" s="80" t="s">
        <v>248</v>
      </c>
      <c r="B5407" s="81" t="str">
        <f>HYPERLINK("https://www.youtube.com/channel/UCUEJok-GiWaGlv5nIPwk-GQ", "Price.com.hk 香港格價網")</f>
        <v>Price.com.hk 香港格價網</v>
      </c>
      <c r="C5407" s="80" t="s">
        <v>5870</v>
      </c>
      <c r="D5407" s="81" t="str">
        <f>HYPERLINK("https://youtube.com/watch?v=BZwdatdgsf4", "AirPods Pro 2 外觀曝光．Sony Inzone電競顯示器及耳機正式亮相．日本JDI研發90%透明顯示屏 | 廣東話【Price Weekly #121 2022年7月 】")</f>
        <v>AirPods Pro 2 外觀曝光．Sony Inzone電競顯示器及耳機正式亮相．日本JDI研發90%透明顯示屏 | 廣東話【Price Weekly #121 2022年7月 】</v>
      </c>
      <c r="E5407" s="82">
        <v>44744.0</v>
      </c>
      <c r="F5407" s="80">
        <v>515.0</v>
      </c>
      <c r="G5407" s="80" t="s">
        <v>63</v>
      </c>
      <c r="I5407" s="80" t="s">
        <v>63</v>
      </c>
      <c r="J5407" s="80">
        <v>1716.0</v>
      </c>
      <c r="K5407" s="80">
        <v>0.758285461776403</v>
      </c>
      <c r="L5407" s="80" t="s">
        <v>64</v>
      </c>
    </row>
    <row r="5408">
      <c r="A5408" s="80" t="s">
        <v>5866</v>
      </c>
      <c r="B5408" s="81" t="str">
        <f>HYPERLINK("https://www.youtube.com/channel/UCOPLu2jjrQ8bIgP9olEZ4lQ", "香港Vtuber宣傳大使")</f>
        <v>香港Vtuber宣傳大使</v>
      </c>
      <c r="C5408" s="80" t="s">
        <v>5871</v>
      </c>
      <c r="D5408" s="81" t="str">
        <f>HYPERLINK("https://youtube.com/watch?v=lGWlKx3fLzE", "【如月ルミィ】身為偶像理所當然要識唱嘅歌【香港Vtuber精華/歌回】")</f>
        <v>【如月ルミィ】身為偶像理所當然要識唱嘅歌【香港Vtuber精華/歌回】</v>
      </c>
      <c r="E5408" s="82">
        <v>44217.0</v>
      </c>
      <c r="F5408" s="80">
        <v>254.0</v>
      </c>
      <c r="G5408" s="80" t="s">
        <v>63</v>
      </c>
      <c r="I5408" s="80" t="s">
        <v>63</v>
      </c>
      <c r="J5408" s="80">
        <v>123.0</v>
      </c>
      <c r="K5408" s="80">
        <v>0.715116279069767</v>
      </c>
      <c r="L5408" s="80" t="s">
        <v>820</v>
      </c>
    </row>
    <row r="5409">
      <c r="A5409" s="80" t="s">
        <v>5868</v>
      </c>
      <c r="B5409" s="81" t="str">
        <f>HYPERLINK("https://www.youtube.com/channel/UCVvdX8wGBmCM9KerhiVu_Ig", "McFatty 麥花田")</f>
        <v>McFatty 麥花田</v>
      </c>
      <c r="C5409" s="80" t="s">
        <v>5872</v>
      </c>
      <c r="D5409" s="81" t="str">
        <f>HYPERLINK("https://youtube.com/watch?v=0-C665P82Hs", "盆菜 自家製盆菜 省錢高水準 附廣東話字幕 Ep14")</f>
        <v>盆菜 自家製盆菜 省錢高水準 附廣東話字幕 Ep14</v>
      </c>
      <c r="E5409" s="82">
        <v>44189.0</v>
      </c>
      <c r="F5409" s="80">
        <v>1082.0</v>
      </c>
      <c r="G5409" s="80" t="s">
        <v>63</v>
      </c>
      <c r="I5409" s="80" t="s">
        <v>63</v>
      </c>
      <c r="J5409" s="80">
        <v>4391.0</v>
      </c>
      <c r="K5409" s="80">
        <v>0.972320637732506</v>
      </c>
      <c r="L5409" s="80" t="s">
        <v>102</v>
      </c>
    </row>
    <row r="5410">
      <c r="A5410" s="80" t="s">
        <v>2841</v>
      </c>
      <c r="B5410" s="81" t="str">
        <f>HYPERLINK("https://www.youtube.com/channel/UCBYGm7Iz6ck8jeno5AFiriw", "Seafront TV")</f>
        <v>Seafront TV</v>
      </c>
      <c r="C5410" s="80" t="s">
        <v>5873</v>
      </c>
      <c r="D5410" s="81" t="str">
        <f>HYPERLINK("https://youtube.com/watch?v=u-1E6mgRrNM", "【成科得一個畢業生？！ 居然同科大3大學院都有關係 超越Dual Degree嘅神科？】科大理學士（綜合系統與設計）HKUST BSc in ISD| #大學Major系列 Seafront TV🌊")</f>
        <v>【成科得一個畢業生？！ 居然同科大3大學院都有關係 超越Dual Degree嘅神科？】科大理學士（綜合系統與設計）HKUST BSc in ISD| #大學Major系列 Seafront TV🌊</v>
      </c>
      <c r="E5410" s="82">
        <v>44744.0</v>
      </c>
      <c r="F5410" s="80">
        <v>1455.0</v>
      </c>
      <c r="G5410" s="80" t="s">
        <v>63</v>
      </c>
      <c r="I5410" s="80" t="s">
        <v>63</v>
      </c>
      <c r="J5410" s="80">
        <v>4313.0</v>
      </c>
      <c r="K5410" s="80">
        <v>0.550408371618172</v>
      </c>
      <c r="L5410" s="80" t="s">
        <v>102</v>
      </c>
    </row>
    <row r="5411">
      <c r="A5411" s="80" t="s">
        <v>5874</v>
      </c>
      <c r="B5411" s="81" t="str">
        <f t="shared" ref="B5411:B5418" si="292">HYPERLINK("https://www.youtube.com/channel/UCRlq4EUzB7RUBiaX_ax5Ylw", "啡啡channel")</f>
        <v>啡啡channel</v>
      </c>
      <c r="C5411" s="80" t="s">
        <v>5875</v>
      </c>
      <c r="D5411" s="81" t="str">
        <f>HYPERLINK("https://youtube.com/watch?v=XxQf6zHMe2M", "Boxing Day 啡啡同你拆禮物🎁 (廣東話)(廣東話字幕)")</f>
        <v>Boxing Day 啡啡同你拆禮物🎁 (廣東話)(廣東話字幕)</v>
      </c>
      <c r="E5411" s="82">
        <v>44193.0</v>
      </c>
      <c r="F5411" s="80">
        <v>374.0</v>
      </c>
      <c r="G5411" s="80" t="s">
        <v>63</v>
      </c>
      <c r="I5411" s="80" t="s">
        <v>63</v>
      </c>
      <c r="J5411" s="80">
        <v>540.0</v>
      </c>
      <c r="K5411" s="80">
        <v>0.786026200873362</v>
      </c>
      <c r="L5411" s="80" t="s">
        <v>64</v>
      </c>
    </row>
    <row r="5412">
      <c r="A5412" s="80" t="s">
        <v>5874</v>
      </c>
      <c r="B5412" s="81" t="str">
        <f t="shared" si="292"/>
        <v>啡啡channel</v>
      </c>
      <c r="C5412" s="80" t="s">
        <v>5876</v>
      </c>
      <c r="D5412" s="81" t="str">
        <f>HYPERLINK("https://youtube.com/watch?v=kFFKE9ppvE4", "試食卡樂B經典薯片 (廣東話)(廣東話字幕)")</f>
        <v>試食卡樂B經典薯片 (廣東話)(廣東話字幕)</v>
      </c>
      <c r="E5412" s="82">
        <v>44045.0</v>
      </c>
      <c r="F5412" s="80">
        <v>215.0</v>
      </c>
      <c r="G5412" s="80" t="s">
        <v>63</v>
      </c>
      <c r="I5412" s="80" t="s">
        <v>63</v>
      </c>
      <c r="J5412" s="80">
        <v>298.0</v>
      </c>
      <c r="K5412" s="80">
        <v>0.903030303030303</v>
      </c>
      <c r="L5412" s="80" t="s">
        <v>64</v>
      </c>
    </row>
    <row r="5413">
      <c r="A5413" s="80" t="s">
        <v>5874</v>
      </c>
      <c r="B5413" s="81" t="str">
        <f t="shared" si="292"/>
        <v>啡啡channel</v>
      </c>
      <c r="C5413" s="80" t="s">
        <v>5877</v>
      </c>
      <c r="D5413" s="81" t="str">
        <f>HYPERLINK("https://youtube.com/watch?v=8-Ztml7UOo8", "LEGO節日倒數禮盒開箱 (廣東話)(廣東話字幕)")</f>
        <v>LEGO節日倒數禮盒開箱 (廣東話)(廣東話字幕)</v>
      </c>
      <c r="E5413" s="82">
        <v>44189.0</v>
      </c>
      <c r="F5413" s="80">
        <v>577.0</v>
      </c>
      <c r="G5413" s="80" t="s">
        <v>63</v>
      </c>
      <c r="I5413" s="80" t="s">
        <v>63</v>
      </c>
      <c r="J5413" s="80">
        <v>326.0</v>
      </c>
      <c r="K5413" s="80">
        <v>0.910614525139664</v>
      </c>
      <c r="L5413" s="80" t="s">
        <v>64</v>
      </c>
    </row>
    <row r="5414">
      <c r="A5414" s="80" t="s">
        <v>5874</v>
      </c>
      <c r="B5414" s="81" t="str">
        <f t="shared" si="292"/>
        <v>啡啡channel</v>
      </c>
      <c r="C5414" s="80" t="s">
        <v>5878</v>
      </c>
      <c r="D5414" s="81" t="str">
        <f>HYPERLINK("https://youtube.com/watch?v=bJ44XiR35Y4", "河尻圭吾展覽•海港城 (廣東話)(廣東話字幕)")</f>
        <v>河尻圭吾展覽•海港城 (廣東話)(廣東話字幕)</v>
      </c>
      <c r="E5414" s="82">
        <v>44041.0</v>
      </c>
      <c r="F5414" s="80">
        <v>124.0</v>
      </c>
      <c r="G5414" s="80" t="s">
        <v>63</v>
      </c>
      <c r="I5414" s="80" t="s">
        <v>63</v>
      </c>
      <c r="J5414" s="80">
        <v>191.0</v>
      </c>
      <c r="K5414" s="80">
        <v>0.940886699507389</v>
      </c>
      <c r="L5414" s="80" t="s">
        <v>64</v>
      </c>
    </row>
    <row r="5415">
      <c r="A5415" s="80" t="s">
        <v>5874</v>
      </c>
      <c r="B5415" s="81" t="str">
        <f t="shared" si="292"/>
        <v>啡啡channel</v>
      </c>
      <c r="C5415" s="80" t="s">
        <v>5879</v>
      </c>
      <c r="D5415" s="81" t="str">
        <f>HYPERLINK("https://youtube.com/watch?v=2BPnN8UTYoo", "啡啡探病記 Lego Disney Set 43172 (廣東話)(廣東話字幕)")</f>
        <v>啡啡探病記 Lego Disney Set 43172 (廣東話)(廣東話字幕)</v>
      </c>
      <c r="E5415" s="82">
        <v>44074.0</v>
      </c>
      <c r="F5415" s="80">
        <v>251.0</v>
      </c>
      <c r="G5415" s="80" t="s">
        <v>63</v>
      </c>
      <c r="I5415" s="80" t="s">
        <v>63</v>
      </c>
      <c r="J5415" s="80">
        <v>362.0</v>
      </c>
      <c r="K5415" s="80">
        <v>0.731313131313131</v>
      </c>
      <c r="L5415" s="80" t="s">
        <v>64</v>
      </c>
    </row>
    <row r="5416">
      <c r="A5416" s="80" t="s">
        <v>5874</v>
      </c>
      <c r="B5416" s="81" t="str">
        <f t="shared" si="292"/>
        <v>啡啡channel</v>
      </c>
      <c r="C5416" s="80" t="s">
        <v>5880</v>
      </c>
      <c r="D5416" s="81" t="str">
        <f>HYPERLINK("https://youtube.com/watch?v=ZQbuibllxcY", "初生妹妹拍攝日(廣東話)(廣東話字幕)")</f>
        <v>初生妹妹拍攝日(廣東話)(廣東話字幕)</v>
      </c>
      <c r="E5416" s="82">
        <v>43990.0</v>
      </c>
      <c r="F5416" s="80">
        <v>209.0</v>
      </c>
      <c r="G5416" s="80" t="s">
        <v>63</v>
      </c>
      <c r="I5416" s="80" t="s">
        <v>63</v>
      </c>
      <c r="J5416" s="80">
        <v>115.0</v>
      </c>
      <c r="K5416" s="80">
        <v>0.85820895522388</v>
      </c>
      <c r="L5416" s="80" t="s">
        <v>64</v>
      </c>
    </row>
    <row r="5417">
      <c r="A5417" s="80" t="s">
        <v>5874</v>
      </c>
      <c r="B5417" s="81" t="str">
        <f t="shared" si="292"/>
        <v>啡啡channel</v>
      </c>
      <c r="C5417" s="80" t="s">
        <v>5881</v>
      </c>
      <c r="D5417" s="81" t="str">
        <f>HYPERLINK("https://youtube.com/watch?v=PS7VTOZ8_J0", "啡啡Q&amp;A 6歲生日會心情13問 (廣東話)")</f>
        <v>啡啡Q&amp;A 6歲生日會心情13問 (廣東話)</v>
      </c>
      <c r="E5417" s="82">
        <v>44347.0</v>
      </c>
      <c r="F5417" s="80">
        <v>414.0</v>
      </c>
      <c r="G5417" s="80" t="s">
        <v>63</v>
      </c>
      <c r="I5417" s="80" t="s">
        <v>63</v>
      </c>
      <c r="J5417" s="80">
        <v>96.0</v>
      </c>
      <c r="K5417" s="80">
        <v>0.969696969696969</v>
      </c>
      <c r="L5417" s="80" t="s">
        <v>64</v>
      </c>
    </row>
    <row r="5418">
      <c r="A5418" s="80" t="s">
        <v>5874</v>
      </c>
      <c r="B5418" s="81" t="str">
        <f t="shared" si="292"/>
        <v>啡啡channel</v>
      </c>
      <c r="C5418" s="80" t="s">
        <v>5882</v>
      </c>
      <c r="D5418" s="81" t="str">
        <f>HYPERLINK("https://youtube.com/watch?v=mSAg3VRie-s", "5歲小朋友教你《集合啦! 動物森友會》入門初階「釣魚、變賣、撲蝶、學習技能!」Animal Crossing (廣東話)(廣東話字幕)")</f>
        <v>5歲小朋友教你《集合啦! 動物森友會》入門初階「釣魚、變賣、撲蝶、學習技能!」Animal Crossing (廣東話)(廣東話字幕)</v>
      </c>
      <c r="E5418" s="82">
        <v>43968.0</v>
      </c>
      <c r="F5418" s="80">
        <v>908.0</v>
      </c>
      <c r="G5418" s="80" t="s">
        <v>63</v>
      </c>
      <c r="I5418" s="80" t="s">
        <v>63</v>
      </c>
      <c r="J5418" s="80">
        <v>1104.0</v>
      </c>
      <c r="K5418" s="80">
        <v>0.924623115577889</v>
      </c>
      <c r="L5418" s="80" t="s">
        <v>64</v>
      </c>
    </row>
    <row r="5419">
      <c r="A5419" s="80" t="s">
        <v>3048</v>
      </c>
      <c r="B5419" s="81" t="str">
        <f>HYPERLINK("https://www.youtube.com/channel/UCHiP6GctzJdIkYP20_9k-zg", "英倫。美景 about.the.england")</f>
        <v>英倫。美景 about.the.england</v>
      </c>
      <c r="C5419" s="80" t="s">
        <v>5883</v>
      </c>
      <c r="D5419" s="81" t="str">
        <f>HYPERLINK("https://youtube.com/watch?v=1Tg2MmB6ktI", "🦸‍♂️搬家點搵大力士?💪英國搬家搵「Man &amp; Van」簡單分享")</f>
        <v>🦸‍♂️搬家點搵大力士?💪英國搬家搵「Man &amp; Van」簡單分享</v>
      </c>
      <c r="E5419" s="82">
        <v>44745.0</v>
      </c>
      <c r="F5419" s="80">
        <v>366.0</v>
      </c>
      <c r="G5419" s="80" t="s">
        <v>63</v>
      </c>
      <c r="I5419" s="80" t="s">
        <v>63</v>
      </c>
      <c r="J5419" s="80">
        <v>1131.0</v>
      </c>
      <c r="K5419" s="80">
        <v>0.847826086956521</v>
      </c>
      <c r="L5419" s="80" t="s">
        <v>64</v>
      </c>
    </row>
    <row r="5420">
      <c r="A5420" s="80" t="s">
        <v>61</v>
      </c>
      <c r="B5420" s="81" t="str">
        <f>HYPERLINK("https://www.youtube.com/channel/UCJ4XVrJuqKHbc9yF9oUFseg", "MEeeep More")</f>
        <v>MEeeep More</v>
      </c>
      <c r="C5420" s="80" t="s">
        <v>5884</v>
      </c>
      <c r="D5420" s="81" t="str">
        <f>HYPERLINK("https://youtube.com/watch?v=gwhHsHegfhA", "Xiaomi 12S Ultra | Lecia 認證 超強影像旗艦手機 硬撼iPhone | 12sultra leica 小米 Mi12SUltra 小米Leica Xiaomi12sUltra")</f>
        <v>Xiaomi 12S Ultra | Lecia 認證 超強影像旗艦手機 硬撼iPhone | 12sultra leica 小米 Mi12SUltra 小米Leica Xiaomi12sUltra</v>
      </c>
      <c r="E5420" s="82">
        <v>44747.0</v>
      </c>
      <c r="F5420" s="80">
        <v>172.0</v>
      </c>
      <c r="G5420" s="80" t="s">
        <v>63</v>
      </c>
      <c r="I5420" s="80" t="s">
        <v>63</v>
      </c>
      <c r="J5420" s="80">
        <v>429.0</v>
      </c>
      <c r="K5420" s="80">
        <v>0.696428571428571</v>
      </c>
      <c r="L5420" s="80" t="s">
        <v>64</v>
      </c>
    </row>
    <row r="5421">
      <c r="A5421" s="80" t="s">
        <v>5868</v>
      </c>
      <c r="B5421" s="81" t="str">
        <f>HYPERLINK("https://www.youtube.com/channel/UCVvdX8wGBmCM9KerhiVu_Ig", "McFatty 麥花田")</f>
        <v>McFatty 麥花田</v>
      </c>
      <c r="C5421" s="80" t="s">
        <v>5885</v>
      </c>
      <c r="D5421" s="81" t="str">
        <f>HYPERLINK("https://youtube.com/watch?v=MtHUBEMedBM", "XO醬西蘭花炒帶子 30分鐘完成 附廣東話字幕 Ep43")</f>
        <v>XO醬西蘭花炒帶子 30分鐘完成 附廣東話字幕 Ep43</v>
      </c>
      <c r="E5421" s="82">
        <v>44395.0</v>
      </c>
      <c r="F5421" s="80">
        <v>508.0</v>
      </c>
      <c r="G5421" s="80" t="s">
        <v>63</v>
      </c>
      <c r="I5421" s="80" t="s">
        <v>63</v>
      </c>
      <c r="J5421" s="80">
        <v>2027.0</v>
      </c>
      <c r="K5421" s="80">
        <v>0.948082319925163</v>
      </c>
      <c r="L5421" s="80" t="s">
        <v>102</v>
      </c>
    </row>
    <row r="5422">
      <c r="A5422" s="80" t="s">
        <v>5874</v>
      </c>
      <c r="B5422" s="81" t="str">
        <f t="shared" ref="B5422:B5423" si="293">HYPERLINK("https://www.youtube.com/channel/UCRlq4EUzB7RUBiaX_ax5Ylw", "啡啡channel")</f>
        <v>啡啡channel</v>
      </c>
      <c r="C5422" s="80" t="s">
        <v>5886</v>
      </c>
      <c r="D5422" s="81" t="str">
        <f>HYPERLINK("https://youtube.com/watch?v=mQwqiFPBVz4", "LEGO Banana Man 香蕉人")</f>
        <v>LEGO Banana Man 香蕉人</v>
      </c>
      <c r="E5422" s="82">
        <v>44269.0</v>
      </c>
      <c r="F5422" s="80">
        <v>226.0</v>
      </c>
      <c r="G5422" s="80" t="s">
        <v>63</v>
      </c>
      <c r="I5422" s="80" t="s">
        <v>63</v>
      </c>
      <c r="J5422" s="80">
        <v>55.0</v>
      </c>
      <c r="K5422" s="80">
        <v>0.625</v>
      </c>
      <c r="L5422" s="80" t="s">
        <v>64</v>
      </c>
    </row>
    <row r="5423">
      <c r="A5423" s="80" t="s">
        <v>5874</v>
      </c>
      <c r="B5423" s="81" t="str">
        <f t="shared" si="293"/>
        <v>啡啡channel</v>
      </c>
      <c r="C5423" s="80" t="s">
        <v>5887</v>
      </c>
      <c r="D5423" s="81" t="str">
        <f>HYPERLINK("https://youtube.com/watch?v=iLvvZa02RWw", "三分鐘內無法製作的1:1日清合味道杯麵 4K版本 (廣東話)(廣東話字幕)")</f>
        <v>三分鐘內無法製作的1:1日清合味道杯麵 4K版本 (廣東話)(廣東話字幕)</v>
      </c>
      <c r="E5423" s="82">
        <v>44121.0</v>
      </c>
      <c r="F5423" s="80">
        <v>400.0</v>
      </c>
      <c r="G5423" s="80" t="s">
        <v>63</v>
      </c>
      <c r="I5423" s="80" t="s">
        <v>63</v>
      </c>
      <c r="J5423" s="80">
        <v>610.0</v>
      </c>
      <c r="K5423" s="80">
        <v>0.942812982998454</v>
      </c>
      <c r="L5423" s="80" t="s">
        <v>64</v>
      </c>
    </row>
    <row r="5424">
      <c r="A5424" s="80" t="s">
        <v>5868</v>
      </c>
      <c r="B5424" s="81" t="str">
        <f>HYPERLINK("https://www.youtube.com/channel/UCVvdX8wGBmCM9KerhiVu_Ig", "McFatty 麥花田")</f>
        <v>McFatty 麥花田</v>
      </c>
      <c r="C5424" s="80" t="s">
        <v>5888</v>
      </c>
      <c r="D5424" s="81" t="str">
        <f>HYPERLINK("https://youtube.com/watch?v=YmEGgd2zSZQ", "越式湯河 越式牛肉湯河 Pho~  Instant Pot 壓力煲版 附廣東話字幕 Ep49")</f>
        <v>越式湯河 越式牛肉湯河 Pho~  Instant Pot 壓力煲版 附廣東話字幕 Ep49</v>
      </c>
      <c r="E5424" s="82">
        <v>44440.0</v>
      </c>
      <c r="F5424" s="80">
        <v>850.0</v>
      </c>
      <c r="G5424" s="80" t="s">
        <v>63</v>
      </c>
      <c r="I5424" s="80" t="s">
        <v>63</v>
      </c>
      <c r="J5424" s="80">
        <v>3421.0</v>
      </c>
      <c r="K5424" s="80">
        <v>0.954786491766676</v>
      </c>
      <c r="L5424" s="80" t="s">
        <v>102</v>
      </c>
    </row>
    <row r="5425">
      <c r="A5425" s="80" t="s">
        <v>96</v>
      </c>
      <c r="B5425" s="81" t="str">
        <f>HYPERLINK("https://www.youtube.com/channel/UCGtyHJ-L_4RDIHe3XaLofQQ", "Anson Cheung")</f>
        <v>Anson Cheung</v>
      </c>
      <c r="C5425" s="80" t="s">
        <v>5889</v>
      </c>
      <c r="D5425" s="81" t="str">
        <f>HYPERLINK("https://youtube.com/watch?v=5NuVLibd6PA", "買 WF-1000xM4 之前睇咗呢條片先！Sony LinkBuds S 評測")</f>
        <v>買 WF-1000xM4 之前睇咗呢條片先！Sony LinkBuds S 評測</v>
      </c>
      <c r="E5425" s="82">
        <v>44743.0</v>
      </c>
      <c r="F5425" s="80">
        <v>677.0</v>
      </c>
      <c r="G5425" s="80" t="s">
        <v>63</v>
      </c>
      <c r="I5425" s="80" t="s">
        <v>63</v>
      </c>
      <c r="J5425" s="80">
        <v>2291.0</v>
      </c>
      <c r="K5425" s="80">
        <v>0.626469783975936</v>
      </c>
      <c r="L5425" s="80" t="s">
        <v>102</v>
      </c>
    </row>
    <row r="5426">
      <c r="A5426" s="80" t="s">
        <v>260</v>
      </c>
      <c r="B5426" s="81" t="str">
        <f>HYPERLINK("https://www.youtube.com/channel/UC-HXOikkLx7BGEfILGIpYOg", "港短 . 英移")</f>
        <v>港短 . 英移</v>
      </c>
      <c r="C5426" s="80" t="s">
        <v>5890</v>
      </c>
      <c r="D5426" s="81" t="str">
        <f>HYPERLINK("https://youtube.com/watch?v=hCRNbI-jwU0", "我們英國的第一個家 |  港短.英移​ #英國移民 #移民英國港人 #英國生活")</f>
        <v>我們英國的第一個家 |  港短.英移​ #英國移民 #移民英國港人 #英國生活</v>
      </c>
      <c r="E5426" s="82">
        <v>44743.0</v>
      </c>
      <c r="F5426" s="80">
        <v>510.0</v>
      </c>
      <c r="G5426" s="80" t="s">
        <v>63</v>
      </c>
      <c r="I5426" s="80" t="s">
        <v>63</v>
      </c>
      <c r="J5426" s="80">
        <v>2281.0</v>
      </c>
      <c r="K5426" s="80">
        <v>0.821094312455003</v>
      </c>
      <c r="L5426" s="80" t="s">
        <v>102</v>
      </c>
    </row>
    <row r="5427">
      <c r="A5427" s="80" t="s">
        <v>5874</v>
      </c>
      <c r="B5427" s="81" t="str">
        <f>HYPERLINK("https://www.youtube.com/channel/UCRlq4EUzB7RUBiaX_ax5Ylw", "啡啡channel")</f>
        <v>啡啡channel</v>
      </c>
      <c r="C5427" s="80" t="s">
        <v>5891</v>
      </c>
      <c r="D5427" s="81" t="str">
        <f>HYPERLINK("https://youtube.com/watch?v=mt1GljJlWMQ", "角落生物人物介紹 (廣東話)(廣東話字幕)")</f>
        <v>角落生物人物介紹 (廣東話)(廣東話字幕)</v>
      </c>
      <c r="E5427" s="82">
        <v>44142.0</v>
      </c>
      <c r="F5427" s="80">
        <v>204.0</v>
      </c>
      <c r="G5427" s="80" t="s">
        <v>63</v>
      </c>
      <c r="I5427" s="80" t="s">
        <v>63</v>
      </c>
      <c r="J5427" s="80">
        <v>400.0</v>
      </c>
      <c r="K5427" s="80">
        <v>0.963855421686747</v>
      </c>
      <c r="L5427" s="80" t="s">
        <v>64</v>
      </c>
    </row>
    <row r="5428">
      <c r="A5428" s="80" t="s">
        <v>5868</v>
      </c>
      <c r="B5428" s="81" t="str">
        <f>HYPERLINK("https://www.youtube.com/channel/UCVvdX8wGBmCM9KerhiVu_Ig", "McFatty 麥花田")</f>
        <v>McFatty 麥花田</v>
      </c>
      <c r="C5428" s="80" t="s">
        <v>5892</v>
      </c>
      <c r="D5428" s="81" t="str">
        <f>HYPERLINK("https://youtube.com/watch?v=Ak3Z_H65LFo", "脆皮燒腩仔 有冇焗爐都脆皮! 附廣東話字幕 Ep38")</f>
        <v>脆皮燒腩仔 有冇焗爐都脆皮! 附廣東話字幕 Ep38</v>
      </c>
      <c r="E5428" s="82">
        <v>44370.0</v>
      </c>
      <c r="F5428" s="80">
        <v>629.0</v>
      </c>
      <c r="G5428" s="80" t="s">
        <v>63</v>
      </c>
      <c r="I5428" s="80" t="s">
        <v>63</v>
      </c>
      <c r="J5428" s="80">
        <v>2423.0</v>
      </c>
      <c r="K5428" s="80">
        <v>0.949451410658307</v>
      </c>
      <c r="L5428" s="80" t="s">
        <v>102</v>
      </c>
    </row>
    <row r="5429">
      <c r="A5429" s="80" t="s">
        <v>5874</v>
      </c>
      <c r="B5429" s="81" t="str">
        <f t="shared" ref="B5429:B5431" si="294">HYPERLINK("https://www.youtube.com/channel/UCRlq4EUzB7RUBiaX_ax5Ylw", "啡啡channel")</f>
        <v>啡啡channel</v>
      </c>
      <c r="C5429" s="80" t="s">
        <v>5893</v>
      </c>
      <c r="D5429" s="81" t="str">
        <f>HYPERLINK("https://youtube.com/watch?v=jiHNAcBQw1w", "超級瑪利奧兄弟家具入侵動物之森 (廣東話) (廣東話字幕)")</f>
        <v>超級瑪利奧兄弟家具入侵動物之森 (廣東話) (廣東話字幕)</v>
      </c>
      <c r="E5429" s="82">
        <v>44245.0</v>
      </c>
      <c r="F5429" s="80">
        <v>83.0</v>
      </c>
      <c r="G5429" s="80" t="s">
        <v>63</v>
      </c>
      <c r="I5429" s="80" t="s">
        <v>63</v>
      </c>
      <c r="J5429" s="80">
        <v>163.0</v>
      </c>
      <c r="K5429" s="80">
        <v>0.844559585492228</v>
      </c>
      <c r="L5429" s="80" t="s">
        <v>64</v>
      </c>
    </row>
    <row r="5430">
      <c r="A5430" s="80" t="s">
        <v>5874</v>
      </c>
      <c r="B5430" s="81" t="str">
        <f t="shared" si="294"/>
        <v>啡啡channel</v>
      </c>
      <c r="C5430" s="80" t="s">
        <v>5894</v>
      </c>
      <c r="D5430" s="81" t="str">
        <f>HYPERLINK("https://youtube.com/watch?v=MQR6fNJZ6xE", "角落生物Nintendo Switch日版大富翁小遊戲 (廣東話)(廣東話字幕)")</f>
        <v>角落生物Nintendo Switch日版大富翁小遊戲 (廣東話)(廣東話字幕)</v>
      </c>
      <c r="E5430" s="82">
        <v>44252.0</v>
      </c>
      <c r="F5430" s="80">
        <v>3078.0</v>
      </c>
      <c r="G5430" s="80" t="s">
        <v>63</v>
      </c>
      <c r="I5430" s="80" t="s">
        <v>63</v>
      </c>
      <c r="J5430" s="80">
        <v>30.0</v>
      </c>
      <c r="K5430" s="80">
        <v>0.75</v>
      </c>
      <c r="L5430" s="80" t="s">
        <v>64</v>
      </c>
    </row>
    <row r="5431">
      <c r="A5431" s="80" t="s">
        <v>5874</v>
      </c>
      <c r="B5431" s="81" t="str">
        <f t="shared" si="294"/>
        <v>啡啡channel</v>
      </c>
      <c r="C5431" s="80" t="s">
        <v>5895</v>
      </c>
      <c r="D5431" s="81" t="str">
        <f>HYPERLINK("https://youtube.com/watch?v=iwN140cnlfA", "實試聖誕版桃哈多 (廣東話)(廣東話字幕)")</f>
        <v>實試聖誕版桃哈多 (廣東話)(廣東話字幕)</v>
      </c>
      <c r="E5431" s="82">
        <v>44196.0</v>
      </c>
      <c r="F5431" s="80">
        <v>180.0</v>
      </c>
      <c r="G5431" s="80" t="s">
        <v>63</v>
      </c>
      <c r="I5431" s="80" t="s">
        <v>63</v>
      </c>
      <c r="J5431" s="80">
        <v>196.0</v>
      </c>
      <c r="K5431" s="80">
        <v>0.915887850467289</v>
      </c>
      <c r="L5431" s="80" t="s">
        <v>64</v>
      </c>
    </row>
    <row r="5432">
      <c r="A5432" s="80" t="s">
        <v>5866</v>
      </c>
      <c r="B5432" s="81" t="str">
        <f>HYPERLINK("https://www.youtube.com/channel/UCOPLu2jjrQ8bIgP9olEZ4lQ", "香港Vtuber宣傳大使")</f>
        <v>香港Vtuber宣傳大使</v>
      </c>
      <c r="C5432" s="80" t="s">
        <v>5896</v>
      </c>
      <c r="D5432" s="81" t="str">
        <f>HYPERLINK("https://youtube.com/watch?v=S-WB9zg8XvU", "【香港Vtuber精華】飲醉酒嘅Aisu喵喵~【小林あいす】")</f>
        <v>【香港Vtuber精華】飲醉酒嘅Aisu喵喵~【小林あいす】</v>
      </c>
      <c r="E5432" s="82">
        <v>44227.0</v>
      </c>
      <c r="F5432" s="80">
        <v>306.0</v>
      </c>
      <c r="G5432" s="80" t="s">
        <v>63</v>
      </c>
      <c r="I5432" s="80" t="s">
        <v>63</v>
      </c>
      <c r="J5432" s="80">
        <v>377.0</v>
      </c>
      <c r="K5432" s="80">
        <v>0.845291479820627</v>
      </c>
      <c r="L5432" s="80" t="s">
        <v>820</v>
      </c>
    </row>
    <row r="5433">
      <c r="A5433" s="80" t="s">
        <v>293</v>
      </c>
      <c r="B5433" s="81" t="str">
        <f>HYPERLINK("https://www.youtube.com/channel/UCXRcbXqjORdIvl63I7MtOLQ", "趁熱 Kerry 's kitchen")</f>
        <v>趁熱 Kerry 's kitchen</v>
      </c>
      <c r="C5433" s="80" t="s">
        <v>5897</v>
      </c>
      <c r="D5433" s="81" t="str">
        <f>HYPERLINK("https://youtube.com/watch?v=f84x-nuKhCA", "黑椒/蒜蓉汁豬扒飯/醃軟豬扒竅門/茶記黑椒汁做法/簡單在家做得到/新手冇難度/廣東話/中字/pepper pork chop")</f>
        <v>黑椒/蒜蓉汁豬扒飯/醃軟豬扒竅門/茶記黑椒汁做法/簡單在家做得到/新手冇難度/廣東話/中字/pepper pork chop</v>
      </c>
      <c r="E5433" s="82">
        <v>44743.0</v>
      </c>
      <c r="F5433" s="80">
        <v>673.0</v>
      </c>
      <c r="G5433" s="80" t="s">
        <v>63</v>
      </c>
      <c r="I5433" s="80" t="s">
        <v>63</v>
      </c>
      <c r="J5433" s="80">
        <v>626.0</v>
      </c>
      <c r="K5433" s="80">
        <v>0.984276729559748</v>
      </c>
      <c r="L5433" s="80" t="s">
        <v>64</v>
      </c>
    </row>
    <row r="5434">
      <c r="A5434" s="80" t="s">
        <v>5868</v>
      </c>
      <c r="B5434" s="81" t="str">
        <f>HYPERLINK("https://www.youtube.com/channel/UCVvdX8wGBmCM9KerhiVu_Ig", "McFatty 麥花田")</f>
        <v>McFatty 麥花田</v>
      </c>
      <c r="C5434" s="80" t="s">
        <v>5898</v>
      </c>
      <c r="D5434" s="81" t="str">
        <f>HYPERLINK("https://youtube.com/watch?v=6S-qazztPAE", "花田炒腸粉 神秘食材竟然係？ 十分鐘食譜 附廣東話字幕 Ep50")</f>
        <v>花田炒腸粉 神秘食材竟然係？ 十分鐘食譜 附廣東話字幕 Ep50</v>
      </c>
      <c r="E5434" s="82">
        <v>44448.0</v>
      </c>
      <c r="F5434" s="80">
        <v>482.0</v>
      </c>
      <c r="G5434" s="80" t="s">
        <v>63</v>
      </c>
      <c r="I5434" s="80" t="s">
        <v>63</v>
      </c>
      <c r="J5434" s="80">
        <v>1803.0</v>
      </c>
      <c r="K5434" s="80">
        <v>0.943485086342229</v>
      </c>
      <c r="L5434" s="80" t="s">
        <v>102</v>
      </c>
    </row>
    <row r="5435">
      <c r="A5435" s="80" t="s">
        <v>61</v>
      </c>
      <c r="B5435" s="81" t="str">
        <f>HYPERLINK("https://www.youtube.com/channel/UCJ4XVrJuqKHbc9yF9oUFseg", "MEeeep More")</f>
        <v>MEeeep More</v>
      </c>
      <c r="C5435" s="80" t="s">
        <v>5899</v>
      </c>
      <c r="D5435" s="81" t="str">
        <f>HYPERLINK("https://youtube.com/watch?v=zGXvu5mW6EE", "Xiaomi 小米 筋膜按摩槍 開箱 | 鬆解深層肌肉痠痛 智能控制力度 | 按摩槍 小米按摩槍 小米有品")</f>
        <v>Xiaomi 小米 筋膜按摩槍 開箱 | 鬆解深層肌肉痠痛 智能控制力度 | 按摩槍 小米按摩槍 小米有品</v>
      </c>
      <c r="E5435" s="82">
        <v>44746.0</v>
      </c>
      <c r="F5435" s="80">
        <v>244.0</v>
      </c>
      <c r="G5435" s="80" t="s">
        <v>63</v>
      </c>
      <c r="I5435" s="80" t="s">
        <v>63</v>
      </c>
      <c r="J5435" s="80">
        <v>843.0</v>
      </c>
      <c r="K5435" s="80">
        <v>0.915309446254071</v>
      </c>
      <c r="L5435" s="80" t="s">
        <v>64</v>
      </c>
    </row>
    <row r="5436">
      <c r="A5436" s="80" t="s">
        <v>5874</v>
      </c>
      <c r="B5436" s="81" t="str">
        <f>HYPERLINK("https://www.youtube.com/channel/UCRlq4EUzB7RUBiaX_ax5Ylw", "啡啡channel")</f>
        <v>啡啡channel</v>
      </c>
      <c r="C5436" s="80" t="s">
        <v>5900</v>
      </c>
      <c r="D5436" s="81" t="str">
        <f>HYPERLINK("https://youtube.com/watch?v=gJOli3DZs_k", "快樂是一種能力 (廣東話)(廣東話字幕)")</f>
        <v>快樂是一種能力 (廣東話)(廣東話字幕)</v>
      </c>
      <c r="E5436" s="82">
        <v>44026.0</v>
      </c>
      <c r="F5436" s="80">
        <v>183.0</v>
      </c>
      <c r="G5436" s="80" t="s">
        <v>63</v>
      </c>
      <c r="I5436" s="80" t="s">
        <v>63</v>
      </c>
      <c r="J5436" s="80">
        <v>269.0</v>
      </c>
      <c r="K5436" s="80">
        <v>0.937282229965156</v>
      </c>
      <c r="L5436" s="80" t="s">
        <v>64</v>
      </c>
    </row>
    <row r="5437">
      <c r="A5437" s="80" t="s">
        <v>5901</v>
      </c>
      <c r="B5437" s="81" t="str">
        <f>HYPERLINK("https://www.youtube.com/channel/UCCa6OFUN6n0JB2FhnDxFSBA", "9BoThew 膠保廢")</f>
        <v>9BoThew 膠保廢</v>
      </c>
      <c r="C5437" s="80" t="s">
        <v>5902</v>
      </c>
      <c r="D5437" s="81" t="str">
        <f>HYPERLINK("https://youtube.com/watch?v=l3lOHva_cCI", "【9BT】蝦條人Prank！扮成蝦條山街上整蠱路人！零食店內扮零食！連RockGor都嚇埋？Feat. Rock哥")</f>
        <v>【9BT】蝦條人Prank！扮成蝦條山街上整蠱路人！零食店內扮零食！連RockGor都嚇埋？Feat. Rock哥</v>
      </c>
      <c r="E5437" s="82">
        <v>44399.0</v>
      </c>
      <c r="F5437" s="80">
        <v>726.0</v>
      </c>
      <c r="G5437" s="80" t="s">
        <v>63</v>
      </c>
      <c r="I5437" s="80" t="s">
        <v>63</v>
      </c>
      <c r="J5437" s="80">
        <v>1218.0</v>
      </c>
      <c r="K5437" s="80">
        <v>0.905576208178438</v>
      </c>
      <c r="L5437" s="80" t="s">
        <v>64</v>
      </c>
    </row>
    <row r="5438">
      <c r="A5438" s="80" t="s">
        <v>1533</v>
      </c>
      <c r="B5438" s="81" t="str">
        <f>HYPERLINK("https://www.youtube.com/channel/UC8KiyunvRWgmUb9OmisoBug", "3分鐘教學")</f>
        <v>3分鐘教學</v>
      </c>
      <c r="C5438" s="80" t="s">
        <v>5903</v>
      </c>
      <c r="D5438" s="81" t="str">
        <f>HYPERLINK("https://youtube.com/watch?v=0luClDA_194", "又乾淨又懶洗單車鏈方法！有呢個工具就得？Brompton 小布單車🚴🏼‍♂️ (第2集) [廣東話中文字幕]")</f>
        <v>又乾淨又懶洗單車鏈方法！有呢個工具就得？Brompton 小布單車🚴🏼‍♂️ (第2集) [廣東話中文字幕]</v>
      </c>
      <c r="E5438" s="82">
        <v>44744.0</v>
      </c>
      <c r="F5438" s="80">
        <v>443.0</v>
      </c>
      <c r="G5438" s="80" t="s">
        <v>63</v>
      </c>
      <c r="I5438" s="80" t="s">
        <v>63</v>
      </c>
      <c r="J5438" s="80">
        <v>1320.0</v>
      </c>
      <c r="K5438" s="80">
        <v>0.948957584471603</v>
      </c>
      <c r="L5438" s="80" t="s">
        <v>64</v>
      </c>
    </row>
    <row r="5439">
      <c r="A5439" s="80" t="s">
        <v>5901</v>
      </c>
      <c r="B5439" s="81" t="str">
        <f t="shared" ref="B5439:B5441" si="295">HYPERLINK("https://www.youtube.com/channel/UCCa6OFUN6n0JB2FhnDxFSBA", "9BoThew 膠保廢")</f>
        <v>9BoThew 膠保廢</v>
      </c>
      <c r="C5439" s="80" t="s">
        <v>5904</v>
      </c>
      <c r="D5439" s="81" t="str">
        <f>HYPERLINK("https://youtube.com/watch?v=gQnlunIvHUQ", "【9BT】國際忍尿問答大賽！2小時飲7公升水？！萬宜水庫硬撼三峽大壩！瀨尿算輸！挑戰膀胱極限遊戲！同場加設1000訂閱Q&amp;A問題收集區！")</f>
        <v>【9BT】國際忍尿問答大賽！2小時飲7公升水？！萬宜水庫硬撼三峽大壩！瀨尿算輸！挑戰膀胱極限遊戲！同場加設1000訂閱Q&amp;A問題收集區！</v>
      </c>
      <c r="E5439" s="82">
        <v>44317.0</v>
      </c>
      <c r="F5439" s="80">
        <v>1095.0</v>
      </c>
      <c r="G5439" s="80" t="s">
        <v>63</v>
      </c>
      <c r="I5439" s="80" t="s">
        <v>63</v>
      </c>
      <c r="J5439" s="80">
        <v>2788.0</v>
      </c>
      <c r="K5439" s="80">
        <v>0.899064817800709</v>
      </c>
      <c r="L5439" s="80" t="s">
        <v>64</v>
      </c>
    </row>
    <row r="5440">
      <c r="A5440" s="80" t="s">
        <v>5901</v>
      </c>
      <c r="B5440" s="81" t="str">
        <f t="shared" si="295"/>
        <v>9BoThew 膠保廢</v>
      </c>
      <c r="C5440" s="80" t="s">
        <v>5905</v>
      </c>
      <c r="D5440" s="81" t="str">
        <f>HYPERLINK("https://youtube.com/watch?v=ryDjXXBvOwE", "【9BT】大圍爆紅西日式Cafe - E FOR EGG重新開業！但環境有異樣？金沙軟殼蟹珍珠漢堡｜芫荽芝士吉列大蝦定食！同場加映怒X觀眾？！")</f>
        <v>【9BT】大圍爆紅西日式Cafe - E FOR EGG重新開業！但環境有異樣？金沙軟殼蟹珍珠漢堡｜芫荽芝士吉列大蝦定食！同場加映怒X觀眾？！</v>
      </c>
      <c r="E5440" s="82">
        <v>44340.0</v>
      </c>
      <c r="F5440" s="80">
        <v>484.0</v>
      </c>
      <c r="G5440" s="80" t="s">
        <v>63</v>
      </c>
      <c r="I5440" s="80" t="s">
        <v>63</v>
      </c>
      <c r="J5440" s="80">
        <v>1470.0</v>
      </c>
      <c r="K5440" s="80">
        <v>0.924528301886792</v>
      </c>
      <c r="L5440" s="80" t="s">
        <v>64</v>
      </c>
    </row>
    <row r="5441">
      <c r="A5441" s="80" t="s">
        <v>5901</v>
      </c>
      <c r="B5441" s="81" t="str">
        <f t="shared" si="295"/>
        <v>9BoThew 膠保廢</v>
      </c>
      <c r="C5441" s="80" t="s">
        <v>5906</v>
      </c>
      <c r="D5441" s="81" t="str">
        <f>HYPERLINK("https://youtube.com/watch?v=x6z1AHYPZJM", "【9BT】交友App約女大作戰！第一次約會就已經玩咁大？仲竟然想錫落去⋯⋯😳😳😳阿寶化身魔鬼管家，調教兩位迷途小男女！😈😈")</f>
        <v>【9BT】交友App約女大作戰！第一次約會就已經玩咁大？仲竟然想錫落去⋯⋯😳😳😳阿寶化身魔鬼管家，調教兩位迷途小男女！😈😈</v>
      </c>
      <c r="E5441" s="82">
        <v>44435.0</v>
      </c>
      <c r="F5441" s="80">
        <v>923.0</v>
      </c>
      <c r="G5441" s="80" t="s">
        <v>63</v>
      </c>
      <c r="I5441" s="80" t="s">
        <v>63</v>
      </c>
      <c r="J5441" s="80">
        <v>2228.0</v>
      </c>
      <c r="K5441" s="80">
        <v>0.880284472540497</v>
      </c>
      <c r="L5441" s="80" t="s">
        <v>64</v>
      </c>
    </row>
    <row r="5442">
      <c r="A5442" s="80" t="s">
        <v>74</v>
      </c>
      <c r="B5442" s="81" t="str">
        <f>HYPERLINK("https://www.youtube.com/channel/UCO_5XP-qd-udNxBlzzSzgvw", "Handline Fishing")</f>
        <v>Handline Fishing</v>
      </c>
      <c r="C5442" s="80" t="s">
        <v>5907</v>
      </c>
      <c r="D5442" s="81" t="str">
        <f>HYPERLINK("https://youtube.com/watch?v=SRXlXzp-Usw", "#283 立 Sir Solo | 基哥 | 香港釣魚 | 艇釣 | 維港 {粵語旁白}")</f>
        <v>#283 立 Sir Solo | 基哥 | 香港釣魚 | 艇釣 | 維港 {粵語旁白}</v>
      </c>
      <c r="E5442" s="82">
        <v>44746.0</v>
      </c>
      <c r="F5442" s="80">
        <v>189.0</v>
      </c>
      <c r="G5442" s="80" t="s">
        <v>63</v>
      </c>
      <c r="H5442" s="80" t="s">
        <v>63</v>
      </c>
      <c r="I5442" s="80" t="s">
        <v>63</v>
      </c>
      <c r="J5442" s="80">
        <v>188.0</v>
      </c>
      <c r="K5442" s="80">
        <v>0.908212560386473</v>
      </c>
      <c r="L5442" s="80" t="s">
        <v>2175</v>
      </c>
    </row>
    <row r="5443">
      <c r="A5443" s="80" t="s">
        <v>5868</v>
      </c>
      <c r="B5443" s="81" t="str">
        <f>HYPERLINK("https://www.youtube.com/channel/UCVvdX8wGBmCM9KerhiVu_Ig", "McFatty 麥花田")</f>
        <v>McFatty 麥花田</v>
      </c>
      <c r="C5443" s="80" t="s">
        <v>5908</v>
      </c>
      <c r="D5443" s="81" t="str">
        <f>HYPERLINK("https://youtube.com/watch?v=E2gaC2a7C3A", "海南雞飯 (簡易電飯煲版）附廣東話字幕 Ep32")</f>
        <v>海南雞飯 (簡易電飯煲版）附廣東話字幕 Ep32</v>
      </c>
      <c r="E5443" s="82">
        <v>44325.0</v>
      </c>
      <c r="F5443" s="80">
        <v>1643.0</v>
      </c>
      <c r="G5443" s="80" t="s">
        <v>63</v>
      </c>
      <c r="I5443" s="80" t="s">
        <v>63</v>
      </c>
      <c r="J5443" s="80">
        <v>5657.0</v>
      </c>
      <c r="K5443" s="80">
        <v>0.973498537256926</v>
      </c>
      <c r="L5443" s="80" t="s">
        <v>102</v>
      </c>
    </row>
    <row r="5444">
      <c r="A5444" s="80" t="s">
        <v>5866</v>
      </c>
      <c r="B5444" s="81" t="str">
        <f>HYPERLINK("https://www.youtube.com/channel/UCOPLu2jjrQ8bIgP9olEZ4lQ", "香港Vtuber宣傳大使")</f>
        <v>香港Vtuber宣傳大使</v>
      </c>
      <c r="C5444" s="80" t="s">
        <v>5909</v>
      </c>
      <c r="D5444" s="81" t="str">
        <f>HYPERLINK("https://youtube.com/watch?v=06d0Xvv20fI", "【Dumbo子】初嘗海""豚""肉+圍裙Dumbo子【香港Vtuber精華】")</f>
        <v>【Dumbo子】初嘗海"豚"肉+圍裙Dumbo子【香港Vtuber精華】</v>
      </c>
      <c r="E5444" s="82">
        <v>44185.0</v>
      </c>
      <c r="F5444" s="80">
        <v>258.0</v>
      </c>
      <c r="G5444" s="80" t="s">
        <v>63</v>
      </c>
      <c r="I5444" s="80" t="s">
        <v>63</v>
      </c>
      <c r="J5444" s="80">
        <v>860.0</v>
      </c>
      <c r="K5444" s="80">
        <v>0.947136563876652</v>
      </c>
      <c r="L5444" s="80" t="s">
        <v>820</v>
      </c>
    </row>
    <row r="5445">
      <c r="A5445" s="80" t="s">
        <v>5868</v>
      </c>
      <c r="B5445" s="81" t="str">
        <f t="shared" ref="B5445:B5446" si="296">HYPERLINK("https://www.youtube.com/channel/UCVvdX8wGBmCM9KerhiVu_Ig", "McFatty 麥花田")</f>
        <v>McFatty 麥花田</v>
      </c>
      <c r="C5445" s="80" t="s">
        <v>5910</v>
      </c>
      <c r="D5445" s="81" t="str">
        <f>HYPERLINK("https://youtube.com/watch?v=0WCFg2HW_1E", "廣東雲吞 鮮蝦雲吞 第一次就成功 附廣東話字幕 Ep51")</f>
        <v>廣東雲吞 鮮蝦雲吞 第一次就成功 附廣東話字幕 Ep51</v>
      </c>
      <c r="E5445" s="82">
        <v>44457.0</v>
      </c>
      <c r="F5445" s="80">
        <v>694.0</v>
      </c>
      <c r="G5445" s="80" t="s">
        <v>63</v>
      </c>
      <c r="I5445" s="80" t="s">
        <v>63</v>
      </c>
      <c r="J5445" s="80">
        <v>2878.0</v>
      </c>
      <c r="K5445" s="80">
        <v>0.974932249322493</v>
      </c>
      <c r="L5445" s="80" t="s">
        <v>102</v>
      </c>
    </row>
    <row r="5446">
      <c r="A5446" s="80" t="s">
        <v>5868</v>
      </c>
      <c r="B5446" s="81" t="str">
        <f t="shared" si="296"/>
        <v>McFatty 麥花田</v>
      </c>
      <c r="C5446" s="80" t="s">
        <v>5911</v>
      </c>
      <c r="D5446" s="81" t="str">
        <f>HYPERLINK("https://youtube.com/watch?v=Rs4kev9e6hw", "沙嗲牛肉麵 沙爹牛肉麵 用沙嗲醬都整唔到茶餐廳沙牛味? 附廣東話字幕 Ep19")</f>
        <v>沙嗲牛肉麵 沙爹牛肉麵 用沙嗲醬都整唔到茶餐廳沙牛味? 附廣東話字幕 Ep19</v>
      </c>
      <c r="E5446" s="82">
        <v>44227.0</v>
      </c>
      <c r="F5446" s="80">
        <v>634.0</v>
      </c>
      <c r="G5446" s="80" t="s">
        <v>63</v>
      </c>
      <c r="I5446" s="80" t="s">
        <v>63</v>
      </c>
      <c r="J5446" s="80">
        <v>2377.0</v>
      </c>
      <c r="K5446" s="80">
        <v>0.974180327868852</v>
      </c>
      <c r="L5446" s="80" t="s">
        <v>102</v>
      </c>
    </row>
    <row r="5447">
      <c r="A5447" s="80" t="s">
        <v>5912</v>
      </c>
      <c r="B5447" s="81" t="str">
        <f>HYPERLINK("https://www.youtube.com/channel/UCSJCx6i6QI2MFN0mDJnnTCw", "慢半拍製作")</f>
        <v>慢半拍製作</v>
      </c>
      <c r="C5447" s="80" t="s">
        <v>5913</v>
      </c>
      <c r="D5447" s="81" t="str">
        <f>HYPERLINK("https://youtube.com/watch?v=m4kPWSlQTXE", "學界男神女神大搜查 EP.1 ：九龍城random幾間學校女子組對決篇👩🏿｜慢半拍")</f>
        <v>學界男神女神大搜查 EP.1 ：九龍城random幾間學校女子組對決篇👩🏿｜慢半拍</v>
      </c>
      <c r="E5447" s="82">
        <v>44616.0</v>
      </c>
      <c r="F5447" s="80">
        <v>1117.0</v>
      </c>
      <c r="G5447" s="80" t="s">
        <v>63</v>
      </c>
      <c r="I5447" s="80" t="s">
        <v>63</v>
      </c>
      <c r="J5447" s="80">
        <v>2115.0</v>
      </c>
      <c r="K5447" s="80">
        <v>0.904232578024797</v>
      </c>
      <c r="L5447" s="80" t="s">
        <v>64</v>
      </c>
    </row>
    <row r="5448">
      <c r="A5448" s="80" t="s">
        <v>5866</v>
      </c>
      <c r="B5448" s="81" t="str">
        <f>HYPERLINK("https://www.youtube.com/channel/UCOPLu2jjrQ8bIgP9olEZ4lQ", "香港Vtuber宣傳大使")</f>
        <v>香港Vtuber宣傳大使</v>
      </c>
      <c r="C5448" s="80" t="s">
        <v>5914</v>
      </c>
      <c r="D5448" s="81" t="str">
        <f>HYPERLINK("https://youtube.com/watch?v=aglrb7BIa6s", "【廢片(x)】尋母犬津路【香港Vtuber精華】")</f>
        <v>【廢片(x)】尋母犬津路【香港Vtuber精華】</v>
      </c>
      <c r="E5448" s="82">
        <v>44153.0</v>
      </c>
      <c r="F5448" s="80">
        <v>145.0</v>
      </c>
      <c r="G5448" s="80" t="s">
        <v>63</v>
      </c>
      <c r="I5448" s="80" t="s">
        <v>63</v>
      </c>
      <c r="J5448" s="80">
        <v>219.0</v>
      </c>
      <c r="K5448" s="80">
        <v>0.842307692307692</v>
      </c>
      <c r="L5448" s="80" t="s">
        <v>64</v>
      </c>
    </row>
    <row r="5449">
      <c r="A5449" s="80" t="s">
        <v>5868</v>
      </c>
      <c r="B5449" s="81" t="str">
        <f t="shared" ref="B5449:B5450" si="297">HYPERLINK("https://www.youtube.com/channel/UCVvdX8wGBmCM9KerhiVu_Ig", "McFatty 麥花田")</f>
        <v>McFatty 麥花田</v>
      </c>
      <c r="C5449" s="80" t="s">
        <v>5915</v>
      </c>
      <c r="D5449" s="81" t="str">
        <f>HYPERLINK("https://youtube.com/watch?v=BeYNwXmmKUg", "蒜片牛柳粒 蒜香牛柳粒 30分鐘極速開餐 附廣東話字幕 Ep11")</f>
        <v>蒜片牛柳粒 蒜香牛柳粒 30分鐘極速開餐 附廣東話字幕 Ep11</v>
      </c>
      <c r="E5449" s="82">
        <v>44148.0</v>
      </c>
      <c r="F5449" s="80">
        <v>529.0</v>
      </c>
      <c r="G5449" s="80" t="s">
        <v>63</v>
      </c>
      <c r="I5449" s="80" t="s">
        <v>63</v>
      </c>
      <c r="J5449" s="80">
        <v>2099.0</v>
      </c>
      <c r="K5449" s="80">
        <v>0.965945697192821</v>
      </c>
      <c r="L5449" s="80" t="s">
        <v>102</v>
      </c>
    </row>
    <row r="5450">
      <c r="A5450" s="80" t="s">
        <v>5868</v>
      </c>
      <c r="B5450" s="81" t="str">
        <f t="shared" si="297"/>
        <v>McFatty 麥花田</v>
      </c>
      <c r="C5450" s="80" t="s">
        <v>5916</v>
      </c>
      <c r="D5450" s="81" t="str">
        <f>HYPERLINK("https://youtube.com/watch?v=mCFRf_HNHNM", "鎮江骨 一小時完成 極簡易 附廣東話字幕 Ep40")</f>
        <v>鎮江骨 一小時完成 極簡易 附廣東話字幕 Ep40</v>
      </c>
      <c r="E5450" s="82">
        <v>44382.0</v>
      </c>
      <c r="F5450" s="80">
        <v>601.0</v>
      </c>
      <c r="G5450" s="80" t="s">
        <v>63</v>
      </c>
      <c r="I5450" s="80" t="s">
        <v>63</v>
      </c>
      <c r="J5450" s="80">
        <v>2367.0</v>
      </c>
      <c r="K5450" s="80">
        <v>0.972073921971252</v>
      </c>
      <c r="L5450" s="80" t="s">
        <v>102</v>
      </c>
    </row>
    <row r="5451">
      <c r="A5451" s="80" t="s">
        <v>5866</v>
      </c>
      <c r="B5451" s="81" t="str">
        <f>HYPERLINK("https://www.youtube.com/channel/UCOPLu2jjrQ8bIgP9olEZ4lQ", "香港Vtuber宣傳大使")</f>
        <v>香港Vtuber宣傳大使</v>
      </c>
      <c r="C5451" s="80" t="s">
        <v>5917</v>
      </c>
      <c r="D5451" s="81" t="str">
        <f>HYPERLINK("https://youtube.com/watch?v=irVaq1-kheg", "【雨宮みずき】總裁語錄&amp;小魔女DoReMi【香港Vtuber精華】")</f>
        <v>【雨宮みずき】總裁語錄&amp;小魔女DoReMi【香港Vtuber精華】</v>
      </c>
      <c r="E5451" s="82">
        <v>44180.0</v>
      </c>
      <c r="F5451" s="80">
        <v>301.0</v>
      </c>
      <c r="G5451" s="80" t="s">
        <v>63</v>
      </c>
      <c r="I5451" s="80" t="s">
        <v>63</v>
      </c>
      <c r="J5451" s="80">
        <v>688.0</v>
      </c>
      <c r="K5451" s="80">
        <v>0.932249322493224</v>
      </c>
      <c r="L5451" s="80" t="s">
        <v>64</v>
      </c>
    </row>
    <row r="5452">
      <c r="A5452" s="80" t="s">
        <v>755</v>
      </c>
      <c r="B5452" s="81" t="str">
        <f>HYPERLINK("https://www.youtube.com/channel/UCBiJDTc82IM68KVH873VeAw", "Live in Kwangsi廣西人·情·味")</f>
        <v>Live in Kwangsi廣西人·情·味</v>
      </c>
      <c r="C5452" s="80" t="s">
        <v>5918</v>
      </c>
      <c r="D5452" s="81" t="str">
        <f>HYPERLINK("https://youtube.com/watch?v=4xEUyUVyboI", "行善積德，可唔可以令自己獲得財富地位呢？｜心靈語錄")</f>
        <v>行善積德，可唔可以令自己獲得財富地位呢？｜心靈語錄</v>
      </c>
      <c r="E5452" s="82">
        <v>44743.0</v>
      </c>
      <c r="F5452" s="80">
        <v>97.0</v>
      </c>
      <c r="G5452" s="80" t="s">
        <v>63</v>
      </c>
      <c r="I5452" s="80" t="s">
        <v>63</v>
      </c>
      <c r="J5452" s="80">
        <v>330.0</v>
      </c>
      <c r="K5452" s="80">
        <v>1.0</v>
      </c>
      <c r="L5452" s="80" t="s">
        <v>757</v>
      </c>
    </row>
    <row r="5453">
      <c r="A5453" s="80" t="s">
        <v>5874</v>
      </c>
      <c r="B5453" s="81" t="str">
        <f>HYPERLINK("https://www.youtube.com/channel/UCRlq4EUzB7RUBiaX_ax5Ylw", "啡啡channel")</f>
        <v>啡啡channel</v>
      </c>
      <c r="C5453" s="80" t="s">
        <v>5919</v>
      </c>
      <c r="D5453" s="81" t="str">
        <f>HYPERLINK("https://youtube.com/watch?v=PzYb67GGRZY", "LEGO Disney Set 41168 - Time-lapse Build, Unboxing, Review! (廣東話)(廣東話字幕)")</f>
        <v>LEGO Disney Set 41168 - Time-lapse Build, Unboxing, Review! (廣東話)(廣東話字幕)</v>
      </c>
      <c r="E5453" s="82">
        <v>43981.0</v>
      </c>
      <c r="F5453" s="80">
        <v>378.0</v>
      </c>
      <c r="G5453" s="80" t="s">
        <v>63</v>
      </c>
      <c r="I5453" s="80" t="s">
        <v>63</v>
      </c>
      <c r="J5453" s="80">
        <v>499.0</v>
      </c>
      <c r="K5453" s="80">
        <v>0.867826086956521</v>
      </c>
      <c r="L5453" s="80" t="s">
        <v>64</v>
      </c>
    </row>
    <row r="5454">
      <c r="A5454" s="80" t="s">
        <v>5901</v>
      </c>
      <c r="B5454" s="81" t="str">
        <f>HYPERLINK("https://www.youtube.com/channel/UCCa6OFUN6n0JB2FhnDxFSBA", "9BoThew 膠保廢")</f>
        <v>9BoThew 膠保廢</v>
      </c>
      <c r="C5454" s="80" t="s">
        <v>5920</v>
      </c>
      <c r="D5454" s="81" t="str">
        <f>HYPERLINK("https://youtube.com/watch?v=A7uWcUYolZs", "【9BT】痴漢粉絲跟蹤我地？尖沙咀韓國電影風餐廳！模擬韓國街頭夜攤｜串串魚糕｜韓式炸雞｜招牌魷魚仲有咬唔到既豬硬骨？！")</f>
        <v>【9BT】痴漢粉絲跟蹤我地？尖沙咀韓國電影風餐廳！模擬韓國街頭夜攤｜串串魚糕｜韓式炸雞｜招牌魷魚仲有咬唔到既豬硬骨？！</v>
      </c>
      <c r="E5454" s="82">
        <v>44380.0</v>
      </c>
      <c r="F5454" s="80">
        <v>509.0</v>
      </c>
      <c r="G5454" s="80" t="s">
        <v>63</v>
      </c>
      <c r="I5454" s="80" t="s">
        <v>63</v>
      </c>
      <c r="J5454" s="80">
        <v>1494.0</v>
      </c>
      <c r="K5454" s="80">
        <v>0.953414167198468</v>
      </c>
      <c r="L5454" s="80" t="s">
        <v>64</v>
      </c>
    </row>
    <row r="5455">
      <c r="A5455" s="80" t="s">
        <v>5912</v>
      </c>
      <c r="B5455" s="81" t="str">
        <f>HYPERLINK("https://www.youtube.com/channel/UCSJCx6i6QI2MFN0mDJnnTCw", "慢半拍製作")</f>
        <v>慢半拍製作</v>
      </c>
      <c r="C5455" s="80" t="s">
        <v>5921</v>
      </c>
      <c r="D5455" s="81" t="str">
        <f>HYPERLINK("https://youtube.com/watch?v=pfZzlrfjlZc", "學界男神女神大搜查 Ep.2 ：男校男神去屋邨打卡篇🧒🏿｜慢半拍")</f>
        <v>學界男神女神大搜查 Ep.2 ：男校男神去屋邨打卡篇🧒🏿｜慢半拍</v>
      </c>
      <c r="E5455" s="82">
        <v>44721.0</v>
      </c>
      <c r="F5455" s="80">
        <v>1323.0</v>
      </c>
      <c r="G5455" s="80" t="s">
        <v>63</v>
      </c>
      <c r="I5455" s="80" t="s">
        <v>63</v>
      </c>
      <c r="J5455" s="80">
        <v>3112.0</v>
      </c>
      <c r="K5455" s="80">
        <v>0.933133433283358</v>
      </c>
      <c r="L5455" s="80" t="s">
        <v>64</v>
      </c>
    </row>
    <row r="5456">
      <c r="A5456" s="80" t="s">
        <v>5868</v>
      </c>
      <c r="B5456" s="81" t="str">
        <f>HYPERLINK("https://www.youtube.com/channel/UCVvdX8wGBmCM9KerhiVu_Ig", "McFatty 麥花田")</f>
        <v>McFatty 麥花田</v>
      </c>
      <c r="C5456" s="80" t="s">
        <v>5922</v>
      </c>
      <c r="D5456" s="81" t="str">
        <f>HYPERLINK("https://youtube.com/watch?v=Wugchc6cN3k", "桃膠鮮奶蛋白燉椰皇 最緊要做到一件事 宇宙簡易食譜 附廣東話字幕 Ep53")</f>
        <v>桃膠鮮奶蛋白燉椰皇 最緊要做到一件事 宇宙簡易食譜 附廣東話字幕 Ep53</v>
      </c>
      <c r="E5456" s="82">
        <v>44473.0</v>
      </c>
      <c r="F5456" s="80">
        <v>649.0</v>
      </c>
      <c r="G5456" s="80" t="s">
        <v>63</v>
      </c>
      <c r="I5456" s="80" t="s">
        <v>63</v>
      </c>
      <c r="J5456" s="80">
        <v>2556.0</v>
      </c>
      <c r="K5456" s="80">
        <v>0.952664927320164</v>
      </c>
      <c r="L5456" s="80" t="s">
        <v>102</v>
      </c>
    </row>
    <row r="5457">
      <c r="A5457" s="80" t="s">
        <v>5866</v>
      </c>
      <c r="B5457" s="81" t="str">
        <f t="shared" ref="B5457:B5459" si="298">HYPERLINK("https://www.youtube.com/channel/UCOPLu2jjrQ8bIgP9olEZ4lQ", "香港Vtuber宣傳大使")</f>
        <v>香港Vtuber宣傳大使</v>
      </c>
      <c r="C5457" s="80" t="s">
        <v>5923</v>
      </c>
      <c r="D5457" s="81" t="str">
        <f>HYPERLINK("https://youtube.com/watch?v=izAghoYOHdQ", "【日暮ない】BABA超人【香港Vtuber精華】")</f>
        <v>【日暮ない】BABA超人【香港Vtuber精華】</v>
      </c>
      <c r="E5457" s="82">
        <v>44164.0</v>
      </c>
      <c r="F5457" s="80">
        <v>233.0</v>
      </c>
      <c r="G5457" s="80" t="s">
        <v>63</v>
      </c>
      <c r="I5457" s="80" t="s">
        <v>63</v>
      </c>
      <c r="J5457" s="80">
        <v>362.0</v>
      </c>
      <c r="K5457" s="80">
        <v>0.911838790931989</v>
      </c>
      <c r="L5457" s="80" t="s">
        <v>820</v>
      </c>
    </row>
    <row r="5458">
      <c r="A5458" s="80" t="s">
        <v>5866</v>
      </c>
      <c r="B5458" s="81" t="str">
        <f t="shared" si="298"/>
        <v>香港Vtuber宣傳大使</v>
      </c>
      <c r="C5458" s="80" t="s">
        <v>5924</v>
      </c>
      <c r="D5458" s="81" t="str">
        <f>HYPERLINK("https://youtube.com/watch?v=tGMSjbaoNgE", "【香港Vtuber精華/短片】被叫太多魔法少女卡路路終於爆發了!【卡路-卡諾 KarloCarno】")</f>
        <v>【香港Vtuber精華/短片】被叫太多魔法少女卡路路終於爆發了!【卡路-卡諾 KarloCarno】</v>
      </c>
      <c r="E5458" s="82">
        <v>44227.0</v>
      </c>
      <c r="F5458" s="80">
        <v>51.0</v>
      </c>
      <c r="G5458" s="80" t="s">
        <v>63</v>
      </c>
      <c r="I5458" s="80" t="s">
        <v>63</v>
      </c>
      <c r="J5458" s="80">
        <v>115.0</v>
      </c>
      <c r="K5458" s="80">
        <v>0.927419354838709</v>
      </c>
      <c r="L5458" s="80" t="s">
        <v>820</v>
      </c>
    </row>
    <row r="5459">
      <c r="A5459" s="80" t="s">
        <v>5866</v>
      </c>
      <c r="B5459" s="81" t="str">
        <f t="shared" si="298"/>
        <v>香港Vtuber宣傳大使</v>
      </c>
      <c r="C5459" s="80" t="s">
        <v>5925</v>
      </c>
      <c r="D5459" s="81" t="str">
        <f>HYPERLINK("https://youtube.com/watch?v=dkx2shlpXq8", "【香港Vtuber精華/歌回】《虛作無聲》 Cover既cover (Speechless 粵語版)【紡霊拉比】")</f>
        <v>【香港Vtuber精華/歌回】《虛作無聲》 Cover既cover (Speechless 粵語版)【紡霊拉比】</v>
      </c>
      <c r="E5459" s="82">
        <v>44272.0</v>
      </c>
      <c r="F5459" s="80">
        <v>206.0</v>
      </c>
      <c r="G5459" s="80" t="s">
        <v>63</v>
      </c>
      <c r="I5459" s="80" t="s">
        <v>63</v>
      </c>
      <c r="J5459" s="80">
        <v>13.0</v>
      </c>
      <c r="K5459" s="80">
        <v>1.0</v>
      </c>
      <c r="L5459" s="80" t="s">
        <v>64</v>
      </c>
    </row>
    <row r="5460">
      <c r="A5460" s="80" t="s">
        <v>5874</v>
      </c>
      <c r="B5460" s="81" t="str">
        <f>HYPERLINK("https://www.youtube.com/channel/UCRlq4EUzB7RUBiaX_ax5Ylw", "啡啡channel")</f>
        <v>啡啡channel</v>
      </c>
      <c r="C5460" s="80" t="s">
        <v>5926</v>
      </c>
      <c r="D5460" s="81" t="str">
        <f>HYPERLINK("https://youtube.com/watch?v=1--QPDFnAhI", "Toy Story演員見面會 (廣東話)(廣東話字幕)")</f>
        <v>Toy Story演員見面會 (廣東話)(廣東話字幕)</v>
      </c>
      <c r="E5460" s="82">
        <v>44032.0</v>
      </c>
      <c r="F5460" s="80">
        <v>92.0</v>
      </c>
      <c r="G5460" s="80" t="s">
        <v>63</v>
      </c>
      <c r="I5460" s="80" t="s">
        <v>63</v>
      </c>
      <c r="J5460" s="80">
        <v>170.0</v>
      </c>
      <c r="K5460" s="80">
        <v>0.772727272727272</v>
      </c>
      <c r="L5460" s="80" t="s">
        <v>64</v>
      </c>
    </row>
    <row r="5461">
      <c r="A5461" s="80" t="s">
        <v>5866</v>
      </c>
      <c r="B5461" s="81" t="str">
        <f>HYPERLINK("https://www.youtube.com/channel/UCOPLu2jjrQ8bIgP9olEZ4lQ", "香港Vtuber宣傳大使")</f>
        <v>香港Vtuber宣傳大使</v>
      </c>
      <c r="C5461" s="80" t="s">
        <v>5927</v>
      </c>
      <c r="D5461" s="81" t="str">
        <f>HYPERLINK("https://youtube.com/watch?v=nGFL6JIG4cE", "【香港Vtuber精華】卡路媽媽的睡前故事時間~【卡路-卡諾+(凱婷+津路+神崎涼子?)】")</f>
        <v>【香港Vtuber精華】卡路媽媽的睡前故事時間~【卡路-卡諾+(凱婷+津路+神崎涼子?)】</v>
      </c>
      <c r="E5461" s="82">
        <v>44249.0</v>
      </c>
      <c r="F5461" s="80">
        <v>205.0</v>
      </c>
      <c r="G5461" s="80" t="s">
        <v>63</v>
      </c>
      <c r="I5461" s="80" t="s">
        <v>63</v>
      </c>
      <c r="J5461" s="80">
        <v>13.0</v>
      </c>
      <c r="K5461" s="80">
        <v>1.0</v>
      </c>
      <c r="L5461" s="80" t="s">
        <v>820</v>
      </c>
    </row>
    <row r="5462">
      <c r="A5462" s="80" t="s">
        <v>5901</v>
      </c>
      <c r="B5462" s="81" t="str">
        <f>HYPERLINK("https://www.youtube.com/channel/UCCa6OFUN6n0JB2FhnDxFSBA", "9BoThew 膠保廢")</f>
        <v>9BoThew 膠保廢</v>
      </c>
      <c r="C5462" s="80" t="s">
        <v>5928</v>
      </c>
      <c r="D5462" s="81" t="str">
        <f>HYPERLINK("https://youtube.com/watch?v=LMJi-wjvbxM", "【9BT】空姐、秘書行業大爆料✈️🔥比機師叫入機長室發出奇怪聲音？做秘書比老闆「問候」😳9BoThew潛規舉式請女Interview！Matthew同阿寶仲分享左「食女往事」？！")</f>
        <v>【9BT】空姐、秘書行業大爆料✈️🔥比機師叫入機長室發出奇怪聲音？做秘書比老闆「問候」😳9BoThew潛規舉式請女Interview！Matthew同阿寶仲分享左「食女往事」？！</v>
      </c>
      <c r="E5462" s="82">
        <v>44460.0</v>
      </c>
      <c r="F5462" s="80">
        <v>640.0</v>
      </c>
      <c r="G5462" s="80" t="s">
        <v>63</v>
      </c>
      <c r="I5462" s="80" t="s">
        <v>63</v>
      </c>
      <c r="J5462" s="80">
        <v>2038.0</v>
      </c>
      <c r="K5462" s="80">
        <v>0.906987093902981</v>
      </c>
      <c r="L5462" s="80" t="s">
        <v>64</v>
      </c>
    </row>
    <row r="5463">
      <c r="A5463" s="80" t="s">
        <v>5868</v>
      </c>
      <c r="B5463" s="81" t="str">
        <f>HYPERLINK("https://www.youtube.com/channel/UCVvdX8wGBmCM9KerhiVu_Ig", "McFatty 麥花田")</f>
        <v>McFatty 麥花田</v>
      </c>
      <c r="C5463" s="80" t="s">
        <v>5929</v>
      </c>
      <c r="D5463" s="81" t="str">
        <f>HYPERLINK("https://youtube.com/watch?v=YRsKJ3Ko5EY", "菠蘿咕嚕肉 點先外脆內軟又掛汁？ 附廣東話字幕 Ep35")</f>
        <v>菠蘿咕嚕肉 點先外脆內軟又掛汁？ 附廣東話字幕 Ep35</v>
      </c>
      <c r="E5463" s="82">
        <v>44348.0</v>
      </c>
      <c r="F5463" s="80">
        <v>891.0</v>
      </c>
      <c r="G5463" s="80" t="s">
        <v>63</v>
      </c>
      <c r="I5463" s="80" t="s">
        <v>63</v>
      </c>
      <c r="J5463" s="80">
        <v>3192.0</v>
      </c>
      <c r="K5463" s="80">
        <v>0.96962332928311</v>
      </c>
      <c r="L5463" s="80" t="s">
        <v>102</v>
      </c>
    </row>
    <row r="5464">
      <c r="A5464" s="80" t="s">
        <v>5874</v>
      </c>
      <c r="B5464" s="81" t="str">
        <f>HYPERLINK("https://www.youtube.com/channel/UCRlq4EUzB7RUBiaX_ax5Ylw", "啡啡channel")</f>
        <v>啡啡channel</v>
      </c>
      <c r="C5464" s="80" t="s">
        <v>5930</v>
      </c>
      <c r="D5464" s="81" t="str">
        <f>HYPERLINK("https://youtube.com/watch?v=s3o5FENfq7o", "啡啡Q&amp;A 有關初為大家姐心情13問 (廣東話)(廣東話字幕)")</f>
        <v>啡啡Q&amp;A 有關初為大家姐心情13問 (廣東話)(廣東話字幕)</v>
      </c>
      <c r="E5464" s="82">
        <v>43969.0</v>
      </c>
      <c r="F5464" s="80">
        <v>387.0</v>
      </c>
      <c r="G5464" s="80" t="s">
        <v>63</v>
      </c>
      <c r="I5464" s="80" t="s">
        <v>63</v>
      </c>
      <c r="J5464" s="80">
        <v>621.0</v>
      </c>
      <c r="K5464" s="80">
        <v>0.860110803324099</v>
      </c>
      <c r="L5464" s="80" t="s">
        <v>64</v>
      </c>
    </row>
    <row r="5465">
      <c r="A5465" s="80" t="s">
        <v>248</v>
      </c>
      <c r="B5465" s="81" t="str">
        <f>HYPERLINK("https://www.youtube.com/channel/UCUEJok-GiWaGlv5nIPwk-GQ", "Price.com.hk 香港格價網")</f>
        <v>Price.com.hk 香港格價網</v>
      </c>
      <c r="C5465" s="80" t="s">
        <v>5931</v>
      </c>
      <c r="D5465" s="81" t="str">
        <f>HYPERLINK("https://youtube.com/watch?v=5CWmH6KlUvs", "超靜＋舒服！Logitech新款MX系列無線鍵盤滑鼠開箱評測｜MX Mechanical、MX Mechanical Mini、MX Master 3S｜Price 獨家首發｜廣東話")</f>
        <v>超靜＋舒服！Logitech新款MX系列無線鍵盤滑鼠開箱評測｜MX Mechanical、MX Mechanical Mini、MX Master 3S｜Price 獨家首發｜廣東話</v>
      </c>
      <c r="E5465" s="82">
        <v>44746.0</v>
      </c>
      <c r="F5465" s="80">
        <v>321.0</v>
      </c>
      <c r="G5465" s="80" t="s">
        <v>63</v>
      </c>
      <c r="I5465" s="80" t="s">
        <v>63</v>
      </c>
      <c r="J5465" s="80">
        <v>921.0</v>
      </c>
      <c r="K5465" s="80">
        <v>0.715617715617715</v>
      </c>
      <c r="L5465" s="80" t="s">
        <v>64</v>
      </c>
    </row>
    <row r="5466">
      <c r="A5466" s="80" t="s">
        <v>5868</v>
      </c>
      <c r="B5466" s="81" t="str">
        <f>HYPERLINK("https://www.youtube.com/channel/UCVvdX8wGBmCM9KerhiVu_Ig", "McFatty 麥花田")</f>
        <v>McFatty 麥花田</v>
      </c>
      <c r="C5466" s="80" t="s">
        <v>5932</v>
      </c>
      <c r="D5466" s="81" t="str">
        <f>HYPERLINK("https://youtube.com/watch?v=QfRZUdP55Ig", "煎封倉魚 不銹鋼鑊煎魚點先唔黐底? 附廣東話字幕 Ep39")</f>
        <v>煎封倉魚 不銹鋼鑊煎魚點先唔黐底? 附廣東話字幕 Ep39</v>
      </c>
      <c r="E5466" s="82">
        <v>44377.0</v>
      </c>
      <c r="F5466" s="80">
        <v>734.0</v>
      </c>
      <c r="G5466" s="80" t="s">
        <v>63</v>
      </c>
      <c r="I5466" s="80" t="s">
        <v>63</v>
      </c>
      <c r="J5466" s="80">
        <v>2890.0</v>
      </c>
      <c r="K5466" s="80">
        <v>0.96882333221589</v>
      </c>
      <c r="L5466" s="80" t="s">
        <v>102</v>
      </c>
    </row>
    <row r="5467">
      <c r="A5467" s="80" t="s">
        <v>293</v>
      </c>
      <c r="B5467" s="81" t="str">
        <f>HYPERLINK("https://www.youtube.com/channel/UCXRcbXqjORdIvl63I7MtOLQ", "趁熱 Kerry 's kitchen")</f>
        <v>趁熱 Kerry 's kitchen</v>
      </c>
      <c r="C5467" s="80" t="s">
        <v>5933</v>
      </c>
      <c r="D5467" s="81" t="str">
        <f>HYPERLINK("https://youtube.com/watch?v=WPqnn-cTFpQ", "酸菜鱼/急凍鱼柳做不用煩/新手也做到/開胃菜/低 成本/廣東話/中字")</f>
        <v>酸菜鱼/急凍鱼柳做不用煩/新手也做到/開胃菜/低 成本/廣東話/中字</v>
      </c>
      <c r="E5467" s="82">
        <v>44746.0</v>
      </c>
      <c r="F5467" s="80">
        <v>623.0</v>
      </c>
      <c r="G5467" s="80" t="s">
        <v>63</v>
      </c>
      <c r="I5467" s="80" t="s">
        <v>63</v>
      </c>
      <c r="J5467" s="80">
        <v>548.0</v>
      </c>
      <c r="K5467" s="80">
        <v>0.985611510791366</v>
      </c>
      <c r="L5467" s="80" t="s">
        <v>64</v>
      </c>
    </row>
    <row r="5468">
      <c r="A5468" s="80" t="s">
        <v>5901</v>
      </c>
      <c r="B5468" s="81" t="str">
        <f>HYPERLINK("https://www.youtube.com/channel/UCCa6OFUN6n0JB2FhnDxFSBA", "9BoThew 膠保廢")</f>
        <v>9BoThew 膠保廢</v>
      </c>
      <c r="C5468" s="80" t="s">
        <v>5934</v>
      </c>
      <c r="D5468" s="81" t="str">
        <f>HYPERLINK("https://youtube.com/watch?v=DT9eue_Nt6g", "【9BT】🤡外賣仔末日🤡千祈唔好同女朋友鬥氣🔥🔥🔥 - 認真9系列")</f>
        <v>【9BT】🤡外賣仔末日🤡千祈唔好同女朋友鬥氣🔥🔥🔥 - 認真9系列</v>
      </c>
      <c r="E5468" s="82">
        <v>44283.0</v>
      </c>
      <c r="F5468" s="80">
        <v>194.0</v>
      </c>
      <c r="G5468" s="80" t="s">
        <v>63</v>
      </c>
      <c r="I5468" s="80" t="s">
        <v>63</v>
      </c>
      <c r="J5468" s="80">
        <v>296.0</v>
      </c>
      <c r="K5468" s="80">
        <v>0.970491803278688</v>
      </c>
      <c r="L5468" s="80" t="s">
        <v>64</v>
      </c>
    </row>
    <row r="5469">
      <c r="A5469" s="80" t="s">
        <v>5866</v>
      </c>
      <c r="B5469" s="81" t="str">
        <f>HYPERLINK("https://www.youtube.com/channel/UCOPLu2jjrQ8bIgP9olEZ4lQ", "香港Vtuber宣傳大使")</f>
        <v>香港Vtuber宣傳大使</v>
      </c>
      <c r="C5469" s="80" t="s">
        <v>5935</v>
      </c>
      <c r="D5469" s="81" t="str">
        <f>HYPERLINK("https://youtube.com/watch?v=_wiXMKRd9K8", "【廢片(x)】我神婆唔係針對你，我係話在座咁多位，都係垃圾【蒼月ユキ】")</f>
        <v>【廢片(x)】我神婆唔係針對你，我係話在座咁多位，都係垃圾【蒼月ユキ】</v>
      </c>
      <c r="E5469" s="82">
        <v>44227.0</v>
      </c>
      <c r="F5469" s="80">
        <v>13.0</v>
      </c>
      <c r="G5469" s="80" t="s">
        <v>63</v>
      </c>
      <c r="I5469" s="80" t="s">
        <v>63</v>
      </c>
      <c r="J5469" s="80">
        <v>53.0</v>
      </c>
      <c r="K5469" s="80">
        <v>0.946428571428571</v>
      </c>
      <c r="L5469" s="80" t="s">
        <v>820</v>
      </c>
    </row>
    <row r="5470">
      <c r="A5470" s="80" t="s">
        <v>2041</v>
      </c>
      <c r="B5470" s="81" t="str">
        <f>HYPERLINK("https://www.youtube.com/channel/UCO6pB-ZN4XJ6MVkibvuEe0A", "SingSingTracker 星昇財經指標")</f>
        <v>SingSingTracker 星昇財經指標</v>
      </c>
      <c r="C5470" s="80" t="s">
        <v>5936</v>
      </c>
      <c r="D5470" s="81" t="str">
        <f>HYPERLINK("https://youtube.com/watch?v=AR2IOJ5bIzs", "【高息情況下 房地產發展如何？】")</f>
        <v>【高息情況下 房地產發展如何？】</v>
      </c>
      <c r="E5470" s="82">
        <v>44747.0</v>
      </c>
      <c r="F5470" s="80">
        <v>162.0</v>
      </c>
      <c r="G5470" s="80" t="s">
        <v>63</v>
      </c>
      <c r="I5470" s="80" t="s">
        <v>63</v>
      </c>
      <c r="J5470" s="80">
        <v>729.0</v>
      </c>
      <c r="K5470" s="80">
        <v>0.995901639344262</v>
      </c>
      <c r="L5470" s="80" t="s">
        <v>64</v>
      </c>
    </row>
    <row r="5471">
      <c r="A5471" s="80" t="s">
        <v>5874</v>
      </c>
      <c r="B5471" s="81" t="str">
        <f>HYPERLINK("https://www.youtube.com/channel/UCRlq4EUzB7RUBiaX_ax5Ylw", "啡啡channel")</f>
        <v>啡啡channel</v>
      </c>
      <c r="C5471" s="80" t="s">
        <v>5937</v>
      </c>
      <c r="D5471" s="81" t="str">
        <f>HYPERLINK("https://youtube.com/watch?v=c-q0SOpyqJ4", "角落小夥伴TM烘焙工房「Sweet Christmas Studio」(廣東話)(廣東話字幕)")</f>
        <v>角落小夥伴TM烘焙工房「Sweet Christmas Studio」(廣東話)(廣東話字幕)</v>
      </c>
      <c r="E5471" s="82">
        <v>44165.0</v>
      </c>
      <c r="F5471" s="80">
        <v>196.0</v>
      </c>
      <c r="G5471" s="80" t="s">
        <v>63</v>
      </c>
      <c r="I5471" s="80" t="s">
        <v>63</v>
      </c>
      <c r="J5471" s="80">
        <v>275.0</v>
      </c>
      <c r="K5471" s="80">
        <v>0.929054054054054</v>
      </c>
      <c r="L5471" s="80" t="s">
        <v>64</v>
      </c>
    </row>
    <row r="5472">
      <c r="A5472" s="80" t="s">
        <v>140</v>
      </c>
      <c r="B5472" s="81" t="str">
        <f>HYPERLINK("https://www.youtube.com/channel/UCHK0CZf9HEXs42qIO1GUouA", "TechiCardia")</f>
        <v>TechiCardia</v>
      </c>
      <c r="C5472" s="80" t="s">
        <v>5938</v>
      </c>
      <c r="D5472" s="81" t="str">
        <f>HYPERLINK("https://youtube.com/watch?v=i-jwPOi4wdY", "【和你砌2022】跟住我一步一步砌你既第一部自組打機電腦! 砌機、安裝、測試超詳細教學 | 砌Intel定AMD都可以睇！| 華碩贊助 | 4K 【TechiCardia】[CC廣東話字幕]")</f>
        <v>【和你砌2022】跟住我一步一步砌你既第一部自組打機電腦! 砌機、安裝、測試超詳細教學 | 砌Intel定AMD都可以睇！| 華碩贊助 | 4K 【TechiCardia】[CC廣東話字幕]</v>
      </c>
      <c r="E5472" s="82">
        <v>44744.0</v>
      </c>
      <c r="F5472" s="80">
        <v>3651.0</v>
      </c>
      <c r="G5472" s="80" t="s">
        <v>63</v>
      </c>
      <c r="I5472" s="80" t="s">
        <v>63</v>
      </c>
      <c r="J5472" s="80">
        <v>13449.0</v>
      </c>
      <c r="K5472" s="80">
        <v>0.843673546201618</v>
      </c>
      <c r="L5472" s="80" t="s">
        <v>102</v>
      </c>
    </row>
    <row r="5473">
      <c r="A5473" s="80" t="s">
        <v>5868</v>
      </c>
      <c r="B5473" s="81" t="str">
        <f>HYPERLINK("https://www.youtube.com/channel/UCVvdX8wGBmCM9KerhiVu_Ig", "McFatty 麥花田")</f>
        <v>McFatty 麥花田</v>
      </c>
      <c r="C5473" s="80" t="s">
        <v>5939</v>
      </c>
      <c r="D5473" s="81" t="str">
        <f>HYPERLINK("https://youtube.com/watch?v=sqyg9C_2SFY", "蒜泥白肉 點解唔係蒜「蓉」白肉？附廣東話字幕 Ep47")</f>
        <v>蒜泥白肉 點解唔係蒜「蓉」白肉？附廣東話字幕 Ep47</v>
      </c>
      <c r="E5473" s="82">
        <v>44422.0</v>
      </c>
      <c r="F5473" s="80">
        <v>505.0</v>
      </c>
      <c r="G5473" s="80" t="s">
        <v>63</v>
      </c>
      <c r="I5473" s="80" t="s">
        <v>63</v>
      </c>
      <c r="J5473" s="80">
        <v>2042.0</v>
      </c>
      <c r="K5473" s="80">
        <v>0.959586466165413</v>
      </c>
      <c r="L5473" s="80" t="s">
        <v>102</v>
      </c>
    </row>
    <row r="5474">
      <c r="A5474" s="80" t="s">
        <v>5901</v>
      </c>
      <c r="B5474" s="81" t="str">
        <f>HYPERLINK("https://www.youtube.com/channel/UCCa6OFUN6n0JB2FhnDxFSBA", "9BoThew 膠保廢")</f>
        <v>9BoThew 膠保廢</v>
      </c>
      <c r="C5474" s="80" t="s">
        <v>5940</v>
      </c>
      <c r="D5474" s="81" t="str">
        <f>HYPERLINK("https://youtube.com/watch?v=tEXCXQoTg9o", "【9BT】元朗最美風景！秘景泰國餐廳😍😍出哂汗！好似去左旅行一樣？9BoThew大爆泰國不為人知既秘密！")</f>
        <v>【9BT】元朗最美風景！秘景泰國餐廳😍😍出哂汗！好似去左旅行一樣？9BoThew大爆泰國不為人知既秘密！</v>
      </c>
      <c r="E5474" s="82">
        <v>44351.0</v>
      </c>
      <c r="F5474" s="80">
        <v>592.0</v>
      </c>
      <c r="G5474" s="80" t="s">
        <v>63</v>
      </c>
      <c r="I5474" s="80" t="s">
        <v>63</v>
      </c>
      <c r="J5474" s="80">
        <v>1867.0</v>
      </c>
      <c r="K5474" s="80">
        <v>0.940554156171284</v>
      </c>
      <c r="L5474" s="80" t="s">
        <v>64</v>
      </c>
    </row>
    <row r="5475">
      <c r="A5475" s="80" t="s">
        <v>5868</v>
      </c>
      <c r="B5475" s="81" t="str">
        <f>HYPERLINK("https://www.youtube.com/channel/UCVvdX8wGBmCM9KerhiVu_Ig", "McFatty 麥花田")</f>
        <v>McFatty 麥花田</v>
      </c>
      <c r="C5475" s="80" t="s">
        <v>5941</v>
      </c>
      <c r="D5475" s="81" t="str">
        <f>HYPERLINK("https://youtube.com/watch?v=MgBOpyM0VhI", "迷你冬瓜盅 廣東名菜 簡易食譜 附廣東話字幕 Ep37")</f>
        <v>迷你冬瓜盅 廣東名菜 簡易食譜 附廣東話字幕 Ep37</v>
      </c>
      <c r="E5475" s="82">
        <v>44364.0</v>
      </c>
      <c r="F5475" s="80">
        <v>609.0</v>
      </c>
      <c r="G5475" s="80" t="s">
        <v>63</v>
      </c>
      <c r="I5475" s="80" t="s">
        <v>63</v>
      </c>
      <c r="J5475" s="80">
        <v>2423.0</v>
      </c>
      <c r="K5475" s="80">
        <v>0.972701726214371</v>
      </c>
      <c r="L5475" s="80" t="s">
        <v>102</v>
      </c>
    </row>
    <row r="5476">
      <c r="A5476" s="80" t="s">
        <v>2800</v>
      </c>
      <c r="B5476" s="81" t="str">
        <f>HYPERLINK("https://www.youtube.com/channel/UCMqrlsr-AECPc6_3oDr8m9w", "Unicorn 獸哥")</f>
        <v>Unicorn 獸哥</v>
      </c>
      <c r="C5476" s="80" t="s">
        <v>5942</v>
      </c>
      <c r="D5476" s="81" t="str">
        <f>HYPERLINK("https://youtube.com/watch?v=7wV0OLnhS50", "一隻被色情耽誤的動作遊戲 魔劍夢魘 H game評")</f>
        <v>一隻被色情耽誤的動作遊戲 魔劍夢魘 H game評</v>
      </c>
      <c r="E5476" s="82">
        <v>44745.0</v>
      </c>
      <c r="F5476" s="80">
        <v>273.0</v>
      </c>
      <c r="G5476" s="80" t="s">
        <v>63</v>
      </c>
      <c r="I5476" s="80" t="s">
        <v>63</v>
      </c>
      <c r="J5476" s="80">
        <v>1020.0</v>
      </c>
      <c r="K5476" s="80">
        <v>0.863674851820491</v>
      </c>
      <c r="L5476" s="80" t="s">
        <v>64</v>
      </c>
    </row>
    <row r="5477">
      <c r="A5477" s="80" t="s">
        <v>5912</v>
      </c>
      <c r="B5477" s="81" t="str">
        <f>HYPERLINK("https://www.youtube.com/channel/UCSJCx6i6QI2MFN0mDJnnTCw", "慢半拍製作")</f>
        <v>慢半拍製作</v>
      </c>
      <c r="C5477" s="80" t="s">
        <v>5943</v>
      </c>
      <c r="D5477" s="81" t="str">
        <f>HYPERLINK("https://youtube.com/watch?v=UEFwt0U7mg8", "學界男神女神大搜查 Ep.3 ：與男拔運動員相約運動場篇⛹🏿‍♀️｜慢半拍")</f>
        <v>學界男神女神大搜查 Ep.3 ：與男拔運動員相約運動場篇⛹🏿‍♀️｜慢半拍</v>
      </c>
      <c r="E5477" s="82">
        <v>44753.0</v>
      </c>
      <c r="F5477" s="80">
        <v>909.0</v>
      </c>
      <c r="G5477" s="80" t="s">
        <v>63</v>
      </c>
      <c r="I5477" s="80" t="s">
        <v>63</v>
      </c>
      <c r="J5477" s="80">
        <v>1816.0</v>
      </c>
      <c r="K5477" s="80">
        <v>0.889324191968658</v>
      </c>
      <c r="L5477" s="80" t="s">
        <v>64</v>
      </c>
    </row>
    <row r="5478">
      <c r="A5478" s="80" t="s">
        <v>98</v>
      </c>
      <c r="B5478" s="81" t="str">
        <f>HYPERLINK("https://www.youtube.com/channel/UCrquuQB6v1Ued2xyRKZreGQ", "Stephen Leung ")</f>
        <v>Stephen Leung </v>
      </c>
      <c r="C5478" s="80" t="s">
        <v>5944</v>
      </c>
      <c r="D5478" s="81" t="str">
        <f>HYPERLINK("https://youtube.com/watch?v=ZP_Zkj-IXM0", "【週末放縱 Sunday Brunch】週末早午餐 $180 最強任飲套餐 食肉獸天堂 中環美食 特色小館  Meats | 吃喝玩樂")</f>
        <v>【週末放縱 Sunday Brunch】週末早午餐 $180 最強任飲套餐 食肉獸天堂 中環美食 特色小館  Meats | 吃喝玩樂</v>
      </c>
      <c r="E5478" s="82">
        <v>44752.0</v>
      </c>
      <c r="F5478" s="80">
        <v>690.0</v>
      </c>
      <c r="G5478" s="80" t="s">
        <v>63</v>
      </c>
      <c r="I5478" s="80" t="s">
        <v>63</v>
      </c>
      <c r="J5478" s="80">
        <v>1735.0</v>
      </c>
      <c r="K5478" s="80">
        <v>0.943447525829255</v>
      </c>
      <c r="L5478" s="80" t="s">
        <v>64</v>
      </c>
    </row>
    <row r="5479">
      <c r="A5479" s="80" t="s">
        <v>124</v>
      </c>
      <c r="B5479" s="81" t="str">
        <f>HYPERLINK("https://www.youtube.com/channel/UCg0vuSE0fBF_NvodyYhMcWg", "Wallace Studio HK")</f>
        <v>Wallace Studio HK</v>
      </c>
      <c r="C5479" s="80" t="s">
        <v>5945</v>
      </c>
      <c r="D5479" s="81" t="str">
        <f>HYPERLINK("https://youtube.com/watch?v=grKPtwo-Tdw", "Samsung Galaxy Book 2 Pro 360 15.6"" 詳細評測 ！對OLED 輕薄 2合1 又愛又恨 ...")</f>
        <v>Samsung Galaxy Book 2 Pro 360 15.6" 詳細評測 ！對OLED 輕薄 2合1 又愛又恨 ...</v>
      </c>
      <c r="E5479" s="82">
        <v>44752.0</v>
      </c>
      <c r="F5479" s="80">
        <v>635.0</v>
      </c>
      <c r="G5479" s="80" t="s">
        <v>63</v>
      </c>
      <c r="H5479" s="80" t="s">
        <v>63</v>
      </c>
      <c r="I5479" s="80" t="s">
        <v>63</v>
      </c>
      <c r="J5479" s="80">
        <v>2448.0</v>
      </c>
      <c r="K5479" s="80">
        <v>0.823964994951194</v>
      </c>
      <c r="L5479" s="80" t="s">
        <v>86</v>
      </c>
    </row>
    <row r="5480">
      <c r="A5480" s="80" t="s">
        <v>2687</v>
      </c>
      <c r="B5480" s="81" t="str">
        <f>HYPERLINK("https://www.youtube.com/channel/UCgSbuhAD48A7RxbvflQfdjQ", "微辣 Manner")</f>
        <v>微辣 Manner</v>
      </c>
      <c r="C5480" s="80" t="s">
        <v>5946</v>
      </c>
      <c r="D5480" s="81" t="str">
        <f>HYPERLINK("https://youtube.com/watch?v=Cv80VMV6s-s", "【澳門營地街市有好野食】葬愛家族大佬大嫂出動覓食！│去街市收陀地？│魷魚濕炒面│60蚊一碗絕世牛雜│瓦煲奶茶咖啡│微辣 Manner")</f>
        <v>【澳門營地街市有好野食】葬愛家族大佬大嫂出動覓食！│去街市收陀地？│魷魚濕炒面│60蚊一碗絕世牛雜│瓦煲奶茶咖啡│微辣 Manner</v>
      </c>
      <c r="E5480" s="82">
        <v>44758.0</v>
      </c>
      <c r="F5480" s="80">
        <v>754.0</v>
      </c>
      <c r="G5480" s="80" t="s">
        <v>63</v>
      </c>
      <c r="I5480" s="80" t="s">
        <v>63</v>
      </c>
      <c r="J5480" s="80">
        <v>2192.0</v>
      </c>
      <c r="K5480" s="80">
        <v>0.724628099173553</v>
      </c>
      <c r="L5480" s="80" t="s">
        <v>64</v>
      </c>
    </row>
    <row r="5481">
      <c r="A5481" s="80" t="s">
        <v>293</v>
      </c>
      <c r="B5481" s="81" t="str">
        <f>HYPERLINK("https://www.youtube.com/channel/UCXRcbXqjORdIvl63I7MtOLQ", "趁熱 Kerry 's kitchen")</f>
        <v>趁熱 Kerry 's kitchen</v>
      </c>
      <c r="C5481" s="80" t="s">
        <v>5947</v>
      </c>
      <c r="D5481" s="81" t="str">
        <f>HYPERLINK("https://youtube.com/watch?v=QF0LzBbmgmA", "三絲炒麵/簡單做法/蝦子面兩面黃/在家也做到/廣東話/中字")</f>
        <v>三絲炒麵/簡單做法/蝦子面兩面黃/在家也做到/廣東話/中字</v>
      </c>
      <c r="E5481" s="82">
        <v>44748.0</v>
      </c>
      <c r="F5481" s="80">
        <v>592.0</v>
      </c>
      <c r="G5481" s="80" t="s">
        <v>63</v>
      </c>
      <c r="I5481" s="80" t="s">
        <v>63</v>
      </c>
      <c r="J5481" s="80">
        <v>620.0</v>
      </c>
      <c r="K5481" s="80">
        <v>0.965732087227414</v>
      </c>
      <c r="L5481" s="80" t="s">
        <v>64</v>
      </c>
    </row>
    <row r="5482">
      <c r="A5482" s="80" t="s">
        <v>248</v>
      </c>
      <c r="B5482" s="81" t="str">
        <f>HYPERLINK("https://www.youtube.com/channel/UCUEJok-GiWaGlv5nIPwk-GQ", "Price.com.hk 香港格價網")</f>
        <v>Price.com.hk 香港格價網</v>
      </c>
      <c r="C5482" s="80" t="s">
        <v>5948</v>
      </c>
      <c r="D5482" s="81" t="str">
        <f>HYPERLINK("https://youtube.com/watch?v=kXG87bzofSY", "入手循環扇5大要點及擺位攻略 | 10部循環扇推介！循環扇和電風扇的差別？｜夏日最涼快組合｜廣東話【Price.com.hk選購攻略】")</f>
        <v>入手循環扇5大要點及擺位攻略 | 10部循環扇推介！循環扇和電風扇的差別？｜夏日最涼快組合｜廣東話【Price.com.hk選購攻略】</v>
      </c>
      <c r="E5482" s="82">
        <v>44748.0</v>
      </c>
      <c r="F5482" s="80">
        <v>433.0</v>
      </c>
      <c r="G5482" s="80" t="s">
        <v>63</v>
      </c>
      <c r="I5482" s="80" t="s">
        <v>63</v>
      </c>
      <c r="J5482" s="80">
        <v>1689.0</v>
      </c>
      <c r="K5482" s="80">
        <v>0.923960612691466</v>
      </c>
      <c r="L5482" s="80" t="s">
        <v>64</v>
      </c>
    </row>
    <row r="5483">
      <c r="A5483" s="80" t="s">
        <v>2841</v>
      </c>
      <c r="B5483" s="81" t="str">
        <f>HYPERLINK("https://www.youtube.com/channel/UCBYGm7Iz6ck8jeno5AFiriw", "Seafront TV")</f>
        <v>Seafront TV</v>
      </c>
      <c r="C5483" s="80" t="s">
        <v>5949</v>
      </c>
      <c r="D5483" s="81" t="str">
        <f>HYPERLINK("https://youtube.com/watch?v=9fkVveK47OM", "【冷門神科interview大揭秘！原來中學已經要開始準備咁癲？！🤯】科大理學士（綜合系統與設計）HKUST BSc in ISD| #大學Major系列 Seafront TV🌊")</f>
        <v>【冷門神科interview大揭秘！原來中學已經要開始準備咁癲？！🤯】科大理學士（綜合系統與設計）HKUST BSc in ISD| #大學Major系列 Seafront TV🌊</v>
      </c>
      <c r="E5483" s="82">
        <v>44751.0</v>
      </c>
      <c r="F5483" s="80">
        <v>1000.0</v>
      </c>
      <c r="G5483" s="80" t="s">
        <v>63</v>
      </c>
      <c r="I5483" s="80" t="s">
        <v>63</v>
      </c>
      <c r="J5483" s="80">
        <v>3126.0</v>
      </c>
      <c r="K5483" s="80">
        <v>0.612700901607212</v>
      </c>
      <c r="L5483" s="80" t="s">
        <v>102</v>
      </c>
    </row>
    <row r="5484">
      <c r="A5484" s="80" t="s">
        <v>248</v>
      </c>
      <c r="B5484" s="81" t="str">
        <f t="shared" ref="B5484:B5486" si="299">HYPERLINK("https://www.youtube.com/channel/UCUEJok-GiWaGlv5nIPwk-GQ", "Price.com.hk 香港格價網")</f>
        <v>Price.com.hk 香港格價網</v>
      </c>
      <c r="C5484" s="80" t="s">
        <v>5950</v>
      </c>
      <c r="D5484" s="81" t="str">
        <f>HYPERLINK("https://youtube.com/watch?v=98pc6k-hq8s", "超越按摩椅?! 跑車款 OSIM 減壓養身椅 可追蹤壓力指數！壓力大 / 失眠人士必買｜特約專題｜廣東話【Price.com.hk產品評測】")</f>
        <v>超越按摩椅?! 跑車款 OSIM 減壓養身椅 可追蹤壓力指數！壓力大 / 失眠人士必買｜特約專題｜廣東話【Price.com.hk產品評測】</v>
      </c>
      <c r="E5484" s="82">
        <v>44755.0</v>
      </c>
      <c r="F5484" s="80">
        <v>389.0</v>
      </c>
      <c r="G5484" s="80" t="s">
        <v>63</v>
      </c>
      <c r="I5484" s="80" t="s">
        <v>63</v>
      </c>
      <c r="J5484" s="80">
        <v>1574.0</v>
      </c>
      <c r="K5484" s="80">
        <v>0.922626025791324</v>
      </c>
      <c r="L5484" s="80" t="s">
        <v>64</v>
      </c>
    </row>
    <row r="5485">
      <c r="A5485" s="80" t="s">
        <v>248</v>
      </c>
      <c r="B5485" s="81" t="str">
        <f t="shared" si="299"/>
        <v>Price.com.hk 香港格價網</v>
      </c>
      <c r="C5485" s="80" t="s">
        <v>5951</v>
      </c>
      <c r="D5485" s="81" t="str">
        <f>HYPERLINK("https://youtube.com/watch?v=4irEmy0_wl8", "ASUS ROG Phone 6 加入三重散熱措施！Apple Watch S8 可感測發燒？！動漫節推出 NFT 門票 | 廣東話【Price Weekly #122 2022年7月 】")</f>
        <v>ASUS ROG Phone 6 加入三重散熱措施！Apple Watch S8 可感測發燒？！動漫節推出 NFT 門票 | 廣東話【Price Weekly #122 2022年7月 】</v>
      </c>
      <c r="E5485" s="82">
        <v>44751.0</v>
      </c>
      <c r="F5485" s="80">
        <v>483.0</v>
      </c>
      <c r="G5485" s="80" t="s">
        <v>63</v>
      </c>
      <c r="I5485" s="80" t="s">
        <v>63</v>
      </c>
      <c r="J5485" s="80">
        <v>1702.0</v>
      </c>
      <c r="K5485" s="80">
        <v>0.779661016949152</v>
      </c>
      <c r="L5485" s="80" t="s">
        <v>64</v>
      </c>
    </row>
    <row r="5486">
      <c r="A5486" s="80" t="s">
        <v>248</v>
      </c>
      <c r="B5486" s="81" t="str">
        <f t="shared" si="299"/>
        <v>Price.com.hk 香港格價網</v>
      </c>
      <c r="C5486" s="80" t="s">
        <v>5952</v>
      </c>
      <c r="D5486" s="81" t="str">
        <f>HYPERLINK("https://youtube.com/watch?v=9Vpbvk01mh0", "Nothing Phone (1) 開箱實試｜透明機背＋LED燈帶可以點玩？Glyph interface．Nothing OS 初體驗｜廣東話【Price.com.hk產品開箱】")</f>
        <v>Nothing Phone (1) 開箱實試｜透明機背＋LED燈帶可以點玩？Glyph interface．Nothing OS 初體驗｜廣東話【Price.com.hk產品開箱】</v>
      </c>
      <c r="E5486" s="82">
        <v>44754.0</v>
      </c>
      <c r="F5486" s="80">
        <v>475.0</v>
      </c>
      <c r="G5486" s="80" t="s">
        <v>63</v>
      </c>
      <c r="I5486" s="80" t="s">
        <v>63</v>
      </c>
      <c r="J5486" s="80">
        <v>1748.0</v>
      </c>
      <c r="K5486" s="80">
        <v>0.730463852904304</v>
      </c>
      <c r="L5486" s="80" t="s">
        <v>64</v>
      </c>
    </row>
    <row r="5487">
      <c r="A5487" s="80" t="s">
        <v>124</v>
      </c>
      <c r="B5487" s="81" t="str">
        <f>HYPERLINK("https://www.youtube.com/channel/UCg0vuSE0fBF_NvodyYhMcWg", "Wallace Studio HK")</f>
        <v>Wallace Studio HK</v>
      </c>
      <c r="C5487" s="80" t="s">
        <v>5953</v>
      </c>
      <c r="D5487" s="81" t="str">
        <f>HYPERLINK("https://youtube.com/watch?v=wUGcQQQwNtM", "用咩牌子既NAS好？同你詳細比較下 Asustor NAS VS Synology NAS !")</f>
        <v>用咩牌子既NAS好？同你詳細比較下 Asustor NAS VS Synology NAS !</v>
      </c>
      <c r="E5487" s="82">
        <v>44749.0</v>
      </c>
      <c r="F5487" s="80">
        <v>673.0</v>
      </c>
      <c r="G5487" s="80" t="s">
        <v>63</v>
      </c>
      <c r="H5487" s="80" t="s">
        <v>63</v>
      </c>
      <c r="I5487" s="80" t="s">
        <v>63</v>
      </c>
      <c r="J5487" s="80">
        <v>2678.0</v>
      </c>
      <c r="K5487" s="80">
        <v>0.687018984094407</v>
      </c>
      <c r="L5487" s="80" t="s">
        <v>86</v>
      </c>
    </row>
    <row r="5488">
      <c r="A5488" s="80" t="s">
        <v>2041</v>
      </c>
      <c r="B5488" s="81" t="str">
        <f>HYPERLINK("https://www.youtube.com/channel/UCO6pB-ZN4XJ6MVkibvuEe0A", "SingSingTracker 星昇財經指標")</f>
        <v>SingSingTracker 星昇財經指標</v>
      </c>
      <c r="C5488" s="80" t="s">
        <v>5954</v>
      </c>
      <c r="D5488" s="81" t="str">
        <f>HYPERLINK("https://youtube.com/watch?v=JQ4iCDspbKQ", "【到底 Crypto未來嘅情況會點呢? 邊隻幣又有潛力又值得掘呢？】")</f>
        <v>【到底 Crypto未來嘅情況會點呢? 邊隻幣又有潛力又值得掘呢？】</v>
      </c>
      <c r="E5488" s="82">
        <v>44754.0</v>
      </c>
      <c r="F5488" s="80">
        <v>143.0</v>
      </c>
      <c r="G5488" s="80" t="s">
        <v>63</v>
      </c>
      <c r="I5488" s="80" t="s">
        <v>63</v>
      </c>
      <c r="J5488" s="80">
        <v>644.0</v>
      </c>
      <c r="K5488" s="80">
        <v>0.966966966966966</v>
      </c>
      <c r="L5488" s="80" t="s">
        <v>64</v>
      </c>
    </row>
    <row r="5489">
      <c r="A5489" s="80" t="s">
        <v>248</v>
      </c>
      <c r="B5489" s="81" t="str">
        <f>HYPERLINK("https://www.youtube.com/channel/UCUEJok-GiWaGlv5nIPwk-GQ", "Price.com.hk 香港格價網")</f>
        <v>Price.com.hk 香港格價網</v>
      </c>
      <c r="C5489" s="80" t="s">
        <v>5955</v>
      </c>
      <c r="D5489" s="81" t="str">
        <f>HYPERLINK("https://youtube.com/watch?v=RZ6-18QwBKc", "每月$68實試全港首款WiFi 6E Router｜6GHz打造極低延遲｜Archer AXE75 路由器/TXE75E PCIe 網卡｜GIVEAWAY｜特約專題【Price.com.hk產品評測】")</f>
        <v>每月$68實試全港首款WiFi 6E Router｜6GHz打造極低延遲｜Archer AXE75 路由器/TXE75E PCIe 網卡｜GIVEAWAY｜特約專題【Price.com.hk產品評測】</v>
      </c>
      <c r="E5489" s="82">
        <v>44753.0</v>
      </c>
      <c r="F5489" s="80">
        <v>378.0</v>
      </c>
      <c r="G5489" s="80" t="s">
        <v>63</v>
      </c>
      <c r="I5489" s="80" t="s">
        <v>63</v>
      </c>
      <c r="J5489" s="80">
        <v>1101.0</v>
      </c>
      <c r="K5489" s="80">
        <v>0.640861466821885</v>
      </c>
      <c r="L5489" s="80" t="s">
        <v>64</v>
      </c>
    </row>
    <row r="5490">
      <c r="A5490" s="80" t="s">
        <v>61</v>
      </c>
      <c r="B5490" s="81" t="str">
        <f>HYPERLINK("https://www.youtube.com/channel/UCJ4XVrJuqKHbc9yF9oUFseg", "MEeeep More")</f>
        <v>MEeeep More</v>
      </c>
      <c r="C5490" s="80" t="s">
        <v>5956</v>
      </c>
      <c r="D5490" s="81" t="str">
        <f>HYPERLINK("https://youtube.com/watch?v=ckSs5_0ux4I", "Samsung Galaxy A53 5G 開箱評測 | 中階實用5G手機 | a535g vs a53 5g 中階手機推薦")</f>
        <v>Samsung Galaxy A53 5G 開箱評測 | 中階實用5G手機 | a535g vs a53 5g 中階手機推薦</v>
      </c>
      <c r="E5490" s="82">
        <v>44748.0</v>
      </c>
      <c r="F5490" s="80">
        <v>275.0</v>
      </c>
      <c r="G5490" s="80" t="s">
        <v>63</v>
      </c>
      <c r="I5490" s="80" t="s">
        <v>63</v>
      </c>
      <c r="J5490" s="80">
        <v>725.0</v>
      </c>
      <c r="K5490" s="80">
        <v>0.682031984948259</v>
      </c>
      <c r="L5490" s="80" t="s">
        <v>64</v>
      </c>
    </row>
    <row r="5491">
      <c r="A5491" s="80" t="s">
        <v>248</v>
      </c>
      <c r="B5491" s="81" t="str">
        <f>HYPERLINK("https://www.youtube.com/channel/UCUEJok-GiWaGlv5nIPwk-GQ", "Price.com.hk 香港格價網")</f>
        <v>Price.com.hk 香港格價網</v>
      </c>
      <c r="C5491" s="80" t="s">
        <v>5957</v>
      </c>
      <c r="D5491" s="81" t="str">
        <f>HYPERLINK("https://youtube.com/watch?v=p0bSm_YdOZw", "多國認證  Aurabeat AG+ 醫療級銀離子抗病毒空氣淨化機｜NSP-PCO ｜開箱試用｜廣東話｜Aurabeat 特約【Price.com.hk產品開箱】")</f>
        <v>多國認證  Aurabeat AG+ 醫療級銀離子抗病毒空氣淨化機｜NSP-PCO ｜開箱試用｜廣東話｜Aurabeat 特約【Price.com.hk產品開箱】</v>
      </c>
      <c r="E5491" s="82">
        <v>44750.0</v>
      </c>
      <c r="F5491" s="80">
        <v>356.0</v>
      </c>
      <c r="G5491" s="80" t="s">
        <v>63</v>
      </c>
      <c r="I5491" s="80" t="s">
        <v>63</v>
      </c>
      <c r="J5491" s="80">
        <v>1405.0</v>
      </c>
      <c r="K5491" s="80">
        <v>0.93046357615894</v>
      </c>
      <c r="L5491" s="80" t="s">
        <v>64</v>
      </c>
    </row>
    <row r="5492">
      <c r="A5492" s="80" t="s">
        <v>217</v>
      </c>
      <c r="B5492" s="81" t="str">
        <f>HYPERLINK("https://www.youtube.com/channel/UCXKg0qPRz32bs5Z4mTGF3TQ", "Stormtrooper白兵")</f>
        <v>Stormtrooper白兵</v>
      </c>
      <c r="C5492" s="80" t="s">
        <v>5958</v>
      </c>
      <c r="D5492" s="81" t="str">
        <f>HYPERLINK("https://youtube.com/watch?v=6YVnrxqS3GE", "3年拍70部AV，文學作品入圍日本文壇殿堂大賞｜引退後讀碩士做記者但被揭黑歷史！｜書香世家高材生做陪酒？｜鈴木涼美｜粵語中字")</f>
        <v>3年拍70部AV，文學作品入圍日本文壇殿堂大賞｜引退後讀碩士做記者但被揭黑歷史！｜書香世家高材生做陪酒？｜鈴木涼美｜粵語中字</v>
      </c>
      <c r="E5492" s="82">
        <v>44749.0</v>
      </c>
      <c r="F5492" s="80">
        <v>753.0</v>
      </c>
      <c r="G5492" s="80" t="s">
        <v>63</v>
      </c>
      <c r="I5492" s="80" t="s">
        <v>63</v>
      </c>
      <c r="J5492" s="80">
        <v>3091.0</v>
      </c>
      <c r="K5492" s="80">
        <v>0.95578231292517</v>
      </c>
      <c r="L5492" s="80" t="s">
        <v>64</v>
      </c>
    </row>
    <row r="5493">
      <c r="A5493" s="80" t="s">
        <v>96</v>
      </c>
      <c r="B5493" s="81" t="str">
        <f t="shared" ref="B5493:B5494" si="300">HYPERLINK("https://www.youtube.com/channel/UCGtyHJ-L_4RDIHe3XaLofQQ", "Anson Cheung")</f>
        <v>Anson Cheung</v>
      </c>
      <c r="C5493" s="80" t="s">
        <v>5959</v>
      </c>
      <c r="D5493" s="81" t="str">
        <f>HYPERLINK("https://youtube.com/watch?v=NAa2JjqvR4I", "點解呢部電視值 $60,000 ? TCL X925 75"" 8K Mini-LED 電視評測｜Anson Cheung 評測")</f>
        <v>點解呢部電視值 $60,000 ? TCL X925 75" 8K Mini-LED 電視評測｜Anson Cheung 評測</v>
      </c>
      <c r="E5493" s="82">
        <v>44750.0</v>
      </c>
      <c r="F5493" s="80">
        <v>666.0</v>
      </c>
      <c r="G5493" s="80" t="s">
        <v>63</v>
      </c>
      <c r="I5493" s="80" t="s">
        <v>63</v>
      </c>
      <c r="J5493" s="80">
        <v>2400.0</v>
      </c>
      <c r="K5493" s="80">
        <v>0.685322672758423</v>
      </c>
      <c r="L5493" s="80" t="s">
        <v>64</v>
      </c>
    </row>
    <row r="5494">
      <c r="A5494" s="80" t="s">
        <v>96</v>
      </c>
      <c r="B5494" s="81" t="str">
        <f t="shared" si="300"/>
        <v>Anson Cheung</v>
      </c>
      <c r="C5494" s="80" t="s">
        <v>5960</v>
      </c>
      <c r="D5494" s="81" t="str">
        <f>HYPERLINK("https://youtube.com/watch?v=Vwqi8Wn6ea0", "M2 MacBook Air 評測：賣貴$1700，貴得有道理嗎？效能比較 M1 提升咗幾多？")</f>
        <v>M2 MacBook Air 評測：賣貴$1700，貴得有道理嗎？效能比較 M1 提升咗幾多？</v>
      </c>
      <c r="E5494" s="82">
        <v>44756.0</v>
      </c>
      <c r="F5494" s="80">
        <v>675.0</v>
      </c>
      <c r="G5494" s="80" t="s">
        <v>63</v>
      </c>
      <c r="I5494" s="80" t="s">
        <v>63</v>
      </c>
      <c r="J5494" s="80">
        <v>2198.0</v>
      </c>
      <c r="K5494" s="80">
        <v>0.569725246241575</v>
      </c>
      <c r="L5494" s="80" t="s">
        <v>64</v>
      </c>
    </row>
    <row r="5495">
      <c r="A5495" s="80" t="s">
        <v>61</v>
      </c>
      <c r="B5495" s="81" t="str">
        <f>HYPERLINK("https://www.youtube.com/channel/UCJ4XVrJuqKHbc9yF9oUFseg", "MEeeep More")</f>
        <v>MEeeep More</v>
      </c>
      <c r="C5495" s="80" t="s">
        <v>5961</v>
      </c>
      <c r="D5495" s="81" t="str">
        <f>HYPERLINK("https://youtube.com/watch?v=-YJzVtVS7RU", "小米全新智能家居用品 打入寵物用品市場 | 小米家電 小米生態鏈 智能家居 w10 ultra 無線洗地機 x10+ 無線吸塵機 寵物餵食器 寵物飲水機")</f>
        <v>小米全新智能家居用品 打入寵物用品市場 | 小米家電 小米生態鏈 智能家居 w10 ultra 無線洗地機 x10+ 無線吸塵機 寵物餵食器 寵物飲水機</v>
      </c>
      <c r="E5495" s="82">
        <v>44749.0</v>
      </c>
      <c r="F5495" s="80">
        <v>311.0</v>
      </c>
      <c r="G5495" s="80" t="s">
        <v>63</v>
      </c>
      <c r="I5495" s="80" t="s">
        <v>63</v>
      </c>
      <c r="J5495" s="80">
        <v>1028.0</v>
      </c>
      <c r="K5495" s="80">
        <v>0.868977176669484</v>
      </c>
      <c r="L5495" s="80" t="s">
        <v>64</v>
      </c>
    </row>
    <row r="5496">
      <c r="A5496" s="80" t="s">
        <v>293</v>
      </c>
      <c r="B5496" s="81" t="str">
        <f>HYPERLINK("https://www.youtube.com/channel/UCXRcbXqjORdIvl63I7MtOLQ", "趁熱 Kerry 's kitchen")</f>
        <v>趁熱 Kerry 's kitchen</v>
      </c>
      <c r="C5496" s="80" t="s">
        <v>5962</v>
      </c>
      <c r="D5496" s="81" t="str">
        <f>HYPERLINK("https://youtube.com/watch?v=zK_8FNur4iw", "超邪惡麻辣雞煲/急凍雞做法/低成本/其實完全唔難你都做得到/新手 入門/廣東話/中字")</f>
        <v>超邪惡麻辣雞煲/急凍雞做法/低成本/其實完全唔難你都做得到/新手 入門/廣東話/中字</v>
      </c>
      <c r="E5496" s="82">
        <v>44753.0</v>
      </c>
      <c r="F5496" s="80">
        <v>579.0</v>
      </c>
      <c r="G5496" s="80" t="s">
        <v>63</v>
      </c>
      <c r="I5496" s="80" t="s">
        <v>63</v>
      </c>
      <c r="J5496" s="80">
        <v>766.0</v>
      </c>
      <c r="K5496" s="80">
        <v>0.978288633461047</v>
      </c>
      <c r="L5496" s="80" t="s">
        <v>64</v>
      </c>
    </row>
    <row r="5497">
      <c r="A5497" s="80" t="s">
        <v>2800</v>
      </c>
      <c r="B5497" s="81" t="str">
        <f>HYPERLINK("https://www.youtube.com/channel/UCMqrlsr-AECPc6_3oDr8m9w", "Unicorn 獸哥")</f>
        <v>Unicorn 獸哥</v>
      </c>
      <c r="C5497" s="80" t="s">
        <v>5963</v>
      </c>
      <c r="D5497" s="81" t="str">
        <f>HYPERLINK("https://youtube.com/watch?v=75RXgpmUuJU", "【劇透影評】將悲劇拍成喜劇 看完會開心的電影 雷神奇俠4：愛與雷霆")</f>
        <v>【劇透影評】將悲劇拍成喜劇 看完會開心的電影 雷神奇俠4：愛與雷霆</v>
      </c>
      <c r="E5497" s="82">
        <v>44752.0</v>
      </c>
      <c r="F5497" s="80">
        <v>394.0</v>
      </c>
      <c r="G5497" s="80" t="s">
        <v>63</v>
      </c>
      <c r="I5497" s="80" t="s">
        <v>63</v>
      </c>
      <c r="J5497" s="80">
        <v>1542.0</v>
      </c>
      <c r="K5497" s="80">
        <v>0.86483454851374</v>
      </c>
      <c r="L5497" s="80" t="s">
        <v>64</v>
      </c>
    </row>
    <row r="5498">
      <c r="A5498" s="80" t="s">
        <v>978</v>
      </c>
      <c r="B5498" s="81" t="str">
        <f>HYPERLINK("https://www.youtube.com/channel/UCDMd6CHdLs8FoqZJoRHkJGQ", "Ray Ho")</f>
        <v>Ray Ho</v>
      </c>
      <c r="C5498" s="80" t="s">
        <v>5964</v>
      </c>
      <c r="D5498" s="81" t="str">
        <f>HYPERLINK("https://youtube.com/watch?v=0jgXZdfLfjY", "【16歲創業】租工作室俾人呃😱？！大戰地產阿姨經驗全分享😤！決定租工業大廈之前必須留意嘅兩大點！")</f>
        <v>【16歲創業】租工作室俾人呃😱？！大戰地產阿姨經驗全分享😤！決定租工業大廈之前必須留意嘅兩大點！</v>
      </c>
      <c r="E5498" s="82">
        <v>44751.0</v>
      </c>
      <c r="F5498" s="80">
        <v>571.0</v>
      </c>
      <c r="G5498" s="80" t="s">
        <v>63</v>
      </c>
      <c r="I5498" s="80" t="s">
        <v>63</v>
      </c>
      <c r="J5498" s="80">
        <v>1871.0</v>
      </c>
      <c r="K5498" s="80">
        <v>0.89095238095238</v>
      </c>
      <c r="L5498" s="80" t="s">
        <v>64</v>
      </c>
    </row>
    <row r="5499">
      <c r="A5499" s="80" t="s">
        <v>5702</v>
      </c>
      <c r="B5499" s="81" t="str">
        <f t="shared" ref="B5499:B5500" si="301">HYPERLINK("https://www.youtube.com/channel/UC249m2fxYzK-NnfH06YNP3A", "Siu Mei小美")</f>
        <v>Siu Mei小美</v>
      </c>
      <c r="C5499" s="80" t="s">
        <v>5965</v>
      </c>
      <c r="D5499" s="81" t="str">
        <f>HYPERLINK("https://youtube.com/watch?v=kTymQfy3YCw", "【網拍開箱】第一批入手的夏天衣服+6套穿搭分享🔥每件都是我的愛🤩0中伏網拍跟我買就對了🤫")</f>
        <v>【網拍開箱】第一批入手的夏天衣服+6套穿搭分享🔥每件都是我的愛🤩0中伏網拍跟我買就對了🤫</v>
      </c>
      <c r="E5499" s="82">
        <v>44751.0</v>
      </c>
      <c r="F5499" s="80">
        <v>378.0</v>
      </c>
      <c r="G5499" s="80" t="s">
        <v>63</v>
      </c>
      <c r="I5499" s="80" t="s">
        <v>63</v>
      </c>
      <c r="J5499" s="80">
        <v>1842.0</v>
      </c>
      <c r="K5499" s="80">
        <v>0.9150521609538</v>
      </c>
      <c r="L5499" s="80" t="s">
        <v>64</v>
      </c>
    </row>
    <row r="5500">
      <c r="A5500" s="80" t="s">
        <v>5702</v>
      </c>
      <c r="B5500" s="81" t="str">
        <f t="shared" si="301"/>
        <v>Siu Mei小美</v>
      </c>
      <c r="C5500" s="80" t="s">
        <v>5966</v>
      </c>
      <c r="D5500" s="81" t="str">
        <f>HYPERLINK("https://youtube.com/watch?v=k1OFa41pYQY", "【iHerb開箱!!📦】暗瘡暗粒剋星☄️外用A酸怎麼用? 直逼專櫃質素的百元化妝品🤩以後不再尿道炎的原因? 減糖減重必食代糖🍭")</f>
        <v>【iHerb開箱!!📦】暗瘡暗粒剋星☄️外用A酸怎麼用? 直逼專櫃質素的百元化妝品🤩以後不再尿道炎的原因? 減糖減重必食代糖🍭</v>
      </c>
      <c r="E5500" s="82">
        <v>44752.0</v>
      </c>
      <c r="F5500" s="80">
        <v>762.0</v>
      </c>
      <c r="G5500" s="80" t="s">
        <v>63</v>
      </c>
      <c r="I5500" s="80" t="s">
        <v>63</v>
      </c>
      <c r="J5500" s="80">
        <v>3947.0</v>
      </c>
      <c r="K5500" s="80">
        <v>0.875943186861961</v>
      </c>
      <c r="L5500" s="80" t="s">
        <v>64</v>
      </c>
    </row>
    <row r="5501">
      <c r="A5501" s="80" t="s">
        <v>293</v>
      </c>
      <c r="B5501" s="81" t="str">
        <f>HYPERLINK("https://www.youtube.com/channel/UCXRcbXqjORdIvl63I7MtOLQ", "趁熱 Kerry 's kitchen")</f>
        <v>趁熱 Kerry 's kitchen</v>
      </c>
      <c r="C5501" s="80" t="s">
        <v>5967</v>
      </c>
      <c r="D5501" s="81" t="str">
        <f>HYPERLINK("https://youtube.com/watch?v=konKEJRKC1M", "沙爹雞肉串/關鍵是沙爹汁/沙爹汁做法/好餸飯/街邊做法/兒時的美味/新手 入門/廣東話/中字")</f>
        <v>沙爹雞肉串/關鍵是沙爹汁/沙爹汁做法/好餸飯/街邊做法/兒時的美味/新手 入門/廣東話/中字</v>
      </c>
      <c r="E5501" s="82">
        <v>44750.0</v>
      </c>
      <c r="F5501" s="80">
        <v>719.0</v>
      </c>
      <c r="G5501" s="80" t="s">
        <v>63</v>
      </c>
      <c r="I5501" s="80" t="s">
        <v>63</v>
      </c>
      <c r="J5501" s="80">
        <v>508.0</v>
      </c>
      <c r="K5501" s="80">
        <v>0.963946869070208</v>
      </c>
      <c r="L5501" s="80" t="s">
        <v>64</v>
      </c>
    </row>
    <row r="5502">
      <c r="A5502" s="80" t="s">
        <v>755</v>
      </c>
      <c r="B5502" s="81" t="str">
        <f>HYPERLINK("https://www.youtube.com/channel/UCBiJDTc82IM68KVH873VeAw", "Live in Kwangsi廣西人·情·味")</f>
        <v>Live in Kwangsi廣西人·情·味</v>
      </c>
      <c r="C5502" s="80" t="s">
        <v>5968</v>
      </c>
      <c r="D5502" s="81" t="str">
        <f>HYPERLINK("https://youtube.com/watch?v=cMo6mi_ZCVA", "繼續探訪地攤經濟：梧州龍墟車尾箱夜市｜廣西日常實拍 20220704")</f>
        <v>繼續探訪地攤經濟：梧州龍墟車尾箱夜市｜廣西日常實拍 20220704</v>
      </c>
      <c r="E5502" s="82">
        <v>44749.0</v>
      </c>
      <c r="F5502" s="80">
        <v>294.0</v>
      </c>
      <c r="G5502" s="80" t="s">
        <v>63</v>
      </c>
      <c r="I5502" s="80" t="s">
        <v>63</v>
      </c>
      <c r="J5502" s="80">
        <v>344.0</v>
      </c>
      <c r="K5502" s="80">
        <v>1.0</v>
      </c>
      <c r="L5502" s="80" t="s">
        <v>757</v>
      </c>
    </row>
    <row r="5503">
      <c r="A5503" s="80" t="s">
        <v>260</v>
      </c>
      <c r="B5503" s="81" t="str">
        <f>HYPERLINK("https://www.youtube.com/channel/UC-HXOikkLx7BGEfILGIpYOg", "港短 . 英移")</f>
        <v>港短 . 英移</v>
      </c>
      <c r="C5503" s="80" t="s">
        <v>5969</v>
      </c>
      <c r="D5503" s="81" t="str">
        <f>HYPERLINK("https://youtube.com/watch?v=WMyvo5O6wYk", "Costco 其實慳唔到錢｜應唔應該入會?｜人人都推介的英國超市｜港短.英移​ #開箱英國超市 #英國Costco #英國生活")</f>
        <v>Costco 其實慳唔到錢｜應唔應該入會?｜人人都推介的英國超市｜港短.英移​ #開箱英國超市 #英國Costco #英國生活</v>
      </c>
      <c r="E5503" s="82">
        <v>44750.0</v>
      </c>
      <c r="F5503" s="80">
        <v>427.0</v>
      </c>
      <c r="G5503" s="80" t="s">
        <v>63</v>
      </c>
      <c r="I5503" s="80" t="s">
        <v>63</v>
      </c>
      <c r="J5503" s="80">
        <v>1867.0</v>
      </c>
      <c r="K5503" s="80">
        <v>0.812092214006089</v>
      </c>
      <c r="L5503" s="80" t="s">
        <v>102</v>
      </c>
    </row>
    <row r="5504">
      <c r="A5504" s="80" t="s">
        <v>248</v>
      </c>
      <c r="B5504" s="81" t="str">
        <f>HYPERLINK("https://www.youtube.com/channel/UCUEJok-GiWaGlv5nIPwk-GQ", "Price.com.hk 香港格價網")</f>
        <v>Price.com.hk 香港格價網</v>
      </c>
      <c r="C5504" s="80" t="s">
        <v>5970</v>
      </c>
      <c r="D5504" s="81" t="str">
        <f>HYPERLINK("https://youtube.com/watch?v=a0qdpnkNGaw", "新一代藍牙編碼LE Audio規格・傳Samsung棄用自家Exynos處理器・Zenfone 9 將於7 月 28 日晚正式發表 | 廣東話【Price Weekly #123 2022年7月 】")</f>
        <v>新一代藍牙編碼LE Audio規格・傳Samsung棄用自家Exynos處理器・Zenfone 9 將於7 月 28 日晚正式發表 | 廣東話【Price Weekly #123 2022年7月 】</v>
      </c>
      <c r="E5504" s="82">
        <v>44758.0</v>
      </c>
      <c r="F5504" s="80">
        <v>563.0</v>
      </c>
      <c r="G5504" s="80" t="s">
        <v>63</v>
      </c>
      <c r="I5504" s="80" t="s">
        <v>63</v>
      </c>
      <c r="J5504" s="80">
        <v>2118.0</v>
      </c>
      <c r="K5504" s="80">
        <v>0.759139784946236</v>
      </c>
      <c r="L5504" s="80" t="s">
        <v>64</v>
      </c>
    </row>
    <row r="5505">
      <c r="A5505" s="80" t="s">
        <v>260</v>
      </c>
      <c r="B5505" s="81" t="str">
        <f>HYPERLINK("https://www.youtube.com/channel/UC-HXOikkLx7BGEfILGIpYOg", "港短 . 英移")</f>
        <v>港短 . 英移</v>
      </c>
      <c r="C5505" s="80" t="s">
        <v>5971</v>
      </c>
      <c r="D5505" s="81" t="str">
        <f>HYPERLINK("https://youtube.com/watch?v=Nl7phVzNI18", "得與失..身邊2個朋友不快樂的原因 | 不是因為錢 | 港短.英移 #英國移民  #英國生活 #bnovisa")</f>
        <v>得與失..身邊2個朋友不快樂的原因 | 不是因為錢 | 港短.英移 #英國移民  #英國生活 #bnovisa</v>
      </c>
      <c r="E5505" s="82">
        <v>44757.0</v>
      </c>
      <c r="F5505" s="80">
        <v>484.0</v>
      </c>
      <c r="G5505" s="80" t="s">
        <v>63</v>
      </c>
      <c r="I5505" s="80" t="s">
        <v>63</v>
      </c>
      <c r="J5505" s="80">
        <v>2194.0</v>
      </c>
      <c r="K5505" s="80">
        <v>0.964395604395604</v>
      </c>
      <c r="L5505" s="80" t="s">
        <v>102</v>
      </c>
    </row>
    <row r="5506">
      <c r="A5506" s="80" t="s">
        <v>217</v>
      </c>
      <c r="B5506" s="81" t="str">
        <f>HYPERLINK("https://www.youtube.com/channel/UCXKg0qPRz32bs5Z4mTGF3TQ", "Stormtrooper白兵")</f>
        <v>Stormtrooper白兵</v>
      </c>
      <c r="C5506" s="80" t="s">
        <v>5972</v>
      </c>
      <c r="D5506" s="81" t="str">
        <f>HYPERLINK("https://youtube.com/watch?v=HsXnR6cGmBw", "存款在銀行不買樓＝夫目前犯？幫人供樓？｜香港樓價連續12年全球最高，不吃不喝23年才能置業｜樓奴是如何煉成的？｜樓奴魔咒全靠一個字！___！｜粵語中字")</f>
        <v>存款在銀行不買樓＝夫目前犯？幫人供樓？｜香港樓價連續12年全球最高，不吃不喝23年才能置業｜樓奴是如何煉成的？｜樓奴魔咒全靠一個字！___！｜粵語中字</v>
      </c>
      <c r="E5506" s="82">
        <v>44756.0</v>
      </c>
      <c r="F5506" s="80">
        <v>833.0</v>
      </c>
      <c r="G5506" s="80" t="s">
        <v>63</v>
      </c>
      <c r="I5506" s="80" t="s">
        <v>63</v>
      </c>
      <c r="J5506" s="80">
        <v>3543.0</v>
      </c>
      <c r="K5506" s="80">
        <v>0.961987510181916</v>
      </c>
      <c r="L5506" s="80" t="s">
        <v>64</v>
      </c>
    </row>
    <row r="5507">
      <c r="A5507" s="80" t="s">
        <v>293</v>
      </c>
      <c r="B5507" s="81" t="str">
        <f>HYPERLINK("https://www.youtube.com/channel/UCXRcbXqjORdIvl63I7MtOLQ", "趁熱 Kerry 's kitchen")</f>
        <v>趁熱 Kerry 's kitchen</v>
      </c>
      <c r="C5507" s="80" t="s">
        <v>5973</v>
      </c>
      <c r="D5507" s="81" t="str">
        <f>HYPERLINK("https://youtube.com/watch?v=y-nId8MtLUs", "橙香豬扒/醃豬扒軟淋竅門/好餸飯/純天然做法/其實很簡單/新手入門/廣東話/中字")</f>
        <v>橙香豬扒/醃豬扒軟淋竅門/好餸飯/純天然做法/其實很簡單/新手入門/廣東話/中字</v>
      </c>
      <c r="E5507" s="82">
        <v>44757.0</v>
      </c>
      <c r="F5507" s="80">
        <v>639.0</v>
      </c>
      <c r="G5507" s="80" t="s">
        <v>63</v>
      </c>
      <c r="I5507" s="80" t="s">
        <v>63</v>
      </c>
      <c r="J5507" s="80">
        <v>1528.0</v>
      </c>
      <c r="K5507" s="80">
        <v>0.972628898790579</v>
      </c>
      <c r="L5507" s="80" t="s">
        <v>64</v>
      </c>
    </row>
    <row r="5508">
      <c r="A5508" s="80" t="s">
        <v>3139</v>
      </c>
      <c r="B5508" s="81" t="str">
        <f>HYPERLINK("https://www.youtube.com/channel/UCThO2xnH7XMg6plE8OgJm_w", "choyuen草原")</f>
        <v>choyuen草原</v>
      </c>
      <c r="C5508" s="80" t="s">
        <v>5974</v>
      </c>
      <c r="D5508" s="81" t="str">
        <f>HYPERLINK("https://youtube.com/watch?v=7VZTBWxjWRI", "英國秘境, 埃及風情 (A. 方尖碑)  UK the hidden Egypt style (A. Obelisk)")</f>
        <v>英國秘境, 埃及風情 (A. 方尖碑)  UK the hidden Egypt style (A. Obelisk)</v>
      </c>
      <c r="E5508" s="82">
        <v>44752.0</v>
      </c>
      <c r="F5508" s="80">
        <v>358.0</v>
      </c>
      <c r="G5508" s="80" t="s">
        <v>63</v>
      </c>
      <c r="I5508" s="80" t="s">
        <v>63</v>
      </c>
      <c r="J5508" s="80">
        <v>939.0</v>
      </c>
      <c r="K5508" s="80">
        <v>0.877570093457943</v>
      </c>
      <c r="L5508" s="80" t="s">
        <v>64</v>
      </c>
    </row>
    <row r="5509">
      <c r="A5509" s="80" t="s">
        <v>293</v>
      </c>
      <c r="B5509" s="81" t="str">
        <f>HYPERLINK("https://www.youtube.com/channel/UCXRcbXqjORdIvl63I7MtOLQ", "趁熱 Kerry 's kitchen")</f>
        <v>趁熱 Kerry 's kitchen</v>
      </c>
      <c r="C5509" s="80" t="s">
        <v>5975</v>
      </c>
      <c r="D5509" s="81" t="str">
        <f>HYPERLINK("https://youtube.com/watch?v=LHSVC96lY8g", "咕嚕魚/開胃菜/不用炸/急凍魚柳低成本容易做/新手 入門/廣東話/中字")</f>
        <v>咕嚕魚/開胃菜/不用炸/急凍魚柳低成本容易做/新手 入門/廣東話/中字</v>
      </c>
      <c r="E5509" s="82">
        <v>44755.0</v>
      </c>
      <c r="F5509" s="80">
        <v>522.0</v>
      </c>
      <c r="G5509" s="80" t="s">
        <v>63</v>
      </c>
      <c r="I5509" s="80" t="s">
        <v>63</v>
      </c>
      <c r="J5509" s="80">
        <v>570.0</v>
      </c>
      <c r="K5509" s="80">
        <v>0.957983193277311</v>
      </c>
      <c r="L5509" s="80" t="s">
        <v>64</v>
      </c>
    </row>
    <row r="5510">
      <c r="A5510" s="80" t="s">
        <v>96</v>
      </c>
      <c r="B5510" s="81" t="str">
        <f>HYPERLINK("https://www.youtube.com/channel/UCGtyHJ-L_4RDIHe3XaLofQQ", "Anson Cheung")</f>
        <v>Anson Cheung</v>
      </c>
      <c r="C5510" s="80" t="s">
        <v>5976</v>
      </c>
      <c r="D5510" s="81" t="str">
        <f>HYPERLINK("https://youtube.com/watch?v=fsmKzZAybZs", "Nothing Phone (1) 初步印象評測：今年最「搶眼」的一部手機")</f>
        <v>Nothing Phone (1) 初步印象評測：今年最「搶眼」的一部手機</v>
      </c>
      <c r="E5510" s="82">
        <v>44754.0</v>
      </c>
      <c r="F5510" s="80">
        <v>602.0</v>
      </c>
      <c r="G5510" s="80" t="s">
        <v>63</v>
      </c>
      <c r="I5510" s="80" t="s">
        <v>63</v>
      </c>
      <c r="J5510" s="80">
        <v>2101.0</v>
      </c>
      <c r="K5510" s="80">
        <v>0.617215041128084</v>
      </c>
      <c r="L5510" s="80" t="s">
        <v>64</v>
      </c>
    </row>
    <row r="5511">
      <c r="A5511" s="80" t="s">
        <v>1016</v>
      </c>
      <c r="B5511" s="81" t="str">
        <f>HYPERLINK("https://www.youtube.com/channel/UCSbiR1l-cfzk44iTJVSAZVQ", "Rhapsody in Lingo")</f>
        <v>Rhapsody in Lingo</v>
      </c>
      <c r="C5511" s="80" t="s">
        <v>5977</v>
      </c>
      <c r="D5511" s="81" t="str">
        <f>HYPERLINK("https://youtube.com/watch?v=frKOxwkaVwM", "波蘭文高階C1級，終於煉成？！【粵字/en subs】華沙 Polyglot Gathering，DAY 1 VLOG")</f>
        <v>波蘭文高階C1級，終於煉成？！【粵字/en subs】華沙 Polyglot Gathering，DAY 1 VLOG</v>
      </c>
      <c r="E5511" s="82">
        <v>44749.0</v>
      </c>
      <c r="F5511" s="80">
        <v>435.0</v>
      </c>
      <c r="G5511" s="80" t="s">
        <v>63</v>
      </c>
      <c r="I5511" s="80" t="s">
        <v>63</v>
      </c>
      <c r="J5511" s="80">
        <v>546.0</v>
      </c>
      <c r="K5511" s="80">
        <v>0.273684210526315</v>
      </c>
      <c r="L5511" s="80" t="s">
        <v>5830</v>
      </c>
    </row>
    <row r="5512">
      <c r="A5512" s="80" t="s">
        <v>248</v>
      </c>
      <c r="B5512" s="81" t="str">
        <f>HYPERLINK("https://www.youtube.com/channel/UCUEJok-GiWaGlv5nIPwk-GQ", "Price.com.hk 香港格價網")</f>
        <v>Price.com.hk 香港格價網</v>
      </c>
      <c r="C5512" s="80" t="s">
        <v>5978</v>
      </c>
      <c r="D5512" s="81" t="str">
        <f>HYPERLINK("https://youtube.com/watch?v=Y9VDC6rBY_I", "降噪＋通話+靚聲 三者兼得 Technics EAH-AZ60&amp;AZ40｜夏日新色｜支援LDAC｜紅點設計大獎｜Giveaway｜特約專題｜用後感｜【price.com.hk產品評測】")</f>
        <v>降噪＋通話+靚聲 三者兼得 Technics EAH-AZ60&amp;AZ40｜夏日新色｜支援LDAC｜紅點設計大獎｜Giveaway｜特約專題｜用後感｜【price.com.hk產品評測】</v>
      </c>
      <c r="E5512" s="82">
        <v>44757.0</v>
      </c>
      <c r="F5512" s="80">
        <v>552.0</v>
      </c>
      <c r="G5512" s="80" t="s">
        <v>63</v>
      </c>
      <c r="I5512" s="80" t="s">
        <v>63</v>
      </c>
      <c r="J5512" s="80">
        <v>1927.0</v>
      </c>
      <c r="K5512" s="80">
        <v>0.844064826982041</v>
      </c>
      <c r="L5512" s="80" t="s">
        <v>64</v>
      </c>
    </row>
    <row r="5513">
      <c r="A5513" s="80" t="s">
        <v>61</v>
      </c>
      <c r="B5513" s="81" t="str">
        <f>HYPERLINK("https://www.youtube.com/channel/UCJ4XVrJuqKHbc9yF9oUFseg", "MEeeep More")</f>
        <v>MEeeep More</v>
      </c>
      <c r="C5513" s="80" t="s">
        <v>5979</v>
      </c>
      <c r="D5513" s="81" t="str">
        <f>HYPERLINK("https://youtube.com/watch?v=E3WPRSfcumw", "鍋點 The pot spot | 新派中菜 掀起最新飲食潮流 | 尖沙咀美食 陳皮砵酒燉牛臉頰 鮑汁花膠刺參撈飯 酸菜脆炸鯛魚飯 溫泉蛋鮑魚蔥油培根脆脆拌飯")</f>
        <v>鍋點 The pot spot | 新派中菜 掀起最新飲食潮流 | 尖沙咀美食 陳皮砵酒燉牛臉頰 鮑汁花膠刺參撈飯 酸菜脆炸鯛魚飯 溫泉蛋鮑魚蔥油培根脆脆拌飯</v>
      </c>
      <c r="E5513" s="82">
        <v>44754.0</v>
      </c>
      <c r="F5513" s="80">
        <v>224.0</v>
      </c>
      <c r="G5513" s="80" t="s">
        <v>63</v>
      </c>
      <c r="I5513" s="80" t="s">
        <v>63</v>
      </c>
      <c r="J5513" s="80">
        <v>300.0</v>
      </c>
      <c r="K5513" s="80">
        <v>0.771208226221079</v>
      </c>
      <c r="L5513" s="80" t="s">
        <v>64</v>
      </c>
    </row>
    <row r="5514">
      <c r="A5514" s="80" t="s">
        <v>74</v>
      </c>
      <c r="B5514" s="81" t="str">
        <f>HYPERLINK("https://www.youtube.com/channel/UCO_5XP-qd-udNxBlzzSzgvw", "Handline Fishing")</f>
        <v>Handline Fishing</v>
      </c>
      <c r="C5514" s="80" t="s">
        <v>5980</v>
      </c>
      <c r="D5514" s="81" t="str">
        <f>HYPERLINK("https://youtube.com/watch?v=KUJPusW5E1Q", "#284 今次釣到索曬氣 | 香港釣魚 | 艇釣 | 南丫島北角大排 {粵語旁白+中英文字幕}")</f>
        <v>#284 今次釣到索曬氣 | 香港釣魚 | 艇釣 | 南丫島北角大排 {粵語旁白+中英文字幕}</v>
      </c>
      <c r="E5514" s="82">
        <v>44751.0</v>
      </c>
      <c r="F5514" s="80">
        <v>589.0</v>
      </c>
      <c r="G5514" s="80" t="s">
        <v>63</v>
      </c>
      <c r="H5514" s="80" t="s">
        <v>63</v>
      </c>
      <c r="I5514" s="80" t="s">
        <v>63</v>
      </c>
      <c r="J5514" s="80">
        <v>320.0</v>
      </c>
      <c r="K5514" s="80">
        <v>0.93841642228739</v>
      </c>
      <c r="L5514" s="80" t="s">
        <v>2175</v>
      </c>
    </row>
    <row r="5515">
      <c r="A5515" s="80" t="s">
        <v>1670</v>
      </c>
      <c r="B5515" s="81" t="str">
        <f>HYPERLINK("https://www.youtube.com/channel/UC-PIt5m-WOg8UVBkt2RnN0g", "阿JACK睇樓團")</f>
        <v>阿JACK睇樓團</v>
      </c>
      <c r="C5515" s="80" t="s">
        <v>5981</v>
      </c>
      <c r="D5515" s="81" t="str">
        <f>HYPERLINK("https://youtube.com/watch?v=pchq1x7ECmE", "觀眾邀請😍 尚城樓王🤴🏻級數 東南三房一套連儲物室 三年先可能有一間睇到樓🧐 #尚城 #洪水橋 #元朗樓 #屯門")</f>
        <v>觀眾邀請😍 尚城樓王🤴🏻級數 東南三房一套連儲物室 三年先可能有一間睇到樓🧐 #尚城 #洪水橋 #元朗樓 #屯門</v>
      </c>
      <c r="E5515" s="82">
        <v>44748.0</v>
      </c>
      <c r="F5515" s="80">
        <v>695.0</v>
      </c>
      <c r="G5515" s="80" t="s">
        <v>63</v>
      </c>
      <c r="I5515" s="80" t="s">
        <v>63</v>
      </c>
      <c r="J5515" s="80">
        <v>2658.0</v>
      </c>
      <c r="K5515" s="80">
        <v>0.979005524861878</v>
      </c>
      <c r="L5515" s="80" t="s">
        <v>64</v>
      </c>
    </row>
    <row r="5516">
      <c r="A5516" s="80" t="s">
        <v>61</v>
      </c>
      <c r="B5516" s="81" t="str">
        <f>HYPERLINK("https://www.youtube.com/channel/UCJ4XVrJuqKHbc9yF9oUFseg", "MEeeep More")</f>
        <v>MEeeep More</v>
      </c>
      <c r="C5516" s="80" t="s">
        <v>5982</v>
      </c>
      <c r="D5516" s="81" t="str">
        <f>HYPERLINK("https://youtube.com/watch?v=3i4a9PXXosc", "小米12 Lite 實機評測 | 平玩1億像素主鏡+前置柔光燈 | mi12lite xiaomi 12 lite 小米新手機 小米12Lite香港")</f>
        <v>小米12 Lite 實機評測 | 平玩1億像素主鏡+前置柔光燈 | mi12lite xiaomi 12 lite 小米新手機 小米12Lite香港</v>
      </c>
      <c r="E5516" s="82">
        <v>44756.0</v>
      </c>
      <c r="F5516" s="80">
        <v>236.0</v>
      </c>
      <c r="G5516" s="80" t="s">
        <v>63</v>
      </c>
      <c r="I5516" s="80" t="s">
        <v>63</v>
      </c>
      <c r="J5516" s="80">
        <v>658.0</v>
      </c>
      <c r="K5516" s="80">
        <v>0.837150127226463</v>
      </c>
      <c r="L5516" s="80" t="s">
        <v>64</v>
      </c>
    </row>
    <row r="5517">
      <c r="A5517" s="80" t="s">
        <v>248</v>
      </c>
      <c r="B5517" s="81" t="str">
        <f>HYPERLINK("https://www.youtube.com/channel/UCUEJok-GiWaGlv5nIPwk-GQ", "Price.com.hk 香港格價網")</f>
        <v>Price.com.hk 香港格價網</v>
      </c>
      <c r="C5517" s="80" t="s">
        <v>5983</v>
      </c>
      <c r="D5517" s="81" t="str">
        <f>HYPERLINK("https://youtube.com/watch?v=IEV8awcqF60", "開箱 全面升級?! Apple M2 MacBook Air 2022 同場比較M1版｜13.6吋熒幕表現｜全新午夜暗色｜跑分｜4喇叭｜廣東話【Price.com.hk產品比較】")</f>
        <v>開箱 全面升級?! Apple M2 MacBook Air 2022 同場比較M1版｜13.6吋熒幕表現｜全新午夜暗色｜跑分｜4喇叭｜廣東話【Price.com.hk產品比較】</v>
      </c>
      <c r="E5517" s="82">
        <v>44756.0</v>
      </c>
      <c r="F5517" s="80">
        <v>465.0</v>
      </c>
      <c r="G5517" s="80" t="s">
        <v>63</v>
      </c>
      <c r="I5517" s="80" t="s">
        <v>63</v>
      </c>
      <c r="J5517" s="80">
        <v>1431.0</v>
      </c>
      <c r="K5517" s="80">
        <v>0.709469509172037</v>
      </c>
      <c r="L5517" s="80" t="s">
        <v>64</v>
      </c>
    </row>
    <row r="5518">
      <c r="A5518" s="80" t="s">
        <v>124</v>
      </c>
      <c r="B5518" s="81" t="str">
        <f>HYPERLINK("https://www.youtube.com/channel/UCg0vuSE0fBF_NvodyYhMcWg", "Wallace Studio HK")</f>
        <v>Wallace Studio HK</v>
      </c>
      <c r="C5518" s="80" t="s">
        <v>5984</v>
      </c>
      <c r="D5518" s="81" t="str">
        <f>HYPERLINK("https://youtube.com/watch?v=ZQdYmLMHA_g", "Mac 用戶最佳配搭!? Logitech MX Mechanical and MX Master 3S 評測!")</f>
        <v>Mac 用戶最佳配搭!? Logitech MX Mechanical and MX Master 3S 評測!</v>
      </c>
      <c r="E5518" s="82">
        <v>44765.0</v>
      </c>
      <c r="F5518" s="80">
        <v>375.0</v>
      </c>
      <c r="G5518" s="80" t="s">
        <v>63</v>
      </c>
      <c r="H5518" s="80" t="s">
        <v>63</v>
      </c>
      <c r="I5518" s="80" t="s">
        <v>63</v>
      </c>
      <c r="J5518" s="80">
        <v>1650.0</v>
      </c>
      <c r="K5518" s="80">
        <v>0.870708154506437</v>
      </c>
      <c r="L5518" s="80" t="s">
        <v>86</v>
      </c>
    </row>
    <row r="5519">
      <c r="A5519" s="80" t="s">
        <v>248</v>
      </c>
      <c r="B5519" s="81" t="str">
        <f>HYPERLINK("https://www.youtube.com/channel/UCUEJok-GiWaGlv5nIPwk-GQ", "Price.com.hk 香港格價網")</f>
        <v>Price.com.hk 香港格價網</v>
      </c>
      <c r="C5519" s="80" t="s">
        <v>5985</v>
      </c>
      <c r="D5519" s="81" t="str">
        <f>HYPERLINK("https://youtube.com/watch?v=622wFJ9MyZM", "Nothing Phone (1) 十大重點深入試｜撇除噱頭仍有競爭力？網速、攝力、散熱跑贏同價位手機｜對比iPhone SE 3／Galaxy A53｜廣東話【Price.com.hk產品評測】")</f>
        <v>Nothing Phone (1) 十大重點深入試｜撇除噱頭仍有競爭力？網速、攝力、散熱跑贏同價位手機｜對比iPhone SE 3／Galaxy A53｜廣東話【Price.com.hk產品評測】</v>
      </c>
      <c r="E5519" s="82">
        <v>44762.0</v>
      </c>
      <c r="F5519" s="80">
        <v>647.0</v>
      </c>
      <c r="G5519" s="80" t="s">
        <v>63</v>
      </c>
      <c r="I5519" s="80" t="s">
        <v>63</v>
      </c>
      <c r="J5519" s="80">
        <v>2141.0</v>
      </c>
      <c r="K5519" s="80">
        <v>0.730966200068282</v>
      </c>
      <c r="L5519" s="80" t="s">
        <v>64</v>
      </c>
    </row>
    <row r="5520">
      <c r="A5520" s="80" t="s">
        <v>98</v>
      </c>
      <c r="B5520" s="81" t="str">
        <f>HYPERLINK("https://www.youtube.com/channel/UCrquuQB6v1Ued2xyRKZreGQ", "Stephen Leung ")</f>
        <v>Stephen Leung </v>
      </c>
      <c r="C5520" s="80" t="s">
        <v>5986</v>
      </c>
      <c r="D5520" s="81" t="str">
        <f>HYPERLINK("https://youtube.com/watch?v=jUQmC-U4D-U", "【酒店美食博覽】富麗敦海洋公園酒店 全新五星級酒店自助餐 真人自費實測 任食海鮮 鐵板燒鱈魚Fullerton Ocean Park Hotel | 吃喝玩樂")</f>
        <v>【酒店美食博覽】富麗敦海洋公園酒店 全新五星級酒店自助餐 真人自費實測 任食海鮮 鐵板燒鱈魚Fullerton Ocean Park Hotel | 吃喝玩樂</v>
      </c>
      <c r="E5520" s="82">
        <v>44765.0</v>
      </c>
      <c r="F5520" s="80">
        <v>1107.0</v>
      </c>
      <c r="G5520" s="80" t="s">
        <v>63</v>
      </c>
      <c r="I5520" s="80" t="s">
        <v>63</v>
      </c>
      <c r="J5520" s="80">
        <v>3156.0</v>
      </c>
      <c r="K5520" s="80">
        <v>0.976787372330547</v>
      </c>
      <c r="L5520" s="80" t="s">
        <v>64</v>
      </c>
    </row>
    <row r="5521">
      <c r="A5521" s="80" t="s">
        <v>5987</v>
      </c>
      <c r="B5521" s="81" t="str">
        <f>HYPERLINK("https://www.youtube.com/channel/UCkdEqlRnoKQTBez32SagNZg", "Derek Tang 鄧仲軒")</f>
        <v>Derek Tang 鄧仲軒</v>
      </c>
      <c r="C5521" s="80" t="s">
        <v>5988</v>
      </c>
      <c r="D5521" s="81" t="str">
        <f>HYPERLINK("https://youtube.com/watch?v=paNLVc0xFp0", "我在非洲被警察逮捕!! (上篇)🤦🏿‍♀️👮🏿‍♂️ | 非你所想EP1 - 肯亞")</f>
        <v>我在非洲被警察逮捕!! (上篇)🤦🏿‍♀️👮🏿‍♂️ | 非你所想EP1 - 肯亞</v>
      </c>
      <c r="E5521" s="82">
        <v>43853.0</v>
      </c>
      <c r="F5521" s="80">
        <v>913.0</v>
      </c>
      <c r="G5521" s="80" t="s">
        <v>63</v>
      </c>
      <c r="I5521" s="80" t="s">
        <v>63</v>
      </c>
      <c r="J5521" s="80">
        <v>2124.0</v>
      </c>
      <c r="K5521" s="80">
        <v>0.801509433962264</v>
      </c>
      <c r="L5521" s="80" t="s">
        <v>5989</v>
      </c>
    </row>
    <row r="5522">
      <c r="A5522" s="80" t="s">
        <v>140</v>
      </c>
      <c r="B5522" s="81" t="str">
        <f>HYPERLINK("https://www.youtube.com/channel/UCHK0CZf9HEXs42qIO1GUouA", "TechiCardia")</f>
        <v>TechiCardia</v>
      </c>
      <c r="C5522" s="80" t="s">
        <v>5990</v>
      </c>
      <c r="D5522" s="81" t="str">
        <f>HYPERLINK("https://youtube.com/watch?v=CXUbNkOSKvs", "6樣實用好玩嘅科技周邊！300小時打機耳機 | Superglide 鼠腳 | ROG 新闊MON | 型仔格仔display | 超便攜無線咪 //4K【TechiCardia】[CC 廣東話字幕]")</f>
        <v>6樣實用好玩嘅科技周邊！300小時打機耳機 | Superglide 鼠腳 | ROG 新闊MON | 型仔格仔display | 超便攜無線咪 //4K【TechiCardia】[CC 廣東話字幕]</v>
      </c>
      <c r="E5522" s="82">
        <v>44766.0</v>
      </c>
      <c r="F5522" s="80">
        <v>1324.0</v>
      </c>
      <c r="G5522" s="80" t="s">
        <v>63</v>
      </c>
      <c r="I5522" s="80" t="s">
        <v>63</v>
      </c>
      <c r="J5522" s="80">
        <v>4213.0</v>
      </c>
      <c r="K5522" s="80">
        <v>0.731550616426462</v>
      </c>
      <c r="L5522" s="80" t="s">
        <v>102</v>
      </c>
    </row>
    <row r="5523">
      <c r="A5523" s="80" t="s">
        <v>61</v>
      </c>
      <c r="B5523" s="81" t="str">
        <f>HYPERLINK("https://www.youtube.com/channel/UCJ4XVrJuqKHbc9yF9oUFseg", "MEeeep More")</f>
        <v>MEeeep More</v>
      </c>
      <c r="C5523" s="80" t="s">
        <v>5991</v>
      </c>
      <c r="D5523" s="81" t="str">
        <f>HYPERLINK("https://youtube.com/watch?v=kjzPFY-g4t4", "消暑神器! TORRAS Coolify 2 掛頸式冷氣機 戶外實測 | 掛頸風扇 掛頸冷氣 掛頸式冷暖氣機")</f>
        <v>消暑神器! TORRAS Coolify 2 掛頸式冷氣機 戶外實測 | 掛頸風扇 掛頸冷氣 掛頸式冷暖氣機</v>
      </c>
      <c r="E5523" s="82">
        <v>44761.0</v>
      </c>
      <c r="F5523" s="80">
        <v>243.0</v>
      </c>
      <c r="G5523" s="80" t="s">
        <v>63</v>
      </c>
      <c r="I5523" s="80" t="s">
        <v>63</v>
      </c>
      <c r="J5523" s="80">
        <v>582.0</v>
      </c>
      <c r="K5523" s="80">
        <v>0.800550206327372</v>
      </c>
      <c r="L5523" s="80" t="s">
        <v>64</v>
      </c>
    </row>
    <row r="5524">
      <c r="A5524" s="80" t="s">
        <v>5992</v>
      </c>
      <c r="B5524" s="81" t="str">
        <f>HYPERLINK("https://www.youtube.com/channel/UCEuQ-0x3uMk1KghGiO1kTHg", "MIRROR")</f>
        <v>MIRROR</v>
      </c>
      <c r="C5524" s="80" t="s">
        <v>5993</v>
      </c>
      <c r="D5524" s="81" t="str">
        <f>HYPERLINK("https://youtube.com/watch?v=6AGb61yfxlw", "Edan 呂爵安 《Elevator》 Dance Version")</f>
        <v>Edan 呂爵安 《Elevator》 Dance Version</v>
      </c>
      <c r="E5524" s="82">
        <v>44689.0</v>
      </c>
      <c r="F5524" s="80">
        <v>209.0</v>
      </c>
      <c r="G5524" s="80" t="s">
        <v>63</v>
      </c>
      <c r="I5524" s="80" t="s">
        <v>63</v>
      </c>
      <c r="J5524" s="80">
        <v>368.0</v>
      </c>
      <c r="K5524" s="80">
        <v>0.462893081761006</v>
      </c>
      <c r="L5524" s="80" t="s">
        <v>64</v>
      </c>
    </row>
    <row r="5525">
      <c r="A5525" s="80" t="s">
        <v>140</v>
      </c>
      <c r="B5525" s="81" t="str">
        <f>HYPERLINK("https://www.youtube.com/channel/UCHK0CZf9HEXs42qIO1GUouA", "TechiCardia")</f>
        <v>TechiCardia</v>
      </c>
      <c r="C5525" s="80" t="s">
        <v>5994</v>
      </c>
      <c r="D5525" s="81" t="str">
        <f>HYPERLINK("https://youtube.com/watch?v=QzxGZLyid3A", "終於砌 TEAM RED 中階打機電腦！AMD 都有黑魔法 | 砌機 | 效能實測 // 4K【TechiCardia】[CC廣東話字幕]")</f>
        <v>終於砌 TEAM RED 中階打機電腦！AMD 都有黑魔法 | 砌機 | 效能實測 // 4K【TechiCardia】[CC廣東話字幕]</v>
      </c>
      <c r="E5525" s="82">
        <v>44759.0</v>
      </c>
      <c r="F5525" s="80">
        <v>1547.0</v>
      </c>
      <c r="G5525" s="80" t="s">
        <v>63</v>
      </c>
      <c r="I5525" s="80" t="s">
        <v>63</v>
      </c>
      <c r="J5525" s="80">
        <v>4861.0</v>
      </c>
      <c r="K5525" s="80">
        <v>0.703575047040092</v>
      </c>
      <c r="L5525" s="80" t="s">
        <v>102</v>
      </c>
    </row>
    <row r="5526">
      <c r="A5526" s="80" t="s">
        <v>5995</v>
      </c>
      <c r="B5526" s="81" t="str">
        <f>HYPERLINK("https://www.youtube.com/channel/UCflHWc2jHgigPVPuXiJbrMA", "Tina Wong")</f>
        <v>Tina Wong</v>
      </c>
      <c r="C5526" s="80" t="s">
        <v>5996</v>
      </c>
      <c r="D5526" s="81" t="str">
        <f>HYPERLINK("https://youtube.com/watch?v=m5c_YVRj4iA", "【人生成就解鎖】媽！我得左啦😭🤣 第一次拍...挑戰自己的一個角色😳")</f>
        <v>【人生成就解鎖】媽！我得左啦😭🤣 第一次拍...挑戰自己的一個角色😳</v>
      </c>
      <c r="E5526" s="82">
        <v>44761.0</v>
      </c>
      <c r="F5526" s="80">
        <v>554.0</v>
      </c>
      <c r="G5526" s="80" t="s">
        <v>63</v>
      </c>
      <c r="I5526" s="80" t="s">
        <v>63</v>
      </c>
      <c r="J5526" s="80">
        <v>1055.0</v>
      </c>
      <c r="K5526" s="80">
        <v>0.792042042042042</v>
      </c>
      <c r="L5526" s="80" t="s">
        <v>91</v>
      </c>
    </row>
    <row r="5527">
      <c r="A5527" s="80" t="s">
        <v>5997</v>
      </c>
      <c r="B5527" s="81" t="str">
        <f>HYPERLINK("https://www.youtube.com/channel/UCTJdpIRx6KuckrRxTuqiWSw", "Luna Is A Bep")</f>
        <v>Luna Is A Bep</v>
      </c>
      <c r="C5527" s="80" t="s">
        <v>5998</v>
      </c>
      <c r="D5527" s="81" t="str">
        <f>HYPERLINK("https://youtube.com/watch?v=gMb5n2oXg4A", "Luna Is A Bep - 你知唔知你真係好煩")</f>
        <v>Luna Is A Bep - 你知唔知你真係好煩</v>
      </c>
      <c r="E5527" s="82">
        <v>43521.0</v>
      </c>
      <c r="F5527" s="80">
        <v>152.0</v>
      </c>
      <c r="G5527" s="80" t="s">
        <v>63</v>
      </c>
      <c r="I5527" s="80" t="s">
        <v>63</v>
      </c>
      <c r="J5527" s="80">
        <v>290.0</v>
      </c>
      <c r="K5527" s="80">
        <v>0.917721518987341</v>
      </c>
      <c r="L5527" s="80" t="s">
        <v>64</v>
      </c>
    </row>
    <row r="5528">
      <c r="A5528" s="80" t="s">
        <v>593</v>
      </c>
      <c r="B5528" s="81" t="str">
        <f>HYPERLINK("https://www.youtube.com/channel/UCsSO44XVYhs_fQU2zDR82CA", "餓底男女")</f>
        <v>餓底男女</v>
      </c>
      <c r="C5528" s="80" t="s">
        <v>5999</v>
      </c>
      <c r="D5528" s="81" t="str">
        <f>HYPERLINK("https://youtube.com/watch?v=kF56sGlYmWY", "高質💛抵食🤑火鍋放題小店 | 餓遊･香港 #91 [4K]")</f>
        <v>高質💛抵食🤑火鍋放題小店 | 餓遊･香港 #91 [4K]</v>
      </c>
      <c r="E5528" s="82">
        <v>44765.0</v>
      </c>
      <c r="F5528" s="80">
        <v>349.0</v>
      </c>
      <c r="G5528" s="80" t="s">
        <v>63</v>
      </c>
      <c r="I5528" s="80" t="s">
        <v>63</v>
      </c>
      <c r="J5528" s="80">
        <v>1222.0</v>
      </c>
      <c r="K5528" s="80">
        <v>0.980738362760834</v>
      </c>
      <c r="L5528" s="80" t="s">
        <v>102</v>
      </c>
    </row>
    <row r="5529">
      <c r="A5529" s="80" t="s">
        <v>2041</v>
      </c>
      <c r="B5529" s="81" t="str">
        <f>HYPERLINK("https://www.youtube.com/channel/UCO6pB-ZN4XJ6MVkibvuEe0A", "SingSingTracker 星昇財經指標")</f>
        <v>SingSingTracker 星昇財經指標</v>
      </c>
      <c r="C5529" s="80" t="s">
        <v>6000</v>
      </c>
      <c r="D5529" s="81" t="str">
        <f>HYPERLINK("https://youtube.com/watch?v=K1EKruN5h0U", "【氫能車未來可唔可以追上電動車，甚至超越電動車嘅發展呢？】")</f>
        <v>【氫能車未來可唔可以追上電動車，甚至超越電動車嘅發展呢？】</v>
      </c>
      <c r="E5529" s="82">
        <v>44768.0</v>
      </c>
      <c r="F5529" s="80">
        <v>173.0</v>
      </c>
      <c r="G5529" s="80" t="s">
        <v>63</v>
      </c>
      <c r="I5529" s="80" t="s">
        <v>63</v>
      </c>
      <c r="J5529" s="80">
        <v>606.0</v>
      </c>
      <c r="K5529" s="80">
        <v>0.940993788819875</v>
      </c>
      <c r="L5529" s="80" t="s">
        <v>64</v>
      </c>
    </row>
    <row r="5530">
      <c r="A5530" s="80" t="s">
        <v>5997</v>
      </c>
      <c r="B5530" s="81" t="str">
        <f>HYPERLINK("https://www.youtube.com/channel/UCTJdpIRx6KuckrRxTuqiWSw", "Luna Is A Bep")</f>
        <v>Luna Is A Bep</v>
      </c>
      <c r="C5530" s="80" t="s">
        <v>6001</v>
      </c>
      <c r="D5530" s="81" t="str">
        <f>HYPERLINK("https://youtube.com/watch?v=zh2pa88GZaE", "Luna Is A Bep - 25 (Music Video)")</f>
        <v>Luna Is A Bep - 25 (Music Video)</v>
      </c>
      <c r="E5530" s="82">
        <v>44327.0</v>
      </c>
      <c r="F5530" s="80">
        <v>173.0</v>
      </c>
      <c r="G5530" s="80" t="s">
        <v>63</v>
      </c>
      <c r="I5530" s="80" t="s">
        <v>63</v>
      </c>
      <c r="J5530" s="80">
        <v>245.0</v>
      </c>
      <c r="K5530" s="80">
        <v>0.710144927536231</v>
      </c>
      <c r="L5530" s="80" t="s">
        <v>64</v>
      </c>
    </row>
    <row r="5531">
      <c r="A5531" s="80" t="s">
        <v>242</v>
      </c>
      <c r="B5531" s="81" t="str">
        <f>HYPERLINK("https://www.youtube.com/channel/UCZGVB6g74LXWtkR3fX50ykg", "Edwin H.")</f>
        <v>Edwin H.</v>
      </c>
      <c r="C5531" s="80" t="s">
        <v>6002</v>
      </c>
      <c r="D5531" s="81" t="str">
        <f>HYPERLINK("https://youtube.com/watch?v=j1CZhBIEIRk", "iPhone殺手？ 有致命缺點！5個優點 5個缺點 什麼是 Nothing Phone (1) 終極評測")</f>
        <v>iPhone殺手？ 有致命缺點！5個優點 5個缺點 什麼是 Nothing Phone (1) 終極評測</v>
      </c>
      <c r="E5531" s="82">
        <v>44764.0</v>
      </c>
      <c r="F5531" s="80">
        <v>939.0</v>
      </c>
      <c r="G5531" s="80" t="s">
        <v>63</v>
      </c>
      <c r="I5531" s="80" t="s">
        <v>63</v>
      </c>
      <c r="J5531" s="80">
        <v>3911.0</v>
      </c>
      <c r="K5531" s="80">
        <v>0.820604280318925</v>
      </c>
      <c r="L5531" s="80" t="s">
        <v>64</v>
      </c>
    </row>
    <row r="5532">
      <c r="A5532" s="80" t="s">
        <v>5992</v>
      </c>
      <c r="B5532" s="81" t="str">
        <f>HYPERLINK("https://www.youtube.com/channel/UCEuQ-0x3uMk1KghGiO1kTHg", "MIRROR")</f>
        <v>MIRROR</v>
      </c>
      <c r="C5532" s="80" t="s">
        <v>6003</v>
      </c>
      <c r="D5532" s="81" t="str">
        <f>HYPERLINK("https://youtube.com/watch?v=O5fXXbjT_Mc", "Anson Kong 江𤒹生 Alton Wong 王智德《Rebound》Official Music Video")</f>
        <v>Anson Kong 江𤒹生 Alton Wong 王智德《Rebound》Official Music Video</v>
      </c>
      <c r="E5532" s="82">
        <v>44623.0</v>
      </c>
      <c r="F5532" s="80">
        <v>358.0</v>
      </c>
      <c r="G5532" s="80" t="s">
        <v>63</v>
      </c>
      <c r="I5532" s="80" t="s">
        <v>63</v>
      </c>
      <c r="J5532" s="80">
        <v>349.0</v>
      </c>
      <c r="K5532" s="80">
        <v>0.441213653603034</v>
      </c>
      <c r="L5532" s="80" t="s">
        <v>64</v>
      </c>
    </row>
    <row r="5533">
      <c r="A5533" s="80" t="s">
        <v>755</v>
      </c>
      <c r="B5533" s="81" t="str">
        <f>HYPERLINK("https://www.youtube.com/channel/UCBiJDTc82IM68KVH873VeAw", "Live in Kwangsi廣西人·情·味")</f>
        <v>Live in Kwangsi廣西人·情·味</v>
      </c>
      <c r="C5533" s="80" t="s">
        <v>6004</v>
      </c>
      <c r="D5533" s="81" t="str">
        <f>HYPERLINK("https://youtube.com/watch?v=QVeNX0Ct_jA", "北海市僑港鎮僑港風情街簡介及日夜掠影｜廣西日常實拍 20220707")</f>
        <v>北海市僑港鎮僑港風情街簡介及日夜掠影｜廣西日常實拍 20220707</v>
      </c>
      <c r="E5533" s="82">
        <v>44762.0</v>
      </c>
      <c r="F5533" s="80">
        <v>462.0</v>
      </c>
      <c r="G5533" s="80" t="s">
        <v>63</v>
      </c>
      <c r="I5533" s="80" t="s">
        <v>63</v>
      </c>
      <c r="J5533" s="80">
        <v>373.0</v>
      </c>
      <c r="K5533" s="80">
        <v>1.0</v>
      </c>
      <c r="L5533" s="80" t="s">
        <v>757</v>
      </c>
    </row>
    <row r="5534">
      <c r="A5534" s="80" t="s">
        <v>2041</v>
      </c>
      <c r="B5534" s="81" t="str">
        <f>HYPERLINK("https://www.youtube.com/channel/UCO6pB-ZN4XJ6MVkibvuEe0A", "SingSingTracker 星昇財經指標")</f>
        <v>SingSingTracker 星昇財經指標</v>
      </c>
      <c r="C5534" s="80" t="s">
        <v>6005</v>
      </c>
      <c r="D5534" s="81" t="str">
        <f>HYPERLINK("https://youtube.com/watch?v=NgKU_aBQ9MM", "【以太坊 2.0對手愈來愈多，加密貨幣8月有無機會反彈？】")</f>
        <v>【以太坊 2.0對手愈來愈多，加密貨幣8月有無機會反彈？】</v>
      </c>
      <c r="E5534" s="82">
        <v>44761.0</v>
      </c>
      <c r="F5534" s="80">
        <v>148.0</v>
      </c>
      <c r="G5534" s="80" t="s">
        <v>63</v>
      </c>
      <c r="I5534" s="80" t="s">
        <v>63</v>
      </c>
      <c r="J5534" s="80">
        <v>642.0</v>
      </c>
      <c r="K5534" s="80">
        <v>0.995348837209302</v>
      </c>
      <c r="L5534" s="80" t="s">
        <v>64</v>
      </c>
    </row>
    <row r="5535">
      <c r="A5535" s="80" t="s">
        <v>1139</v>
      </c>
      <c r="B5535" s="81" t="str">
        <f>HYPERLINK("https://www.youtube.com/channel/UCw51gVFijIewmXH4tIR0ufw", "Crystal Zen")</f>
        <v>Crystal Zen</v>
      </c>
      <c r="C5535" s="80" t="s">
        <v>6006</v>
      </c>
      <c r="D5535" s="81" t="str">
        <f>HYPERLINK("https://youtube.com/watch?v=_4eBBh4m8bY", "七十年歷史 #志記鎅木廠 面臨清拆 |香港鎅木業的最後時光 | Angus與志記之間的小故事 (#4K 中文字幕)")</f>
        <v>七十年歷史 #志記鎅木廠 面臨清拆 |香港鎅木業的最後時光 | Angus與志記之間的小故事 (#4K 中文字幕)</v>
      </c>
      <c r="E5535" s="82">
        <v>44763.0</v>
      </c>
      <c r="F5535" s="80">
        <v>900.0</v>
      </c>
      <c r="G5535" s="80" t="s">
        <v>63</v>
      </c>
      <c r="I5535" s="80" t="s">
        <v>63</v>
      </c>
      <c r="J5535" s="80">
        <v>2954.0</v>
      </c>
      <c r="K5535" s="80">
        <v>0.97363216875412</v>
      </c>
      <c r="L5535" s="80" t="s">
        <v>64</v>
      </c>
    </row>
    <row r="5536">
      <c r="A5536" s="80" t="s">
        <v>124</v>
      </c>
      <c r="B5536" s="81" t="str">
        <f>HYPERLINK("https://www.youtube.com/channel/UCg0vuSE0fBF_NvodyYhMcWg", "Wallace Studio HK")</f>
        <v>Wallace Studio HK</v>
      </c>
      <c r="C5536" s="80" t="s">
        <v>6007</v>
      </c>
      <c r="D5536" s="81" t="str">
        <f>HYPERLINK("https://youtube.com/watch?v=G8CrrgfvUIU", "Razer Blade 14 (2022) 終極評測! 最強14吋電競手提電腦 ，順玩2K 3A大作!!")</f>
        <v>Razer Blade 14 (2022) 終極評測! 最強14吋電競手提電腦 ，順玩2K 3A大作!!</v>
      </c>
      <c r="E5536" s="82">
        <v>44766.0</v>
      </c>
      <c r="F5536" s="80">
        <v>702.0</v>
      </c>
      <c r="G5536" s="80" t="s">
        <v>63</v>
      </c>
      <c r="H5536" s="80" t="s">
        <v>63</v>
      </c>
      <c r="I5536" s="80" t="s">
        <v>63</v>
      </c>
      <c r="J5536" s="80">
        <v>2463.0</v>
      </c>
      <c r="K5536" s="80">
        <v>0.774528301886792</v>
      </c>
      <c r="L5536" s="80" t="s">
        <v>86</v>
      </c>
    </row>
    <row r="5537">
      <c r="A5537" s="80" t="s">
        <v>2761</v>
      </c>
      <c r="B5537" s="81" t="str">
        <f>HYPERLINK("https://www.youtube.com/channel/UCr_L9cZdbBU_XDsKDHBBlew", "am730")</f>
        <v>am730</v>
      </c>
      <c r="C5537" s="80" t="s">
        <v>6008</v>
      </c>
      <c r="D5537" s="81" t="str">
        <f>HYPERLINK("https://youtube.com/watch?v=5JHfqtrIZ_E", "居酒屋佐酒必點南蠻炸雞  Keisan教你整少油煙版")</f>
        <v>居酒屋佐酒必點南蠻炸雞  Keisan教你整少油煙版</v>
      </c>
      <c r="E5537" s="82">
        <v>44762.0</v>
      </c>
      <c r="F5537" s="80">
        <v>458.0</v>
      </c>
      <c r="G5537" s="80" t="s">
        <v>63</v>
      </c>
      <c r="I5537" s="80" t="s">
        <v>63</v>
      </c>
      <c r="J5537" s="80">
        <v>757.0</v>
      </c>
      <c r="K5537" s="80">
        <v>0.968030690537084</v>
      </c>
      <c r="L5537" s="80" t="s">
        <v>91</v>
      </c>
    </row>
    <row r="5538">
      <c r="A5538" s="80" t="s">
        <v>96</v>
      </c>
      <c r="B5538" s="81" t="str">
        <f>HYPERLINK("https://www.youtube.com/channel/UCGtyHJ-L_4RDIHe3XaLofQQ", "Anson Cheung")</f>
        <v>Anson Cheung</v>
      </c>
      <c r="C5538" s="80" t="s">
        <v>6009</v>
      </c>
      <c r="D5538" s="81" t="str">
        <f>HYPERLINK("https://youtube.com/watch?v=oblAKwdLHkc", "ASUS Zenfone 9 初步印象評測 - 機身細咗，但功能規格反而多咗勁咗？😨😨｜Zenfone 9 First Impression")</f>
        <v>ASUS Zenfone 9 初步印象評測 - 機身細咗，但功能規格反而多咗勁咗？😨😨｜Zenfone 9 First Impression</v>
      </c>
      <c r="E5538" s="82">
        <v>44770.0</v>
      </c>
      <c r="F5538" s="80">
        <v>519.0</v>
      </c>
      <c r="G5538" s="80" t="s">
        <v>63</v>
      </c>
      <c r="I5538" s="80" t="s">
        <v>63</v>
      </c>
      <c r="J5538" s="80">
        <v>1849.0</v>
      </c>
      <c r="K5538" s="80">
        <v>0.669442433019551</v>
      </c>
      <c r="L5538" s="80" t="s">
        <v>64</v>
      </c>
    </row>
    <row r="5539">
      <c r="A5539" s="80" t="s">
        <v>140</v>
      </c>
      <c r="B5539" s="81" t="str">
        <f>HYPERLINK("https://www.youtube.com/channel/UCHK0CZf9HEXs42qIO1GUouA", "TechiCardia")</f>
        <v>TechiCardia</v>
      </c>
      <c r="C5539" s="80" t="s">
        <v>6010</v>
      </c>
      <c r="D5539" s="81" t="str">
        <f>HYPERLINK("https://youtube.com/watch?v=JP820prIdhM", "檯燈的重要性不能忽視！選購檯燈五大要點 | Philips A5 、VDTMate 點解值得買？//4K【TechiCardia】[cc廣東話字幕]")</f>
        <v>檯燈的重要性不能忽視！選購檯燈五大要點 | Philips A5 、VDTMate 點解值得買？//4K【TechiCardia】[cc廣東話字幕]</v>
      </c>
      <c r="E5539" s="82">
        <v>44769.0</v>
      </c>
      <c r="F5539" s="80">
        <v>818.0</v>
      </c>
      <c r="G5539" s="80" t="s">
        <v>63</v>
      </c>
      <c r="I5539" s="80" t="s">
        <v>63</v>
      </c>
      <c r="J5539" s="80">
        <v>3159.0</v>
      </c>
      <c r="K5539" s="80">
        <v>0.882155822395978</v>
      </c>
      <c r="L5539" s="80" t="s">
        <v>102</v>
      </c>
    </row>
    <row r="5540">
      <c r="A5540" s="80" t="s">
        <v>5992</v>
      </c>
      <c r="B5540" s="81" t="str">
        <f>HYPERLINK("https://www.youtube.com/channel/UCEuQ-0x3uMk1KghGiO1kTHg", "MIRROR")</f>
        <v>MIRROR</v>
      </c>
      <c r="C5540" s="80" t="s">
        <v>6011</v>
      </c>
      <c r="D5540" s="81" t="str">
        <f>HYPERLINK("https://youtube.com/watch?v=7xKrSRNL-eU", "Edan 呂爵安 《Elevator》 Official Music Video")</f>
        <v>Edan 呂爵安 《Elevator》 Official Music Video</v>
      </c>
      <c r="E5540" s="82">
        <v>44652.0</v>
      </c>
      <c r="F5540" s="80">
        <v>245.0</v>
      </c>
      <c r="G5540" s="80" t="s">
        <v>63</v>
      </c>
      <c r="I5540" s="80" t="s">
        <v>63</v>
      </c>
      <c r="J5540" s="80">
        <v>368.0</v>
      </c>
      <c r="K5540" s="80">
        <v>0.462893081761006</v>
      </c>
      <c r="L5540" s="80" t="s">
        <v>64</v>
      </c>
    </row>
    <row r="5541">
      <c r="A5541" s="80" t="s">
        <v>978</v>
      </c>
      <c r="B5541" s="81" t="str">
        <f>HYPERLINK("https://www.youtube.com/channel/UCDMd6CHdLs8FoqZJoRHkJGQ", "Ray Ho")</f>
        <v>Ray Ho</v>
      </c>
      <c r="C5541" s="80" t="s">
        <v>6012</v>
      </c>
      <c r="D5541" s="81" t="str">
        <f>HYPERLINK("https://youtube.com/watch?v=vjwfSwwxdDw", "【Youtube收入公開💸】2萬訂閱中學生Youtuber賺到六位數🤑？被打壓辛酸史😭 | 拍片7年嘅心得❤️")</f>
        <v>【Youtube收入公開💸】2萬訂閱中學生Youtuber賺到六位數🤑？被打壓辛酸史😭 | 拍片7年嘅心得❤️</v>
      </c>
      <c r="E5541" s="82">
        <v>44762.0</v>
      </c>
      <c r="F5541" s="80">
        <v>524.0</v>
      </c>
      <c r="G5541" s="80" t="s">
        <v>63</v>
      </c>
      <c r="I5541" s="80" t="s">
        <v>63</v>
      </c>
      <c r="J5541" s="80">
        <v>1765.0</v>
      </c>
      <c r="K5541" s="80">
        <v>0.851833976833976</v>
      </c>
      <c r="L5541" s="80" t="s">
        <v>64</v>
      </c>
    </row>
    <row r="5542">
      <c r="A5542" s="80" t="s">
        <v>217</v>
      </c>
      <c r="B5542" s="81" t="str">
        <f>HYPERLINK("https://www.youtube.com/channel/UCXKg0qPRz32bs5Z4mTGF3TQ", "Stormtrooper白兵")</f>
        <v>Stormtrooper白兵</v>
      </c>
      <c r="C5542" s="80" t="s">
        <v>6013</v>
      </c>
      <c r="D5542" s="81" t="str">
        <f>HYPERLINK("https://youtube.com/watch?v=NkHeAZK-_Iw", "[乜都清零]美國加息，香港外匯儲備都清零？｜金融大鱷追擊，香港不堪一擊？｜銀行體系結餘、外匯儲備、聯繫匯率有咩關係？｜粵語中字")</f>
        <v>[乜都清零]美國加息，香港外匯儲備都清零？｜金融大鱷追擊，香港不堪一擊？｜銀行體系結餘、外匯儲備、聯繫匯率有咩關係？｜粵語中字</v>
      </c>
      <c r="E5542" s="82">
        <v>44770.0</v>
      </c>
      <c r="F5542" s="80">
        <v>767.0</v>
      </c>
      <c r="G5542" s="80" t="s">
        <v>63</v>
      </c>
      <c r="I5542" s="80" t="s">
        <v>63</v>
      </c>
      <c r="J5542" s="80">
        <v>2681.0</v>
      </c>
      <c r="K5542" s="80">
        <v>0.933820968303727</v>
      </c>
      <c r="L5542" s="80" t="s">
        <v>64</v>
      </c>
    </row>
    <row r="5543">
      <c r="A5543" s="80" t="s">
        <v>74</v>
      </c>
      <c r="B5543" s="81" t="str">
        <f>HYPERLINK("https://www.youtube.com/channel/UCO_5XP-qd-udNxBlzzSzgvw", "Handline Fishing")</f>
        <v>Handline Fishing</v>
      </c>
      <c r="C5543" s="80" t="s">
        <v>6014</v>
      </c>
      <c r="D5543" s="81" t="str">
        <f>HYPERLINK("https://youtube.com/watch?v=qLKP4aZtzk4", "#287 唔釣大熱黃立倉 仲有咩釣呢?  | 香港釣魚 | 艇釣 | 南丫島深灣夏尾灣 {粵語旁白+中文字幕}")</f>
        <v>#287 唔釣大熱黃立倉 仲有咩釣呢?  | 香港釣魚 | 艇釣 | 南丫島深灣夏尾灣 {粵語旁白+中文字幕}</v>
      </c>
      <c r="E5543" s="82">
        <v>44766.0</v>
      </c>
      <c r="F5543" s="80">
        <v>314.0</v>
      </c>
      <c r="G5543" s="80" t="s">
        <v>63</v>
      </c>
      <c r="H5543" s="80" t="s">
        <v>63</v>
      </c>
      <c r="I5543" s="80" t="s">
        <v>63</v>
      </c>
      <c r="J5543" s="80">
        <v>330.0</v>
      </c>
      <c r="K5543" s="80">
        <v>0.956923076923076</v>
      </c>
      <c r="L5543" s="80" t="s">
        <v>2175</v>
      </c>
    </row>
    <row r="5544">
      <c r="A5544" s="80" t="s">
        <v>755</v>
      </c>
      <c r="B5544" s="81" t="str">
        <f>HYPERLINK("https://www.youtube.com/channel/UCBiJDTc82IM68KVH873VeAw", "Live in Kwangsi廣西人·情·味")</f>
        <v>Live in Kwangsi廣西人·情·味</v>
      </c>
      <c r="C5544" s="80" t="s">
        <v>6015</v>
      </c>
      <c r="D5544" s="81" t="str">
        <f>HYPERLINK("https://youtube.com/watch?v=C8TnlaCbX2M", "北海市簡介｜廣西自由行 2022.7")</f>
        <v>北海市簡介｜廣西自由行 2022.7</v>
      </c>
      <c r="E5544" s="82">
        <v>44759.0</v>
      </c>
      <c r="F5544" s="80">
        <v>130.0</v>
      </c>
      <c r="G5544" s="80" t="s">
        <v>63</v>
      </c>
      <c r="I5544" s="80" t="s">
        <v>63</v>
      </c>
      <c r="J5544" s="80">
        <v>330.0</v>
      </c>
      <c r="K5544" s="80">
        <v>0.979228486646884</v>
      </c>
      <c r="L5544" s="80" t="s">
        <v>757</v>
      </c>
    </row>
    <row r="5545">
      <c r="A5545" s="80" t="s">
        <v>248</v>
      </c>
      <c r="B5545" s="81" t="str">
        <f>HYPERLINK("https://www.youtube.com/channel/UCUEJok-GiWaGlv5nIPwk-GQ", "Price.com.hk 香港格價網")</f>
        <v>Price.com.hk 香港格價網</v>
      </c>
      <c r="C5545" s="80" t="s">
        <v>6016</v>
      </c>
      <c r="D5545" s="81" t="str">
        <f>HYPERLINK("https://youtube.com/watch?v=7MunY5E1nTI", "想用大畫面睇戲煲劇要點揀？ViewSonic 5大熱賣投影機｜X11-4KP．X2000B-4K．M1 mini Plus．M2e．PX701-4KE｜黑柵抗光幕【Price.com.hk產品介紹】")</f>
        <v>想用大畫面睇戲煲劇要點揀？ViewSonic 5大熱賣投影機｜X11-4KP．X2000B-4K．M1 mini Plus．M2e．PX701-4KE｜黑柵抗光幕【Price.com.hk產品介紹】</v>
      </c>
      <c r="E5545" s="82">
        <v>44768.0</v>
      </c>
      <c r="F5545" s="80">
        <v>442.0</v>
      </c>
      <c r="G5545" s="80" t="s">
        <v>63</v>
      </c>
      <c r="I5545" s="80" t="s">
        <v>63</v>
      </c>
      <c r="J5545" s="80">
        <v>1498.0</v>
      </c>
      <c r="K5545" s="80">
        <v>0.785115303983228</v>
      </c>
      <c r="L5545" s="80" t="s">
        <v>64</v>
      </c>
    </row>
    <row r="5546">
      <c r="A5546" s="80" t="s">
        <v>3139</v>
      </c>
      <c r="B5546" s="81" t="str">
        <f>HYPERLINK("https://www.youtube.com/channel/UCThO2xnH7XMg6plE8OgJm_w", "choyuen草原")</f>
        <v>choyuen草原</v>
      </c>
      <c r="C5546" s="80" t="s">
        <v>6017</v>
      </c>
      <c r="D5546" s="81" t="str">
        <f>HYPERLINK("https://youtube.com/watch?v=7Zyh72FivCw", "英國秘境, 埃及風情 (B. 金字塔)  UK the Egypt style (B. Pyramid)")</f>
        <v>英國秘境, 埃及風情 (B. 金字塔)  UK the Egypt style (B. Pyramid)</v>
      </c>
      <c r="E5546" s="82">
        <v>44764.0</v>
      </c>
      <c r="F5546" s="80">
        <v>434.0</v>
      </c>
      <c r="G5546" s="80" t="s">
        <v>63</v>
      </c>
      <c r="I5546" s="80" t="s">
        <v>63</v>
      </c>
      <c r="J5546" s="80">
        <v>1261.0</v>
      </c>
      <c r="K5546" s="80">
        <v>0.907194244604316</v>
      </c>
      <c r="L5546" s="80" t="s">
        <v>64</v>
      </c>
    </row>
    <row r="5547">
      <c r="A5547" s="80" t="s">
        <v>293</v>
      </c>
      <c r="B5547" s="81" t="str">
        <f t="shared" ref="B5547:B5548" si="302">HYPERLINK("https://www.youtube.com/channel/UCXRcbXqjORdIvl63I7MtOLQ", "趁熱 Kerry 's kitchen")</f>
        <v>趁熱 Kerry 's kitchen</v>
      </c>
      <c r="C5547" s="80" t="s">
        <v>6018</v>
      </c>
      <c r="D5547" s="81" t="str">
        <f>HYPERLINK("https://youtube.com/watch?v=oxpytUw4pBM", "瑤柱蛋白扒豆腐/天氣熱到爆 來個清清地少油/好餸飯/廣東話/中字")</f>
        <v>瑤柱蛋白扒豆腐/天氣熱到爆 來個清清地少油/好餸飯/廣東話/中字</v>
      </c>
      <c r="E5547" s="82">
        <v>44760.0</v>
      </c>
      <c r="F5547" s="80">
        <v>569.0</v>
      </c>
      <c r="G5547" s="80" t="s">
        <v>63</v>
      </c>
      <c r="I5547" s="80" t="s">
        <v>63</v>
      </c>
      <c r="J5547" s="80">
        <v>1303.0</v>
      </c>
      <c r="K5547" s="80">
        <v>0.971662938105891</v>
      </c>
      <c r="L5547" s="80" t="s">
        <v>64</v>
      </c>
    </row>
    <row r="5548">
      <c r="A5548" s="80" t="s">
        <v>293</v>
      </c>
      <c r="B5548" s="81" t="str">
        <f t="shared" si="302"/>
        <v>趁熱 Kerry 's kitchen</v>
      </c>
      <c r="C5548" s="80" t="s">
        <v>6019</v>
      </c>
      <c r="D5548" s="81" t="str">
        <f>HYPERLINK("https://youtube.com/watch?v=4aVfsGtLaYg", "泰式肉碎飯/打拋豬/鹹香下飯超好食/泰國名菜/地道做法/新手 入門/廣東話/中字/pad ka prao moo/pork w/Thai holy basil")</f>
        <v>泰式肉碎飯/打拋豬/鹹香下飯超好食/泰國名菜/地道做法/新手 入門/廣東話/中字/pad ka prao moo/pork w/Thai holy basil</v>
      </c>
      <c r="E5548" s="82">
        <v>44767.0</v>
      </c>
      <c r="F5548" s="80">
        <v>517.0</v>
      </c>
      <c r="G5548" s="80" t="s">
        <v>63</v>
      </c>
      <c r="I5548" s="80" t="s">
        <v>63</v>
      </c>
      <c r="J5548" s="80">
        <v>1440.0</v>
      </c>
      <c r="K5548" s="80">
        <v>0.980258679373723</v>
      </c>
      <c r="L5548" s="80" t="s">
        <v>64</v>
      </c>
    </row>
    <row r="5549">
      <c r="A5549" s="80" t="s">
        <v>260</v>
      </c>
      <c r="B5549" s="81" t="str">
        <f>HYPERLINK("https://www.youtube.com/channel/UC-HXOikkLx7BGEfILGIpYOg", "港短 . 英移")</f>
        <v>港短 . 英移</v>
      </c>
      <c r="C5549" s="80" t="s">
        <v>6020</v>
      </c>
      <c r="D5549" s="81" t="str">
        <f>HYPERLINK("https://youtube.com/watch?v=xWu8MES7jPM", "【英國生活篇】無做4件事 唔見過萬蚊 | 港短.英移 #英國移民 #英國生活 #bnovisa")</f>
        <v>【英國生活篇】無做4件事 唔見過萬蚊 | 港短.英移 #英國移民 #英國生活 #bnovisa</v>
      </c>
      <c r="E5549" s="82">
        <v>44764.0</v>
      </c>
      <c r="F5549" s="80">
        <v>533.0</v>
      </c>
      <c r="G5549" s="80" t="s">
        <v>63</v>
      </c>
      <c r="I5549" s="80" t="s">
        <v>63</v>
      </c>
      <c r="J5549" s="80">
        <v>2442.0</v>
      </c>
      <c r="K5549" s="80">
        <v>0.88735465116279</v>
      </c>
      <c r="L5549" s="80" t="s">
        <v>102</v>
      </c>
    </row>
    <row r="5550">
      <c r="A5550" s="80" t="s">
        <v>74</v>
      </c>
      <c r="B5550" s="81" t="str">
        <f>HYPERLINK("https://www.youtube.com/channel/UCO_5XP-qd-udNxBlzzSzgvw", "Handline Fishing")</f>
        <v>Handline Fishing</v>
      </c>
      <c r="C5550" s="80" t="s">
        <v>6021</v>
      </c>
      <c r="D5550" s="81" t="str">
        <f>HYPERLINK("https://youtube.com/watch?v=KRxS_9iLDn4", "#285 一個人釣贏曬 | 香港釣魚 | 艇釣 | 東水大頭艇 {粵語旁白+中文字幕}")</f>
        <v>#285 一個人釣贏曬 | 香港釣魚 | 艇釣 | 東水大頭艇 {粵語旁白+中文字幕}</v>
      </c>
      <c r="E5550" s="82">
        <v>44761.0</v>
      </c>
      <c r="F5550" s="80">
        <v>490.0</v>
      </c>
      <c r="G5550" s="80" t="s">
        <v>63</v>
      </c>
      <c r="H5550" s="80" t="s">
        <v>63</v>
      </c>
      <c r="I5550" s="80" t="s">
        <v>63</v>
      </c>
      <c r="J5550" s="80">
        <v>330.0</v>
      </c>
      <c r="K5550" s="80">
        <v>0.921787709497206</v>
      </c>
      <c r="L5550" s="80" t="s">
        <v>2175</v>
      </c>
    </row>
    <row r="5551">
      <c r="A5551" s="80" t="s">
        <v>293</v>
      </c>
      <c r="B5551" s="81" t="str">
        <f>HYPERLINK("https://www.youtube.com/channel/UCXRcbXqjORdIvl63I7MtOLQ", "趁熱 Kerry 's kitchen")</f>
        <v>趁熱 Kerry 's kitchen</v>
      </c>
      <c r="C5551" s="80" t="s">
        <v>6022</v>
      </c>
      <c r="D5551" s="81" t="str">
        <f>HYPERLINK("https://youtube.com/watch?v=HJIzpf98XUs", "薯仔吞拿魚沙津/馬鈴薯沙律/天天熱到爆.簡單做個沙律/低成本 請客唔失禮/廣東話/中字/potato salad")</f>
        <v>薯仔吞拿魚沙津/馬鈴薯沙律/天天熱到爆.簡單做個沙律/低成本 請客唔失禮/廣東話/中字/potato salad</v>
      </c>
      <c r="E5551" s="82">
        <v>44762.0</v>
      </c>
      <c r="F5551" s="80">
        <v>549.0</v>
      </c>
      <c r="G5551" s="80" t="s">
        <v>63</v>
      </c>
      <c r="I5551" s="80" t="s">
        <v>63</v>
      </c>
      <c r="J5551" s="80">
        <v>1500.0</v>
      </c>
      <c r="K5551" s="80">
        <v>0.975927130774235</v>
      </c>
      <c r="L5551" s="80" t="s">
        <v>64</v>
      </c>
    </row>
    <row r="5552">
      <c r="A5552" s="80" t="s">
        <v>755</v>
      </c>
      <c r="B5552" s="81" t="str">
        <f>HYPERLINK("https://www.youtube.com/channel/UCBiJDTc82IM68KVH873VeAw", "Live in Kwangsi廣西人·情·味")</f>
        <v>Live in Kwangsi廣西人·情·味</v>
      </c>
      <c r="C5552" s="80" t="s">
        <v>6023</v>
      </c>
      <c r="D5552" s="81" t="str">
        <f>HYPERLINK("https://youtube.com/watch?v=PTjhayo6WLQ", "北海市僑港海灘簡介及掠影｜廣西美景 20220707")</f>
        <v>北海市僑港海灘簡介及掠影｜廣西美景 20220707</v>
      </c>
      <c r="E5552" s="82">
        <v>44767.0</v>
      </c>
      <c r="F5552" s="80">
        <v>324.0</v>
      </c>
      <c r="G5552" s="80" t="s">
        <v>63</v>
      </c>
      <c r="I5552" s="80" t="s">
        <v>63</v>
      </c>
      <c r="J5552" s="80">
        <v>350.0</v>
      </c>
      <c r="K5552" s="80">
        <v>0.997150997150997</v>
      </c>
      <c r="L5552" s="80" t="s">
        <v>757</v>
      </c>
    </row>
    <row r="5553">
      <c r="A5553" s="80" t="s">
        <v>5997</v>
      </c>
      <c r="B5553" s="81" t="str">
        <f>HYPERLINK("https://www.youtube.com/channel/UCTJdpIRx6KuckrRxTuqiWSw", "Luna Is A Bep")</f>
        <v>Luna Is A Bep</v>
      </c>
      <c r="C5553" s="80" t="s">
        <v>6024</v>
      </c>
      <c r="D5553" s="81" t="str">
        <f>HYPERLINK("https://youtube.com/watch?v=fhV7rX5xJjs", "我唔要再覺得自己廢")</f>
        <v>我唔要再覺得自己廢</v>
      </c>
      <c r="E5553" s="82">
        <v>44548.0</v>
      </c>
      <c r="F5553" s="80">
        <v>114.0</v>
      </c>
      <c r="G5553" s="80" t="s">
        <v>63</v>
      </c>
      <c r="I5553" s="80" t="s">
        <v>63</v>
      </c>
      <c r="J5553" s="80">
        <v>482.0</v>
      </c>
      <c r="K5553" s="80">
        <v>0.889298892988929</v>
      </c>
      <c r="L5553" s="80" t="s">
        <v>64</v>
      </c>
    </row>
    <row r="5554">
      <c r="A5554" s="80" t="s">
        <v>2761</v>
      </c>
      <c r="B5554" s="81" t="str">
        <f>HYPERLINK("https://www.youtube.com/channel/UCr_L9cZdbBU_XDsKDHBBlew", "am730")</f>
        <v>am730</v>
      </c>
      <c r="C5554" s="80" t="s">
        <v>6025</v>
      </c>
      <c r="D5554" s="81" t="str">
        <f>HYPERLINK("https://youtube.com/watch?v=pdMMhjm1v3A", "MIRROR演唱會｜ 演繹《WE ARE》")</f>
        <v>MIRROR演唱會｜ 演繹《WE ARE》</v>
      </c>
      <c r="E5554" s="82">
        <v>44768.0</v>
      </c>
      <c r="F5554" s="80">
        <v>186.0</v>
      </c>
      <c r="G5554" s="80" t="s">
        <v>63</v>
      </c>
      <c r="I5554" s="80" t="s">
        <v>63</v>
      </c>
      <c r="J5554" s="80">
        <v>328.0</v>
      </c>
      <c r="K5554" s="80">
        <v>0.368125701459034</v>
      </c>
      <c r="L5554" s="80" t="s">
        <v>91</v>
      </c>
    </row>
    <row r="5555">
      <c r="A5555" s="80" t="s">
        <v>293</v>
      </c>
      <c r="B5555" s="81" t="str">
        <f>HYPERLINK("https://www.youtube.com/channel/UCXRcbXqjORdIvl63I7MtOLQ", "趁熱 Kerry 's kitchen")</f>
        <v>趁熱 Kerry 's kitchen</v>
      </c>
      <c r="C5555" s="80" t="s">
        <v>6026</v>
      </c>
      <c r="D5555" s="81" t="str">
        <f>HYPERLINK("https://youtube.com/watch?v=sqBjAHjKiuc", "鹹蛋黃叉燒炒米粉/邪惡/炒米粉其實好簡單 不複雜/口淡淡/新手 入門/廣東話/中字")</f>
        <v>鹹蛋黃叉燒炒米粉/邪惡/炒米粉其實好簡單 不複雜/口淡淡/新手 入門/廣東話/中字</v>
      </c>
      <c r="E5555" s="82">
        <v>44764.0</v>
      </c>
      <c r="F5555" s="80">
        <v>545.0</v>
      </c>
      <c r="G5555" s="80" t="s">
        <v>63</v>
      </c>
      <c r="I5555" s="80" t="s">
        <v>63</v>
      </c>
      <c r="J5555" s="80">
        <v>694.0</v>
      </c>
      <c r="K5555" s="80">
        <v>0.969273743016759</v>
      </c>
      <c r="L5555" s="80" t="s">
        <v>64</v>
      </c>
    </row>
    <row r="5556">
      <c r="A5556" s="80" t="s">
        <v>414</v>
      </c>
      <c r="B5556" s="81" t="str">
        <f>HYPERLINK("https://www.youtube.com/channel/UCCVn38j5xSJZN-II-TeyomA", "Uncle Calvin Cantonese Class")</f>
        <v>Uncle Calvin Cantonese Class</v>
      </c>
      <c r="C5556" s="80" t="s">
        <v>6027</v>
      </c>
      <c r="D5556" s="81" t="str">
        <f>HYPERLINK("https://youtube.com/watch?v=o22Ox8GqepY", "【量詞：動物】Quantifiers: Animals in Cantonese I 幼童認字 for Toddlers I 廣東話教室 I 字幕")</f>
        <v>【量詞：動物】Quantifiers: Animals in Cantonese I 幼童認字 for Toddlers I 廣東話教室 I 字幕</v>
      </c>
      <c r="E5556" s="82">
        <v>44762.0</v>
      </c>
      <c r="F5556" s="80">
        <v>862.0</v>
      </c>
      <c r="G5556" s="80" t="s">
        <v>63</v>
      </c>
      <c r="H5556" s="80" t="s">
        <v>63</v>
      </c>
      <c r="I5556" s="80" t="s">
        <v>63</v>
      </c>
      <c r="J5556" s="80">
        <v>1885.0</v>
      </c>
      <c r="K5556" s="80">
        <v>0.918839153959665</v>
      </c>
      <c r="L5556" s="80" t="s">
        <v>240</v>
      </c>
    </row>
    <row r="5557">
      <c r="A5557" s="80" t="s">
        <v>5997</v>
      </c>
      <c r="B5557" s="81" t="str">
        <f>HYPERLINK("https://www.youtube.com/channel/UCTJdpIRx6KuckrRxTuqiWSw", "Luna Is A Bep")</f>
        <v>Luna Is A Bep</v>
      </c>
      <c r="C5557" s="80" t="s">
        <v>6028</v>
      </c>
      <c r="D5557" s="81" t="str">
        <f>HYPERLINK("https://youtube.com/watch?v=K6UPfbDOyD8", "Luna Is A Bep - A Day With Me (Music Video)(no this is not a vlog vlog)")</f>
        <v>Luna Is A Bep - A Day With Me (Music Video)(no this is not a vlog vlog)</v>
      </c>
      <c r="E5557" s="82">
        <v>44317.0</v>
      </c>
      <c r="F5557" s="80">
        <v>199.0</v>
      </c>
      <c r="G5557" s="80" t="s">
        <v>63</v>
      </c>
      <c r="I5557" s="80" t="s">
        <v>63</v>
      </c>
      <c r="J5557" s="80">
        <v>441.0</v>
      </c>
      <c r="K5557" s="80">
        <v>0.964989059080962</v>
      </c>
      <c r="L5557" s="80" t="s">
        <v>64</v>
      </c>
    </row>
    <row r="5558">
      <c r="A5558" s="80" t="s">
        <v>248</v>
      </c>
      <c r="B5558" s="81" t="str">
        <f t="shared" ref="B5558:B5559" si="303">HYPERLINK("https://www.youtube.com/channel/UCUEJok-GiWaGlv5nIPwk-GQ", "Price.com.hk 香港格價網")</f>
        <v>Price.com.hk 香港格價網</v>
      </c>
      <c r="C5558" s="80" t="s">
        <v>6029</v>
      </c>
      <c r="D5558" s="81" t="str">
        <f>HYPERLINK("https://youtube.com/watch?v=Ek_aYCHSyQQ", "7千蚊有找 親民價入手 4K QLED TV｜實測 TCL C835、C635 Series 電視｜廣東話｜特約專題【Price.com.hk產品評測】")</f>
        <v>7千蚊有找 親民價入手 4K QLED TV｜實測 TCL C835、C635 Series 電視｜廣東話｜特約專題【Price.com.hk產品評測】</v>
      </c>
      <c r="E5558" s="82">
        <v>44764.0</v>
      </c>
      <c r="F5558" s="80">
        <v>412.0</v>
      </c>
      <c r="G5558" s="80" t="s">
        <v>63</v>
      </c>
      <c r="I5558" s="80" t="s">
        <v>63</v>
      </c>
      <c r="J5558" s="80">
        <v>1063.0</v>
      </c>
      <c r="K5558" s="80">
        <v>0.744397759103641</v>
      </c>
      <c r="L5558" s="80" t="s">
        <v>64</v>
      </c>
    </row>
    <row r="5559">
      <c r="A5559" s="80" t="s">
        <v>248</v>
      </c>
      <c r="B5559" s="81" t="str">
        <f t="shared" si="303"/>
        <v>Price.com.hk 香港格價網</v>
      </c>
      <c r="C5559" s="80" t="s">
        <v>6030</v>
      </c>
      <c r="D5559" s="81" t="str">
        <f>HYPERLINK("https://youtube.com/watch?v=99di1hYk8Js", "一千元左右入門級 Linksys Atlas 6 WiFi 6 Mesh Router｜GIVEAWAY｜廣東話｜特約專題【Price.com.hk產品評測】")</f>
        <v>一千元左右入門級 Linksys Atlas 6 WiFi 6 Mesh Router｜GIVEAWAY｜廣東話｜特約專題【Price.com.hk產品評測】</v>
      </c>
      <c r="E5559" s="82">
        <v>44761.0</v>
      </c>
      <c r="F5559" s="80">
        <v>359.0</v>
      </c>
      <c r="G5559" s="80" t="s">
        <v>63</v>
      </c>
      <c r="I5559" s="80" t="s">
        <v>63</v>
      </c>
      <c r="J5559" s="80">
        <v>1083.0</v>
      </c>
      <c r="K5559" s="80">
        <v>0.695568400770712</v>
      </c>
      <c r="L5559" s="80" t="s">
        <v>64</v>
      </c>
    </row>
    <row r="5560">
      <c r="A5560" s="80" t="s">
        <v>293</v>
      </c>
      <c r="B5560" s="81" t="str">
        <f>HYPERLINK("https://www.youtube.com/channel/UCXRcbXqjORdIvl63I7MtOLQ", "趁熱 Kerry 's kitchen")</f>
        <v>趁熱 Kerry 's kitchen</v>
      </c>
      <c r="C5560" s="80" t="s">
        <v>6031</v>
      </c>
      <c r="D5560" s="81" t="str">
        <f>HYPERLINK("https://youtube.com/watch?v=W6l99P6eAX4", "馬來西亞黑叉燒/不用燒不用焗少油煙/一隻鑊攪掂/新手也做到/簡單調味料/有驚喜/廣東話/中字/")</f>
        <v>馬來西亞黑叉燒/不用燒不用焗少油煙/一隻鑊攪掂/新手也做到/簡單調味料/有驚喜/廣東話/中字/</v>
      </c>
      <c r="E5560" s="82">
        <v>44769.0</v>
      </c>
      <c r="F5560" s="80">
        <v>588.0</v>
      </c>
      <c r="G5560" s="80" t="s">
        <v>63</v>
      </c>
      <c r="I5560" s="80" t="s">
        <v>63</v>
      </c>
      <c r="J5560" s="80">
        <v>1456.0</v>
      </c>
      <c r="K5560" s="80">
        <v>0.97391304347826</v>
      </c>
      <c r="L5560" s="80" t="s">
        <v>64</v>
      </c>
    </row>
    <row r="5561">
      <c r="A5561" s="80" t="s">
        <v>2841</v>
      </c>
      <c r="B5561" s="81" t="str">
        <f>HYPERLINK("https://www.youtube.com/channel/UCBYGm7Iz6ck8jeno5AFiriw", "Seafront TV")</f>
        <v>Seafront TV</v>
      </c>
      <c r="C5561" s="80" t="s">
        <v>6032</v>
      </c>
      <c r="D5561" s="81" t="str">
        <f>HYPERLINK("https://youtube.com/watch?v=LEQUGXTpB4M", "【嘔血CV大全🤢】18個原因send極CV冇回音！幾時send都要講究？｜#見工診療室 Seafront TV 🌊 ft. @HKUST Career Center 〈香港科技大學 就業中心〉")</f>
        <v>【嘔血CV大全🤢】18個原因send極CV冇回音！幾時send都要講究？｜#見工診療室 Seafront TV 🌊 ft. @HKUST Career Center 〈香港科技大學 就業中心〉</v>
      </c>
      <c r="E5561" s="82">
        <v>44765.0</v>
      </c>
      <c r="F5561" s="80">
        <v>1444.0</v>
      </c>
      <c r="G5561" s="80" t="s">
        <v>63</v>
      </c>
      <c r="I5561" s="80" t="s">
        <v>63</v>
      </c>
      <c r="J5561" s="80">
        <v>4863.0</v>
      </c>
      <c r="K5561" s="80">
        <v>0.706215509729886</v>
      </c>
      <c r="L5561" s="80" t="s">
        <v>102</v>
      </c>
    </row>
    <row r="5562">
      <c r="A5562" s="80" t="s">
        <v>74</v>
      </c>
      <c r="B5562" s="81" t="str">
        <f>HYPERLINK("https://www.youtube.com/channel/UCO_5XP-qd-udNxBlzzSzgvw", "Handline Fishing")</f>
        <v>Handline Fishing</v>
      </c>
      <c r="C5562" s="80" t="s">
        <v>6033</v>
      </c>
      <c r="D5562" s="81" t="str">
        <f>HYPERLINK("https://youtube.com/watch?v=XUe5JY1LvrQ", "#286 昨天斷到啪啪聲 今日又會如何? | 香港釣魚 | 岸釣 | 港珠澳橋墩 {粵語旁白+中文字幕}")</f>
        <v>#286 昨天斷到啪啪聲 今日又會如何? | 香港釣魚 | 岸釣 | 港珠澳橋墩 {粵語旁白+中文字幕}</v>
      </c>
      <c r="E5562" s="82">
        <v>44763.0</v>
      </c>
      <c r="F5562" s="80">
        <v>199.0</v>
      </c>
      <c r="G5562" s="80" t="s">
        <v>63</v>
      </c>
      <c r="H5562" s="80" t="s">
        <v>63</v>
      </c>
      <c r="I5562" s="80" t="s">
        <v>63</v>
      </c>
      <c r="J5562" s="80">
        <v>268.0</v>
      </c>
      <c r="K5562" s="80">
        <v>0.91156462585034</v>
      </c>
      <c r="L5562" s="80" t="s">
        <v>2175</v>
      </c>
    </row>
    <row r="5563">
      <c r="A5563" s="80" t="s">
        <v>2800</v>
      </c>
      <c r="B5563" s="81" t="str">
        <f>HYPERLINK("https://www.youtube.com/channel/UCMqrlsr-AECPc6_3oDr8m9w", "Unicorn 獸哥")</f>
        <v>Unicorn 獸哥</v>
      </c>
      <c r="C5563" s="80" t="s">
        <v>6034</v>
      </c>
      <c r="D5563" s="81" t="str">
        <f>HYPERLINK("https://youtube.com/watch?v=1NCPSuhGi3A", "【劇評】炒埋一碟就是爛！Marvel劇集最差一套 Ms.Marvel")</f>
        <v>【劇評】炒埋一碟就是爛！Marvel劇集最差一套 Ms.Marvel</v>
      </c>
      <c r="E5563" s="82">
        <v>44759.0</v>
      </c>
      <c r="F5563" s="80">
        <v>453.0</v>
      </c>
      <c r="G5563" s="80" t="s">
        <v>63</v>
      </c>
      <c r="I5563" s="80" t="s">
        <v>63</v>
      </c>
      <c r="J5563" s="80">
        <v>1872.0</v>
      </c>
      <c r="K5563" s="80">
        <v>0.891428571428571</v>
      </c>
      <c r="L5563" s="80" t="s">
        <v>64</v>
      </c>
    </row>
    <row r="5564">
      <c r="A5564" s="80" t="s">
        <v>217</v>
      </c>
      <c r="B5564" s="81" t="str">
        <f>HYPERLINK("https://www.youtube.com/channel/UCXKg0qPRz32bs5Z4mTGF3TQ", "Stormtrooper白兵")</f>
        <v>Stormtrooper白兵</v>
      </c>
      <c r="C5564" s="80" t="s">
        <v>6035</v>
      </c>
      <c r="D5564" s="81" t="str">
        <f>HYPERLINK("https://youtube.com/watch?v=Xh1tCv3Mu0M", "外國模特兒出賣肉體只換1餐飯？｜你想不到的頂級夜店搵錢之迷｜物化女性的極致｜極端貧富懸殊下的產物｜粵語中字")</f>
        <v>外國模特兒出賣肉體只換1餐飯？｜你想不到的頂級夜店搵錢之迷｜物化女性的極致｜極端貧富懸殊下的產物｜粵語中字</v>
      </c>
      <c r="E5564" s="82">
        <v>44763.0</v>
      </c>
      <c r="F5564" s="80">
        <v>1002.0</v>
      </c>
      <c r="G5564" s="80" t="s">
        <v>63</v>
      </c>
      <c r="I5564" s="80" t="s">
        <v>63</v>
      </c>
      <c r="J5564" s="80">
        <v>3583.0</v>
      </c>
      <c r="K5564" s="80">
        <v>0.871352140077821</v>
      </c>
      <c r="L5564" s="80" t="s">
        <v>64</v>
      </c>
    </row>
    <row r="5565">
      <c r="A5565" s="80" t="s">
        <v>248</v>
      </c>
      <c r="B5565" s="81" t="str">
        <f>HYPERLINK("https://www.youtube.com/channel/UCUEJok-GiWaGlv5nIPwk-GQ", "Price.com.hk 香港格價網")</f>
        <v>Price.com.hk 香港格價網</v>
      </c>
      <c r="C5565" s="80" t="s">
        <v>6036</v>
      </c>
      <c r="D5565" s="81" t="str">
        <f>HYPERLINK("https://youtube.com/watch?v=CTeTXbvrxac", "暗諷 Nothing？配件廠出 “Something” 機背貼・Galaxy Z Filp 4 登場・iPhone 13 成功擋子彈 | 廣東話【Price Weekly #124 2022年7月】")</f>
        <v>暗諷 Nothing？配件廠出 “Something” 機背貼・Galaxy Z Filp 4 登場・iPhone 13 成功擋子彈 | 廣東話【Price Weekly #124 2022年7月】</v>
      </c>
      <c r="E5565" s="82">
        <v>44765.0</v>
      </c>
      <c r="F5565" s="80">
        <v>429.0</v>
      </c>
      <c r="G5565" s="80" t="s">
        <v>63</v>
      </c>
      <c r="I5565" s="80" t="s">
        <v>63</v>
      </c>
      <c r="J5565" s="80">
        <v>1568.0</v>
      </c>
      <c r="K5565" s="80">
        <v>0.72794800371402</v>
      </c>
      <c r="L5565" s="80" t="s">
        <v>64</v>
      </c>
    </row>
    <row r="5566">
      <c r="A5566" s="80" t="s">
        <v>5992</v>
      </c>
      <c r="B5566" s="81" t="str">
        <f>HYPERLINK("https://www.youtube.com/channel/UCEuQ-0x3uMk1KghGiO1kTHg", "MIRROR")</f>
        <v>MIRROR</v>
      </c>
      <c r="C5566" s="80" t="s">
        <v>6037</v>
      </c>
      <c r="D5566" s="81" t="str">
        <f>HYPERLINK("https://youtube.com/watch?v=Hv93wxQE5Uk", "MIRROR《WE ARE》Official Music Video")</f>
        <v>MIRROR《WE ARE》Official Music Video</v>
      </c>
      <c r="E5566" s="82">
        <v>44764.0</v>
      </c>
      <c r="F5566" s="80">
        <v>322.0</v>
      </c>
      <c r="G5566" s="80" t="s">
        <v>63</v>
      </c>
      <c r="I5566" s="80" t="s">
        <v>63</v>
      </c>
      <c r="J5566" s="80">
        <v>540.0</v>
      </c>
      <c r="K5566" s="80">
        <v>0.455696202531645</v>
      </c>
      <c r="L5566" s="80" t="s">
        <v>64</v>
      </c>
    </row>
    <row r="5567">
      <c r="A5567" s="80" t="s">
        <v>61</v>
      </c>
      <c r="B5567" s="81" t="str">
        <f>HYPERLINK("https://www.youtube.com/channel/UCJ4XVrJuqKHbc9yF9oUFseg", "MEeeep More")</f>
        <v>MEeeep More</v>
      </c>
      <c r="C5567" s="80" t="s">
        <v>6038</v>
      </c>
      <c r="D5567" s="81" t="str">
        <f>HYPERLINK("https://youtube.com/watch?v=dUQisEYKs0Q", "POCO F4 GT 電競手機 開箱實測 | 自訂彈出式 LR 掣 + 智能快充 高性價比電競良伴 | #pocof4gt #電競手機香港")</f>
        <v>POCO F4 GT 電競手機 開箱實測 | 自訂彈出式 LR 掣 + 智能快充 高性價比電競良伴 | #pocof4gt #電競手機香港</v>
      </c>
      <c r="E5567" s="82">
        <v>44761.0</v>
      </c>
      <c r="F5567" s="80">
        <v>237.0</v>
      </c>
      <c r="G5567" s="80" t="s">
        <v>63</v>
      </c>
      <c r="I5567" s="80" t="s">
        <v>63</v>
      </c>
      <c r="J5567" s="80">
        <v>665.0</v>
      </c>
      <c r="K5567" s="80">
        <v>0.748031496062992</v>
      </c>
      <c r="L5567" s="80" t="s">
        <v>64</v>
      </c>
    </row>
    <row r="5568">
      <c r="A5568" s="80" t="s">
        <v>2800</v>
      </c>
      <c r="B5568" s="81" t="str">
        <f>HYPERLINK("https://www.youtube.com/channel/UCMqrlsr-AECPc6_3oDr8m9w", "Unicorn 獸哥")</f>
        <v>Unicorn 獸哥</v>
      </c>
      <c r="C5568" s="80" t="s">
        <v>6039</v>
      </c>
      <c r="D5568" s="81" t="str">
        <f>HYPERLINK("https://youtube.com/watch?v=xpYCl4HgzIo", "【劇評】歷來最垃圾一套  Netflix 生化危機真人劇集")</f>
        <v>【劇評】歷來最垃圾一套  Netflix 生化危機真人劇集</v>
      </c>
      <c r="E5568" s="82">
        <v>44767.0</v>
      </c>
      <c r="F5568" s="80">
        <v>492.0</v>
      </c>
      <c r="G5568" s="80" t="s">
        <v>63</v>
      </c>
      <c r="I5568" s="80" t="s">
        <v>63</v>
      </c>
      <c r="J5568" s="80">
        <v>1690.0</v>
      </c>
      <c r="K5568" s="80">
        <v>0.824792581747193</v>
      </c>
      <c r="L5568" s="80" t="s">
        <v>64</v>
      </c>
    </row>
    <row r="5569">
      <c r="A5569" s="80" t="s">
        <v>6040</v>
      </c>
      <c r="B5569" s="81" t="str">
        <f>HYPERLINK("https://www.youtube.com/channel/UCOaPA9dplBmTRdkugUnn17g", "光頭幫 TomFatKi")</f>
        <v>光頭幫 TomFatKi</v>
      </c>
      <c r="C5569" s="80" t="s">
        <v>6041</v>
      </c>
      <c r="D5569" s="81" t="str">
        <f>HYPERLINK("https://youtube.com/watch?v=6z72vCE8jzk", "《MV》光頭幫TomFatKi x Billy Choi x East City x Akiko - 柴灣角街【 Official Music Video 官方完整版 】")</f>
        <v>《MV》光頭幫TomFatKi x Billy Choi x East City x Akiko - 柴灣角街【 Official Music Video 官方完整版 】</v>
      </c>
      <c r="E5569" s="82">
        <v>44775.0</v>
      </c>
      <c r="F5569" s="80">
        <v>245.0</v>
      </c>
      <c r="G5569" s="80" t="s">
        <v>63</v>
      </c>
      <c r="I5569" s="80" t="s">
        <v>63</v>
      </c>
      <c r="J5569" s="80">
        <v>705.0</v>
      </c>
      <c r="K5569" s="80">
        <v>0.543562066306862</v>
      </c>
      <c r="L5569" s="80" t="s">
        <v>64</v>
      </c>
    </row>
    <row r="5570">
      <c r="A5570" s="80" t="s">
        <v>248</v>
      </c>
      <c r="B5570" s="81" t="str">
        <f>HYPERLINK("https://www.youtube.com/channel/UCUEJok-GiWaGlv5nIPwk-GQ", "Price.com.hk 香港格價網")</f>
        <v>Price.com.hk 香港格價網</v>
      </c>
      <c r="C5570" s="80" t="s">
        <v>6042</v>
      </c>
      <c r="D5570" s="81" t="str">
        <f>HYPERLINK("https://youtube.com/watch?v=-eTd2exTuZs", "【電腦節2022】香港電腦通訊節｜懶人包｜HKCCF 速覽｜ 廣東話【Price.com.hk產品情報】")</f>
        <v>【電腦節2022】香港電腦通訊節｜懶人包｜HKCCF 速覽｜ 廣東話【Price.com.hk產品情報】</v>
      </c>
      <c r="E5570" s="82">
        <v>44792.0</v>
      </c>
      <c r="F5570" s="80">
        <v>196.0</v>
      </c>
      <c r="G5570" s="80" t="s">
        <v>63</v>
      </c>
      <c r="I5570" s="80" t="s">
        <v>63</v>
      </c>
      <c r="J5570" s="80">
        <v>590.0</v>
      </c>
      <c r="K5570" s="80">
        <v>0.760309278350515</v>
      </c>
      <c r="L5570" s="80" t="s">
        <v>64</v>
      </c>
    </row>
    <row r="5571">
      <c r="A5571" s="80" t="s">
        <v>74</v>
      </c>
      <c r="B5571" s="81" t="str">
        <f>HYPERLINK("https://www.youtube.com/channel/UCO_5XP-qd-udNxBlzzSzgvw", "Handline Fishing")</f>
        <v>Handline Fishing</v>
      </c>
      <c r="C5571" s="80" t="s">
        <v>6043</v>
      </c>
      <c r="D5571" s="81" t="str">
        <f>HYPERLINK("https://youtube.com/watch?v=_At8IHpacts", "#297 數碼港最新釣況 | 香港釣魚 | 岸釣 | 數碼港 {粵語旁白}")</f>
        <v>#297 數碼港最新釣況 | 香港釣魚 | 岸釣 | 數碼港 {粵語旁白}</v>
      </c>
      <c r="E5571" s="82">
        <v>44803.0</v>
      </c>
      <c r="F5571" s="80">
        <v>119.0</v>
      </c>
      <c r="G5571" s="80" t="s">
        <v>63</v>
      </c>
      <c r="I5571" s="80" t="s">
        <v>63</v>
      </c>
      <c r="J5571" s="80">
        <v>167.0</v>
      </c>
      <c r="K5571" s="80">
        <v>0.965317919075144</v>
      </c>
      <c r="L5571" s="80" t="s">
        <v>102</v>
      </c>
    </row>
    <row r="5572">
      <c r="A5572" s="80" t="s">
        <v>98</v>
      </c>
      <c r="B5572" s="81" t="str">
        <f>HYPERLINK("https://www.youtube.com/channel/UCrquuQB6v1Ued2xyRKZreGQ", "Stephen Leung ")</f>
        <v>Stephen Leung </v>
      </c>
      <c r="C5572" s="80" t="s">
        <v>6044</v>
      </c>
      <c r="D5572" s="81" t="str">
        <f>HYPERLINK("https://youtube.com/watch?v=yH04fycRw1Y", "【週末放縱】夏日週六限定半自助餐 微燻 Weekend Brunch Mumm 香檳任飲 現場DJ打碟 週末派對 維港凱悅尚萃酒店 Hyatt Centric | 吃喝玩樂")</f>
        <v>【週末放縱】夏日週六限定半自助餐 微燻 Weekend Brunch Mumm 香檳任飲 現場DJ打碟 週末派對 維港凱悅尚萃酒店 Hyatt Centric | 吃喝玩樂</v>
      </c>
      <c r="E5572" s="82">
        <v>44790.0</v>
      </c>
      <c r="F5572" s="80">
        <v>855.0</v>
      </c>
      <c r="G5572" s="80" t="s">
        <v>63</v>
      </c>
      <c r="I5572" s="80" t="s">
        <v>63</v>
      </c>
      <c r="J5572" s="80">
        <v>2356.0</v>
      </c>
      <c r="K5572" s="80">
        <v>0.924284032954099</v>
      </c>
      <c r="L5572" s="80" t="s">
        <v>64</v>
      </c>
    </row>
    <row r="5573">
      <c r="A5573" s="80" t="s">
        <v>74</v>
      </c>
      <c r="B5573" s="81" t="str">
        <f>HYPERLINK("https://www.youtube.com/channel/UCO_5XP-qd-udNxBlzzSzgvw", "Handline Fishing")</f>
        <v>Handline Fishing</v>
      </c>
      <c r="C5573" s="80" t="s">
        <v>6045</v>
      </c>
      <c r="D5573" s="81" t="str">
        <f>HYPERLINK("https://youtube.com/watch?v=fJTrKDKGH8o", "#288 今次又釣到索曬氣? | 香港釣魚 | 艇釣 | 南丫島北角大排 {粵語旁白+中文字幕}")</f>
        <v>#288 今次又釣到索曬氣? | 香港釣魚 | 艇釣 | 南丫島北角大排 {粵語旁白+中文字幕}</v>
      </c>
      <c r="E5573" s="82">
        <v>44771.0</v>
      </c>
      <c r="F5573" s="80">
        <v>314.0</v>
      </c>
      <c r="G5573" s="80" t="s">
        <v>63</v>
      </c>
      <c r="H5573" s="80" t="s">
        <v>63</v>
      </c>
      <c r="I5573" s="80" t="s">
        <v>63</v>
      </c>
      <c r="J5573" s="80">
        <v>352.0</v>
      </c>
      <c r="K5573" s="80">
        <v>0.909560723514211</v>
      </c>
      <c r="L5573" s="80" t="s">
        <v>2175</v>
      </c>
    </row>
    <row r="5574">
      <c r="A5574" s="80" t="s">
        <v>293</v>
      </c>
      <c r="B5574" s="81" t="str">
        <f>HYPERLINK("https://www.youtube.com/channel/UCXRcbXqjORdIvl63I7MtOLQ", "趁熱 Kerry 's kitchen")</f>
        <v>趁熱 Kerry 's kitchen</v>
      </c>
      <c r="C5574" s="80" t="s">
        <v>6046</v>
      </c>
      <c r="D5574" s="81" t="str">
        <f>HYPERLINK("https://youtube.com/watch?v=79KAMq5m72s", "粵式麻婆豆腐/唔駛驚 少辣的/輕柔版/超好餸飯 簡單食材/新手 入門/廣東話/中字")</f>
        <v>粵式麻婆豆腐/唔駛驚 少辣的/輕柔版/超好餸飯 簡單食材/新手 入門/廣東話/中字</v>
      </c>
      <c r="E5574" s="82">
        <v>44785.0</v>
      </c>
      <c r="F5574" s="80">
        <v>556.0</v>
      </c>
      <c r="G5574" s="80" t="s">
        <v>63</v>
      </c>
      <c r="I5574" s="80" t="s">
        <v>63</v>
      </c>
      <c r="J5574" s="80">
        <v>1460.0</v>
      </c>
      <c r="K5574" s="80">
        <v>0.977896851975887</v>
      </c>
      <c r="L5574" s="80" t="s">
        <v>64</v>
      </c>
    </row>
    <row r="5575">
      <c r="A5575" s="80" t="s">
        <v>989</v>
      </c>
      <c r="B5575" s="81" t="str">
        <f>HYPERLINK("https://www.youtube.com/channel/UCljo-rxFnc2gl9l8NhhJ66Q", "好青年荼毒室")</f>
        <v>好青年荼毒室</v>
      </c>
      <c r="C5575" s="80" t="s">
        <v>6047</v>
      </c>
      <c r="D5575" s="81" t="str">
        <f>HYPERLINK("https://youtube.com/watch?v=1xFw_3w17xo", "【帶住哲學入劇場】《辯護人》：法律究竟為了甚麼？為了公義而犠牲這麼多，值得嗎？")</f>
        <v>【帶住哲學入劇場】《辯護人》：法律究竟為了甚麼？為了公義而犠牲這麼多，值得嗎？</v>
      </c>
      <c r="E5575" s="82">
        <v>44787.0</v>
      </c>
      <c r="F5575" s="80">
        <v>966.0</v>
      </c>
      <c r="G5575" s="80" t="s">
        <v>63</v>
      </c>
      <c r="I5575" s="80" t="s">
        <v>63</v>
      </c>
      <c r="J5575" s="80">
        <v>3320.0</v>
      </c>
      <c r="K5575" s="80">
        <v>0.874604847207586</v>
      </c>
      <c r="L5575" s="80" t="s">
        <v>64</v>
      </c>
    </row>
    <row r="5576">
      <c r="A5576" s="80" t="s">
        <v>6040</v>
      </c>
      <c r="B5576" s="81" t="str">
        <f>HYPERLINK("https://www.youtube.com/channel/UCOaPA9dplBmTRdkugUnn17g", "光頭幫 TomFatKi")</f>
        <v>光頭幫 TomFatKi</v>
      </c>
      <c r="C5576" s="80" t="s">
        <v>6048</v>
      </c>
      <c r="D5576" s="81" t="str">
        <f>HYPERLINK("https://youtube.com/watch?v=f0dT0FlIWPo", "《MV》光頭幫TomFatKi x @Billy Choi  - 哮喘【 Official Music Video 官方完整版 】")</f>
        <v>《MV》光頭幫TomFatKi x @Billy Choi  - 哮喘【 Official Music Video 官方完整版 】</v>
      </c>
      <c r="E5576" s="82">
        <v>44638.0</v>
      </c>
      <c r="F5576" s="80">
        <v>177.0</v>
      </c>
      <c r="G5576" s="80" t="s">
        <v>63</v>
      </c>
      <c r="I5576" s="80" t="s">
        <v>63</v>
      </c>
      <c r="J5576" s="80">
        <v>534.0</v>
      </c>
      <c r="K5576" s="80">
        <v>0.620209059233449</v>
      </c>
      <c r="L5576" s="80" t="s">
        <v>64</v>
      </c>
    </row>
    <row r="5577">
      <c r="A5577" s="80" t="s">
        <v>248</v>
      </c>
      <c r="B5577" s="81" t="str">
        <f>HYPERLINK("https://www.youtube.com/channel/UCUEJok-GiWaGlv5nIPwk-GQ", "Price.com.hk 香港格價網")</f>
        <v>Price.com.hk 香港格價網</v>
      </c>
      <c r="C5577" s="80" t="s">
        <v>6049</v>
      </c>
      <c r="D5577" s="81" t="str">
        <f>HYPERLINK("https://youtube.com/watch?v=9Y18R7xvEuc", "【Price網上電腦節-特備節目Day1】激筍產品優惠搶先睇 | 8:00播出 8:30開賣｜阿聰@GadgetGang HK x Howard@Post76影音玩樂  x Pinky x Karen")</f>
        <v>【Price網上電腦節-特備節目Day1】激筍產品優惠搶先睇 | 8:00播出 8:30開賣｜阿聰@GadgetGang HK x Howard@Post76影音玩樂  x Pinky x Karen</v>
      </c>
      <c r="E5577" s="82">
        <v>44780.0</v>
      </c>
      <c r="F5577" s="80">
        <v>1257.0</v>
      </c>
      <c r="G5577" s="80" t="s">
        <v>63</v>
      </c>
      <c r="I5577" s="80" t="s">
        <v>63</v>
      </c>
      <c r="J5577" s="80">
        <v>3100.0</v>
      </c>
      <c r="K5577" s="80">
        <v>0.664808063478447</v>
      </c>
      <c r="L5577" s="80" t="s">
        <v>64</v>
      </c>
    </row>
    <row r="5578">
      <c r="A5578" s="80" t="s">
        <v>6050</v>
      </c>
      <c r="B5578" s="81" t="str">
        <f>HYPERLINK("https://www.youtube.com/channel/UCYSklZv0Xn8k51xst1ePAzw", "Fely姐姐")</f>
        <v>Fely姐姐</v>
      </c>
      <c r="C5578" s="80" t="s">
        <v>6051</v>
      </c>
      <c r="D5578" s="81" t="str">
        <f>HYPERLINK("https://youtube.com/watch?v=relilGTje5M", "給預備開學的小朋友，小小的祝福與鼓勵")</f>
        <v>給預備開學的小朋友，小小的祝福與鼓勵</v>
      </c>
      <c r="E5578" s="82">
        <v>44440.0</v>
      </c>
      <c r="F5578" s="80">
        <v>35.0</v>
      </c>
      <c r="G5578" s="80" t="s">
        <v>63</v>
      </c>
      <c r="I5578" s="80" t="s">
        <v>63</v>
      </c>
      <c r="J5578" s="80">
        <v>100.0</v>
      </c>
      <c r="K5578" s="80">
        <v>0.934579439252336</v>
      </c>
      <c r="L5578" s="80" t="s">
        <v>102</v>
      </c>
    </row>
    <row r="5579">
      <c r="A5579" s="80" t="s">
        <v>6052</v>
      </c>
      <c r="B5579" s="81" t="str">
        <f>HYPERLINK("https://www.youtube.com/channel/UCZdOF7o0teJCv7edI3QCiDg", "KZee")</f>
        <v>KZee</v>
      </c>
      <c r="C5579" s="80" t="s">
        <v>6053</v>
      </c>
      <c r="D5579" s="81" t="str">
        <f>HYPERLINK("https://youtube.com/watch?v=gxZxKzGwyAE", "雙人真係會合作??!! w/麻布, Wing【Human: Fall Flat KZ.01】")</f>
        <v>雙人真係會合作??!! w/麻布, Wing【Human: Fall Flat KZ.01】</v>
      </c>
      <c r="E5579" s="82">
        <v>42632.0</v>
      </c>
      <c r="F5579" s="80">
        <v>1324.0</v>
      </c>
      <c r="G5579" s="80" t="s">
        <v>63</v>
      </c>
      <c r="I5579" s="80" t="s">
        <v>63</v>
      </c>
      <c r="J5579" s="80">
        <v>5861.0</v>
      </c>
      <c r="K5579" s="80">
        <v>0.795574860866024</v>
      </c>
      <c r="L5579" s="80" t="s">
        <v>64</v>
      </c>
    </row>
    <row r="5580">
      <c r="A5580" s="80" t="s">
        <v>6054</v>
      </c>
      <c r="B5580" s="81" t="str">
        <f>HYPERLINK("https://www.youtube.com/channel/UCZc-RwRZUYVuwu3A9pVBISg", "ToNick")</f>
        <v>ToNick</v>
      </c>
      <c r="C5580" s="80" t="s">
        <v>6055</v>
      </c>
      <c r="D5580" s="81" t="str">
        <f>HYPERLINK("https://youtube.com/watch?v=gEBlYEn5Ub4", "[Trailer] HERE and NOW ToNick Live 2021 (足本免費首播) 29.01.2022 @ 20:00")</f>
        <v>[Trailer] HERE and NOW ToNick Live 2021 (足本免費首播) 29.01.2022 @ 20:00</v>
      </c>
      <c r="E5580" s="82">
        <v>44580.0</v>
      </c>
      <c r="F5580" s="80">
        <v>88.0</v>
      </c>
      <c r="G5580" s="80" t="s">
        <v>63</v>
      </c>
      <c r="I5580" s="80" t="s">
        <v>63</v>
      </c>
      <c r="J5580" s="80">
        <v>184.0</v>
      </c>
      <c r="K5580" s="80">
        <v>0.934010152284264</v>
      </c>
      <c r="L5580" s="80" t="s">
        <v>64</v>
      </c>
    </row>
    <row r="5581">
      <c r="A5581" s="80" t="s">
        <v>2841</v>
      </c>
      <c r="B5581" s="81" t="str">
        <f>HYPERLINK("https://www.youtube.com/channel/UCBYGm7Iz6ck8jeno5AFiriw", "Seafront TV")</f>
        <v>Seafront TV</v>
      </c>
      <c r="C5581" s="80" t="s">
        <v>6056</v>
      </c>
      <c r="D5581" s="81" t="str">
        <f>HYPERLINK("https://youtube.com/watch?v=xiIvI7l-CHI", "【全科大上堂最開心嘅Major！百萬企業CEO嘅必修課程？】科大工商管理學士（管理學） HKUST BBA in MGMT | #大學Major系列 Seafront TV🌊")</f>
        <v>【全科大上堂最開心嘅Major！百萬企業CEO嘅必修課程？】科大工商管理學士（管理學） HKUST BBA in MGMT | #大學Major系列 Seafront TV🌊</v>
      </c>
      <c r="E5581" s="82">
        <v>44793.0</v>
      </c>
      <c r="F5581" s="80">
        <v>1889.0</v>
      </c>
      <c r="G5581" s="80" t="s">
        <v>63</v>
      </c>
      <c r="I5581" s="80" t="s">
        <v>63</v>
      </c>
      <c r="J5581" s="80">
        <v>6086.0</v>
      </c>
      <c r="K5581" s="80">
        <v>0.543975688237397</v>
      </c>
      <c r="L5581" s="80" t="s">
        <v>102</v>
      </c>
    </row>
    <row r="5582">
      <c r="A5582" s="80" t="s">
        <v>6052</v>
      </c>
      <c r="B5582" s="81" t="str">
        <f>HYPERLINK("https://www.youtube.com/channel/UCZdOF7o0teJCv7edI3QCiDg", "KZee")</f>
        <v>KZee</v>
      </c>
      <c r="C5582" s="80" t="s">
        <v>6057</v>
      </c>
      <c r="D5582" s="81" t="str">
        <f>HYPERLINK("https://youtube.com/watch?v=EpwTKZ4rH6s", "打機打到要搵綺夢 w/麻布, Wing【Human: Fall Flat KZ.02】")</f>
        <v>打機打到要搵綺夢 w/麻布, Wing【Human: Fall Flat KZ.02】</v>
      </c>
      <c r="E5582" s="82">
        <v>42634.0</v>
      </c>
      <c r="F5582" s="80">
        <v>1037.0</v>
      </c>
      <c r="G5582" s="80" t="s">
        <v>63</v>
      </c>
      <c r="I5582" s="80" t="s">
        <v>63</v>
      </c>
      <c r="J5582" s="80">
        <v>4292.0</v>
      </c>
      <c r="K5582" s="80">
        <v>0.805102232226599</v>
      </c>
      <c r="L5582" s="80" t="s">
        <v>64</v>
      </c>
    </row>
    <row r="5583">
      <c r="A5583" s="80" t="s">
        <v>755</v>
      </c>
      <c r="B5583" s="81" t="str">
        <f>HYPERLINK("https://www.youtube.com/channel/UCBiJDTc82IM68KVH873VeAw", "Live in Kwangsi廣西人·情·味")</f>
        <v>Live in Kwangsi廣西人·情·味</v>
      </c>
      <c r="C5583" s="80" t="s">
        <v>6058</v>
      </c>
      <c r="D5583" s="81" t="str">
        <f>HYPERLINK("https://youtube.com/watch?v=sozGu8JO4HA", "暑假湖南自由行day1 🚗江永縣勾藍瑤寨→縣城油茶民俗街 20210722")</f>
        <v>暑假湖南自由行day1 🚗江永縣勾藍瑤寨→縣城油茶民俗街 20210722</v>
      </c>
      <c r="E5583" s="82">
        <v>44785.0</v>
      </c>
      <c r="F5583" s="80">
        <v>404.0</v>
      </c>
      <c r="G5583" s="80" t="s">
        <v>63</v>
      </c>
      <c r="I5583" s="80" t="s">
        <v>63</v>
      </c>
      <c r="J5583" s="80">
        <v>13.0</v>
      </c>
      <c r="K5583" s="80">
        <v>1.0</v>
      </c>
      <c r="L5583" s="80" t="s">
        <v>757</v>
      </c>
    </row>
    <row r="5584">
      <c r="A5584" s="80" t="s">
        <v>2800</v>
      </c>
      <c r="B5584" s="81" t="str">
        <f>HYPERLINK("https://www.youtube.com/channel/UCMqrlsr-AECPc6_3oDr8m9w", "Unicorn 獸哥")</f>
        <v>Unicorn 獸哥</v>
      </c>
      <c r="C5584" s="80" t="s">
        <v>6059</v>
      </c>
      <c r="D5584" s="81" t="str">
        <f>HYPERLINK("https://youtube.com/watch?v=ap0Fzi76mIc", "【戲評】系列最好一集？PREY 鐵血戰士：狩獵追擊")</f>
        <v>【戲評】系列最好一集？PREY 鐵血戰士：狩獵追擊</v>
      </c>
      <c r="E5584" s="82">
        <v>44782.0</v>
      </c>
      <c r="F5584" s="80">
        <v>490.0</v>
      </c>
      <c r="G5584" s="80" t="s">
        <v>63</v>
      </c>
      <c r="I5584" s="80" t="s">
        <v>63</v>
      </c>
      <c r="J5584" s="80">
        <v>2032.0</v>
      </c>
      <c r="K5584" s="80">
        <v>0.952648851383028</v>
      </c>
      <c r="L5584" s="80" t="s">
        <v>64</v>
      </c>
    </row>
    <row r="5585">
      <c r="A5585" s="80" t="s">
        <v>6052</v>
      </c>
      <c r="B5585" s="81" t="str">
        <f>HYPERLINK("https://www.youtube.com/channel/UCZdOF7o0teJCv7edI3QCiDg", "KZee")</f>
        <v>KZee</v>
      </c>
      <c r="C5585" s="80" t="s">
        <v>6060</v>
      </c>
      <c r="D5585" s="81" t="str">
        <f>HYPERLINK("https://youtube.com/watch?v=SNKIMs-p4X0", "輸了的懲罰居然要...『你胖你先吃』(Kz Phone)")</f>
        <v>輸了的懲罰居然要...『你胖你先吃』(Kz Phone)</v>
      </c>
      <c r="E5585" s="82">
        <v>42918.0</v>
      </c>
      <c r="F5585" s="80">
        <v>462.0</v>
      </c>
      <c r="G5585" s="80" t="s">
        <v>63</v>
      </c>
      <c r="I5585" s="80" t="s">
        <v>63</v>
      </c>
      <c r="J5585" s="80">
        <v>1977.0</v>
      </c>
      <c r="K5585" s="80">
        <v>0.790483806477409</v>
      </c>
      <c r="L5585" s="80" t="s">
        <v>64</v>
      </c>
    </row>
    <row r="5586">
      <c r="A5586" s="80" t="s">
        <v>248</v>
      </c>
      <c r="B5586" s="81" t="str">
        <f>HYPERLINK("https://www.youtube.com/channel/UCUEJok-GiWaGlv5nIPwk-GQ", "Price.com.hk 香港格價網")</f>
        <v>Price.com.hk 香港格價網</v>
      </c>
      <c r="C5586" s="80" t="s">
        <v>6061</v>
      </c>
      <c r="D5586" s="81" t="str">
        <f>HYPERLINK("https://youtube.com/watch?v=L8a7Y1HV36Y", "Samsung55吋曲面電競芒Odyssey Ark．Android 13 登陸Pixel．任天堂總部失火 傳Pikmin4需重製 | 廣東話【Price Weekly #128 2022年8月 】")</f>
        <v>Samsung55吋曲面電競芒Odyssey Ark．Android 13 登陸Pixel．任天堂總部失火 傳Pikmin4需重製 | 廣東話【Price Weekly #128 2022年8月 】</v>
      </c>
      <c r="E5586" s="82">
        <v>44793.0</v>
      </c>
      <c r="F5586" s="80">
        <v>549.0</v>
      </c>
      <c r="G5586" s="80" t="s">
        <v>63</v>
      </c>
      <c r="I5586" s="80" t="s">
        <v>63</v>
      </c>
      <c r="J5586" s="80">
        <v>1877.0</v>
      </c>
      <c r="K5586" s="80">
        <v>0.682545454545454</v>
      </c>
      <c r="L5586" s="80" t="s">
        <v>64</v>
      </c>
    </row>
    <row r="5587">
      <c r="A5587" s="80" t="s">
        <v>293</v>
      </c>
      <c r="B5587" s="81" t="str">
        <f>HYPERLINK("https://www.youtube.com/channel/UCXRcbXqjORdIvl63I7MtOLQ", "趁熱 Kerry 's kitchen")</f>
        <v>趁熱 Kerry 's kitchen</v>
      </c>
      <c r="C5587" s="80" t="s">
        <v>6062</v>
      </c>
      <c r="D5587" s="81" t="str">
        <f>HYPERLINK("https://youtube.com/watch?v=t9afLQwpl-4", "腰果/西芹腰果肉丁/炸腰果竅門/新手都做到/重點 講解 /廣東話/中字")</f>
        <v>腰果/西芹腰果肉丁/炸腰果竅門/新手都做到/重點 講解 /廣東話/中字</v>
      </c>
      <c r="E5587" s="82">
        <v>44790.0</v>
      </c>
      <c r="F5587" s="80">
        <v>576.0</v>
      </c>
      <c r="G5587" s="80" t="s">
        <v>63</v>
      </c>
      <c r="I5587" s="80" t="s">
        <v>63</v>
      </c>
      <c r="J5587" s="80">
        <v>1453.0</v>
      </c>
      <c r="K5587" s="80">
        <v>0.973208305425318</v>
      </c>
      <c r="L5587" s="80" t="s">
        <v>64</v>
      </c>
    </row>
    <row r="5588">
      <c r="A5588" s="80" t="s">
        <v>6063</v>
      </c>
      <c r="B5588" s="81" t="str">
        <f>HYPERLINK("https://www.youtube.com/channel/UCFhqo-h29TVyrRFcIIBwr7w", "Realistic records")</f>
        <v>Realistic records</v>
      </c>
      <c r="C5588" s="80" t="s">
        <v>6064</v>
      </c>
      <c r="D5588" s="81" t="str">
        <f>HYPERLINK("https://youtube.com/watch?v=I3SS0T11FnU", "BMW - 落花流水Flower Goodbye (Audio) ft. Alexandria山大")</f>
        <v>BMW - 落花流水Flower Goodbye (Audio) ft. Alexandria山大</v>
      </c>
      <c r="E5588" s="82">
        <v>43660.0</v>
      </c>
      <c r="F5588" s="80">
        <v>242.0</v>
      </c>
      <c r="G5588" s="80" t="s">
        <v>63</v>
      </c>
      <c r="I5588" s="80" t="s">
        <v>63</v>
      </c>
      <c r="J5588" s="80">
        <v>581.0</v>
      </c>
      <c r="K5588" s="80">
        <v>0.9078125</v>
      </c>
      <c r="L5588" s="80" t="s">
        <v>64</v>
      </c>
    </row>
    <row r="5589">
      <c r="A5589" s="80" t="s">
        <v>74</v>
      </c>
      <c r="B5589" s="81" t="str">
        <f>HYPERLINK("https://www.youtube.com/channel/UCO_5XP-qd-udNxBlzzSzgvw", "Handline Fishing")</f>
        <v>Handline Fishing</v>
      </c>
      <c r="C5589" s="80" t="s">
        <v>6065</v>
      </c>
      <c r="D5589" s="81" t="str">
        <f>HYPERLINK("https://youtube.com/watch?v=PdDkhbN5bpw", "#295 神俠兩師徒! | 香港釣魚 | 艇釣 | 青洲航道 {粵語旁白}")</f>
        <v>#295 神俠兩師徒! | 香港釣魚 | 艇釣 | 青洲航道 {粵語旁白}</v>
      </c>
      <c r="E5589" s="82">
        <v>44796.0</v>
      </c>
      <c r="F5589" s="80">
        <v>349.0</v>
      </c>
      <c r="G5589" s="80" t="s">
        <v>63</v>
      </c>
      <c r="H5589" s="80" t="s">
        <v>63</v>
      </c>
      <c r="I5589" s="80" t="s">
        <v>63</v>
      </c>
      <c r="J5589" s="80">
        <v>407.0</v>
      </c>
      <c r="K5589" s="80">
        <v>0.976019184652278</v>
      </c>
      <c r="L5589" s="80" t="s">
        <v>2175</v>
      </c>
    </row>
    <row r="5590">
      <c r="A5590" s="80" t="s">
        <v>6040</v>
      </c>
      <c r="B5590" s="81" t="str">
        <f t="shared" ref="B5590:B5591" si="304">HYPERLINK("https://www.youtube.com/channel/UCOaPA9dplBmTRdkugUnn17g", "光頭幫 TomFatKi")</f>
        <v>光頭幫 TomFatKi</v>
      </c>
      <c r="C5590" s="80" t="s">
        <v>6066</v>
      </c>
      <c r="D5590" s="81" t="str">
        <f>HYPERLINK("https://youtube.com/watch?v=731WKV8IkAg", "《膠遊》帶大家黎TVB 成日拍劇既地方｜香港｜輕鬆遊｜香港Ep.9")</f>
        <v>《膠遊》帶大家黎TVB 成日拍劇既地方｜香港｜輕鬆遊｜香港Ep.9</v>
      </c>
      <c r="E5590" s="82">
        <v>43079.0</v>
      </c>
      <c r="F5590" s="80">
        <v>543.0</v>
      </c>
      <c r="G5590" s="80" t="s">
        <v>63</v>
      </c>
      <c r="I5590" s="80" t="s">
        <v>63</v>
      </c>
      <c r="J5590" s="80">
        <v>1438.0</v>
      </c>
      <c r="K5590" s="80">
        <v>0.913595933926302</v>
      </c>
      <c r="L5590" s="80" t="s">
        <v>64</v>
      </c>
    </row>
    <row r="5591">
      <c r="A5591" s="80" t="s">
        <v>6040</v>
      </c>
      <c r="B5591" s="81" t="str">
        <f t="shared" si="304"/>
        <v>光頭幫 TomFatKi</v>
      </c>
      <c r="C5591" s="80" t="s">
        <v>6067</v>
      </c>
      <c r="D5591" s="81" t="str">
        <f>HYPERLINK("https://youtube.com/watch?v=7a9TyUfHC9s", "《膠遊》見到個攝影界OG ！？明星既二十年前舊相！？｜香港｜輕鬆遊｜香港Ep.10")</f>
        <v>《膠遊》見到個攝影界OG ！？明星既二十年前舊相！？｜香港｜輕鬆遊｜香港Ep.10</v>
      </c>
      <c r="E5591" s="82">
        <v>43084.0</v>
      </c>
      <c r="F5591" s="80">
        <v>581.0</v>
      </c>
      <c r="G5591" s="80" t="s">
        <v>63</v>
      </c>
      <c r="I5591" s="80" t="s">
        <v>63</v>
      </c>
      <c r="J5591" s="80">
        <v>2472.0</v>
      </c>
      <c r="K5591" s="80">
        <v>0.934593572778827</v>
      </c>
      <c r="L5591" s="80" t="s">
        <v>820</v>
      </c>
    </row>
    <row r="5592">
      <c r="A5592" s="80" t="s">
        <v>242</v>
      </c>
      <c r="B5592" s="81" t="str">
        <f>HYPERLINK("https://www.youtube.com/channel/UCZGVB6g74LXWtkR3fX50ykg", "Edwin H.")</f>
        <v>Edwin H.</v>
      </c>
      <c r="C5592" s="80" t="s">
        <v>6068</v>
      </c>
      <c r="D5592" s="81" t="str">
        <f>HYPERLINK("https://youtube.com/watch?v=lM6Kc-Ng8Kc", "又有消費券？ 23件必睇科技新品 🔓🪑🎧📱 | 7月8月")</f>
        <v>又有消費券？ 23件必睇科技新品 🔓🪑🎧📱 | 7月8月</v>
      </c>
      <c r="E5592" s="82">
        <v>44782.0</v>
      </c>
      <c r="F5592" s="80">
        <v>565.0</v>
      </c>
      <c r="G5592" s="80" t="s">
        <v>63</v>
      </c>
      <c r="I5592" s="80" t="s">
        <v>63</v>
      </c>
      <c r="J5592" s="80">
        <v>2235.0</v>
      </c>
      <c r="K5592" s="80">
        <v>0.744751749416861</v>
      </c>
      <c r="L5592" s="80" t="s">
        <v>64</v>
      </c>
    </row>
    <row r="5593">
      <c r="A5593" s="80" t="s">
        <v>248</v>
      </c>
      <c r="B5593" s="81" t="str">
        <f>HYPERLINK("https://www.youtube.com/channel/UCUEJok-GiWaGlv5nIPwk-GQ", "Price.com.hk 香港格價網")</f>
        <v>Price.com.hk 香港格價網</v>
      </c>
      <c r="C5593" s="80" t="s">
        <v>6069</v>
      </c>
      <c r="D5593" s="81" t="str">
        <f>HYPERLINK("https://youtube.com/watch?v=n5-8RvV9ZxI", "Samsung發佈會懶人包 Z Fold4．Z Flip4．Watch5系列．全新Buds2 Pro | Galaxy Unpacked 2022 | 廣東話【Price.com.hk產品情報】")</f>
        <v>Samsung發佈會懶人包 Z Fold4．Z Flip4．Watch5系列．全新Buds2 Pro | Galaxy Unpacked 2022 | 廣東話【Price.com.hk產品情報】</v>
      </c>
      <c r="E5593" s="82">
        <v>44783.0</v>
      </c>
      <c r="F5593" s="80">
        <v>472.0</v>
      </c>
      <c r="G5593" s="80" t="s">
        <v>63</v>
      </c>
      <c r="I5593" s="80" t="s">
        <v>63</v>
      </c>
      <c r="J5593" s="80">
        <v>1549.0</v>
      </c>
      <c r="K5593" s="80">
        <v>0.710224667583677</v>
      </c>
      <c r="L5593" s="80" t="s">
        <v>64</v>
      </c>
    </row>
    <row r="5594">
      <c r="A5594" s="80" t="s">
        <v>260</v>
      </c>
      <c r="B5594" s="81" t="str">
        <f>HYPERLINK("https://www.youtube.com/channel/UC-HXOikkLx7BGEfILGIpYOg", "港短 . 英移")</f>
        <v>港短 . 英移</v>
      </c>
      <c r="C5594" s="80" t="s">
        <v>6070</v>
      </c>
      <c r="D5594" s="81" t="str">
        <f>HYPERLINK("https://youtube.com/watch?v=mepB9R1yhzk", "4分鐘穿越英法隧道 | 港短.英移")</f>
        <v>4分鐘穿越英法隧道 | 港短.英移</v>
      </c>
      <c r="E5594" s="82">
        <v>44799.0</v>
      </c>
      <c r="F5594" s="80">
        <v>233.0</v>
      </c>
      <c r="G5594" s="80" t="s">
        <v>63</v>
      </c>
      <c r="I5594" s="80" t="s">
        <v>63</v>
      </c>
      <c r="J5594" s="80">
        <v>1060.0</v>
      </c>
      <c r="K5594" s="80">
        <v>0.932277924362357</v>
      </c>
      <c r="L5594" s="80" t="s">
        <v>102</v>
      </c>
    </row>
    <row r="5595">
      <c r="A5595" s="80" t="s">
        <v>6040</v>
      </c>
      <c r="B5595" s="81" t="str">
        <f>HYPERLINK("https://www.youtube.com/channel/UCOaPA9dplBmTRdkugUnn17g", "光頭幫 TomFatKi")</f>
        <v>光頭幫 TomFatKi</v>
      </c>
      <c r="C5595" s="80" t="s">
        <v>6071</v>
      </c>
      <c r="D5595" s="81" t="str">
        <f>HYPERLINK("https://youtube.com/watch?v=Sw8dPGxXRCc", "《福正計劃》你有無諗過自己可以有幾毒？自己一個BBQ同唱K？｜香港｜Vlog⑦")</f>
        <v>《福正計劃》你有無諗過自己可以有幾毒？自己一個BBQ同唱K？｜香港｜Vlog⑦</v>
      </c>
      <c r="E5595" s="82">
        <v>43065.0</v>
      </c>
      <c r="F5595" s="80">
        <v>486.0</v>
      </c>
      <c r="G5595" s="80" t="s">
        <v>63</v>
      </c>
      <c r="I5595" s="80" t="s">
        <v>63</v>
      </c>
      <c r="J5595" s="80">
        <v>1858.0</v>
      </c>
      <c r="K5595" s="80">
        <v>0.962195753495598</v>
      </c>
      <c r="L5595" s="80" t="s">
        <v>64</v>
      </c>
    </row>
    <row r="5596">
      <c r="A5596" s="80" t="s">
        <v>293</v>
      </c>
      <c r="B5596" s="81" t="str">
        <f>HYPERLINK("https://www.youtube.com/channel/UCXRcbXqjORdIvl63I7MtOLQ", "趁熱 Kerry 's kitchen")</f>
        <v>趁熱 Kerry 's kitchen</v>
      </c>
      <c r="C5596" s="80" t="s">
        <v>6072</v>
      </c>
      <c r="D5596" s="81" t="str">
        <f>HYPERLINK("https://youtube.com/watch?v=FP9HtIMu70c", "蝦仁 煎蛋/紫菜蝦仁煎蛋/急凍蝦仁爽彈牙竅門/ 新手 入門/簡單 家做/廣東話/中字")</f>
        <v>蝦仁 煎蛋/紫菜蝦仁煎蛋/急凍蝦仁爽彈牙竅門/ 新手 入門/簡單 家做/廣東話/中字</v>
      </c>
      <c r="E5596" s="82">
        <v>44788.0</v>
      </c>
      <c r="F5596" s="80">
        <v>558.0</v>
      </c>
      <c r="G5596" s="80" t="s">
        <v>63</v>
      </c>
      <c r="I5596" s="80" t="s">
        <v>63</v>
      </c>
      <c r="J5596" s="80">
        <v>1343.0</v>
      </c>
      <c r="K5596" s="80">
        <v>0.970375722543352</v>
      </c>
      <c r="L5596" s="80" t="s">
        <v>64</v>
      </c>
    </row>
    <row r="5597">
      <c r="A5597" s="80" t="s">
        <v>6052</v>
      </c>
      <c r="B5597" s="81" t="str">
        <f>HYPERLINK("https://www.youtube.com/channel/UCZdOF7o0teJCv7edI3QCiDg", "KZee")</f>
        <v>KZee</v>
      </c>
      <c r="C5597" s="80" t="s">
        <v>6073</v>
      </c>
      <c r="D5597" s="81" t="str">
        <f>HYPERLINK("https://youtube.com/watch?v=y9kyTz5FIPA", "KZee 變心!? 挑戰麻布極限!! w/麻布『 夢幻誅仙 』(Kz Phone)")</f>
        <v>KZee 變心!? 挑戰麻布極限!! w/麻布『 夢幻誅仙 』(Kz Phone)</v>
      </c>
      <c r="E5597" s="82">
        <v>42846.0</v>
      </c>
      <c r="F5597" s="80">
        <v>772.0</v>
      </c>
      <c r="G5597" s="80" t="s">
        <v>63</v>
      </c>
      <c r="I5597" s="80" t="s">
        <v>63</v>
      </c>
      <c r="J5597" s="80">
        <v>3793.0</v>
      </c>
      <c r="K5597" s="80">
        <v>0.83271130625686</v>
      </c>
      <c r="L5597" s="80" t="s">
        <v>64</v>
      </c>
    </row>
    <row r="5598">
      <c r="A5598" s="80" t="s">
        <v>6074</v>
      </c>
      <c r="B5598" s="81" t="str">
        <f>HYPERLINK("https://www.youtube.com/channel/UCLUA5xPUeBairwsxsbGWw5A", "GamePlayHK短片攻略")</f>
        <v>GamePlayHK短片攻略</v>
      </c>
      <c r="C5598" s="80" t="s">
        <v>6075</v>
      </c>
      <c r="D5598" s="81" t="str">
        <f>HYPERLINK("https://youtube.com/watch?v=GkdXZ4y8duE", "【未出game先試玩】末日世界對抗機械大軍《戰雙帕彌什》")</f>
        <v>【未出game先試玩】末日世界對抗機械大軍《戰雙帕彌什》</v>
      </c>
      <c r="E5598" s="82">
        <v>44058.0</v>
      </c>
      <c r="F5598" s="80">
        <v>381.0</v>
      </c>
      <c r="G5598" s="80" t="s">
        <v>63</v>
      </c>
      <c r="I5598" s="80" t="s">
        <v>63</v>
      </c>
      <c r="J5598" s="80">
        <v>1322.0</v>
      </c>
      <c r="K5598" s="80">
        <v>0.953136265320836</v>
      </c>
      <c r="L5598" s="80" t="s">
        <v>64</v>
      </c>
    </row>
    <row r="5599">
      <c r="A5599" s="80" t="s">
        <v>248</v>
      </c>
      <c r="B5599" s="81" t="str">
        <f>HYPERLINK("https://www.youtube.com/channel/UCUEJok-GiWaGlv5nIPwk-GQ", "Price.com.hk 香港格價網")</f>
        <v>Price.com.hk 香港格價網</v>
      </c>
      <c r="C5599" s="80" t="s">
        <v>6076</v>
      </c>
      <c r="D5599" s="81" t="str">
        <f>HYPERLINK("https://youtube.com/watch?v=ydSxIoLCy2o", "iPhone 14來臨！Apple 發佈會9月8日舉行．PS5 專業級手掣 DualSense Edge．懷舊金曲變硬碟剋星 | 廣東話【Price Weekly #129 2022年8月】")</f>
        <v>iPhone 14來臨！Apple 發佈會9月8日舉行．PS5 專業級手掣 DualSense Edge．懷舊金曲變硬碟剋星 | 廣東話【Price Weekly #129 2022年8月】</v>
      </c>
      <c r="E5599" s="82">
        <v>44800.0</v>
      </c>
      <c r="F5599" s="80">
        <v>601.0</v>
      </c>
      <c r="G5599" s="80" t="s">
        <v>63</v>
      </c>
      <c r="I5599" s="80" t="s">
        <v>63</v>
      </c>
      <c r="J5599" s="80">
        <v>2205.0</v>
      </c>
      <c r="K5599" s="80">
        <v>0.727722772277227</v>
      </c>
      <c r="L5599" s="80" t="s">
        <v>64</v>
      </c>
    </row>
    <row r="5600">
      <c r="A5600" s="80" t="s">
        <v>74</v>
      </c>
      <c r="B5600" s="81" t="str">
        <f t="shared" ref="B5600:B5601" si="305">HYPERLINK("https://www.youtube.com/channel/UCO_5XP-qd-udNxBlzzSzgvw", "Handline Fishing")</f>
        <v>Handline Fishing</v>
      </c>
      <c r="C5600" s="80" t="s">
        <v>6077</v>
      </c>
      <c r="D5600" s="81" t="str">
        <f>HYPERLINK("https://youtube.com/watch?v=NiW4bVMn1s4", "#289 唔覺釣到40斤雜魚 | 香港釣魚 | 艇釣 | 東水大頭艇 【Expert Graphite】")</f>
        <v>#289 唔覺釣到40斤雜魚 | 香港釣魚 | 艇釣 | 東水大頭艇 【Expert Graphite】</v>
      </c>
      <c r="E5600" s="82">
        <v>44774.0</v>
      </c>
      <c r="F5600" s="80">
        <v>430.0</v>
      </c>
      <c r="G5600" s="80" t="s">
        <v>63</v>
      </c>
      <c r="H5600" s="80" t="s">
        <v>63</v>
      </c>
      <c r="I5600" s="80" t="s">
        <v>63</v>
      </c>
      <c r="J5600" s="80">
        <v>370.0</v>
      </c>
      <c r="K5600" s="80">
        <v>0.931880108991825</v>
      </c>
      <c r="L5600" s="80" t="s">
        <v>2175</v>
      </c>
    </row>
    <row r="5601">
      <c r="A5601" s="80" t="s">
        <v>74</v>
      </c>
      <c r="B5601" s="81" t="str">
        <f t="shared" si="305"/>
        <v>Handline Fishing</v>
      </c>
      <c r="C5601" s="80" t="s">
        <v>6078</v>
      </c>
      <c r="D5601" s="81" t="str">
        <f>HYPERLINK("https://youtube.com/watch?v=JakrsPfJzcc", "#296 絲一般的順滑? 半陶瓷軸承啤呤 | 香港釣魚 | 艇釣 | 用具分享 {粵語旁白}")</f>
        <v>#296 絲一般的順滑? 半陶瓷軸承啤呤 | 香港釣魚 | 艇釣 | 用具分享 {粵語旁白}</v>
      </c>
      <c r="E5601" s="82">
        <v>44799.0</v>
      </c>
      <c r="F5601" s="80">
        <v>191.0</v>
      </c>
      <c r="G5601" s="80" t="s">
        <v>63</v>
      </c>
      <c r="I5601" s="80" t="s">
        <v>63</v>
      </c>
      <c r="J5601" s="80">
        <v>575.0</v>
      </c>
      <c r="K5601" s="80">
        <v>0.966386554621848</v>
      </c>
      <c r="L5601" s="80" t="s">
        <v>102</v>
      </c>
    </row>
    <row r="5602">
      <c r="A5602" s="80" t="s">
        <v>260</v>
      </c>
      <c r="B5602" s="81" t="str">
        <f>HYPERLINK("https://www.youtube.com/channel/UC-HXOikkLx7BGEfILGIpYOg", "港短 . 英移")</f>
        <v>港短 . 英移</v>
      </c>
      <c r="C5602" s="80" t="s">
        <v>6079</v>
      </c>
      <c r="D5602" s="81" t="str">
        <f>HYPERLINK("https://youtube.com/watch?v=hNNWUifP2lE", "仲買唔買好? | 過往3次跌市的共通點 | 港短.英移 #通脹 #英國樓市 #加息")</f>
        <v>仲買唔買好? | 過往3次跌市的共通點 | 港短.英移 #通脹 #英國樓市 #加息</v>
      </c>
      <c r="E5602" s="82">
        <v>44778.0</v>
      </c>
      <c r="F5602" s="80">
        <v>481.0</v>
      </c>
      <c r="G5602" s="80" t="s">
        <v>63</v>
      </c>
      <c r="I5602" s="80" t="s">
        <v>63</v>
      </c>
      <c r="J5602" s="80">
        <v>2234.0</v>
      </c>
      <c r="K5602" s="80">
        <v>0.983274647887324</v>
      </c>
      <c r="L5602" s="80" t="s">
        <v>102</v>
      </c>
    </row>
    <row r="5603">
      <c r="A5603" s="80" t="s">
        <v>2041</v>
      </c>
      <c r="B5603" s="81" t="str">
        <f t="shared" ref="B5603:B5604" si="306">HYPERLINK("https://www.youtube.com/channel/UCO6pB-ZN4XJ6MVkibvuEe0A", "SingSingTracker 星昇財經指標")</f>
        <v>SingSingTracker 星昇財經指標</v>
      </c>
      <c r="C5603" s="80" t="s">
        <v>6080</v>
      </c>
      <c r="D5603" s="81" t="str">
        <f>HYPERLINK("https://youtube.com/watch?v=ZiPzJfZOWQc", "【高息高通脹嘅環境下，有咩投資選擇呢?】")</f>
        <v>【高息高通脹嘅環境下，有咩投資選擇呢?】</v>
      </c>
      <c r="E5603" s="82">
        <v>44789.0</v>
      </c>
      <c r="F5603" s="80">
        <v>204.0</v>
      </c>
      <c r="G5603" s="80" t="s">
        <v>63</v>
      </c>
      <c r="I5603" s="80" t="s">
        <v>63</v>
      </c>
      <c r="J5603" s="80">
        <v>728.0</v>
      </c>
      <c r="K5603" s="80">
        <v>0.882424242424242</v>
      </c>
      <c r="L5603" s="80" t="s">
        <v>64</v>
      </c>
    </row>
    <row r="5604">
      <c r="A5604" s="80" t="s">
        <v>2041</v>
      </c>
      <c r="B5604" s="81" t="str">
        <f t="shared" si="306"/>
        <v>SingSingTracker 星昇財經指標</v>
      </c>
      <c r="C5604" s="80" t="s">
        <v>6081</v>
      </c>
      <c r="D5604" s="81" t="str">
        <f>HYPERLINK("https://youtube.com/watch?v=7X6uIq509nU", "【滙豐銀行下半年展望】")</f>
        <v>【滙豐銀行下半年展望】</v>
      </c>
      <c r="E5604" s="82">
        <v>44782.0</v>
      </c>
      <c r="F5604" s="80">
        <v>173.0</v>
      </c>
      <c r="G5604" s="80" t="s">
        <v>63</v>
      </c>
      <c r="I5604" s="80" t="s">
        <v>63</v>
      </c>
      <c r="J5604" s="80">
        <v>648.0</v>
      </c>
      <c r="K5604" s="80">
        <v>0.995391705069124</v>
      </c>
      <c r="L5604" s="80" t="s">
        <v>91</v>
      </c>
    </row>
    <row r="5605">
      <c r="A5605" s="80" t="s">
        <v>2766</v>
      </c>
      <c r="B5605" s="81" t="str">
        <f>HYPERLINK("https://www.youtube.com/channel/UCrZG5sGryxwgSDQSlHgmZTw", "GadgetGang HK")</f>
        <v>GadgetGang HK</v>
      </c>
      <c r="C5605" s="80" t="s">
        <v>6082</v>
      </c>
      <c r="D5605" s="81" t="str">
        <f>HYPERLINK("https://youtube.com/watch?v=Y4FjipkPaBA", "Samsung Z Fold4 Z Flip4 摺機唔好用？〡教你9個摺機必學實用技〡 Z Flip4 細芒用Whatsapp 打機都冇問題〡2隻手指極速多功工作mode〡摺起用觸控板當小型電腦用")</f>
        <v>Samsung Z Fold4 Z Flip4 摺機唔好用？〡教你9個摺機必學實用技〡 Z Flip4 細芒用Whatsapp 打機都冇問題〡2隻手指極速多功工作mode〡摺起用觸控板當小型電腦用</v>
      </c>
      <c r="E5605" s="82">
        <v>44801.0</v>
      </c>
      <c r="F5605" s="80">
        <v>737.0</v>
      </c>
      <c r="G5605" s="80" t="s">
        <v>63</v>
      </c>
      <c r="I5605" s="80" t="s">
        <v>63</v>
      </c>
      <c r="J5605" s="80">
        <v>230.0</v>
      </c>
      <c r="K5605" s="80">
        <v>0.761589403973509</v>
      </c>
      <c r="L5605" s="80" t="s">
        <v>64</v>
      </c>
    </row>
    <row r="5606">
      <c r="A5606" s="80" t="s">
        <v>2761</v>
      </c>
      <c r="B5606" s="81" t="str">
        <f>HYPERLINK("https://www.youtube.com/channel/UCr_L9cZdbBU_XDsKDHBBlew", "am730")</f>
        <v>am730</v>
      </c>
      <c r="C5606" s="80" t="s">
        <v>6083</v>
      </c>
      <c r="D5606" s="81" t="str">
        <f>HYPERLINK("https://youtube.com/watch?v=HDiJn5wDo6c", "靈異丨香港02：「bear熊 + 花媽媽」上集丨小紅帽聲音專欄 #靈異 #都市傳說 #鬼故事 #盂蘭節 #podcast")</f>
        <v>靈異丨香港02：「bear熊 + 花媽媽」上集丨小紅帽聲音專欄 #靈異 #都市傳說 #鬼故事 #盂蘭節 #podcast</v>
      </c>
      <c r="E5606" s="82">
        <v>44803.0</v>
      </c>
      <c r="F5606" s="80">
        <v>401.0</v>
      </c>
      <c r="G5606" s="80" t="s">
        <v>63</v>
      </c>
      <c r="I5606" s="80" t="s">
        <v>63</v>
      </c>
      <c r="J5606" s="80">
        <v>1151.0</v>
      </c>
      <c r="K5606" s="80">
        <v>0.955186721991701</v>
      </c>
      <c r="L5606" s="80" t="s">
        <v>91</v>
      </c>
    </row>
    <row r="5607">
      <c r="A5607" s="80" t="s">
        <v>6063</v>
      </c>
      <c r="B5607" s="81" t="str">
        <f t="shared" ref="B5607:B5608" si="307">HYPERLINK("https://www.youtube.com/channel/UCFhqo-h29TVyrRFcIIBwr7w", "Realistic records")</f>
        <v>Realistic records</v>
      </c>
      <c r="C5607" s="80" t="s">
        <v>6084</v>
      </c>
      <c r="D5607" s="81" t="str">
        <f>HYPERLINK("https://youtube.com/watch?v=KK-Bn9bx-po", "落花流水 Flower Goodbye Cigarette Remix (Music Video)")</f>
        <v>落花流水 Flower Goodbye Cigarette Remix (Music Video)</v>
      </c>
      <c r="E5607" s="82">
        <v>44269.0</v>
      </c>
      <c r="F5607" s="80">
        <v>257.0</v>
      </c>
      <c r="G5607" s="80" t="s">
        <v>63</v>
      </c>
      <c r="I5607" s="80" t="s">
        <v>63</v>
      </c>
      <c r="J5607" s="80">
        <v>581.0</v>
      </c>
      <c r="K5607" s="80">
        <v>0.9078125</v>
      </c>
      <c r="L5607" s="80" t="s">
        <v>64</v>
      </c>
    </row>
    <row r="5608">
      <c r="A5608" s="80" t="s">
        <v>6063</v>
      </c>
      <c r="B5608" s="81" t="str">
        <f t="shared" si="307"/>
        <v>Realistic records</v>
      </c>
      <c r="C5608" s="80" t="s">
        <v>6085</v>
      </c>
      <c r="D5608" s="81" t="str">
        <f>HYPERLINK("https://youtube.com/watch?v=fKNr7vcCPMA", "【Value】Owen奧雲OCS, Wolfe  [Official MV]")</f>
        <v>【Value】Owen奧雲OCS, Wolfe  [Official MV]</v>
      </c>
      <c r="E5608" s="82">
        <v>44388.0</v>
      </c>
      <c r="F5608" s="80">
        <v>202.0</v>
      </c>
      <c r="G5608" s="80" t="s">
        <v>63</v>
      </c>
      <c r="I5608" s="80" t="s">
        <v>63</v>
      </c>
      <c r="J5608" s="80">
        <v>611.0</v>
      </c>
      <c r="K5608" s="80">
        <v>0.580246913580246</v>
      </c>
      <c r="L5608" s="80" t="s">
        <v>64</v>
      </c>
    </row>
    <row r="5609">
      <c r="A5609" s="80" t="s">
        <v>6052</v>
      </c>
      <c r="B5609" s="81" t="str">
        <f>HYPERLINK("https://www.youtube.com/channel/UCZdOF7o0teJCv7edI3QCiDg", "KZee")</f>
        <v>KZee</v>
      </c>
      <c r="C5609" s="80" t="s">
        <v>6086</v>
      </c>
      <c r="D5609" s="81" t="str">
        <f>HYPERLINK("https://youtube.com/watch?v=VvSxRpiqg1k", "最可愛既年糕青鬼???  w/麻布『青鬼2 #09』(Kz Phone)")</f>
        <v>最可愛既年糕青鬼???  w/麻布『青鬼2 #09』(Kz Phone)</v>
      </c>
      <c r="E5609" s="82">
        <v>42851.0</v>
      </c>
      <c r="F5609" s="80">
        <v>1219.0</v>
      </c>
      <c r="G5609" s="80" t="s">
        <v>63</v>
      </c>
      <c r="I5609" s="80" t="s">
        <v>63</v>
      </c>
      <c r="J5609" s="80">
        <v>5194.0</v>
      </c>
      <c r="K5609" s="80">
        <v>0.719889119889119</v>
      </c>
      <c r="L5609" s="80" t="s">
        <v>64</v>
      </c>
    </row>
    <row r="5610">
      <c r="A5610" s="80" t="s">
        <v>2761</v>
      </c>
      <c r="B5610" s="81" t="str">
        <f>HYPERLINK("https://www.youtube.com/channel/UCr_L9cZdbBU_XDsKDHBBlew", "am730")</f>
        <v>am730</v>
      </c>
      <c r="C5610" s="80" t="s">
        <v>6087</v>
      </c>
      <c r="D5610" s="81" t="str">
        <f>HYPERLINK("https://youtube.com/watch?v=eY_yPoCQZcA", "靈異丨香港02：小紅帽「0」故事丨小紅帽聲音專欄 #靈異 #都市傳說 #鬼故事 #盂蘭節 #podcast")</f>
        <v>靈異丨香港02：小紅帽「0」故事丨小紅帽聲音專欄 #靈異 #都市傳說 #鬼故事 #盂蘭節 #podcast</v>
      </c>
      <c r="E5610" s="82">
        <v>44795.0</v>
      </c>
      <c r="F5610" s="80">
        <v>341.0</v>
      </c>
      <c r="G5610" s="80" t="s">
        <v>63</v>
      </c>
      <c r="I5610" s="80" t="s">
        <v>63</v>
      </c>
      <c r="J5610" s="80">
        <v>1011.0</v>
      </c>
      <c r="K5610" s="80">
        <v>1.0</v>
      </c>
      <c r="L5610" s="80" t="s">
        <v>91</v>
      </c>
    </row>
    <row r="5611">
      <c r="A5611" s="80" t="s">
        <v>755</v>
      </c>
      <c r="B5611" s="81" t="str">
        <f>HYPERLINK("https://www.youtube.com/channel/UCBiJDTc82IM68KVH873VeAw", "Live in Kwangsi廣西人·情·味")</f>
        <v>Live in Kwangsi廣西人·情·味</v>
      </c>
      <c r="C5611" s="80" t="s">
        <v>6088</v>
      </c>
      <c r="D5611" s="81" t="str">
        <f>HYPERLINK("https://youtube.com/watch?v=jdYq-ITkxKs", "北海市冠頭嶺簡介及掠影｜廣西美景 20220708")</f>
        <v>北海市冠頭嶺簡介及掠影｜廣西美景 20220708</v>
      </c>
      <c r="E5611" s="82">
        <v>44771.0</v>
      </c>
      <c r="F5611" s="80">
        <v>371.0</v>
      </c>
      <c r="G5611" s="80" t="s">
        <v>63</v>
      </c>
      <c r="I5611" s="80" t="s">
        <v>63</v>
      </c>
      <c r="J5611" s="80">
        <v>304.0</v>
      </c>
      <c r="K5611" s="80">
        <v>1.0</v>
      </c>
      <c r="L5611" s="80" t="s">
        <v>757</v>
      </c>
    </row>
    <row r="5612">
      <c r="A5612" s="80" t="s">
        <v>124</v>
      </c>
      <c r="B5612" s="81" t="str">
        <f>HYPERLINK("https://www.youtube.com/channel/UCg0vuSE0fBF_NvodyYhMcWg", "Wallace Studio HK")</f>
        <v>Wallace Studio HK</v>
      </c>
      <c r="C5612" s="80" t="s">
        <v>6089</v>
      </c>
      <c r="D5612" s="81" t="str">
        <f>HYPERLINK("https://youtube.com/watch?v=rPsFRHDMtMM", "Samsung Galaxy Z Fold 4 / Z Flip 4 香港發佈會! 上手，規格及定價")</f>
        <v>Samsung Galaxy Z Fold 4 / Z Flip 4 香港發佈會! 上手，規格及定價</v>
      </c>
      <c r="E5612" s="82">
        <v>44800.0</v>
      </c>
      <c r="F5612" s="80">
        <v>175.0</v>
      </c>
      <c r="G5612" s="80" t="s">
        <v>63</v>
      </c>
      <c r="I5612" s="80" t="s">
        <v>63</v>
      </c>
      <c r="J5612" s="80">
        <v>620.0</v>
      </c>
      <c r="K5612" s="80">
        <v>0.730270906949352</v>
      </c>
      <c r="L5612" s="80" t="s">
        <v>64</v>
      </c>
    </row>
    <row r="5613">
      <c r="A5613" s="80" t="s">
        <v>6090</v>
      </c>
      <c r="B5613" s="81" t="str">
        <f>HYPERLINK("https://www.youtube.com/channel/UCaN7dVaarzJCQ-3qpnOmifQ", "Catlike Studio")</f>
        <v>Catlike Studio</v>
      </c>
      <c r="C5613" s="80" t="s">
        <v>6091</v>
      </c>
      <c r="D5613" s="81" t="str">
        <f>HYPERLINK("https://youtube.com/watch?v=S-G0mY65EF4", "Cycling in Spring: A Cantonese/English Rhyming Story (with Traditional Chinese and Jyutping)")</f>
        <v>Cycling in Spring: A Cantonese/English Rhyming Story (with Traditional Chinese and Jyutping)</v>
      </c>
      <c r="E5613" s="82">
        <v>44649.0</v>
      </c>
      <c r="F5613" s="80">
        <v>358.0</v>
      </c>
      <c r="G5613" s="80" t="s">
        <v>63</v>
      </c>
      <c r="I5613" s="80" t="s">
        <v>63</v>
      </c>
      <c r="J5613" s="80">
        <v>359.0</v>
      </c>
      <c r="K5613" s="80">
        <v>0.22051597051597</v>
      </c>
      <c r="L5613" s="80" t="s">
        <v>102</v>
      </c>
    </row>
    <row r="5614">
      <c r="A5614" s="80" t="s">
        <v>5301</v>
      </c>
      <c r="B5614" s="81" t="str">
        <f>HYPERLINK("https://www.youtube.com/channel/UCTH_IecfGTuKdew5dTb_D6A", "BOYS' CHOIR")</f>
        <v>BOYS' CHOIR</v>
      </c>
      <c r="C5614" s="80" t="s">
        <v>6092</v>
      </c>
      <c r="D5614" s="81" t="str">
        <f>HYPERLINK("https://youtube.com/watch?v=8lfFNSJW_k4", "Yung Raise - Yes I Do Ft. N.O.L.Y (Audio)")</f>
        <v>Yung Raise - Yes I Do Ft. N.O.L.Y (Audio)</v>
      </c>
      <c r="E5614" s="82">
        <v>44785.0</v>
      </c>
      <c r="F5614" s="80">
        <v>147.0</v>
      </c>
      <c r="G5614" s="80" t="s">
        <v>63</v>
      </c>
      <c r="I5614" s="80" t="s">
        <v>63</v>
      </c>
      <c r="J5614" s="80">
        <v>76.0</v>
      </c>
      <c r="K5614" s="80">
        <v>0.0931372549019607</v>
      </c>
      <c r="L5614" s="80" t="s">
        <v>64</v>
      </c>
    </row>
    <row r="5615">
      <c r="A5615" s="80" t="s">
        <v>124</v>
      </c>
      <c r="B5615" s="81" t="str">
        <f>HYPERLINK("https://www.youtube.com/channel/UCg0vuSE0fBF_NvodyYhMcWg", "Wallace Studio HK")</f>
        <v>Wallace Studio HK</v>
      </c>
      <c r="C5615" s="80" t="s">
        <v>6093</v>
      </c>
      <c r="D5615" s="81" t="str">
        <f>HYPERLINK("https://youtube.com/watch?v=9v33RHaYUBY", "Apple MacBook Air M2 基配版勁慢！? 同你睇下 8gb RAM + 256gb SSD 夠唔夠用! 2022 MacBook Air , MacBook Pro 13"".選購建議")</f>
        <v>Apple MacBook Air M2 基配版勁慢！? 同你睇下 8gb RAM + 256gb SSD 夠唔夠用! 2022 MacBook Air , MacBook Pro 13".選購建議</v>
      </c>
      <c r="E5615" s="82">
        <v>44787.0</v>
      </c>
      <c r="F5615" s="80">
        <v>601.0</v>
      </c>
      <c r="G5615" s="80" t="s">
        <v>63</v>
      </c>
      <c r="H5615" s="80" t="s">
        <v>63</v>
      </c>
      <c r="I5615" s="80" t="s">
        <v>63</v>
      </c>
      <c r="J5615" s="80">
        <v>2026.0</v>
      </c>
      <c r="K5615" s="80">
        <v>0.696219931271477</v>
      </c>
      <c r="L5615" s="80" t="s">
        <v>86</v>
      </c>
    </row>
    <row r="5616">
      <c r="A5616" s="80" t="s">
        <v>2800</v>
      </c>
      <c r="B5616" s="81" t="str">
        <f>HYPERLINK("https://www.youtube.com/channel/UCMqrlsr-AECPc6_3oDr8m9w", "Unicorn 獸哥")</f>
        <v>Unicorn 獸哥</v>
      </c>
      <c r="C5616" s="80" t="s">
        <v>6094</v>
      </c>
      <c r="D5616" s="81" t="str">
        <f>HYPERLINK("https://youtube.com/watch?v=1n1kVOePK7k", "【阻你一分鐘】PS5買唔到 仲加價？xbox點回應？cc字幕")</f>
        <v>【阻你一分鐘】PS5買唔到 仲加價？xbox點回應？cc字幕</v>
      </c>
      <c r="E5616" s="82">
        <v>44801.0</v>
      </c>
      <c r="F5616" s="80">
        <v>99.0</v>
      </c>
      <c r="G5616" s="80" t="s">
        <v>63</v>
      </c>
      <c r="I5616" s="80" t="s">
        <v>63</v>
      </c>
      <c r="J5616" s="80">
        <v>403.0</v>
      </c>
      <c r="K5616" s="80">
        <v>0.839583333333333</v>
      </c>
      <c r="L5616" s="80" t="s">
        <v>64</v>
      </c>
    </row>
    <row r="5617">
      <c r="A5617" s="80" t="s">
        <v>293</v>
      </c>
      <c r="B5617" s="81" t="str">
        <f>HYPERLINK("https://www.youtube.com/channel/UCXRcbXqjORdIvl63I7MtOLQ", "趁熱 Kerry 's kitchen")</f>
        <v>趁熱 Kerry 's kitchen</v>
      </c>
      <c r="C5617" s="80" t="s">
        <v>6095</v>
      </c>
      <c r="D5617" s="81" t="str">
        <f>HYPERLINK("https://youtube.com/watch?v=6aakWgUo9q8", "宮保雞丁/甜甜酸酸好餸飯/少油低脂/雞胸肉做法/低 成本/簡單 家做/新手 入門/廣東話/中字")</f>
        <v>宮保雞丁/甜甜酸酸好餸飯/少油低脂/雞胸肉做法/低 成本/簡單 家做/新手 入門/廣東話/中字</v>
      </c>
      <c r="E5617" s="82">
        <v>44799.0</v>
      </c>
      <c r="F5617" s="80">
        <v>545.0</v>
      </c>
      <c r="G5617" s="80" t="s">
        <v>63</v>
      </c>
      <c r="I5617" s="80" t="s">
        <v>63</v>
      </c>
      <c r="J5617" s="80">
        <v>1256.0</v>
      </c>
      <c r="K5617" s="80">
        <v>0.964669738863287</v>
      </c>
      <c r="L5617" s="80" t="s">
        <v>64</v>
      </c>
    </row>
    <row r="5618">
      <c r="A5618" s="80" t="s">
        <v>6052</v>
      </c>
      <c r="B5618" s="81" t="str">
        <f>HYPERLINK("https://www.youtube.com/channel/UCZdOF7o0teJCv7edI3QCiDg", "KZee")</f>
        <v>KZee</v>
      </c>
      <c r="C5618" s="80" t="s">
        <v>6096</v>
      </c>
      <c r="D5618" s="81" t="str">
        <f>HYPERLINK("https://youtube.com/watch?v=fHWHQKtr97c", "究竟呢隻GAME係咪可以出到去 ZZ-TAN ?? w/麻布【EE-TAN】(Kz Phone)")</f>
        <v>究竟呢隻GAME係咪可以出到去 ZZ-TAN ?? w/麻布【EE-TAN】(Kz Phone)</v>
      </c>
      <c r="E5618" s="82">
        <v>42668.0</v>
      </c>
      <c r="F5618" s="80">
        <v>441.0</v>
      </c>
      <c r="G5618" s="80" t="s">
        <v>63</v>
      </c>
      <c r="H5618" s="80" t="s">
        <v>63</v>
      </c>
      <c r="I5618" s="80" t="s">
        <v>63</v>
      </c>
      <c r="J5618" s="80">
        <v>2291.0</v>
      </c>
      <c r="K5618" s="80">
        <v>0.760119442601194</v>
      </c>
      <c r="L5618" s="80" t="s">
        <v>86</v>
      </c>
    </row>
    <row r="5619">
      <c r="A5619" s="80" t="s">
        <v>293</v>
      </c>
      <c r="B5619" s="81" t="str">
        <f>HYPERLINK("https://www.youtube.com/channel/UCXRcbXqjORdIvl63I7MtOLQ", "趁熱 Kerry 's kitchen")</f>
        <v>趁熱 Kerry 's kitchen</v>
      </c>
      <c r="C5619" s="80" t="s">
        <v>6097</v>
      </c>
      <c r="D5619" s="81" t="str">
        <f>HYPERLINK("https://youtube.com/watch?v=QscY1g0Ke3g", "焦香沙葛鹹魚煎肉餅/香爆多汁/好餸飯/簡單 家做/新手 入門/廣東話/中字")</f>
        <v>焦香沙葛鹹魚煎肉餅/香爆多汁/好餸飯/簡單 家做/新手 入門/廣東話/中字</v>
      </c>
      <c r="E5619" s="82">
        <v>44797.0</v>
      </c>
      <c r="F5619" s="80">
        <v>543.0</v>
      </c>
      <c r="G5619" s="80" t="s">
        <v>63</v>
      </c>
      <c r="I5619" s="80" t="s">
        <v>63</v>
      </c>
      <c r="J5619" s="80">
        <v>1300.0</v>
      </c>
      <c r="K5619" s="80">
        <v>0.968703427719821</v>
      </c>
      <c r="L5619" s="80" t="s">
        <v>64</v>
      </c>
    </row>
    <row r="5620">
      <c r="A5620" s="80" t="s">
        <v>6050</v>
      </c>
      <c r="B5620" s="81" t="str">
        <f>HYPERLINK("https://www.youtube.com/channel/UCYSklZv0Xn8k51xst1ePAzw", "Fely姐姐")</f>
        <v>Fely姐姐</v>
      </c>
      <c r="C5620" s="80" t="s">
        <v>6098</v>
      </c>
      <c r="D5620" s="81" t="str">
        <f>HYPERLINK("https://youtube.com/watch?v=UZc6t8ybPFQ", "[喀噹 喀噹-火車來了] 彥彥說故事  | 廣東話粵語故事 | 睡前故事 | 兒童故事")</f>
        <v>[喀噹 喀噹-火車來了] 彥彥說故事  | 廣東話粵語故事 | 睡前故事 | 兒童故事</v>
      </c>
      <c r="E5620" s="82">
        <v>43914.0</v>
      </c>
      <c r="F5620" s="80">
        <v>132.0</v>
      </c>
      <c r="G5620" s="80" t="s">
        <v>63</v>
      </c>
      <c r="I5620" s="80" t="s">
        <v>63</v>
      </c>
      <c r="J5620" s="80">
        <v>198.0</v>
      </c>
      <c r="K5620" s="80">
        <v>0.831932773109243</v>
      </c>
      <c r="L5620" s="80" t="s">
        <v>102</v>
      </c>
    </row>
    <row r="5621">
      <c r="A5621" s="80" t="s">
        <v>293</v>
      </c>
      <c r="B5621" s="81" t="str">
        <f>HYPERLINK("https://www.youtube.com/channel/UCXRcbXqjORdIvl63I7MtOLQ", "趁熱 Kerry 's kitchen")</f>
        <v>趁熱 Kerry 's kitchen</v>
      </c>
      <c r="C5621" s="80" t="s">
        <v>6099</v>
      </c>
      <c r="D5621" s="81" t="str">
        <f>HYPERLINK("https://youtube.com/watch?v=k8K5jQm7QGY", "青咖哩雞/輕柔版/其實好易做/開胃 好下飯/廣東話/中字")</f>
        <v>青咖哩雞/輕柔版/其實好易做/開胃 好下飯/廣東話/中字</v>
      </c>
      <c r="E5621" s="82">
        <v>44778.0</v>
      </c>
      <c r="F5621" s="80">
        <v>504.0</v>
      </c>
      <c r="G5621" s="80" t="s">
        <v>63</v>
      </c>
      <c r="I5621" s="80" t="s">
        <v>63</v>
      </c>
      <c r="J5621" s="80">
        <v>1275.0</v>
      </c>
      <c r="K5621" s="80">
        <v>0.982280431432973</v>
      </c>
      <c r="L5621" s="80" t="s">
        <v>64</v>
      </c>
    </row>
    <row r="5622">
      <c r="A5622" s="80" t="s">
        <v>2585</v>
      </c>
      <c r="B5622" s="81" t="str">
        <f>HYPERLINK("https://www.youtube.com/channel/UCyyruuN0VecuYxPNR4un88Q", "混血肥仔")</f>
        <v>混血肥仔</v>
      </c>
      <c r="C5622" s="80" t="s">
        <v>6100</v>
      </c>
      <c r="D5622" s="81" t="str">
        <f>HYPERLINK("https://youtube.com/watch?v=7NVTBBpzOC8", "😱睇波睇到被人💥？ | 肥仔被發現係作客球迷？！ 英超開鑼日")</f>
        <v>😱睇波睇到被人💥？ | 肥仔被發現係作客球迷？！ 英超開鑼日</v>
      </c>
      <c r="E5622" s="82">
        <v>44779.0</v>
      </c>
      <c r="F5622" s="80">
        <v>591.0</v>
      </c>
      <c r="G5622" s="80" t="s">
        <v>63</v>
      </c>
      <c r="I5622" s="80" t="s">
        <v>63</v>
      </c>
      <c r="J5622" s="80">
        <v>794.0</v>
      </c>
      <c r="K5622" s="80">
        <v>0.946364719904648</v>
      </c>
      <c r="L5622" s="80" t="s">
        <v>64</v>
      </c>
    </row>
    <row r="5623">
      <c r="A5623" s="80" t="s">
        <v>2841</v>
      </c>
      <c r="B5623" s="81" t="str">
        <f>HYPERLINK("https://www.youtube.com/channel/UCBYGm7Iz6ck8jeno5AFiriw", "Seafront TV")</f>
        <v>Seafront TV</v>
      </c>
      <c r="C5623" s="80" t="s">
        <v>6101</v>
      </c>
      <c r="D5623" s="81" t="str">
        <f>HYPERLINK("https://youtube.com/watch?v=3aGEYnC4P-g", "【調教你CV🪄】20個寫CV嘅魔鬼細節！😈 資深HR教你贏在起跑線！｜#見工診療室 Seafront TV 🌊 ft. @HKUST Career Center 〈香港科技大學 就業中心〉")</f>
        <v>【調教你CV🪄】20個寫CV嘅魔鬼細節！😈 資深HR教你贏在起跑線！｜#見工診療室 Seafront TV 🌊 ft. @HKUST Career Center 〈香港科技大學 就業中心〉</v>
      </c>
      <c r="E5623" s="82">
        <v>44800.0</v>
      </c>
      <c r="F5623" s="80">
        <v>1347.0</v>
      </c>
      <c r="G5623" s="80" t="s">
        <v>63</v>
      </c>
      <c r="I5623" s="80" t="s">
        <v>63</v>
      </c>
      <c r="J5623" s="80">
        <v>4811.0</v>
      </c>
      <c r="K5623" s="80">
        <v>0.673809523809523</v>
      </c>
      <c r="L5623" s="80" t="s">
        <v>102</v>
      </c>
    </row>
    <row r="5624">
      <c r="A5624" s="80" t="s">
        <v>6040</v>
      </c>
      <c r="B5624" s="81" t="str">
        <f>HYPERLINK("https://www.youtube.com/channel/UCOaPA9dplBmTRdkugUnn17g", "光頭幫 TomFatKi")</f>
        <v>光頭幫 TomFatKi</v>
      </c>
      <c r="C5624" s="80" t="s">
        <v>6102</v>
      </c>
      <c r="D5624" s="81" t="str">
        <f>HYPERLINK("https://youtube.com/watch?v=xN-Fu0vREeI", "《膠遊》去鶴咀玩航拍 玩到成個人濕晒｜輕鬆遊｜香港｜Vlog⑧")</f>
        <v>《膠遊》去鶴咀玩航拍 玩到成個人濕晒｜輕鬆遊｜香港｜Vlog⑧</v>
      </c>
      <c r="E5624" s="82">
        <v>43072.0</v>
      </c>
      <c r="F5624" s="80">
        <v>566.0</v>
      </c>
      <c r="G5624" s="80" t="s">
        <v>63</v>
      </c>
      <c r="I5624" s="80" t="s">
        <v>63</v>
      </c>
      <c r="J5624" s="80">
        <v>1635.0</v>
      </c>
      <c r="K5624" s="80">
        <v>0.861887190300474</v>
      </c>
      <c r="L5624" s="80" t="s">
        <v>64</v>
      </c>
    </row>
    <row r="5625">
      <c r="A5625" s="80" t="s">
        <v>293</v>
      </c>
      <c r="B5625" s="81" t="str">
        <f>HYPERLINK("https://www.youtube.com/channel/UCXRcbXqjORdIvl63I7MtOLQ", "趁熱 Kerry 's kitchen")</f>
        <v>趁熱 Kerry 's kitchen</v>
      </c>
      <c r="C5625" s="80" t="s">
        <v>6103</v>
      </c>
      <c r="D5625" s="81" t="str">
        <f>HYPERLINK("https://youtube.com/watch?v=JowD353IyRE", "涼瓜煎蛋/下火清熱/去苦味竅門/不變色/簡單 家做/新手 入門/廣東話/中字")</f>
        <v>涼瓜煎蛋/下火清熱/去苦味竅門/不變色/簡單 家做/新手 入門/廣東話/中字</v>
      </c>
      <c r="E5625" s="82">
        <v>44771.0</v>
      </c>
      <c r="F5625" s="80">
        <v>338.0</v>
      </c>
      <c r="G5625" s="80" t="s">
        <v>63</v>
      </c>
      <c r="I5625" s="80" t="s">
        <v>63</v>
      </c>
      <c r="J5625" s="80">
        <v>819.0</v>
      </c>
      <c r="K5625" s="80">
        <v>0.977326968973747</v>
      </c>
      <c r="L5625" s="80" t="s">
        <v>64</v>
      </c>
    </row>
    <row r="5626">
      <c r="A5626" s="80" t="s">
        <v>5912</v>
      </c>
      <c r="B5626" s="81" t="str">
        <f>HYPERLINK("https://www.youtube.com/channel/UCSJCx6i6QI2MFN0mDJnnTCw", "慢半拍製作")</f>
        <v>慢半拍製作</v>
      </c>
      <c r="C5626" s="80" t="s">
        <v>6104</v>
      </c>
      <c r="D5626" s="81" t="str">
        <f>HYPERLINK("https://youtube.com/watch?v=UEusBFPxlzw", "【ACG2022】 動漫節角色突擊測驗｜慢半拍")</f>
        <v>【ACG2022】 動漫節角色突擊測驗｜慢半拍</v>
      </c>
      <c r="E5626" s="82">
        <v>44799.0</v>
      </c>
      <c r="F5626" s="80">
        <v>831.0</v>
      </c>
      <c r="G5626" s="80" t="s">
        <v>63</v>
      </c>
      <c r="I5626" s="80" t="s">
        <v>63</v>
      </c>
      <c r="J5626" s="80">
        <v>1913.0</v>
      </c>
      <c r="K5626" s="80">
        <v>0.864437415273384</v>
      </c>
      <c r="L5626" s="80" t="s">
        <v>64</v>
      </c>
    </row>
    <row r="5627">
      <c r="A5627" s="80" t="s">
        <v>1139</v>
      </c>
      <c r="B5627" s="81" t="str">
        <f>HYPERLINK("https://www.youtube.com/channel/UCw51gVFijIewmXH4tIR0ufw", "Crystal Zen")</f>
        <v>Crystal Zen</v>
      </c>
      <c r="C5627" s="80" t="s">
        <v>6105</v>
      </c>
      <c r="D5627" s="81" t="str">
        <f>HYPERLINK("https://youtube.com/watch?v=9BIYrkqMXpw", "[Angus真心話] 點解我條水晶戴戴下會冇feel?! 點解要換走我而家嗰粒水晶?! Angus詳細講解戴水晶一定要做嘅三件事 (中文字幕)")</f>
        <v>[Angus真心話] 點解我條水晶戴戴下會冇feel?! 點解要換走我而家嗰粒水晶?! Angus詳細講解戴水晶一定要做嘅三件事 (中文字幕)</v>
      </c>
      <c r="E5627" s="82">
        <v>44798.0</v>
      </c>
      <c r="F5627" s="80">
        <v>480.0</v>
      </c>
      <c r="G5627" s="80" t="s">
        <v>63</v>
      </c>
      <c r="I5627" s="80" t="s">
        <v>63</v>
      </c>
      <c r="J5627" s="80">
        <v>2008.0</v>
      </c>
      <c r="K5627" s="80">
        <v>0.957558416785884</v>
      </c>
      <c r="L5627" s="80" t="s">
        <v>64</v>
      </c>
    </row>
    <row r="5628">
      <c r="A5628" s="80" t="s">
        <v>414</v>
      </c>
      <c r="B5628" s="81" t="str">
        <f>HYPERLINK("https://www.youtube.com/channel/UCCVn38j5xSJZN-II-TeyomA", "Uncle Calvin Cantonese Class")</f>
        <v>Uncle Calvin Cantonese Class</v>
      </c>
      <c r="C5628" s="80" t="s">
        <v>6106</v>
      </c>
      <c r="D5628" s="81" t="str">
        <f>HYPERLINK("https://youtube.com/watch?v=B-m7iC4Y1GQ", "【量詞：植物與蔬果】Quantifiers: Plants, Veggie &amp; Fruits in Cantonese I 幼童認字 for Toddlers I 廣東話教室 I 字幕")</f>
        <v>【量詞：植物與蔬果】Quantifiers: Plants, Veggie &amp; Fruits in Cantonese I 幼童認字 for Toddlers I 廣東話教室 I 字幕</v>
      </c>
      <c r="E5628" s="82">
        <v>44780.0</v>
      </c>
      <c r="F5628" s="80">
        <v>732.0</v>
      </c>
      <c r="G5628" s="80" t="s">
        <v>63</v>
      </c>
      <c r="H5628" s="80" t="s">
        <v>63</v>
      </c>
      <c r="I5628" s="80" t="s">
        <v>63</v>
      </c>
      <c r="J5628" s="80">
        <v>1552.0</v>
      </c>
      <c r="K5628" s="80">
        <v>0.900410076157</v>
      </c>
      <c r="L5628" s="80" t="s">
        <v>240</v>
      </c>
    </row>
    <row r="5629">
      <c r="A5629" s="80" t="s">
        <v>2800</v>
      </c>
      <c r="B5629" s="81" t="str">
        <f>HYPERLINK("https://www.youtube.com/channel/UCMqrlsr-AECPc6_3oDr8m9w", "Unicorn 獸哥")</f>
        <v>Unicorn 獸哥</v>
      </c>
      <c r="C5629" s="80" t="s">
        <v>6107</v>
      </c>
      <c r="D5629" s="81" t="str">
        <f>HYPERLINK("https://youtube.com/watch?v=0ab3ZJpcKPQ", "【戲評】應否支持明日戰記？")</f>
        <v>【戲評】應否支持明日戰記？</v>
      </c>
      <c r="E5629" s="82">
        <v>44794.0</v>
      </c>
      <c r="F5629" s="80">
        <v>518.0</v>
      </c>
      <c r="G5629" s="80" t="s">
        <v>63</v>
      </c>
      <c r="I5629" s="80" t="s">
        <v>63</v>
      </c>
      <c r="J5629" s="80">
        <v>2308.0</v>
      </c>
      <c r="K5629" s="80">
        <v>0.976311336717428</v>
      </c>
      <c r="L5629" s="80" t="s">
        <v>64</v>
      </c>
    </row>
    <row r="5630">
      <c r="A5630" s="80" t="s">
        <v>5301</v>
      </c>
      <c r="B5630" s="81" t="str">
        <f>HYPERLINK("https://www.youtube.com/channel/UCTH_IecfGTuKdew5dTb_D6A", "BOYS' CHOIR")</f>
        <v>BOYS' CHOIR</v>
      </c>
      <c r="C5630" s="80" t="s">
        <v>6108</v>
      </c>
      <c r="D5630" s="81" t="str">
        <f>HYPERLINK("https://youtube.com/watch?v=OJ4_2YhPr08", "bright - cool")</f>
        <v>bright - cool</v>
      </c>
      <c r="E5630" s="82">
        <v>44791.0</v>
      </c>
      <c r="F5630" s="80">
        <v>118.0</v>
      </c>
      <c r="G5630" s="80" t="s">
        <v>63</v>
      </c>
      <c r="I5630" s="80" t="s">
        <v>63</v>
      </c>
      <c r="J5630" s="80">
        <v>57.0</v>
      </c>
      <c r="K5630" s="80">
        <v>0.260273972602739</v>
      </c>
      <c r="L5630" s="80" t="s">
        <v>64</v>
      </c>
    </row>
    <row r="5631">
      <c r="A5631" s="80" t="s">
        <v>6052</v>
      </c>
      <c r="B5631" s="81" t="str">
        <f>HYPERLINK("https://www.youtube.com/channel/UCZdOF7o0teJCv7edI3QCiDg", "KZee")</f>
        <v>KZee</v>
      </c>
      <c r="C5631" s="80" t="s">
        <v>6109</v>
      </c>
      <c r="D5631" s="81" t="str">
        <f>HYPERLINK("https://youtube.com/watch?v=Yq4GaUm9PWM", "新英雄是用「撞磚」殺怪冒險 !  w/麻布【The Lost Shield】(Kz Phone)")</f>
        <v>新英雄是用「撞磚」殺怪冒險 !  w/麻布【The Lost Shield】(Kz Phone)</v>
      </c>
      <c r="E5631" s="82">
        <v>42683.0</v>
      </c>
      <c r="F5631" s="80">
        <v>723.0</v>
      </c>
      <c r="G5631" s="80" t="s">
        <v>63</v>
      </c>
      <c r="I5631" s="80" t="s">
        <v>63</v>
      </c>
      <c r="J5631" s="80">
        <v>1804.0</v>
      </c>
      <c r="K5631" s="80">
        <v>0.822242479489516</v>
      </c>
      <c r="L5631" s="80" t="s">
        <v>64</v>
      </c>
    </row>
    <row r="5632">
      <c r="A5632" s="80" t="s">
        <v>96</v>
      </c>
      <c r="B5632" s="81" t="str">
        <f>HYPERLINK("https://www.youtube.com/channel/UCGtyHJ-L_4RDIHe3XaLofQQ", "Anson Cheung")</f>
        <v>Anson Cheung</v>
      </c>
      <c r="C5632" s="80" t="s">
        <v>6110</v>
      </c>
      <c r="D5632" s="81" t="str">
        <f>HYPERLINK("https://youtube.com/watch?v=6tnA_4boFhs", "Samsung Galaxy Z Fold4/Z Flip4 初步印象評測：Z系列小改款，連摺機都開始冇新意😱😱😱？（我覺得係好事）")</f>
        <v>Samsung Galaxy Z Fold4/Z Flip4 初步印象評測：Z系列小改款，連摺機都開始冇新意😱😱😱？（我覺得係好事）</v>
      </c>
      <c r="E5632" s="82">
        <v>44783.0</v>
      </c>
      <c r="F5632" s="80">
        <v>561.0</v>
      </c>
      <c r="G5632" s="80" t="s">
        <v>63</v>
      </c>
      <c r="I5632" s="80" t="s">
        <v>63</v>
      </c>
      <c r="J5632" s="80">
        <v>2307.0</v>
      </c>
      <c r="K5632" s="80">
        <v>0.644953871959742</v>
      </c>
      <c r="L5632" s="80" t="s">
        <v>240</v>
      </c>
    </row>
    <row r="5633">
      <c r="A5633" s="80" t="s">
        <v>6063</v>
      </c>
      <c r="B5633" s="81" t="str">
        <f>HYPERLINK("https://www.youtube.com/channel/UCFhqo-h29TVyrRFcIIBwr7w", "Realistic records")</f>
        <v>Realistic records</v>
      </c>
      <c r="C5633" s="80" t="s">
        <v>6111</v>
      </c>
      <c r="D5633" s="81" t="str">
        <f>HYPERLINK("https://youtube.com/watch?v=36xcZX0sK2s", "Drag.C &amp; beforedawn - 毒撚(Official Audio)")</f>
        <v>Drag.C &amp; beforedawn - 毒撚(Official Audio)</v>
      </c>
      <c r="E5633" s="82">
        <v>44330.0</v>
      </c>
      <c r="F5633" s="80">
        <v>213.0</v>
      </c>
      <c r="G5633" s="80" t="s">
        <v>63</v>
      </c>
      <c r="I5633" s="80" t="s">
        <v>63</v>
      </c>
      <c r="J5633" s="80">
        <v>476.0</v>
      </c>
      <c r="K5633" s="80">
        <v>0.701030927835051</v>
      </c>
      <c r="L5633" s="80" t="s">
        <v>64</v>
      </c>
    </row>
    <row r="5634">
      <c r="A5634" s="80" t="s">
        <v>6050</v>
      </c>
      <c r="B5634" s="81" t="str">
        <f>HYPERLINK("https://www.youtube.com/channel/UCYSklZv0Xn8k51xst1ePAzw", "Fely姐姐")</f>
        <v>Fely姐姐</v>
      </c>
      <c r="C5634" s="80" t="s">
        <v>6112</v>
      </c>
      <c r="D5634" s="81" t="str">
        <f>HYPERLINK("https://youtube.com/watch?v=AqUmPvIHPyY", "Fely小劇場  [大個自己瞓]")</f>
        <v>Fely小劇場  [大個自己瞓]</v>
      </c>
      <c r="E5634" s="82">
        <v>44438.0</v>
      </c>
      <c r="F5634" s="80">
        <v>17.0</v>
      </c>
      <c r="G5634" s="80" t="s">
        <v>63</v>
      </c>
      <c r="I5634" s="80" t="s">
        <v>63</v>
      </c>
      <c r="J5634" s="80">
        <v>34.0</v>
      </c>
      <c r="K5634" s="80">
        <v>1.0</v>
      </c>
      <c r="L5634" s="80" t="s">
        <v>102</v>
      </c>
    </row>
    <row r="5635">
      <c r="A5635" s="80" t="s">
        <v>1139</v>
      </c>
      <c r="B5635" s="81" t="str">
        <f>HYPERLINK("https://www.youtube.com/channel/UCw51gVFijIewmXH4tIR0ufw", "Crystal Zen")</f>
        <v>Crystal Zen</v>
      </c>
      <c r="C5635" s="80" t="s">
        <v>6113</v>
      </c>
      <c r="D5635" s="81" t="str">
        <f>HYPERLINK("https://youtube.com/watch?v=dvKRUsCCplY", "[Angus真心話] 水晶戴極都唔好?! 點解你戴水晶都好似無乜用?! Angus話你知心態有幾重要 #中文字幕")</f>
        <v>[Angus真心話] 水晶戴極都唔好?! 點解你戴水晶都好似無乜用?! Angus話你知心態有幾重要 #中文字幕</v>
      </c>
      <c r="E5635" s="82">
        <v>44791.0</v>
      </c>
      <c r="F5635" s="80">
        <v>287.0</v>
      </c>
      <c r="G5635" s="80" t="s">
        <v>63</v>
      </c>
      <c r="I5635" s="80" t="s">
        <v>63</v>
      </c>
      <c r="J5635" s="80">
        <v>1233.0</v>
      </c>
      <c r="K5635" s="80">
        <v>0.941940412528647</v>
      </c>
      <c r="L5635" s="80" t="s">
        <v>64</v>
      </c>
    </row>
    <row r="5636">
      <c r="A5636" s="80" t="s">
        <v>755</v>
      </c>
      <c r="B5636" s="81" t="str">
        <f>HYPERLINK("https://www.youtube.com/channel/UCBiJDTc82IM68KVH873VeAw", "Live in Kwangsi廣西人·情·味")</f>
        <v>Live in Kwangsi廣西人·情·味</v>
      </c>
      <c r="C5636" s="80" t="s">
        <v>6114</v>
      </c>
      <c r="D5636" s="81" t="str">
        <f>HYPERLINK("https://youtube.com/watch?v=2acdW4K3oTI", "平南縣3日2夜探親之旅記錄 縣城→大新鎮→奇湖山莊→買石硤龍眼 20220819~21")</f>
        <v>平南縣3日2夜探親之旅記錄 縣城→大新鎮→奇湖山莊→買石硤龍眼 20220819~21</v>
      </c>
      <c r="E5636" s="82">
        <v>44798.0</v>
      </c>
      <c r="F5636" s="80">
        <v>1160.0</v>
      </c>
      <c r="G5636" s="80" t="s">
        <v>63</v>
      </c>
      <c r="I5636" s="80" t="s">
        <v>63</v>
      </c>
      <c r="J5636" s="80">
        <v>543.0</v>
      </c>
      <c r="K5636" s="80">
        <v>0.98014440433213</v>
      </c>
      <c r="L5636" s="80" t="s">
        <v>757</v>
      </c>
    </row>
    <row r="5637">
      <c r="A5637" s="80" t="s">
        <v>6052</v>
      </c>
      <c r="B5637" s="81" t="str">
        <f>HYPERLINK("https://www.youtube.com/channel/UCZdOF7o0teJCv7edI3QCiDg", "KZee")</f>
        <v>KZee</v>
      </c>
      <c r="C5637" s="80" t="s">
        <v>6115</v>
      </c>
      <c r="D5637" s="81" t="str">
        <f>HYPERLINK("https://youtube.com/watch?v=He9rihthpGg", "可怕!麻布殺人成性~~ w/麻布『Party Hard #2』")</f>
        <v>可怕!麻布殺人成性~~ w/麻布『Party Hard #2』</v>
      </c>
      <c r="E5637" s="82">
        <v>42921.0</v>
      </c>
      <c r="F5637" s="80">
        <v>862.0</v>
      </c>
      <c r="G5637" s="80" t="s">
        <v>63</v>
      </c>
      <c r="I5637" s="80" t="s">
        <v>63</v>
      </c>
      <c r="J5637" s="80">
        <v>3943.0</v>
      </c>
      <c r="K5637" s="80">
        <v>0.824378005435918</v>
      </c>
      <c r="L5637" s="80" t="s">
        <v>64</v>
      </c>
    </row>
    <row r="5638">
      <c r="A5638" s="80" t="s">
        <v>2761</v>
      </c>
      <c r="B5638" s="81" t="str">
        <f>HYPERLINK("https://www.youtube.com/channel/UCr_L9cZdbBU_XDsKDHBBlew", "am730")</f>
        <v>am730</v>
      </c>
      <c r="C5638" s="80" t="s">
        <v>6116</v>
      </c>
      <c r="D5638" s="81" t="str">
        <f>HYPERLINK("https://youtube.com/watch?v=ckn_82DXBK4", "靈異丨香港02：都市傳說、香港鬼故逐個捉：盂蘭節嘅「細路」食好嘢丨7月14丨小紅帽聲音專欄 #靈異 #都市傳說 #鬼故事 #盂蘭節")</f>
        <v>靈異丨香港02：都市傳說、香港鬼故逐個捉：盂蘭節嘅「細路」食好嘢丨7月14丨小紅帽聲音專欄 #靈異 #都市傳說 #鬼故事 #盂蘭節</v>
      </c>
      <c r="E5638" s="82">
        <v>44783.0</v>
      </c>
      <c r="F5638" s="80">
        <v>322.0</v>
      </c>
      <c r="G5638" s="80" t="s">
        <v>63</v>
      </c>
      <c r="I5638" s="80" t="s">
        <v>63</v>
      </c>
      <c r="J5638" s="80">
        <v>750.0</v>
      </c>
      <c r="K5638" s="80">
        <v>0.988142292490118</v>
      </c>
      <c r="L5638" s="80" t="s">
        <v>91</v>
      </c>
    </row>
    <row r="5639">
      <c r="A5639" s="80" t="s">
        <v>260</v>
      </c>
      <c r="B5639" s="81" t="str">
        <f>HYPERLINK("https://www.youtube.com/channel/UC-HXOikkLx7BGEfILGIpYOg", "港短 . 英移")</f>
        <v>港短 . 英移</v>
      </c>
      <c r="C5639" s="80" t="s">
        <v>6117</v>
      </c>
      <c r="D5639" s="81" t="str">
        <f>HYPERLINK("https://youtube.com/watch?v=JKPij39cQAw", "愈睇愈唔對路..我地睇左間好奇怪既屋 |  港短.英移​ #英國樓 #港人移民英國")</f>
        <v>愈睇愈唔對路..我地睇左間好奇怪既屋 |  港短.英移​ #英國樓 #港人移民英國</v>
      </c>
      <c r="E5639" s="82">
        <v>44792.0</v>
      </c>
      <c r="F5639" s="80">
        <v>414.0</v>
      </c>
      <c r="G5639" s="80" t="s">
        <v>63</v>
      </c>
      <c r="I5639" s="80" t="s">
        <v>63</v>
      </c>
      <c r="J5639" s="80">
        <v>1846.0</v>
      </c>
      <c r="K5639" s="80">
        <v>0.788551900897052</v>
      </c>
      <c r="L5639" s="80" t="s">
        <v>102</v>
      </c>
    </row>
    <row r="5640">
      <c r="A5640" s="80" t="s">
        <v>6063</v>
      </c>
      <c r="B5640" s="81" t="str">
        <f>HYPERLINK("https://www.youtube.com/channel/UCFhqo-h29TVyrRFcIIBwr7w", "Realistic records")</f>
        <v>Realistic records</v>
      </c>
      <c r="C5640" s="80" t="s">
        <v>6118</v>
      </c>
      <c r="D5640" s="81" t="str">
        <f>HYPERLINK("https://youtube.com/watch?v=YBMMQP9lt6k", "【大殺四方】Owen奧雲OCS, Drag.C [Offical MV]")</f>
        <v>【大殺四方】Owen奧雲OCS, Drag.C [Offical MV]</v>
      </c>
      <c r="E5640" s="82">
        <v>44420.0</v>
      </c>
      <c r="F5640" s="80">
        <v>231.0</v>
      </c>
      <c r="G5640" s="80" t="s">
        <v>63</v>
      </c>
      <c r="I5640" s="80" t="s">
        <v>63</v>
      </c>
      <c r="J5640" s="80">
        <v>738.0</v>
      </c>
      <c r="K5640" s="80">
        <v>0.705544933078393</v>
      </c>
      <c r="L5640" s="80" t="s">
        <v>64</v>
      </c>
    </row>
    <row r="5641">
      <c r="A5641" s="80" t="s">
        <v>6050</v>
      </c>
      <c r="B5641" s="81" t="str">
        <f>HYPERLINK("https://www.youtube.com/channel/UCYSklZv0Xn8k51xst1ePAzw", "Fely姐姐")</f>
        <v>Fely姐姐</v>
      </c>
      <c r="C5641" s="80" t="s">
        <v>6119</v>
      </c>
      <c r="D5641" s="81" t="str">
        <f>HYPERLINK("https://youtube.com/watch?v=xrEq5Y2S4fo", "Fely小劇場 [第一個登月太空人?]")</f>
        <v>Fely小劇場 [第一個登月太空人?]</v>
      </c>
      <c r="E5641" s="82">
        <v>44460.0</v>
      </c>
      <c r="F5641" s="80">
        <v>38.0</v>
      </c>
      <c r="G5641" s="80" t="s">
        <v>63</v>
      </c>
      <c r="I5641" s="80" t="s">
        <v>63</v>
      </c>
      <c r="J5641" s="80">
        <v>84.0</v>
      </c>
      <c r="K5641" s="80">
        <v>1.0</v>
      </c>
      <c r="L5641" s="80" t="s">
        <v>102</v>
      </c>
    </row>
    <row r="5642">
      <c r="A5642" s="80" t="s">
        <v>6120</v>
      </c>
      <c r="B5642" s="81" t="str">
        <f>HYPERLINK("https://www.youtube.com/channel/UCmnHDt9QChi__oWOS9toD_w", "Storybear")</f>
        <v>Storybear</v>
      </c>
      <c r="C5642" s="80" t="s">
        <v>6121</v>
      </c>
      <c r="D5642" s="81" t="str">
        <f>HYPERLINK("https://youtube.com/watch?v=R-CnbhEnv7k", "【狼來了】| 粵語故事 | 睡前故事系列")</f>
        <v>【狼來了】| 粵語故事 | 睡前故事系列</v>
      </c>
      <c r="E5642" s="82">
        <v>43944.0</v>
      </c>
      <c r="F5642" s="80">
        <v>208.0</v>
      </c>
      <c r="G5642" s="80" t="s">
        <v>63</v>
      </c>
      <c r="I5642" s="80" t="s">
        <v>63</v>
      </c>
      <c r="J5642" s="80">
        <v>11.0</v>
      </c>
      <c r="K5642" s="80">
        <v>0.44</v>
      </c>
      <c r="L5642" s="80" t="s">
        <v>64</v>
      </c>
    </row>
    <row r="5643">
      <c r="A5643" s="80" t="s">
        <v>6063</v>
      </c>
      <c r="B5643" s="81" t="str">
        <f>HYPERLINK("https://www.youtube.com/channel/UCFhqo-h29TVyrRFcIIBwr7w", "Realistic records")</f>
        <v>Realistic records</v>
      </c>
      <c r="C5643" s="80" t="s">
        <v>6122</v>
      </c>
      <c r="D5643" s="81" t="str">
        <f>HYPERLINK("https://youtube.com/watch?v=02xfdMH8Eo0", "BMW - 一呼一吸 City Ciggys ft. Alexandria山大 [Music Video]")</f>
        <v>BMW - 一呼一吸 City Ciggys ft. Alexandria山大 [Music Video]</v>
      </c>
      <c r="E5643" s="82">
        <v>43789.0</v>
      </c>
      <c r="F5643" s="80">
        <v>205.0</v>
      </c>
      <c r="G5643" s="80" t="s">
        <v>63</v>
      </c>
      <c r="I5643" s="80" t="s">
        <v>63</v>
      </c>
      <c r="J5643" s="80">
        <v>508.0</v>
      </c>
      <c r="K5643" s="80">
        <v>0.843853820598006</v>
      </c>
      <c r="L5643" s="80" t="s">
        <v>64</v>
      </c>
    </row>
    <row r="5644">
      <c r="A5644" s="80" t="s">
        <v>248</v>
      </c>
      <c r="B5644" s="81" t="str">
        <f>HYPERLINK("https://www.youtube.com/channel/UCUEJok-GiWaGlv5nIPwk-GQ", "Price.com.hk 香港格價網")</f>
        <v>Price.com.hk 香港格價網</v>
      </c>
      <c r="C5644" s="80" t="s">
        <v>6123</v>
      </c>
      <c r="D5644" s="81" t="str">
        <f>HYPERLINK("https://youtube.com/watch?v=UqVQlHL0erU", "【Price網上電腦節-特備節目Day2】激筍產品優惠搶先睇 | 8:00播出 8:30開賣｜Mavis@maviskuku 雞蛋妹  x Anson @Anson Cheung  x Pinky")</f>
        <v>【Price網上電腦節-特備節目Day2】激筍產品優惠搶先睇 | 8:00播出 8:30開賣｜Mavis@maviskuku 雞蛋妹  x Anson @Anson Cheung  x Pinky</v>
      </c>
      <c r="E5644" s="82">
        <v>44781.0</v>
      </c>
      <c r="F5644" s="80">
        <v>1359.0</v>
      </c>
      <c r="G5644" s="80" t="s">
        <v>63</v>
      </c>
      <c r="I5644" s="80" t="s">
        <v>63</v>
      </c>
      <c r="J5644" s="80">
        <v>3275.0</v>
      </c>
      <c r="K5644" s="80">
        <v>0.70460413080895</v>
      </c>
      <c r="L5644" s="80" t="s">
        <v>64</v>
      </c>
    </row>
    <row r="5645">
      <c r="A5645" s="80" t="s">
        <v>2800</v>
      </c>
      <c r="B5645" s="81" t="str">
        <f>HYPERLINK("https://www.youtube.com/channel/UCMqrlsr-AECPc6_3oDr8m9w", "Unicorn 獸哥")</f>
        <v>Unicorn 獸哥</v>
      </c>
      <c r="C5645" s="80" t="s">
        <v>6124</v>
      </c>
      <c r="D5645" s="81" t="str">
        <f>HYPERLINK("https://youtube.com/watch?v=QUvkZM2zFjo", "【阻你一分鐘】Xbox game pass可以夾 plan? xbox 的未來大計 CC字幕")</f>
        <v>【阻你一分鐘】Xbox game pass可以夾 plan? xbox 的未來大計 CC字幕</v>
      </c>
      <c r="E5645" s="82">
        <v>44805.0</v>
      </c>
      <c r="F5645" s="80">
        <v>91.0</v>
      </c>
      <c r="G5645" s="80" t="s">
        <v>63</v>
      </c>
      <c r="I5645" s="80" t="s">
        <v>63</v>
      </c>
      <c r="J5645" s="80">
        <v>337.0</v>
      </c>
      <c r="K5645" s="80">
        <v>0.602862254025044</v>
      </c>
      <c r="L5645" s="80" t="s">
        <v>64</v>
      </c>
    </row>
    <row r="5646">
      <c r="A5646" s="80" t="s">
        <v>248</v>
      </c>
      <c r="B5646" s="81" t="str">
        <f>HYPERLINK("https://www.youtube.com/channel/UCUEJok-GiWaGlv5nIPwk-GQ", "Price.com.hk 香港格價網")</f>
        <v>Price.com.hk 香港格價網</v>
      </c>
      <c r="C5646" s="80" t="s">
        <v>6125</v>
      </c>
      <c r="D5646" s="81" t="str">
        <f>HYPERLINK("https://youtube.com/watch?v=zyEC2AqhHhE", "大眾化定價！Jabra Elite 5 首款混合式主動降噪耳機 開箱評測｜ANC｜支援aptX｜多點連接｜特約專題｜用後感｜【price.com.hk產品評測】")</f>
        <v>大眾化定價！Jabra Elite 5 首款混合式主動降噪耳機 開箱評測｜ANC｜支援aptX｜多點連接｜特約專題｜用後感｜【price.com.hk產品評測】</v>
      </c>
      <c r="E5646" s="82">
        <v>44806.0</v>
      </c>
      <c r="F5646" s="80">
        <v>416.0</v>
      </c>
      <c r="G5646" s="80" t="s">
        <v>63</v>
      </c>
      <c r="I5646" s="80" t="s">
        <v>63</v>
      </c>
      <c r="J5646" s="80">
        <v>1308.0</v>
      </c>
      <c r="K5646" s="80">
        <v>0.816479400749063</v>
      </c>
      <c r="L5646" s="80" t="s">
        <v>64</v>
      </c>
    </row>
    <row r="5647">
      <c r="A5647" s="80" t="s">
        <v>2841</v>
      </c>
      <c r="B5647" s="81" t="str">
        <f>HYPERLINK("https://www.youtube.com/channel/UCBYGm7Iz6ck8jeno5AFiriw", "Seafront TV")</f>
        <v>Seafront TV</v>
      </c>
      <c r="C5647" s="80" t="s">
        <v>6126</v>
      </c>
      <c r="D5647" s="81" t="str">
        <f>HYPERLINK("https://youtube.com/watch?v=zB4xCI9Oj9Y", "【💼海外/本地FG搵工攻略⚠️】去海外實習冇人工收仲要貼錢？IT前景大揭秘！｜#見工診療室 Seafront TV 🌊 ft. @HKUST Career Center 〈香港科技大學 就業中心〉")</f>
        <v>【💼海外/本地FG搵工攻略⚠️】去海外實習冇人工收仲要貼錢？IT前景大揭秘！｜#見工診療室 Seafront TV 🌊 ft. @HKUST Career Center 〈香港科技大學 就業中心〉</v>
      </c>
      <c r="E5647" s="82">
        <v>44807.0</v>
      </c>
      <c r="F5647" s="80">
        <v>758.0</v>
      </c>
      <c r="G5647" s="80" t="s">
        <v>63</v>
      </c>
      <c r="I5647" s="80" t="s">
        <v>63</v>
      </c>
      <c r="J5647" s="80">
        <v>2553.0</v>
      </c>
      <c r="K5647" s="80">
        <v>0.735522904062229</v>
      </c>
      <c r="L5647" s="80" t="s">
        <v>102</v>
      </c>
    </row>
    <row r="5648">
      <c r="A5648" s="80" t="s">
        <v>248</v>
      </c>
      <c r="B5648" s="81" t="str">
        <f t="shared" ref="B5648:B5649" si="308">HYPERLINK("https://www.youtube.com/channel/UCUEJok-GiWaGlv5nIPwk-GQ", "Price.com.hk 香港格價網")</f>
        <v>Price.com.hk 香港格價網</v>
      </c>
      <c r="C5648" s="80" t="s">
        <v>6127</v>
      </c>
      <c r="D5648" s="81" t="str">
        <f>HYPERLINK("https://youtube.com/watch?v=kYihAQ7Yi8I", "隨插即用 高階迷你電腦｜ASUS Mini PC PN64｜Intel 12代i7處理器｜廣東話｜特約專題【Price.com.hk產品評測】")</f>
        <v>隨插即用 高階迷你電腦｜ASUS Mini PC PN64｜Intel 12代i7處理器｜廣東話｜特約專題【Price.com.hk產品評測】</v>
      </c>
      <c r="E5648" s="82">
        <v>44803.0</v>
      </c>
      <c r="F5648" s="80">
        <v>303.0</v>
      </c>
      <c r="G5648" s="80" t="s">
        <v>63</v>
      </c>
      <c r="I5648" s="80" t="s">
        <v>63</v>
      </c>
      <c r="J5648" s="80">
        <v>810.0</v>
      </c>
      <c r="K5648" s="80">
        <v>0.647482014388489</v>
      </c>
      <c r="L5648" s="80" t="s">
        <v>64</v>
      </c>
    </row>
    <row r="5649">
      <c r="A5649" s="80" t="s">
        <v>248</v>
      </c>
      <c r="B5649" s="81" t="str">
        <f t="shared" si="308"/>
        <v>Price.com.hk 香港格價網</v>
      </c>
      <c r="C5649" s="80" t="s">
        <v>6128</v>
      </c>
      <c r="D5649" s="81" t="str">
        <f>HYPERLINK("https://youtube.com/watch?v=52lLZTdDq7Q", "ASUS Zenfone 9 輕巧旗艦．Pixel 6a 指紋辨識爆漏洞．香港製造 賽車遊戲《Rev to Vertex》| 廣東話【Price Weekly #125 2022年7月 】")</f>
        <v>ASUS Zenfone 9 輕巧旗艦．Pixel 6a 指紋辨識爆漏洞．香港製造 賽車遊戲《Rev to Vertex》| 廣東話【Price Weekly #125 2022年7月 】</v>
      </c>
      <c r="E5649" s="82">
        <v>44772.0</v>
      </c>
      <c r="F5649" s="80">
        <v>487.0</v>
      </c>
      <c r="G5649" s="80" t="s">
        <v>63</v>
      </c>
      <c r="I5649" s="80" t="s">
        <v>63</v>
      </c>
      <c r="J5649" s="80">
        <v>1843.0</v>
      </c>
      <c r="K5649" s="80">
        <v>0.815486725663716</v>
      </c>
      <c r="L5649" s="80" t="s">
        <v>64</v>
      </c>
    </row>
    <row r="5650">
      <c r="A5650" s="80" t="s">
        <v>74</v>
      </c>
      <c r="B5650" s="81" t="str">
        <f>HYPERLINK("https://www.youtube.com/channel/UCO_5XP-qd-udNxBlzzSzgvw", "Handline Fishing")</f>
        <v>Handline Fishing</v>
      </c>
      <c r="C5650" s="80" t="s">
        <v>6129</v>
      </c>
      <c r="D5650" s="81" t="str">
        <f>HYPERLINK("https://youtube.com/watch?v=ohkuOyGKchg", "#293 還有! 擔干強 | 香港釣魚 | 艇釣 | 青衣外 {粵語旁白}")</f>
        <v>#293 還有! 擔干強 | 香港釣魚 | 艇釣 | 青衣外 {粵語旁白}</v>
      </c>
      <c r="E5650" s="82">
        <v>44788.0</v>
      </c>
      <c r="F5650" s="80">
        <v>192.0</v>
      </c>
      <c r="G5650" s="80" t="s">
        <v>63</v>
      </c>
      <c r="H5650" s="80" t="s">
        <v>63</v>
      </c>
      <c r="I5650" s="80" t="s">
        <v>63</v>
      </c>
      <c r="J5650" s="80">
        <v>235.0</v>
      </c>
      <c r="K5650" s="80">
        <v>0.959183673469387</v>
      </c>
      <c r="L5650" s="80" t="s">
        <v>2175</v>
      </c>
    </row>
    <row r="5651">
      <c r="A5651" s="80" t="s">
        <v>96</v>
      </c>
      <c r="B5651" s="81" t="str">
        <f>HYPERLINK("https://www.youtube.com/channel/UCGtyHJ-L_4RDIHe3XaLofQQ", "Anson Cheung")</f>
        <v>Anson Cheung</v>
      </c>
      <c r="C5651" s="80" t="s">
        <v>6130</v>
      </c>
      <c r="D5651" s="81" t="str">
        <f>HYPERLINK("https://youtube.com/watch?v=sdyo3wN9ooE", "Google Pixel 6a 評測：棋差一着｜Google Pixel 6a Review")</f>
        <v>Google Pixel 6a 評測：棋差一着｜Google Pixel 6a Review</v>
      </c>
      <c r="E5651" s="82">
        <v>44778.0</v>
      </c>
      <c r="F5651" s="80">
        <v>628.0</v>
      </c>
      <c r="G5651" s="80" t="s">
        <v>63</v>
      </c>
      <c r="I5651" s="80" t="s">
        <v>63</v>
      </c>
      <c r="J5651" s="80">
        <v>2300.0</v>
      </c>
      <c r="K5651" s="80">
        <v>0.619612068965517</v>
      </c>
      <c r="L5651" s="80" t="s">
        <v>64</v>
      </c>
    </row>
    <row r="5652">
      <c r="A5652" s="80" t="s">
        <v>2761</v>
      </c>
      <c r="B5652" s="81" t="str">
        <f>HYPERLINK("https://www.youtube.com/channel/UCr_L9cZdbBU_XDsKDHBBlew", "am730")</f>
        <v>am730</v>
      </c>
      <c r="C5652" s="80" t="s">
        <v>6131</v>
      </c>
      <c r="D5652" s="81" t="str">
        <f>HYPERLINK("https://youtube.com/watch?v=q2oZfWuFmfA", "靈異丨香港02：7月14的失物丨小紅帽聲音專欄 #靈異 #都市傳說 #鬼故事 #盂蘭節 #podcast")</f>
        <v>靈異丨香港02：7月14的失物丨小紅帽聲音專欄 #靈異 #都市傳說 #鬼故事 #盂蘭節 #podcast</v>
      </c>
      <c r="E5652" s="82">
        <v>44790.0</v>
      </c>
      <c r="F5652" s="80">
        <v>499.0</v>
      </c>
      <c r="G5652" s="80" t="s">
        <v>63</v>
      </c>
      <c r="I5652" s="80" t="s">
        <v>63</v>
      </c>
      <c r="J5652" s="80">
        <v>1295.0</v>
      </c>
      <c r="K5652" s="80">
        <v>0.993860322333077</v>
      </c>
      <c r="L5652" s="80" t="s">
        <v>91</v>
      </c>
    </row>
    <row r="5653">
      <c r="A5653" s="80" t="s">
        <v>293</v>
      </c>
      <c r="B5653" s="81" t="str">
        <f>HYPERLINK("https://www.youtube.com/channel/UCXRcbXqjORdIvl63I7MtOLQ", "趁熱 Kerry 's kitchen")</f>
        <v>趁熱 Kerry 's kitchen</v>
      </c>
      <c r="C5653" s="80" t="s">
        <v>6132</v>
      </c>
      <c r="D5653" s="81" t="str">
        <f>HYPERLINK("https://youtube.com/watch?v=nJLcN0SvakI", "娘惹菜/叻沙魚/亞參魚/煎魚不黐鑊竅門/在家做都得 低成本/堅惹味/微辣/新手 入門/廣東話/中字")</f>
        <v>娘惹菜/叻沙魚/亞參魚/煎魚不黐鑊竅門/在家做都得 低成本/堅惹味/微辣/新手 入門/廣東話/中字</v>
      </c>
      <c r="E5653" s="82">
        <v>44792.0</v>
      </c>
      <c r="F5653" s="80">
        <v>573.0</v>
      </c>
      <c r="G5653" s="80" t="s">
        <v>63</v>
      </c>
      <c r="I5653" s="80" t="s">
        <v>63</v>
      </c>
      <c r="J5653" s="80">
        <v>1494.0</v>
      </c>
      <c r="K5653" s="80">
        <v>0.968871595330739</v>
      </c>
      <c r="L5653" s="80" t="s">
        <v>64</v>
      </c>
    </row>
    <row r="5654">
      <c r="A5654" s="80" t="s">
        <v>6063</v>
      </c>
      <c r="B5654" s="81" t="str">
        <f>HYPERLINK("https://www.youtube.com/channel/UCFhqo-h29TVyrRFcIIBwr7w", "Realistic records")</f>
        <v>Realistic records</v>
      </c>
      <c r="C5654" s="80" t="s">
        <v>6133</v>
      </c>
      <c r="D5654" s="81" t="str">
        <f>HYPERLINK("https://youtube.com/watch?v=O89vLYF4WvA", "【Turn off the Light】Owen奧雲OCS, BMW [Official MV]")</f>
        <v>【Turn off the Light】Owen奧雲OCS, BMW [Official MV]</v>
      </c>
      <c r="E5654" s="82">
        <v>44378.0</v>
      </c>
      <c r="F5654" s="80">
        <v>159.0</v>
      </c>
      <c r="G5654" s="80" t="s">
        <v>63</v>
      </c>
      <c r="I5654" s="80" t="s">
        <v>63</v>
      </c>
      <c r="J5654" s="80">
        <v>372.0</v>
      </c>
      <c r="K5654" s="80">
        <v>0.330079858030168</v>
      </c>
      <c r="L5654" s="80" t="s">
        <v>64</v>
      </c>
    </row>
    <row r="5655">
      <c r="A5655" s="80" t="s">
        <v>238</v>
      </c>
      <c r="B5655" s="81" t="str">
        <f>HYPERLINK("https://www.youtube.com/channel/UCSBkm4LwpgBmcA3MCtO8vqg", "Post76影音玩樂")</f>
        <v>Post76影音玩樂</v>
      </c>
      <c r="C5655" s="80" t="s">
        <v>6134</v>
      </c>
      <c r="D5655" s="81" t="str">
        <f>HYPERLINK("https://youtube.com/watch?v=72DsCSwQwmI", "【Price網上電腦節-特備節目Day3】激筍產品優惠搶先睇 | 8:00播出 8:30開賣｜小瑟@Post76 x 國仁@feverSound x Karen@Price")</f>
        <v>【Price網上電腦節-特備節目Day3】激筍產品優惠搶先睇 | 8:00播出 8:30開賣｜小瑟@Post76 x 國仁@feverSound x Karen@Price</v>
      </c>
      <c r="E5655" s="82">
        <v>44782.0</v>
      </c>
      <c r="F5655" s="80">
        <v>1041.0</v>
      </c>
      <c r="G5655" s="80" t="s">
        <v>63</v>
      </c>
      <c r="I5655" s="80" t="s">
        <v>63</v>
      </c>
      <c r="J5655" s="80">
        <v>3097.0</v>
      </c>
      <c r="K5655" s="80">
        <v>0.65337552742616</v>
      </c>
      <c r="L5655" s="80" t="s">
        <v>64</v>
      </c>
    </row>
    <row r="5656">
      <c r="A5656" s="80" t="s">
        <v>1492</v>
      </c>
      <c r="B5656" s="81" t="str">
        <f>HYPERLINK("https://www.youtube.com/channel/UCTo1EIcKtkDYqiUqs4v_NlA", "【常公子】頻道TV - 中文中史歷史哲學")</f>
        <v>【常公子】頻道TV - 中文中史歷史哲學</v>
      </c>
      <c r="C5656" s="80" t="s">
        <v>6135</v>
      </c>
      <c r="D5656" s="81" t="str">
        <f>HYPERLINK("https://youtube.com/watch?v=XBwFhHZ5EJo", "【常威近代史】第四百九十七回歷史分水嶺")</f>
        <v>【常威近代史】第四百九十七回歷史分水嶺</v>
      </c>
      <c r="E5656" s="82">
        <v>44807.0</v>
      </c>
      <c r="F5656" s="80">
        <v>698.0</v>
      </c>
      <c r="G5656" s="80" t="s">
        <v>63</v>
      </c>
      <c r="I5656" s="80" t="s">
        <v>63</v>
      </c>
      <c r="J5656" s="80">
        <v>1636.0</v>
      </c>
      <c r="K5656" s="80">
        <v>0.931132612407512</v>
      </c>
      <c r="L5656" s="80" t="s">
        <v>64</v>
      </c>
    </row>
    <row r="5657">
      <c r="A5657" s="80" t="s">
        <v>293</v>
      </c>
      <c r="B5657" s="81" t="str">
        <f>HYPERLINK("https://www.youtube.com/channel/UCXRcbXqjORdIvl63I7MtOLQ", "趁熱 Kerry 's kitchen")</f>
        <v>趁熱 Kerry 's kitchen</v>
      </c>
      <c r="C5657" s="80" t="s">
        <v>6136</v>
      </c>
      <c r="D5657" s="81" t="str">
        <f>HYPERLINK("https://youtube.com/watch?v=mKXrmlDJ1AI", "涼拌烏冬/冰鎮秋葵/唔駛買自制日式芝麻汁/自家做午餐/簡單 家做/廣東話/中字/ごまソース/sesame sauce japan style")</f>
        <v>涼拌烏冬/冰鎮秋葵/唔駛買自制日式芝麻汁/自家做午餐/簡單 家做/廣東話/中字/ごまソース/sesame sauce japan style</v>
      </c>
      <c r="E5657" s="82">
        <v>44774.0</v>
      </c>
      <c r="F5657" s="80">
        <v>524.0</v>
      </c>
      <c r="G5657" s="80" t="s">
        <v>63</v>
      </c>
      <c r="I5657" s="80" t="s">
        <v>63</v>
      </c>
      <c r="J5657" s="80">
        <v>1323.0</v>
      </c>
      <c r="K5657" s="80">
        <v>0.966398831263696</v>
      </c>
      <c r="L5657" s="80" t="s">
        <v>64</v>
      </c>
    </row>
    <row r="5658">
      <c r="A5658" s="80" t="s">
        <v>217</v>
      </c>
      <c r="B5658" s="81" t="str">
        <f>HYPERLINK("https://www.youtube.com/channel/UCXKg0qPRz32bs5Z4mTGF3TQ", "Stormtrooper白兵")</f>
        <v>Stormtrooper白兵</v>
      </c>
      <c r="C5658" s="80" t="s">
        <v>6137</v>
      </c>
      <c r="D5658" s="81" t="str">
        <f>HYPERLINK("https://youtube.com/watch?v=Aup2xPPtahg", "[現代版奴隸]只需1個原因足以令所有人成為人口販賣受害者！｜除了柬埔寨、緬甸、泰國，還有什麼人口販賣熱點？｜什麼原因導致人口販賣出現？｜粵語中字")</f>
        <v>[現代版奴隸]只需1個原因足以令所有人成為人口販賣受害者！｜除了柬埔寨、緬甸、泰國，還有什麼人口販賣熱點？｜什麼原因導致人口販賣出現？｜粵語中字</v>
      </c>
      <c r="E5658" s="82">
        <v>44798.0</v>
      </c>
      <c r="F5658" s="80">
        <v>892.0</v>
      </c>
      <c r="G5658" s="80" t="s">
        <v>63</v>
      </c>
      <c r="I5658" s="80" t="s">
        <v>63</v>
      </c>
      <c r="J5658" s="80">
        <v>3744.0</v>
      </c>
      <c r="K5658" s="80">
        <v>0.954858454475899</v>
      </c>
      <c r="L5658" s="80" t="s">
        <v>64</v>
      </c>
    </row>
    <row r="5659">
      <c r="A5659" s="80" t="s">
        <v>6050</v>
      </c>
      <c r="B5659" s="81" t="str">
        <f>HYPERLINK("https://www.youtube.com/channel/UCYSklZv0Xn8k51xst1ePAzw", "Fely姐姐")</f>
        <v>Fely姐姐</v>
      </c>
      <c r="C5659" s="80" t="s">
        <v>6138</v>
      </c>
      <c r="D5659" s="81" t="str">
        <f>HYPERLINK("https://youtube.com/watch?v=8Q2FbjVEx_8", "Fely姐姐小劇場 [我想睇多啲電視]🤣🤣")</f>
        <v>Fely姐姐小劇場 [我想睇多啲電視]🤣🤣</v>
      </c>
      <c r="E5659" s="82">
        <v>44425.0</v>
      </c>
      <c r="F5659" s="80">
        <v>25.0</v>
      </c>
      <c r="G5659" s="80" t="s">
        <v>63</v>
      </c>
      <c r="I5659" s="80" t="s">
        <v>63</v>
      </c>
      <c r="J5659" s="80">
        <v>50.0</v>
      </c>
      <c r="K5659" s="80">
        <v>0.980392156862745</v>
      </c>
      <c r="L5659" s="80" t="s">
        <v>102</v>
      </c>
    </row>
    <row r="5660">
      <c r="A5660" s="80" t="s">
        <v>1016</v>
      </c>
      <c r="B5660" s="81" t="str">
        <f>HYPERLINK("https://www.youtube.com/channel/UCSbiR1l-cfzk44iTJVSAZVQ", "Rhapsody in Lingo")</f>
        <v>Rhapsody in Lingo</v>
      </c>
      <c r="C5660" s="80" t="s">
        <v>6139</v>
      </c>
      <c r="D5660" s="81" t="str">
        <f>HYPERLINK("https://youtube.com/watch?v=PN9mAIQhSWs", "一日十三語！威爾斯文初嘗試【粵字/en subs】波蘭華沙 Polyglot Gathering，DAY 2 VLOG")</f>
        <v>一日十三語！威爾斯文初嘗試【粵字/en subs】波蘭華沙 Polyglot Gathering，DAY 2 VLOG</v>
      </c>
      <c r="E5660" s="82">
        <v>44782.0</v>
      </c>
      <c r="F5660" s="80">
        <v>390.0</v>
      </c>
      <c r="G5660" s="80" t="s">
        <v>63</v>
      </c>
      <c r="I5660" s="80" t="s">
        <v>63</v>
      </c>
      <c r="J5660" s="80">
        <v>501.0</v>
      </c>
      <c r="K5660" s="80">
        <v>0.290940766550522</v>
      </c>
      <c r="L5660" s="80" t="s">
        <v>5830</v>
      </c>
    </row>
    <row r="5661">
      <c r="A5661" s="80" t="s">
        <v>6052</v>
      </c>
      <c r="B5661" s="81" t="str">
        <f>HYPERLINK("https://www.youtube.com/channel/UCZdOF7o0teJCv7edI3QCiDg", "KZee")</f>
        <v>KZee</v>
      </c>
      <c r="C5661" s="80" t="s">
        <v>6140</v>
      </c>
      <c r="D5661" s="81" t="str">
        <f>HYPERLINK("https://youtube.com/watch?v=NhtaXmz5Kx4", "E.V.A迷召喚 !送20cm朗基努斯槍?!  - 沙嗲王 x Evangelion 主題Cafe (Vlog)")</f>
        <v>E.V.A迷召喚 !送20cm朗基努斯槍?!  - 沙嗲王 x Evangelion 主題Cafe (Vlog)</v>
      </c>
      <c r="E5661" s="82">
        <v>43306.0</v>
      </c>
      <c r="F5661" s="80">
        <v>436.0</v>
      </c>
      <c r="G5661" s="80" t="s">
        <v>63</v>
      </c>
      <c r="I5661" s="80" t="s">
        <v>63</v>
      </c>
      <c r="J5661" s="80">
        <v>1765.0</v>
      </c>
      <c r="K5661" s="80">
        <v>0.916883116883116</v>
      </c>
      <c r="L5661" s="80" t="s">
        <v>64</v>
      </c>
    </row>
    <row r="5662">
      <c r="A5662" s="80" t="s">
        <v>260</v>
      </c>
      <c r="B5662" s="81" t="str">
        <f>HYPERLINK("https://www.youtube.com/channel/UC-HXOikkLx7BGEfILGIpYOg", "港短 . 英移")</f>
        <v>港短 . 英移</v>
      </c>
      <c r="C5662" s="80" t="s">
        <v>6141</v>
      </c>
      <c r="D5662" s="81" t="str">
        <f>HYPERLINK("https://youtube.com/watch?v=-4ZyrfDJwJI", "歷史上的通脹如何消失? | 港短.英移 #全球通脹 #經濟衰退")</f>
        <v>歷史上的通脹如何消失? | 港短.英移 #全球通脹 #經濟衰退</v>
      </c>
      <c r="E5662" s="82">
        <v>44771.0</v>
      </c>
      <c r="F5662" s="80">
        <v>491.0</v>
      </c>
      <c r="G5662" s="80" t="s">
        <v>63</v>
      </c>
      <c r="I5662" s="80" t="s">
        <v>63</v>
      </c>
      <c r="J5662" s="80">
        <v>2176.0</v>
      </c>
      <c r="K5662" s="80">
        <v>0.961130742049469</v>
      </c>
      <c r="L5662" s="80" t="s">
        <v>102</v>
      </c>
    </row>
    <row r="5663">
      <c r="A5663" s="80" t="s">
        <v>6142</v>
      </c>
      <c r="B5663" s="81" t="str">
        <f>HYPERLINK("https://www.youtube.com/channel/UC4LyPYXnF07KF97Nb8vE_Pg", "MC 張天賦")</f>
        <v>MC 張天賦</v>
      </c>
      <c r="C5663" s="80" t="s">
        <v>6143</v>
      </c>
      <c r="D5663" s="81" t="str">
        <f>HYPERLINK("https://youtube.com/watch?v=CEZ3mvrTnSY", "MC 張天賦 X 洪嘉豪 Hung Kaho - 二損一 Why Not Both (Official Music Video)")</f>
        <v>MC 張天賦 X 洪嘉豪 Hung Kaho - 二損一 Why Not Both (Official Music Video)</v>
      </c>
      <c r="E5663" s="82">
        <v>44804.0</v>
      </c>
      <c r="F5663" s="80">
        <v>224.0</v>
      </c>
      <c r="G5663" s="80" t="s">
        <v>63</v>
      </c>
      <c r="I5663" s="80" t="s">
        <v>63</v>
      </c>
      <c r="J5663" s="80">
        <v>431.0</v>
      </c>
      <c r="K5663" s="80">
        <v>0.493699885452462</v>
      </c>
      <c r="L5663" s="80" t="s">
        <v>64</v>
      </c>
    </row>
    <row r="5664">
      <c r="A5664" s="80" t="s">
        <v>217</v>
      </c>
      <c r="B5664" s="81" t="str">
        <f>HYPERLINK("https://www.youtube.com/channel/UCXKg0qPRz32bs5Z4mTGF3TQ", "Stormtrooper白兵")</f>
        <v>Stormtrooper白兵</v>
      </c>
      <c r="C5664" s="80" t="s">
        <v>6144</v>
      </c>
      <c r="D5664" s="81" t="str">
        <f>HYPERLINK("https://youtube.com/watch?v=KrCLUngBwhA", "[80路愛人]對華強硬！出訪台灣係因為…？｜父親曾被甘迺迪點名調查？｜兒子又係烏克蘭能源公司高層？｜粵語中字")</f>
        <v>[80路愛人]對華強硬！出訪台灣係因為…？｜父親曾被甘迺迪點名調查？｜兒子又係烏克蘭能源公司高層？｜粵語中字</v>
      </c>
      <c r="E5664" s="82">
        <v>44784.0</v>
      </c>
      <c r="F5664" s="80">
        <v>869.0</v>
      </c>
      <c r="G5664" s="80" t="s">
        <v>63</v>
      </c>
      <c r="I5664" s="80" t="s">
        <v>63</v>
      </c>
      <c r="J5664" s="80">
        <v>3351.0</v>
      </c>
      <c r="K5664" s="80">
        <v>0.885103011093502</v>
      </c>
      <c r="L5664" s="80" t="s">
        <v>64</v>
      </c>
    </row>
    <row r="5665">
      <c r="A5665" s="80" t="s">
        <v>6052</v>
      </c>
      <c r="B5665" s="81" t="str">
        <f>HYPERLINK("https://www.youtube.com/channel/UCZdOF7o0teJCv7edI3QCiDg", "KZee")</f>
        <v>KZee</v>
      </c>
      <c r="C5665" s="80" t="s">
        <v>6145</v>
      </c>
      <c r="D5665" s="81" t="str">
        <f>HYPERLINK("https://youtube.com/watch?v=xp4rtSO8014", "一抽中~! 不要懷疑只要信!【超獸神祭 - 潘朵拉】怪物彈珠　(Kz Phone)")</f>
        <v>一抽中~! 不要懷疑只要信!【超獸神祭 - 潘朵拉】怪物彈珠　(Kz Phone)</v>
      </c>
      <c r="E5665" s="82">
        <v>42825.0</v>
      </c>
      <c r="F5665" s="80">
        <v>688.0</v>
      </c>
      <c r="G5665" s="80" t="s">
        <v>63</v>
      </c>
      <c r="I5665" s="80" t="s">
        <v>63</v>
      </c>
      <c r="J5665" s="80">
        <v>2115.0</v>
      </c>
      <c r="K5665" s="80">
        <v>0.635516826923076</v>
      </c>
      <c r="L5665" s="80" t="s">
        <v>64</v>
      </c>
    </row>
    <row r="5666">
      <c r="A5666" s="80" t="s">
        <v>217</v>
      </c>
      <c r="B5666" s="81" t="str">
        <f>HYPERLINK("https://www.youtube.com/channel/UCXKg0qPRz32bs5Z4mTGF3TQ", "Stormtrooper白兵")</f>
        <v>Stormtrooper白兵</v>
      </c>
      <c r="C5666" s="80" t="s">
        <v>6146</v>
      </c>
      <c r="D5666" s="81" t="str">
        <f>HYPERLINK("https://youtube.com/watch?v=39adKfq7ZUA", "[粵語中字]10分鐘速食柬埔寨悲慘歷史｜3年時間由傲視東南亞的文明古國變成人間煉獄，原因係……？｜")</f>
        <v>[粵語中字]10分鐘速食柬埔寨悲慘歷史｜3年時間由傲視東南亞的文明古國變成人間煉獄，原因係……？｜</v>
      </c>
      <c r="E5666" s="82">
        <v>44805.0</v>
      </c>
      <c r="F5666" s="80">
        <v>982.0</v>
      </c>
      <c r="G5666" s="80" t="s">
        <v>63</v>
      </c>
      <c r="I5666" s="80" t="s">
        <v>63</v>
      </c>
      <c r="J5666" s="80">
        <v>3394.0</v>
      </c>
      <c r="K5666" s="80">
        <v>0.985768225384838</v>
      </c>
      <c r="L5666" s="80" t="s">
        <v>64</v>
      </c>
    </row>
    <row r="5667">
      <c r="A5667" s="80" t="s">
        <v>124</v>
      </c>
      <c r="B5667" s="81" t="str">
        <f>HYPERLINK("https://www.youtube.com/channel/UCg0vuSE0fBF_NvodyYhMcWg", "Wallace Studio HK")</f>
        <v>Wallace Studio HK</v>
      </c>
      <c r="C5667" s="80" t="s">
        <v>6147</v>
      </c>
      <c r="D5667" s="81" t="str">
        <f>HYPERLINK("https://youtube.com/watch?v=PBYkr4JxXew", "2022 手提電腦選購指南!  (MOSS 大學生手提電腦選購/ 輕薄手提電腦選購指南）")</f>
        <v>2022 手提電腦選購指南!  (MOSS 大學生手提電腦選購/ 輕薄手提電腦選購指南）</v>
      </c>
      <c r="E5667" s="82">
        <v>44803.0</v>
      </c>
      <c r="F5667" s="80">
        <v>987.0</v>
      </c>
      <c r="G5667" s="80" t="s">
        <v>63</v>
      </c>
      <c r="H5667" s="80" t="s">
        <v>63</v>
      </c>
      <c r="I5667" s="80" t="s">
        <v>63</v>
      </c>
      <c r="J5667" s="80">
        <v>3425.0</v>
      </c>
      <c r="K5667" s="80">
        <v>0.723795435333896</v>
      </c>
      <c r="L5667" s="80" t="s">
        <v>86</v>
      </c>
    </row>
    <row r="5668">
      <c r="A5668" s="80" t="s">
        <v>217</v>
      </c>
      <c r="B5668" s="81" t="str">
        <f>HYPERLINK("https://www.youtube.com/channel/UCXKg0qPRz32bs5Z4mTGF3TQ", "Stormtrooper白兵")</f>
        <v>Stormtrooper白兵</v>
      </c>
      <c r="C5668" s="80" t="s">
        <v>6148</v>
      </c>
      <c r="D5668" s="81" t="str">
        <f>HYPERLINK("https://youtube.com/watch?v=5dkIhMxMTcU", "[懶人包]柬埔寨成為詐騙集團中心因為…？｜緬甸「KK園區」業主是中國富商！？｜台灣人被騙因為…？｜粵語中字")</f>
        <v>[懶人包]柬埔寨成為詐騙集團中心因為…？｜緬甸「KK園區」業主是中國富商！？｜台灣人被騙因為…？｜粵語中字</v>
      </c>
      <c r="E5668" s="82">
        <v>44791.0</v>
      </c>
      <c r="F5668" s="80">
        <v>993.0</v>
      </c>
      <c r="G5668" s="80" t="s">
        <v>63</v>
      </c>
      <c r="I5668" s="80" t="s">
        <v>63</v>
      </c>
      <c r="J5668" s="80">
        <v>3941.0</v>
      </c>
      <c r="K5668" s="80">
        <v>0.966642138827569</v>
      </c>
      <c r="L5668" s="80" t="s">
        <v>64</v>
      </c>
    </row>
    <row r="5669">
      <c r="A5669" s="80" t="s">
        <v>74</v>
      </c>
      <c r="B5669" s="81" t="str">
        <f>HYPERLINK("https://www.youtube.com/channel/UCO_5XP-qd-udNxBlzzSzgvw", "Handline Fishing")</f>
        <v>Handline Fishing</v>
      </c>
      <c r="C5669" s="80" t="s">
        <v>6149</v>
      </c>
      <c r="D5669" s="81" t="str">
        <f>HYPERLINK("https://youtube.com/watch?v=tzW9LI9m958", "#291 私影緊係要揀係長洲外! | 香港釣魚 | 艇釣 | 長洲外 {粵語旁白}")</f>
        <v>#291 私影緊係要揀係長洲外! | 香港釣魚 | 艇釣 | 長洲外 {粵語旁白}</v>
      </c>
      <c r="E5669" s="82">
        <v>44779.0</v>
      </c>
      <c r="F5669" s="80">
        <v>482.0</v>
      </c>
      <c r="G5669" s="80" t="s">
        <v>63</v>
      </c>
      <c r="H5669" s="80" t="s">
        <v>63</v>
      </c>
      <c r="I5669" s="80" t="s">
        <v>63</v>
      </c>
      <c r="J5669" s="80">
        <v>412.0</v>
      </c>
      <c r="K5669" s="80">
        <v>0.96037296037296</v>
      </c>
      <c r="L5669" s="80" t="s">
        <v>2175</v>
      </c>
    </row>
    <row r="5670">
      <c r="A5670" s="80" t="s">
        <v>6063</v>
      </c>
      <c r="B5670" s="81" t="str">
        <f>HYPERLINK("https://www.youtube.com/channel/UCFhqo-h29TVyrRFcIIBwr7w", "Realistic records")</f>
        <v>Realistic records</v>
      </c>
      <c r="C5670" s="80" t="s">
        <v>6150</v>
      </c>
      <c r="D5670" s="81" t="str">
        <f>HYPERLINK("https://youtube.com/watch?v=ouV1G9QoSJU", "BMW DRAG.C - 光影 (Music Video)")</f>
        <v>BMW DRAG.C - 光影 (Music Video)</v>
      </c>
      <c r="E5670" s="82">
        <v>43491.0</v>
      </c>
      <c r="F5670" s="80">
        <v>225.0</v>
      </c>
      <c r="G5670" s="80" t="s">
        <v>63</v>
      </c>
      <c r="I5670" s="80" t="s">
        <v>63</v>
      </c>
      <c r="J5670" s="80">
        <v>651.0</v>
      </c>
      <c r="K5670" s="80">
        <v>0.899171270718232</v>
      </c>
      <c r="L5670" s="80" t="s">
        <v>64</v>
      </c>
    </row>
    <row r="5671">
      <c r="A5671" s="80" t="s">
        <v>2825</v>
      </c>
      <c r="B5671" s="81" t="str">
        <f>HYPERLINK("https://www.youtube.com/channel/UCP7XhYDgUbvjvaHxIhjTd_g", "Maviskuku 雞蛋妹")</f>
        <v>Maviskuku 雞蛋妹</v>
      </c>
      <c r="C5671" s="80" t="s">
        <v>6151</v>
      </c>
      <c r="D5671" s="81" t="str">
        <f>HYPERLINK("https://youtube.com/watch?v=TUH3ppazMwQ", "【Price網上電腦節】消費券點用好？激筍產品優惠搶先睇 | x Anson @Anson Cheung    x Pinky @Price.com.hk 香港格價網")</f>
        <v>【Price網上電腦節】消費券點用好？激筍產品優惠搶先睇 | x Anson @Anson Cheung    x Pinky @Price.com.hk 香港格價網</v>
      </c>
      <c r="E5671" s="82">
        <v>44781.0</v>
      </c>
      <c r="F5671" s="80">
        <v>1359.0</v>
      </c>
      <c r="G5671" s="80" t="s">
        <v>63</v>
      </c>
      <c r="I5671" s="80" t="s">
        <v>63</v>
      </c>
      <c r="J5671" s="80">
        <v>3284.0</v>
      </c>
      <c r="K5671" s="80">
        <v>0.708522114347357</v>
      </c>
      <c r="L5671" s="80" t="s">
        <v>91</v>
      </c>
    </row>
    <row r="5672">
      <c r="A5672" s="80" t="s">
        <v>593</v>
      </c>
      <c r="B5672" s="81" t="str">
        <f>HYPERLINK("https://www.youtube.com/channel/UCsSO44XVYhs_fQU2zDR82CA", "餓底男女")</f>
        <v>餓底男女</v>
      </c>
      <c r="C5672" s="80" t="s">
        <v>6152</v>
      </c>
      <c r="D5672" s="81" t="str">
        <f>HYPERLINK("https://youtube.com/watch?v=kRccDmRT124", "[小伏🚁] 可能係今年最靚嘅😍夢幻萬花筒café🌌 #café關注組 | 餓遊･香港 #92 [4K]")</f>
        <v>[小伏🚁] 可能係今年最靚嘅😍夢幻萬花筒café🌌 #café關注組 | 餓遊･香港 #92 [4K]</v>
      </c>
      <c r="E5672" s="82">
        <v>44792.0</v>
      </c>
      <c r="F5672" s="80">
        <v>407.0</v>
      </c>
      <c r="G5672" s="80" t="s">
        <v>63</v>
      </c>
      <c r="I5672" s="80" t="s">
        <v>63</v>
      </c>
      <c r="J5672" s="80">
        <v>1254.0</v>
      </c>
      <c r="K5672" s="80">
        <v>0.962394474290099</v>
      </c>
      <c r="L5672" s="80" t="s">
        <v>102</v>
      </c>
    </row>
    <row r="5673">
      <c r="A5673" s="80" t="s">
        <v>2800</v>
      </c>
      <c r="B5673" s="81" t="str">
        <f>HYPERLINK("https://www.youtube.com/channel/UCMqrlsr-AECPc6_3oDr8m9w", "Unicorn 獸哥")</f>
        <v>Unicorn 獸哥</v>
      </c>
      <c r="C5673" s="80" t="s">
        <v>6153</v>
      </c>
      <c r="D5673" s="81" t="str">
        <f>HYPERLINK("https://youtube.com/watch?v=gS4ij8iXs4I", "【戲評】戰爭裡的小人物小故事 機動戰士高達 庫克羅斯·德安之島 CC字幕")</f>
        <v>【戲評】戰爭裡的小人物小故事 機動戰士高達 庫克羅斯·德安之島 CC字幕</v>
      </c>
      <c r="E5673" s="82">
        <v>44803.0</v>
      </c>
      <c r="F5673" s="80">
        <v>395.0</v>
      </c>
      <c r="G5673" s="80" t="s">
        <v>63</v>
      </c>
      <c r="I5673" s="80" t="s">
        <v>63</v>
      </c>
      <c r="J5673" s="80">
        <v>1910.0</v>
      </c>
      <c r="K5673" s="80">
        <v>0.949304174950298</v>
      </c>
      <c r="L5673" s="80" t="s">
        <v>64</v>
      </c>
    </row>
    <row r="5674">
      <c r="A5674" s="80" t="s">
        <v>248</v>
      </c>
      <c r="B5674" s="81" t="str">
        <f>HYPERLINK("https://www.youtube.com/channel/UCUEJok-GiWaGlv5nIPwk-GQ", "Price.com.hk 香港格價網")</f>
        <v>Price.com.hk 香港格價網</v>
      </c>
      <c r="C5674" s="80" t="s">
        <v>6154</v>
      </c>
      <c r="D5674" s="81" t="str">
        <f>HYPERLINK("https://youtube.com/watch?v=5crXGusDRD0", "【Price網上電腦節-特備節目Day4】激筍產品優惠搶先睇 | 8:00播出 8:30開賣｜Van仔@ValorGears x Winky@GadgetGang HK x 艾域@feverSound")</f>
        <v>【Price網上電腦節-特備節目Day4】激筍產品優惠搶先睇 | 8:00播出 8:30開賣｜Van仔@ValorGears x Winky@GadgetGang HK x 艾域@feverSound</v>
      </c>
      <c r="E5674" s="82">
        <v>44783.0</v>
      </c>
      <c r="F5674" s="80">
        <v>1189.0</v>
      </c>
      <c r="G5674" s="80" t="s">
        <v>63</v>
      </c>
      <c r="I5674" s="80" t="s">
        <v>63</v>
      </c>
      <c r="J5674" s="80">
        <v>3117.0</v>
      </c>
      <c r="K5674" s="80">
        <v>0.634439242825157</v>
      </c>
      <c r="L5674" s="80" t="s">
        <v>64</v>
      </c>
    </row>
    <row r="5675">
      <c r="A5675" s="80" t="s">
        <v>74</v>
      </c>
      <c r="B5675" s="81" t="str">
        <f>HYPERLINK("https://www.youtube.com/channel/UCO_5XP-qd-udNxBlzzSzgvw", "Handline Fishing")</f>
        <v>Handline Fishing</v>
      </c>
      <c r="C5675" s="80" t="s">
        <v>6155</v>
      </c>
      <c r="D5675" s="81" t="str">
        <f>HYPERLINK("https://youtube.com/watch?v=lL9M0c9AB_Q", "#292 要出動2個業餘漁民來分魚! | 香港釣魚 | 艇釣 | 東水大頭艇 {粵語旁白}")</f>
        <v>#292 要出動2個業餘漁民來分魚! | 香港釣魚 | 艇釣 | 東水大頭艇 {粵語旁白}</v>
      </c>
      <c r="E5675" s="82">
        <v>44782.0</v>
      </c>
      <c r="F5675" s="80">
        <v>491.0</v>
      </c>
      <c r="G5675" s="80" t="s">
        <v>63</v>
      </c>
      <c r="H5675" s="80" t="s">
        <v>63</v>
      </c>
      <c r="I5675" s="80" t="s">
        <v>63</v>
      </c>
      <c r="J5675" s="80">
        <v>430.0</v>
      </c>
      <c r="K5675" s="80">
        <v>0.953436807095343</v>
      </c>
      <c r="L5675" s="80" t="s">
        <v>2175</v>
      </c>
    </row>
    <row r="5676">
      <c r="A5676" s="80" t="s">
        <v>6040</v>
      </c>
      <c r="B5676" s="81" t="str">
        <f>HYPERLINK("https://www.youtube.com/channel/UCOaPA9dplBmTRdkugUnn17g", "光頭幫 TomFatKi")</f>
        <v>光頭幫 TomFatKi</v>
      </c>
      <c r="C5676" s="80" t="s">
        <v>6156</v>
      </c>
      <c r="D5676" s="81" t="str">
        <f>HYPERLINK("https://youtube.com/watch?v=S1E4_8CQ1WE", "《MV》光頭幫TomFatKi  - 接龍【 Tsuen Wan Kui Music Video 荃灣區官方完整版 】")</f>
        <v>《MV》光頭幫TomFatKi  - 接龍【 Tsuen Wan Kui Music Video 荃灣區官方完整版 】</v>
      </c>
      <c r="E5676" s="82">
        <v>44442.0</v>
      </c>
      <c r="F5676" s="80">
        <v>112.0</v>
      </c>
      <c r="G5676" s="80" t="s">
        <v>63</v>
      </c>
      <c r="I5676" s="80" t="s">
        <v>63</v>
      </c>
      <c r="J5676" s="80">
        <v>283.0</v>
      </c>
      <c r="K5676" s="80">
        <v>0.756684491978609</v>
      </c>
      <c r="L5676" s="80" t="s">
        <v>64</v>
      </c>
    </row>
    <row r="5677">
      <c r="A5677" s="80" t="s">
        <v>6054</v>
      </c>
      <c r="B5677" s="81" t="str">
        <f>HYPERLINK("https://www.youtube.com/channel/UCZc-RwRZUYVuwu3A9pVBISg", "ToNick")</f>
        <v>ToNick</v>
      </c>
      <c r="C5677" s="80" t="s">
        <v>6157</v>
      </c>
      <c r="D5677" s="81" t="str">
        <f>HYPERLINK("https://youtube.com/watch?v=e0x0n64Be80", "ToNick - 舐嘢 [Official MV from ""HERE and NOW ToNick Live 2021""]")</f>
        <v>ToNick - 舐嘢 [Official MV from "HERE and NOW ToNick Live 2021"]</v>
      </c>
      <c r="E5677" s="82">
        <v>44714.0</v>
      </c>
      <c r="F5677" s="80">
        <v>197.0</v>
      </c>
      <c r="G5677" s="80" t="s">
        <v>63</v>
      </c>
      <c r="I5677" s="80" t="s">
        <v>63</v>
      </c>
      <c r="J5677" s="80">
        <v>276.0</v>
      </c>
      <c r="K5677" s="80">
        <v>0.828828828828828</v>
      </c>
      <c r="L5677" s="80" t="s">
        <v>64</v>
      </c>
    </row>
    <row r="5678">
      <c r="A5678" s="80" t="s">
        <v>248</v>
      </c>
      <c r="B5678" s="81" t="str">
        <f>HYPERLINK("https://www.youtube.com/channel/UCUEJok-GiWaGlv5nIPwk-GQ", "Price.com.hk 香港格價網")</f>
        <v>Price.com.hk 香港格價網</v>
      </c>
      <c r="C5678" s="80" t="s">
        <v>6158</v>
      </c>
      <c r="D5678" s="81" t="str">
        <f>HYPERLINK("https://youtube.com/watch?v=gYdSzFrVGsA", "ASUS獲獎旗艦級極速Router｜ASUS ZenWiFi Pro ET12｜廣東話｜特約專題【Price.com.hk產品評測】")</f>
        <v>ASUS獲獎旗艦級極速Router｜ASUS ZenWiFi Pro ET12｜廣東話｜特約專題【Price.com.hk產品評測】</v>
      </c>
      <c r="E5678" s="82">
        <v>44771.0</v>
      </c>
      <c r="F5678" s="80">
        <v>502.0</v>
      </c>
      <c r="G5678" s="80" t="s">
        <v>63</v>
      </c>
      <c r="I5678" s="80" t="s">
        <v>63</v>
      </c>
      <c r="J5678" s="80">
        <v>1760.0</v>
      </c>
      <c r="K5678" s="80">
        <v>0.756663800515907</v>
      </c>
      <c r="L5678" s="80" t="s">
        <v>64</v>
      </c>
    </row>
    <row r="5679">
      <c r="A5679" s="80" t="s">
        <v>96</v>
      </c>
      <c r="B5679" s="81" t="str">
        <f>HYPERLINK("https://www.youtube.com/channel/UCGtyHJ-L_4RDIHe3XaLofQQ", "Anson Cheung")</f>
        <v>Anson Cheung</v>
      </c>
      <c r="C5679" s="80" t="s">
        <v>6159</v>
      </c>
      <c r="D5679" s="81" t="str">
        <f>HYPERLINK("https://youtube.com/watch?v=jWjs9nxDHDo", "Rakuten Kobo Clara 2E：如果你中意睇書，你需要一部eReader！｜四大電子閱讀器的好處 vs 實體書 vs 平板電腦｜E-ink 電子墨水技術解釋")</f>
        <v>Rakuten Kobo Clara 2E：如果你中意睇書，你需要一部eReader！｜四大電子閱讀器的好處 vs 實體書 vs 平板電腦｜E-ink 電子墨水技術解釋</v>
      </c>
      <c r="E5679" s="82">
        <v>44805.0</v>
      </c>
      <c r="F5679" s="80">
        <v>485.0</v>
      </c>
      <c r="G5679" s="80" t="s">
        <v>63</v>
      </c>
      <c r="I5679" s="80" t="s">
        <v>63</v>
      </c>
      <c r="J5679" s="80">
        <v>1851.0</v>
      </c>
      <c r="K5679" s="80">
        <v>0.665827338129496</v>
      </c>
      <c r="L5679" s="80" t="s">
        <v>64</v>
      </c>
    </row>
    <row r="5680">
      <c r="A5680" s="80" t="s">
        <v>3008</v>
      </c>
      <c r="B5680" s="81" t="str">
        <f>HYPERLINK("https://www.youtube.com/channel/UC_kQIuKI5cZjV3OZsSuaj_Q", "Kofgym")</f>
        <v>Kofgym</v>
      </c>
      <c r="C5680" s="80" t="s">
        <v>6160</v>
      </c>
      <c r="D5680" s="81" t="str">
        <f>HYPERLINK("https://youtube.com/watch?v=_oARu_eF37s", "EP90-想練大個膊唔好再做啞鈴飛膊!!")</f>
        <v>EP90-想練大個膊唔好再做啞鈴飛膊!!</v>
      </c>
      <c r="E5680" s="82">
        <v>44783.0</v>
      </c>
      <c r="F5680" s="80">
        <v>272.0</v>
      </c>
      <c r="G5680" s="80" t="s">
        <v>63</v>
      </c>
      <c r="I5680" s="80" t="s">
        <v>63</v>
      </c>
      <c r="J5680" s="80">
        <v>915.0</v>
      </c>
      <c r="K5680" s="80">
        <v>0.962145110410094</v>
      </c>
      <c r="L5680" s="80" t="s">
        <v>64</v>
      </c>
    </row>
    <row r="5681">
      <c r="A5681" s="80" t="s">
        <v>6054</v>
      </c>
      <c r="B5681" s="81" t="str">
        <f>HYPERLINK("https://www.youtube.com/channel/UCZc-RwRZUYVuwu3A9pVBISg", "ToNick")</f>
        <v>ToNick</v>
      </c>
      <c r="C5681" s="80" t="s">
        <v>6161</v>
      </c>
      <c r="D5681" s="81" t="str">
        <f>HYPERLINK("https://youtube.com/watch?v=gCQGZ_ydZao", "MC $oHo &amp; KidNey x MC SH @ ToNick - 跌嘢唔好搵 [Official MV from ""HERE and NOW ToNick Live 2021""]")</f>
        <v>MC $oHo &amp; KidNey x MC SH @ ToNick - 跌嘢唔好搵 [Official MV from "HERE and NOW ToNick Live 2021"]</v>
      </c>
      <c r="E5681" s="82">
        <v>44463.0</v>
      </c>
      <c r="F5681" s="80">
        <v>232.0</v>
      </c>
      <c r="G5681" s="80" t="s">
        <v>63</v>
      </c>
      <c r="I5681" s="80" t="s">
        <v>63</v>
      </c>
      <c r="J5681" s="80">
        <v>559.0</v>
      </c>
      <c r="K5681" s="80">
        <v>0.830609212481426</v>
      </c>
      <c r="L5681" s="80" t="s">
        <v>64</v>
      </c>
    </row>
    <row r="5682">
      <c r="A5682" s="80" t="s">
        <v>6050</v>
      </c>
      <c r="B5682" s="81" t="str">
        <f>HYPERLINK("https://www.youtube.com/channel/UCYSklZv0Xn8k51xst1ePAzw", "Fely姐姐")</f>
        <v>Fely姐姐</v>
      </c>
      <c r="C5682" s="80" t="s">
        <v>6162</v>
      </c>
      <c r="D5682" s="81" t="str">
        <f>HYPERLINK("https://youtube.com/watch?v=IJCYl0Hlvc0", "[年糕去海邊] 彥彥說故事  | 廣東話粵語故事 | 睡前故事 | 兒童故事")</f>
        <v>[年糕去海邊] 彥彥說故事  | 廣東話粵語故事 | 睡前故事 | 兒童故事</v>
      </c>
      <c r="E5682" s="82">
        <v>43910.0</v>
      </c>
      <c r="F5682" s="80">
        <v>175.0</v>
      </c>
      <c r="G5682" s="80" t="s">
        <v>63</v>
      </c>
      <c r="I5682" s="80" t="s">
        <v>63</v>
      </c>
      <c r="J5682" s="80">
        <v>261.0</v>
      </c>
      <c r="K5682" s="80">
        <v>0.864238410596026</v>
      </c>
      <c r="L5682" s="80" t="s">
        <v>102</v>
      </c>
    </row>
    <row r="5683">
      <c r="A5683" s="80" t="s">
        <v>248</v>
      </c>
      <c r="B5683" s="81" t="str">
        <f>HYPERLINK("https://www.youtube.com/channel/UCUEJok-GiWaGlv5nIPwk-GQ", "Price.com.hk 香港格價網")</f>
        <v>Price.com.hk 香港格價網</v>
      </c>
      <c r="C5683" s="80" t="s">
        <v>6163</v>
      </c>
      <c r="D5683" s="81" t="str">
        <f>HYPERLINK("https://youtube.com/watch?v=NNoDdrjNrN8", "沙灘/派對藍牙喇叭必選！Sony SRS-XG300、XE300 防水便攜式喇叭評測｜同場介紹家居必備360空間音效無線喇叭 SRS-RA5000｜特約專題｜廣東話【Price.com.hk產品評測】")</f>
        <v>沙灘/派對藍牙喇叭必選！Sony SRS-XG300、XE300 防水便攜式喇叭評測｜同場介紹家居必備360空間音效無線喇叭 SRS-RA5000｜特約專題｜廣東話【Price.com.hk產品評測】</v>
      </c>
      <c r="E5683" s="82">
        <v>44804.0</v>
      </c>
      <c r="F5683" s="80">
        <v>702.0</v>
      </c>
      <c r="G5683" s="80" t="s">
        <v>63</v>
      </c>
      <c r="I5683" s="80" t="s">
        <v>63</v>
      </c>
      <c r="J5683" s="80">
        <v>2410.0</v>
      </c>
      <c r="K5683" s="80">
        <v>0.826474622770919</v>
      </c>
      <c r="L5683" s="80" t="s">
        <v>64</v>
      </c>
    </row>
    <row r="5684">
      <c r="A5684" s="80" t="s">
        <v>5301</v>
      </c>
      <c r="B5684" s="81" t="str">
        <f>HYPERLINK("https://www.youtube.com/channel/UCTH_IecfGTuKdew5dTb_D6A", "BOYS' CHOIR")</f>
        <v>BOYS' CHOIR</v>
      </c>
      <c r="C5684" s="80" t="s">
        <v>6164</v>
      </c>
      <c r="D5684" s="81" t="str">
        <f>HYPERLINK("https://youtube.com/watch?v=KOYBdqVHswU", "Yung Raise - On My Way feat. N.O.L.Y (Official Video)")</f>
        <v>Yung Raise - On My Way feat. N.O.L.Y (Official Video)</v>
      </c>
      <c r="E5684" s="82">
        <v>44779.0</v>
      </c>
      <c r="F5684" s="80">
        <v>124.0</v>
      </c>
      <c r="G5684" s="80" t="s">
        <v>63</v>
      </c>
      <c r="I5684" s="80" t="s">
        <v>63</v>
      </c>
      <c r="J5684" s="80">
        <v>90.0</v>
      </c>
      <c r="K5684" s="80">
        <v>0.0691244239631336</v>
      </c>
      <c r="L5684" s="80" t="s">
        <v>64</v>
      </c>
    </row>
    <row r="5685">
      <c r="A5685" s="80" t="s">
        <v>74</v>
      </c>
      <c r="B5685" s="81" t="str">
        <f>HYPERLINK("https://www.youtube.com/channel/UCO_5XP-qd-udNxBlzzSzgvw", "Handline Fishing")</f>
        <v>Handline Fishing</v>
      </c>
      <c r="C5685" s="80" t="s">
        <v>6165</v>
      </c>
      <c r="D5685" s="81" t="str">
        <f>HYPERLINK("https://youtube.com/watch?v=bFCCTJitFb0", "#290 絲到用時方恨幼! | 基哥 | 香港釣魚 | 艇釣 | 維港 {粵語旁白}")</f>
        <v>#290 絲到用時方恨幼! | 基哥 | 香港釣魚 | 艇釣 | 維港 {粵語旁白}</v>
      </c>
      <c r="E5685" s="82">
        <v>44776.0</v>
      </c>
      <c r="F5685" s="80">
        <v>542.0</v>
      </c>
      <c r="G5685" s="80" t="s">
        <v>63</v>
      </c>
      <c r="H5685" s="80" t="s">
        <v>63</v>
      </c>
      <c r="I5685" s="80" t="s">
        <v>63</v>
      </c>
      <c r="J5685" s="80">
        <v>448.0</v>
      </c>
      <c r="K5685" s="80">
        <v>0.971800433839479</v>
      </c>
      <c r="L5685" s="80" t="s">
        <v>2175</v>
      </c>
    </row>
    <row r="5686">
      <c r="A5686" s="80" t="s">
        <v>124</v>
      </c>
      <c r="B5686" s="81" t="str">
        <f>HYPERLINK("https://www.youtube.com/channel/UCg0vuSE0fBF_NvodyYhMcWg", "Wallace Studio HK")</f>
        <v>Wallace Studio HK</v>
      </c>
      <c r="C5686" s="80" t="s">
        <v>6166</v>
      </c>
      <c r="D5686" s="81" t="str">
        <f>HYPERLINK("https://youtube.com/watch?v=DvAMB9nrnD4", "平野冇好野？ MSI KATANA GF66 入門電競筆電")</f>
        <v>平野冇好野？ MSI KATANA GF66 入門電競筆電</v>
      </c>
      <c r="E5686" s="82">
        <v>44773.0</v>
      </c>
      <c r="F5686" s="80">
        <v>537.0</v>
      </c>
      <c r="G5686" s="80" t="s">
        <v>63</v>
      </c>
      <c r="H5686" s="80" t="s">
        <v>63</v>
      </c>
      <c r="I5686" s="80" t="s">
        <v>63</v>
      </c>
      <c r="J5686" s="80">
        <v>1897.0</v>
      </c>
      <c r="K5686" s="80">
        <v>0.831288343558282</v>
      </c>
      <c r="L5686" s="80" t="s">
        <v>86</v>
      </c>
    </row>
    <row r="5687">
      <c r="A5687" s="80" t="s">
        <v>293</v>
      </c>
      <c r="B5687" s="81" t="str">
        <f>HYPERLINK("https://www.youtube.com/channel/UCXRcbXqjORdIvl63I7MtOLQ", "趁熱 Kerry 's kitchen")</f>
        <v>趁熱 Kerry 's kitchen</v>
      </c>
      <c r="C5687" s="80" t="s">
        <v>6167</v>
      </c>
      <c r="D5687" s="81" t="str">
        <f>HYPERLINK("https://youtube.com/watch?v=ia1n9i28eeM", "薑蔥蒜子煀脆肉鯇魚/超惹味有咬口/少骨啖啖肉/簡單 家做/廣東話/中字")</f>
        <v>薑蔥蒜子煀脆肉鯇魚/超惹味有咬口/少骨啖啖肉/簡單 家做/廣東話/中字</v>
      </c>
      <c r="E5687" s="82">
        <v>44783.0</v>
      </c>
      <c r="F5687" s="80">
        <v>541.0</v>
      </c>
      <c r="G5687" s="80" t="s">
        <v>63</v>
      </c>
      <c r="I5687" s="80" t="s">
        <v>63</v>
      </c>
      <c r="J5687" s="80">
        <v>1351.0</v>
      </c>
      <c r="K5687" s="80">
        <v>0.976861894432393</v>
      </c>
      <c r="L5687" s="80" t="s">
        <v>64</v>
      </c>
    </row>
    <row r="5688">
      <c r="A5688" s="80" t="s">
        <v>755</v>
      </c>
      <c r="B5688" s="81" t="str">
        <f>HYPERLINK("https://www.youtube.com/channel/UCBiJDTc82IM68KVH873VeAw", "Live in Kwangsi廣西人·情·味")</f>
        <v>Live in Kwangsi廣西人·情·味</v>
      </c>
      <c r="C5688" s="80" t="s">
        <v>6168</v>
      </c>
      <c r="D5688" s="81" t="str">
        <f>HYPERLINK("https://youtube.com/watch?v=hGmue2oIOPQ", "北海市紫霞灣掠影｜廣西美景 20220709")</f>
        <v>北海市紫霞灣掠影｜廣西美景 20220709</v>
      </c>
      <c r="E5688" s="82">
        <v>44773.0</v>
      </c>
      <c r="F5688" s="80">
        <v>147.0</v>
      </c>
      <c r="G5688" s="80" t="s">
        <v>63</v>
      </c>
      <c r="I5688" s="80" t="s">
        <v>63</v>
      </c>
      <c r="J5688" s="80">
        <v>31.0</v>
      </c>
      <c r="K5688" s="80">
        <v>1.0</v>
      </c>
      <c r="L5688" s="80" t="s">
        <v>757</v>
      </c>
    </row>
    <row r="5689">
      <c r="A5689" s="80" t="s">
        <v>6169</v>
      </c>
      <c r="B5689" s="81" t="str">
        <f>HYPERLINK("https://www.youtube.com/channel/UC8UAj9wPCBdyd709kD0eEFQ", "P3NTATON1C MUSIC")</f>
        <v>P3NTATON1C MUSIC</v>
      </c>
      <c r="C5689" s="80" t="s">
        <v>6170</v>
      </c>
      <c r="D5689" s="81" t="str">
        <f>HYPERLINK("https://youtube.com/watch?v=1ZD8a3czDlY", "Z  X  ANGO -直至黎明 UNTIL DAWN")</f>
        <v>Z  X  ANGO -直至黎明 UNTIL DAWN</v>
      </c>
      <c r="E5689" s="82">
        <v>43651.0</v>
      </c>
      <c r="F5689" s="80">
        <v>165.0</v>
      </c>
      <c r="G5689" s="80" t="s">
        <v>63</v>
      </c>
      <c r="I5689" s="80" t="s">
        <v>63</v>
      </c>
      <c r="J5689" s="80">
        <v>154.0</v>
      </c>
      <c r="K5689" s="80">
        <v>0.175398633257403</v>
      </c>
      <c r="L5689" s="80" t="s">
        <v>64</v>
      </c>
    </row>
    <row r="5690">
      <c r="A5690" s="80" t="s">
        <v>6171</v>
      </c>
      <c r="B5690" s="81" t="str">
        <f>HYPERLINK("https://www.youtube.com/channel/UCmlrWKze2oHrrvyqZnyfq-g", "Cedric社職仔")</f>
        <v>Cedric社職仔</v>
      </c>
      <c r="C5690" s="80" t="s">
        <v>6172</v>
      </c>
      <c r="D5690" s="81" t="str">
        <f>HYPERLINK("https://youtube.com/watch?v=fcUCXwMs5uw", "五個聖誕節會做的事")</f>
        <v>五個聖誕節會做的事</v>
      </c>
      <c r="E5690" s="82">
        <v>43824.0</v>
      </c>
      <c r="F5690" s="80">
        <v>198.0</v>
      </c>
      <c r="G5690" s="80" t="s">
        <v>63</v>
      </c>
      <c r="I5690" s="80" t="s">
        <v>63</v>
      </c>
      <c r="J5690" s="80">
        <v>118.0</v>
      </c>
      <c r="K5690" s="80">
        <v>0.702380952380952</v>
      </c>
      <c r="L5690" s="80" t="s">
        <v>64</v>
      </c>
    </row>
    <row r="5691">
      <c r="A5691" s="80" t="s">
        <v>755</v>
      </c>
      <c r="B5691" s="81" t="str">
        <f t="shared" ref="B5691:B5692" si="309">HYPERLINK("https://www.youtube.com/channel/UCBiJDTc82IM68KVH873VeAw", "Live in Kwangsi廣西人·情·味")</f>
        <v>Live in Kwangsi廣西人·情·味</v>
      </c>
      <c r="C5691" s="80" t="s">
        <v>6173</v>
      </c>
      <c r="D5691" s="81" t="str">
        <f>HYPERLINK("https://youtube.com/watch?v=xUSOtGmeokU", "今年第一次去梧州白雲山腳飲冰泉豆漿 20220808")</f>
        <v>今年第一次去梧州白雲山腳飲冰泉豆漿 20220808</v>
      </c>
      <c r="E5691" s="82">
        <v>44781.0</v>
      </c>
      <c r="F5691" s="80">
        <v>121.0</v>
      </c>
      <c r="G5691" s="80" t="s">
        <v>63</v>
      </c>
      <c r="I5691" s="80" t="s">
        <v>63</v>
      </c>
      <c r="J5691" s="80">
        <v>161.0</v>
      </c>
      <c r="K5691" s="80">
        <v>0.993827160493827</v>
      </c>
      <c r="L5691" s="80" t="s">
        <v>757</v>
      </c>
    </row>
    <row r="5692">
      <c r="A5692" s="80" t="s">
        <v>755</v>
      </c>
      <c r="B5692" s="81" t="str">
        <f t="shared" si="309"/>
        <v>Live in Kwangsi廣西人·情·味</v>
      </c>
      <c r="C5692" s="80" t="s">
        <v>6174</v>
      </c>
      <c r="D5692" s="81" t="str">
        <f>HYPERLINK("https://youtube.com/watch?v=tbFvGa8YKf0", "廣西賀州開山鎮→湖南江華大墟鎮🛵鄉村一日遊")</f>
        <v>廣西賀州開山鎮→湖南江華大墟鎮🛵鄉村一日遊</v>
      </c>
      <c r="E5692" s="82">
        <v>44777.0</v>
      </c>
      <c r="F5692" s="80">
        <v>535.0</v>
      </c>
      <c r="G5692" s="80" t="s">
        <v>63</v>
      </c>
      <c r="I5692" s="80" t="s">
        <v>63</v>
      </c>
      <c r="J5692" s="80">
        <v>78.0</v>
      </c>
      <c r="K5692" s="80">
        <v>0.987341772151898</v>
      </c>
      <c r="L5692" s="80" t="s">
        <v>757</v>
      </c>
    </row>
    <row r="5693">
      <c r="A5693" s="80" t="s">
        <v>6052</v>
      </c>
      <c r="B5693" s="81" t="str">
        <f>HYPERLINK("https://www.youtube.com/channel/UCZdOF7o0teJCv7edI3QCiDg", "KZee")</f>
        <v>KZee</v>
      </c>
      <c r="C5693" s="80" t="s">
        <v>6175</v>
      </c>
      <c r="D5693" s="81" t="str">
        <f>HYPERLINK("https://youtube.com/watch?v=hEfCWbBo424", "夏天 為大地帶來美女『 HIT : 英雄之戰』(Kz Phone)")</f>
        <v>夏天 為大地帶來美女『 HIT : 英雄之戰』(Kz Phone)</v>
      </c>
      <c r="E5693" s="82">
        <v>42612.0</v>
      </c>
      <c r="F5693" s="80">
        <v>681.0</v>
      </c>
      <c r="G5693" s="80" t="s">
        <v>63</v>
      </c>
      <c r="I5693" s="80" t="s">
        <v>63</v>
      </c>
      <c r="J5693" s="80">
        <v>1008.0</v>
      </c>
      <c r="K5693" s="80">
        <v>0.938547486033519</v>
      </c>
      <c r="L5693" s="80" t="s">
        <v>64</v>
      </c>
    </row>
    <row r="5694">
      <c r="A5694" s="80" t="s">
        <v>293</v>
      </c>
      <c r="B5694" s="81" t="str">
        <f>HYPERLINK("https://www.youtube.com/channel/UCXRcbXqjORdIvl63I7MtOLQ", "趁熱 Kerry 's kitchen")</f>
        <v>趁熱 Kerry 's kitchen</v>
      </c>
      <c r="C5694" s="80" t="s">
        <v>6176</v>
      </c>
      <c r="D5694" s="81" t="str">
        <f>HYPERLINK("https://youtube.com/watch?v=4s45FxmhJo8", "紅咖哩鴨/出去食麻煩,不如自己在家做/ 辣度自己調 其實很簡單/新手都做到/冇明火都得/廣東話 /中字")</f>
        <v>紅咖哩鴨/出去食麻煩,不如自己在家做/ 辣度自己調 其實很簡單/新手都做到/冇明火都得/廣東話 /中字</v>
      </c>
      <c r="E5694" s="82">
        <v>44802.0</v>
      </c>
      <c r="F5694" s="80">
        <v>540.0</v>
      </c>
      <c r="G5694" s="80" t="s">
        <v>63</v>
      </c>
      <c r="I5694" s="80" t="s">
        <v>63</v>
      </c>
      <c r="J5694" s="80">
        <v>1416.0</v>
      </c>
      <c r="K5694" s="80">
        <v>0.973865199449793</v>
      </c>
      <c r="L5694" s="80" t="s">
        <v>64</v>
      </c>
    </row>
    <row r="5695">
      <c r="A5695" s="80" t="s">
        <v>267</v>
      </c>
      <c r="B5695" s="81" t="str">
        <f>HYPERLINK("https://www.youtube.com/channel/UCcrhFT95jH5XqVVPyBhRbrA", "JFFT")</f>
        <v>JFFT</v>
      </c>
      <c r="C5695" s="80" t="s">
        <v>6177</v>
      </c>
      <c r="D5695" s="81" t="str">
        <f>HYPERLINK("https://youtube.com/watch?v=kuEm7seKxts", "[泰國集訓]第二回 - 接近死亡《出海。暴曬。暗湧》")</f>
        <v>[泰國集訓]第二回 - 接近死亡《出海。暴曬。暗湧》</v>
      </c>
      <c r="E5695" s="82">
        <v>44806.0</v>
      </c>
      <c r="F5695" s="80">
        <v>848.0</v>
      </c>
      <c r="G5695" s="80" t="s">
        <v>63</v>
      </c>
      <c r="I5695" s="80" t="s">
        <v>63</v>
      </c>
      <c r="J5695" s="80">
        <v>1652.0</v>
      </c>
      <c r="K5695" s="80">
        <v>0.896851248642779</v>
      </c>
      <c r="L5695" s="80" t="s">
        <v>64</v>
      </c>
    </row>
    <row r="5696">
      <c r="A5696" s="80" t="s">
        <v>6063</v>
      </c>
      <c r="B5696" s="81" t="str">
        <f>HYPERLINK("https://www.youtube.com/channel/UCFhqo-h29TVyrRFcIIBwr7w", "Realistic records")</f>
        <v>Realistic records</v>
      </c>
      <c r="C5696" s="80" t="s">
        <v>6178</v>
      </c>
      <c r="D5696" s="81" t="str">
        <f>HYPERLINK("https://youtube.com/watch?v=8zf5dDkX6bI", "Drag.C - 女人真係好撚煩")</f>
        <v>Drag.C - 女人真係好撚煩</v>
      </c>
      <c r="E5696" s="82">
        <v>44527.0</v>
      </c>
      <c r="F5696" s="80">
        <v>194.0</v>
      </c>
      <c r="G5696" s="80" t="s">
        <v>63</v>
      </c>
      <c r="I5696" s="80" t="s">
        <v>63</v>
      </c>
      <c r="J5696" s="80">
        <v>638.0</v>
      </c>
      <c r="K5696" s="80">
        <v>0.778998778998779</v>
      </c>
      <c r="L5696" s="80" t="s">
        <v>64</v>
      </c>
    </row>
    <row r="5697">
      <c r="A5697" s="80" t="s">
        <v>242</v>
      </c>
      <c r="B5697" s="81" t="str">
        <f>HYPERLINK("https://www.youtube.com/channel/UCZGVB6g74LXWtkR3fX50ykg", "Edwin H.")</f>
        <v>Edwin H.</v>
      </c>
      <c r="C5697" s="80" t="s">
        <v>6179</v>
      </c>
      <c r="D5697" s="81" t="str">
        <f>HYPERLINK("https://youtube.com/watch?v=LBSSsC16U5c", "Samsung Galaxy Fold 4 Flip 4 發佈會 誠實豆沙包版 🥧 | 懶人包 中文 🟡")</f>
        <v>Samsung Galaxy Fold 4 Flip 4 發佈會 誠實豆沙包版 🥧 | 懶人包 中文 🟡</v>
      </c>
      <c r="E5697" s="82">
        <v>44785.0</v>
      </c>
      <c r="F5697" s="80">
        <v>747.0</v>
      </c>
      <c r="G5697" s="80" t="s">
        <v>63</v>
      </c>
      <c r="I5697" s="80" t="s">
        <v>63</v>
      </c>
      <c r="J5697" s="80">
        <v>2260.0</v>
      </c>
      <c r="K5697" s="80">
        <v>0.765064319566689</v>
      </c>
      <c r="L5697" s="80" t="s">
        <v>64</v>
      </c>
    </row>
    <row r="5698">
      <c r="A5698" s="80" t="s">
        <v>274</v>
      </c>
      <c r="B5698" s="81" t="str">
        <f>HYPERLINK("https://www.youtube.com/channel/UC2oB9QCXs-RKtaKChrz4dKg", "MtzCherry")</f>
        <v>MtzCherry</v>
      </c>
      <c r="C5698" s="80" t="s">
        <v>6180</v>
      </c>
      <c r="D5698" s="81" t="str">
        <f>HYPERLINK("https://youtube.com/watch?v=q3JwJ7VKTtk", "[EN/CANTO Sub] Hidden Gems in Kwun Tong Industrial Buildings || TRAVEL in HONG KONG || 去觀塘工廈發掘一下小店")</f>
        <v>[EN/CANTO Sub] Hidden Gems in Kwun Tong Industrial Buildings || TRAVEL in HONG KONG || 去觀塘工廈發掘一下小店</v>
      </c>
      <c r="E5698" s="82">
        <v>44772.0</v>
      </c>
      <c r="F5698" s="80">
        <v>287.0</v>
      </c>
      <c r="G5698" s="80" t="s">
        <v>63</v>
      </c>
      <c r="I5698" s="80" t="s">
        <v>63</v>
      </c>
      <c r="J5698" s="80">
        <v>853.0</v>
      </c>
      <c r="K5698" s="80">
        <v>0.842053307008884</v>
      </c>
      <c r="L5698" s="80" t="s">
        <v>1429</v>
      </c>
    </row>
    <row r="5699">
      <c r="A5699" s="80" t="s">
        <v>6052</v>
      </c>
      <c r="B5699" s="81" t="str">
        <f>HYPERLINK("https://www.youtube.com/channel/UCZdOF7o0teJCv7edI3QCiDg", "KZee")</f>
        <v>KZee</v>
      </c>
      <c r="C5699" s="80" t="s">
        <v>6181</v>
      </c>
      <c r="D5699" s="81" t="str">
        <f>HYPERLINK("https://youtube.com/watch?v=BF6QHtLppWo", "1000円抽到咩????   - 日本東京2017#1 (Vlog)")</f>
        <v>1000円抽到咩????   - 日本東京2017#1 (Vlog)</v>
      </c>
      <c r="E5699" s="82">
        <v>42971.0</v>
      </c>
      <c r="F5699" s="80">
        <v>477.0</v>
      </c>
      <c r="G5699" s="80" t="s">
        <v>63</v>
      </c>
      <c r="I5699" s="80" t="s">
        <v>63</v>
      </c>
      <c r="J5699" s="80">
        <v>1777.0</v>
      </c>
      <c r="K5699" s="80">
        <v>0.878398418190805</v>
      </c>
      <c r="L5699" s="80" t="s">
        <v>64</v>
      </c>
    </row>
    <row r="5700">
      <c r="A5700" s="80" t="s">
        <v>2766</v>
      </c>
      <c r="B5700" s="81" t="str">
        <f>HYPERLINK("https://www.youtube.com/channel/UCrZG5sGryxwgSDQSlHgmZTw", "GadgetGang HK")</f>
        <v>GadgetGang HK</v>
      </c>
      <c r="C5700" s="80" t="s">
        <v>6182</v>
      </c>
      <c r="D5700" s="81" t="str">
        <f>HYPERLINK("https://youtube.com/watch?v=U2P3WJtXPHE", "消費券2022 購物攻略〡 搵埋 @Price.com.hk 香港格價網  兩位女神 Pinky Karen 搶先睇【Price網上電腦節-特備節目Day1】激筍產品優惠  |")</f>
        <v>消費券2022 購物攻略〡 搵埋 @Price.com.hk 香港格價網  兩位女神 Pinky Karen 搶先睇【Price網上電腦節-特備節目Day1】激筍產品優惠  |</v>
      </c>
      <c r="E5700" s="82">
        <v>44780.0</v>
      </c>
      <c r="F5700" s="80">
        <v>1257.0</v>
      </c>
      <c r="G5700" s="80" t="s">
        <v>63</v>
      </c>
      <c r="I5700" s="80" t="s">
        <v>63</v>
      </c>
      <c r="J5700" s="80">
        <v>3108.0</v>
      </c>
      <c r="K5700" s="80">
        <v>0.668818592640413</v>
      </c>
      <c r="L5700" s="80" t="s">
        <v>64</v>
      </c>
    </row>
    <row r="5701">
      <c r="A5701" s="80" t="s">
        <v>274</v>
      </c>
      <c r="B5701" s="81" t="str">
        <f>HYPERLINK("https://www.youtube.com/channel/UC2oB9QCXs-RKtaKChrz4dKg", "MtzCherry")</f>
        <v>MtzCherry</v>
      </c>
      <c r="C5701" s="80" t="s">
        <v>6183</v>
      </c>
      <c r="D5701" s="81" t="str">
        <f>HYPERLINK("https://youtube.com/watch?v=g4fCgRcf_BY", "Exploring the Animation-Comic-Game (ACG) Fest | Capsule Toy | Crayon Shinchan | Spy Family | Cosplay")</f>
        <v>Exploring the Animation-Comic-Game (ACG) Fest | Capsule Toy | Crayon Shinchan | Spy Family | Cosplay</v>
      </c>
      <c r="E5701" s="82">
        <v>44780.0</v>
      </c>
      <c r="F5701" s="80">
        <v>241.0</v>
      </c>
      <c r="G5701" s="80" t="s">
        <v>63</v>
      </c>
      <c r="I5701" s="80" t="s">
        <v>63</v>
      </c>
      <c r="J5701" s="80">
        <v>577.0</v>
      </c>
      <c r="K5701" s="80">
        <v>0.74740932642487</v>
      </c>
      <c r="L5701" s="80" t="s">
        <v>439</v>
      </c>
    </row>
    <row r="5702">
      <c r="A5702" s="80" t="s">
        <v>98</v>
      </c>
      <c r="B5702" s="81" t="str">
        <f>HYPERLINK("https://www.youtube.com/channel/UCrquuQB6v1Ued2xyRKZreGQ", "Stephen Leung ")</f>
        <v>Stephen Leung </v>
      </c>
      <c r="C5702" s="80" t="s">
        <v>6184</v>
      </c>
      <c r="D5702" s="81" t="str">
        <f>HYPERLINK("https://youtube.com/watch?v=X6mdzBplk3U", "【放題速報】激戰 5小時燒肉放題💥 $158/位 小童$138 壽司, 超過30款燒烤食品, 熟食, 甜品, 啤酒汽水任飲任食 漢和韓國料理 Hong Kong Food Tour | 吃喝玩樂")</f>
        <v>【放題速報】激戰 5小時燒肉放題💥 $158/位 小童$138 壽司, 超過30款燒烤食品, 熟食, 甜品, 啤酒汽水任飲任食 漢和韓國料理 Hong Kong Food Tour | 吃喝玩樂</v>
      </c>
      <c r="E5702" s="82">
        <v>44793.0</v>
      </c>
      <c r="F5702" s="80">
        <v>558.0</v>
      </c>
      <c r="G5702" s="80" t="s">
        <v>63</v>
      </c>
      <c r="I5702" s="80" t="s">
        <v>63</v>
      </c>
      <c r="J5702" s="80">
        <v>1794.0</v>
      </c>
      <c r="K5702" s="80">
        <v>0.979257641921397</v>
      </c>
      <c r="L5702" s="80" t="s">
        <v>64</v>
      </c>
    </row>
    <row r="5703">
      <c r="A5703" s="80" t="s">
        <v>74</v>
      </c>
      <c r="B5703" s="81" t="str">
        <f>HYPERLINK("https://www.youtube.com/channel/UCO_5XP-qd-udNxBlzzSzgvw", "Handline Fishing")</f>
        <v>Handline Fishing</v>
      </c>
      <c r="C5703" s="80" t="s">
        <v>6185</v>
      </c>
      <c r="D5703" s="81" t="str">
        <f>HYPERLINK("https://youtube.com/watch?v=A_uSWTKYLOM", "#294 今日去踩Roy 主場 有意想不到的驚喜 | 香港釣魚 | 艇釣 | 汀九四匹仔 {粵語旁白}")</f>
        <v>#294 今日去踩Roy 主場 有意想不到的驚喜 | 香港釣魚 | 艇釣 | 汀九四匹仔 {粵語旁白}</v>
      </c>
      <c r="E5703" s="82">
        <v>44792.0</v>
      </c>
      <c r="F5703" s="80">
        <v>637.0</v>
      </c>
      <c r="G5703" s="80" t="s">
        <v>63</v>
      </c>
      <c r="H5703" s="80" t="s">
        <v>63</v>
      </c>
      <c r="I5703" s="80" t="s">
        <v>63</v>
      </c>
      <c r="J5703" s="80">
        <v>357.0</v>
      </c>
      <c r="K5703" s="80">
        <v>0.939473684210526</v>
      </c>
      <c r="L5703" s="80" t="s">
        <v>2175</v>
      </c>
    </row>
    <row r="5704">
      <c r="A5704" s="80" t="s">
        <v>6052</v>
      </c>
      <c r="B5704" s="81" t="str">
        <f t="shared" ref="B5704:B5705" si="310">HYPERLINK("https://www.youtube.com/channel/UCZdOF7o0teJCv7edI3QCiDg", "KZee")</f>
        <v>KZee</v>
      </c>
      <c r="C5704" s="80" t="s">
        <v>6186</v>
      </c>
      <c r="D5704" s="81" t="str">
        <f>HYPERLINK("https://youtube.com/watch?v=QJT6ZZFdCk4", "我要殺晒阻我訓覺既人~~ w/麻布『Party Hard #1』")</f>
        <v>我要殺晒阻我訓覺既人~~ w/麻布『Party Hard #1』</v>
      </c>
      <c r="E5704" s="82">
        <v>42920.0</v>
      </c>
      <c r="F5704" s="80">
        <v>988.0</v>
      </c>
      <c r="G5704" s="80" t="s">
        <v>63</v>
      </c>
      <c r="I5704" s="80" t="s">
        <v>63</v>
      </c>
      <c r="J5704" s="80">
        <v>4535.0</v>
      </c>
      <c r="K5704" s="80">
        <v>0.824695399163484</v>
      </c>
      <c r="L5704" s="80" t="s">
        <v>64</v>
      </c>
    </row>
    <row r="5705">
      <c r="A5705" s="80" t="s">
        <v>6052</v>
      </c>
      <c r="B5705" s="81" t="str">
        <f t="shared" si="310"/>
        <v>KZee</v>
      </c>
      <c r="C5705" s="80" t="s">
        <v>6187</v>
      </c>
      <c r="D5705" s="81" t="str">
        <f>HYPERLINK("https://youtube.com/watch?v=WYAKDvsGdC8", "比D甜頭你 唔等於你好運左.... w/麻布『 怪物彈珠 - 戰國風雲繪卷 -第三卷-』(Kz Phone)")</f>
        <v>比D甜頭你 唔等於你好運左.... w/麻布『 怪物彈珠 - 戰國風雲繪卷 -第三卷-』(Kz Phone)</v>
      </c>
      <c r="E5705" s="82">
        <v>42778.0</v>
      </c>
      <c r="F5705" s="80">
        <v>499.0</v>
      </c>
      <c r="G5705" s="80" t="s">
        <v>63</v>
      </c>
      <c r="I5705" s="80" t="s">
        <v>63</v>
      </c>
      <c r="J5705" s="80">
        <v>1748.0</v>
      </c>
      <c r="K5705" s="80">
        <v>0.960967564595931</v>
      </c>
      <c r="L5705" s="80" t="s">
        <v>64</v>
      </c>
    </row>
    <row r="5706">
      <c r="A5706" s="80" t="s">
        <v>260</v>
      </c>
      <c r="B5706" s="81" t="str">
        <f>HYPERLINK("https://www.youtube.com/channel/UC-HXOikkLx7BGEfILGIpYOg", "港短 . 英移")</f>
        <v>港短 . 英移</v>
      </c>
      <c r="C5706" s="80" t="s">
        <v>6188</v>
      </c>
      <c r="D5706" s="81" t="str">
        <f>HYPERLINK("https://youtube.com/watch?v=6_ib4QXW5rs", "你是其中3%嗎? | 英國天氣和自己一樣糟糕的""原因""... | 港短.英移")</f>
        <v>你是其中3%嗎? | 英國天氣和自己一樣糟糕的"原因"... | 港短.英移</v>
      </c>
      <c r="E5706" s="82">
        <v>44785.0</v>
      </c>
      <c r="F5706" s="80">
        <v>370.0</v>
      </c>
      <c r="G5706" s="80" t="s">
        <v>63</v>
      </c>
      <c r="I5706" s="80" t="s">
        <v>63</v>
      </c>
      <c r="J5706" s="80">
        <v>1627.0</v>
      </c>
      <c r="K5706" s="80">
        <v>0.949241540256709</v>
      </c>
      <c r="L5706" s="80" t="s">
        <v>102</v>
      </c>
    </row>
    <row r="5707">
      <c r="A5707" s="80" t="s">
        <v>140</v>
      </c>
      <c r="B5707" s="81" t="str">
        <f>HYPERLINK("https://www.youtube.com/channel/UCHK0CZf9HEXs42qIO1GUouA", "TechiCardia")</f>
        <v>TechiCardia</v>
      </c>
      <c r="C5707" s="80" t="s">
        <v>6189</v>
      </c>
      <c r="D5707" s="81" t="str">
        <f>HYPERLINK("https://youtube.com/watch?v=3BWFeA_Zk34", "LOGI 全新 MX系列鍵盤滑鼠｜唯一需要看的深入評測介紹 | MX MASTER 3S、MX MECHANICAL/ MINI ｜開箱｜評測 //4K 【TechiCaridia】［CC廣東話字幕］")</f>
        <v>LOGI 全新 MX系列鍵盤滑鼠｜唯一需要看的深入評測介紹 | MX MASTER 3S、MX MECHANICAL/ MINI ｜開箱｜評測 //4K 【TechiCaridia】［CC廣東話字幕］</v>
      </c>
      <c r="E5707" s="82">
        <v>44780.0</v>
      </c>
      <c r="F5707" s="80">
        <v>1243.0</v>
      </c>
      <c r="G5707" s="80" t="s">
        <v>63</v>
      </c>
      <c r="I5707" s="80" t="s">
        <v>63</v>
      </c>
      <c r="J5707" s="80">
        <v>3930.0</v>
      </c>
      <c r="K5707" s="80">
        <v>0.715325809974517</v>
      </c>
      <c r="L5707" s="80" t="s">
        <v>102</v>
      </c>
    </row>
    <row r="5708">
      <c r="A5708" s="80" t="s">
        <v>6040</v>
      </c>
      <c r="B5708" s="81" t="str">
        <f>HYPERLINK("https://www.youtube.com/channel/UCOaPA9dplBmTRdkugUnn17g", "光頭幫 TomFatKi")</f>
        <v>光頭幫 TomFatKi</v>
      </c>
      <c r="C5708" s="80" t="s">
        <v>6190</v>
      </c>
      <c r="D5708" s="81" t="str">
        <f>HYPERLINK("https://youtube.com/watch?v=hTEf5YzIH5w", "《膠遊》今集係最黑仔既一集｜輕鬆遊｜香港｜Vlog⑥")</f>
        <v>《膠遊》今集係最黑仔既一集｜輕鬆遊｜香港｜Vlog⑥</v>
      </c>
      <c r="E5708" s="82">
        <v>43058.0</v>
      </c>
      <c r="F5708" s="80">
        <v>546.0</v>
      </c>
      <c r="G5708" s="80" t="s">
        <v>63</v>
      </c>
      <c r="I5708" s="80" t="s">
        <v>63</v>
      </c>
      <c r="J5708" s="80">
        <v>1831.0</v>
      </c>
      <c r="K5708" s="80">
        <v>0.881559942224362</v>
      </c>
      <c r="L5708" s="80" t="s">
        <v>64</v>
      </c>
    </row>
    <row r="5709">
      <c r="A5709" s="80" t="s">
        <v>6054</v>
      </c>
      <c r="B5709" s="81" t="str">
        <f>HYPERLINK("https://www.youtube.com/channel/UCZc-RwRZUYVuwu3A9pVBISg", "ToNick")</f>
        <v>ToNick</v>
      </c>
      <c r="C5709" s="80" t="s">
        <v>6191</v>
      </c>
      <c r="D5709" s="81" t="str">
        <f>HYPERLINK("https://youtube.com/watch?v=Nvmp1-mUH1U", "ToNick - 一口氣 [Official MV from ""HERE and NOW ToNick Live 2021""]")</f>
        <v>ToNick - 一口氣 [Official MV from "HERE and NOW ToNick Live 2021"]</v>
      </c>
      <c r="E5709" s="82">
        <v>44609.0</v>
      </c>
      <c r="F5709" s="80">
        <v>283.0</v>
      </c>
      <c r="G5709" s="80" t="s">
        <v>63</v>
      </c>
      <c r="I5709" s="80" t="s">
        <v>63</v>
      </c>
      <c r="J5709" s="80">
        <v>435.0</v>
      </c>
      <c r="K5709" s="80">
        <v>0.927505330490405</v>
      </c>
      <c r="L5709" s="80" t="s">
        <v>64</v>
      </c>
    </row>
    <row r="5710">
      <c r="A5710" s="80" t="s">
        <v>6169</v>
      </c>
      <c r="B5710" s="81" t="str">
        <f>HYPERLINK("https://www.youtube.com/channel/UC8UAj9wPCBdyd709kD0eEFQ", "P3NTATON1C MUSIC")</f>
        <v>P3NTATON1C MUSIC</v>
      </c>
      <c r="C5710" s="80" t="s">
        <v>6192</v>
      </c>
      <c r="D5710" s="81" t="str">
        <f>HYPERLINK("https://youtube.com/watch?v=ofB2qoLS5Jg", "GAIA - Gone Too Far")</f>
        <v>GAIA - Gone Too Far</v>
      </c>
      <c r="E5710" s="82">
        <v>44730.0</v>
      </c>
      <c r="F5710" s="80">
        <v>217.0</v>
      </c>
      <c r="G5710" s="80" t="s">
        <v>63</v>
      </c>
      <c r="I5710" s="80" t="s">
        <v>63</v>
      </c>
      <c r="J5710" s="80">
        <v>99.0</v>
      </c>
      <c r="K5710" s="80">
        <v>0.103882476390346</v>
      </c>
      <c r="L5710" s="80" t="s">
        <v>64</v>
      </c>
    </row>
    <row r="5711">
      <c r="A5711" s="80" t="s">
        <v>293</v>
      </c>
      <c r="B5711" s="81" t="str">
        <f>HYPERLINK("https://www.youtube.com/channel/UCXRcbXqjORdIvl63I7MtOLQ", "趁熱 Kerry 's kitchen")</f>
        <v>趁熱 Kerry 's kitchen</v>
      </c>
      <c r="C5711" s="80" t="s">
        <v>6193</v>
      </c>
      <c r="D5711" s="81" t="str">
        <f>HYPERLINK("https://youtube.com/watch?v=gX8sa3uRLpM", "去骨酸甜雞翼/超簡單較剪去骨方法/一樣滑/朋友來食飯不失禮/好餸飯廣東話/中字")</f>
        <v>去骨酸甜雞翼/超簡單較剪去骨方法/一樣滑/朋友來食飯不失禮/好餸飯廣東話/中字</v>
      </c>
      <c r="E5711" s="82">
        <v>44781.0</v>
      </c>
      <c r="F5711" s="80">
        <v>595.0</v>
      </c>
      <c r="G5711" s="80" t="s">
        <v>63</v>
      </c>
      <c r="I5711" s="80" t="s">
        <v>63</v>
      </c>
      <c r="J5711" s="80">
        <v>1542.0</v>
      </c>
      <c r="K5711" s="80">
        <v>0.967377666248431</v>
      </c>
      <c r="L5711" s="80" t="s">
        <v>64</v>
      </c>
    </row>
    <row r="5712">
      <c r="A5712" s="80" t="s">
        <v>6169</v>
      </c>
      <c r="B5712" s="81" t="str">
        <f>HYPERLINK("https://www.youtube.com/channel/UC8UAj9wPCBdyd709kD0eEFQ", "P3NTATON1C MUSIC")</f>
        <v>P3NTATON1C MUSIC</v>
      </c>
      <c r="C5712" s="80" t="s">
        <v>6194</v>
      </c>
      <c r="D5712" s="81" t="str">
        <f>HYPERLINK("https://youtube.com/watch?v=Gv6e54g8Hps", "Z - I am always wrong")</f>
        <v>Z - I am always wrong</v>
      </c>
      <c r="E5712" s="82">
        <v>44592.0</v>
      </c>
      <c r="F5712" s="80">
        <v>152.0</v>
      </c>
      <c r="G5712" s="80" t="s">
        <v>63</v>
      </c>
      <c r="I5712" s="80" t="s">
        <v>63</v>
      </c>
      <c r="J5712" s="80">
        <v>158.0</v>
      </c>
      <c r="K5712" s="80">
        <v>0.217032967032967</v>
      </c>
      <c r="L5712" s="80" t="s">
        <v>64</v>
      </c>
    </row>
    <row r="5713">
      <c r="A5713" s="80" t="s">
        <v>248</v>
      </c>
      <c r="B5713" s="81" t="str">
        <f>HYPERLINK("https://www.youtube.com/channel/UCUEJok-GiWaGlv5nIPwk-GQ", "Price.com.hk 香港格價網")</f>
        <v>Price.com.hk 香港格價網</v>
      </c>
      <c r="C5713" s="80" t="s">
        <v>6195</v>
      </c>
      <c r="D5713" s="81" t="str">
        <f>HYPERLINK("https://youtube.com/watch?v=AfrHDGiH450", "輕鬆改善雜亂工作枱！Logitech LOGI DOCK 開箱實試｜多功能擴充底座｜Price 獨家優惠｜廣東話【Price.com.hk產品介紹】")</f>
        <v>輕鬆改善雜亂工作枱！Logitech LOGI DOCK 開箱實試｜多功能擴充底座｜Price 獨家優惠｜廣東話【Price.com.hk產品介紹】</v>
      </c>
      <c r="E5713" s="82">
        <v>44795.0</v>
      </c>
      <c r="F5713" s="80">
        <v>263.0</v>
      </c>
      <c r="G5713" s="80" t="s">
        <v>63</v>
      </c>
      <c r="I5713" s="80" t="s">
        <v>63</v>
      </c>
      <c r="J5713" s="80">
        <v>910.0</v>
      </c>
      <c r="K5713" s="80">
        <v>0.703789636504253</v>
      </c>
      <c r="L5713" s="80" t="s">
        <v>64</v>
      </c>
    </row>
    <row r="5714">
      <c r="A5714" s="80" t="s">
        <v>217</v>
      </c>
      <c r="B5714" s="81" t="str">
        <f>HYPERLINK("https://www.youtube.com/channel/UCXKg0qPRz32bs5Z4mTGF3TQ", "Stormtrooper白兵")</f>
        <v>Stormtrooper白兵</v>
      </c>
      <c r="C5714" s="80" t="s">
        <v>6196</v>
      </c>
      <c r="D5714" s="81" t="str">
        <f>HYPERLINK("https://youtube.com/watch?v=2pPu7pTuNic", "[沒明日的恐懼]熱血追夢只換來被剝削的舞蹈員時薪50元！？｜前途暗淡促使犯罪行為！？｜粵語中字")</f>
        <v>[沒明日的恐懼]熱血追夢只換來被剝削的舞蹈員時薪50元！？｜前途暗淡促使犯罪行為！？｜粵語中字</v>
      </c>
      <c r="E5714" s="82">
        <v>44782.0</v>
      </c>
      <c r="F5714" s="80">
        <v>932.0</v>
      </c>
      <c r="G5714" s="80" t="s">
        <v>63</v>
      </c>
      <c r="I5714" s="80" t="s">
        <v>63</v>
      </c>
      <c r="J5714" s="80">
        <v>3670.0</v>
      </c>
      <c r="K5714" s="80">
        <v>0.943202261629401</v>
      </c>
      <c r="L5714" s="80" t="s">
        <v>64</v>
      </c>
    </row>
    <row r="5715">
      <c r="A5715" s="80" t="s">
        <v>248</v>
      </c>
      <c r="B5715" s="81" t="str">
        <f>HYPERLINK("https://www.youtube.com/channel/UCUEJok-GiWaGlv5nIPwk-GQ", "Price.com.hk 香港格價網")</f>
        <v>Price.com.hk 香港格價網</v>
      </c>
      <c r="C5715" s="80" t="s">
        <v>6197</v>
      </c>
      <c r="D5715" s="81" t="str">
        <f>HYPERLINK("https://youtube.com/watch?v=7JxL87mHxQA", "蝸居影院必選！超纖薄設計 Samsung Ultra Slim Soundbar HW-S801B 評測｜3.1.2聲效、無線 Dolby Atmos｜特約專題｜【price.com.hk產品評測】")</f>
        <v>蝸居影院必選！超纖薄設計 Samsung Ultra Slim Soundbar HW-S801B 評測｜3.1.2聲效、無線 Dolby Atmos｜特約專題｜【price.com.hk產品評測】</v>
      </c>
      <c r="E5715" s="82">
        <v>44790.0</v>
      </c>
      <c r="F5715" s="80">
        <v>379.0</v>
      </c>
      <c r="G5715" s="80" t="s">
        <v>63</v>
      </c>
      <c r="I5715" s="80" t="s">
        <v>63</v>
      </c>
      <c r="J5715" s="80">
        <v>1227.0</v>
      </c>
      <c r="K5715" s="80">
        <v>0.707612456747404</v>
      </c>
      <c r="L5715" s="80" t="s">
        <v>64</v>
      </c>
    </row>
    <row r="5716">
      <c r="A5716" s="80" t="s">
        <v>2841</v>
      </c>
      <c r="B5716" s="81" t="str">
        <f>HYPERLINK("https://www.youtube.com/channel/UCBYGm7Iz6ck8jeno5AFiriw", "Seafront TV")</f>
        <v>Seafront TV</v>
      </c>
      <c r="C5716" s="80" t="s">
        <v>6198</v>
      </c>
      <c r="D5716" s="81" t="str">
        <f>HYPERLINK("https://youtube.com/watch?v=-NtWGU5PEBA", "【考試7成人滿分💯？！畢業3年內人工翻倍🤑！入學收分居然只需要⋯⋯】科大工商管理學士（專業會計學） HKUST BBA in ACCT | #大學Major系列 Seafront TV🌊")</f>
        <v>【考試7成人滿分💯？！畢業3年內人工翻倍🤑！入學收分居然只需要⋯⋯】科大工商管理學士（專業會計學） HKUST BBA in ACCT | #大學Major系列 Seafront TV🌊</v>
      </c>
      <c r="E5716" s="82">
        <v>44779.0</v>
      </c>
      <c r="F5716" s="80">
        <v>1270.0</v>
      </c>
      <c r="G5716" s="80" t="s">
        <v>63</v>
      </c>
      <c r="I5716" s="80" t="s">
        <v>63</v>
      </c>
      <c r="J5716" s="80">
        <v>4075.0</v>
      </c>
      <c r="K5716" s="80">
        <v>0.503148536856402</v>
      </c>
      <c r="L5716" s="80" t="s">
        <v>102</v>
      </c>
    </row>
    <row r="5717">
      <c r="A5717" s="80" t="s">
        <v>293</v>
      </c>
      <c r="B5717" s="81" t="str">
        <f>HYPERLINK("https://www.youtube.com/channel/UCXRcbXqjORdIvl63I7MtOLQ", "趁熱 Kerry 's kitchen")</f>
        <v>趁熱 Kerry 's kitchen</v>
      </c>
      <c r="C5717" s="80" t="s">
        <v>6199</v>
      </c>
      <c r="D5717" s="81" t="str">
        <f>HYPERLINK("https://youtube.com/watch?v=tCg2WkKwtp0", "香脆沙葛鮮蝦煎餅/ 簡單易做冇難度/好餸飯/低成本/原創/全網獨家/新手 入門/廣東話/中字/pan-fried crispy yam bean cake w/ shrimp/")</f>
        <v>香脆沙葛鮮蝦煎餅/ 簡單易做冇難度/好餸飯/低成本/原創/全網獨家/新手 入門/廣東話/中字/pan-fried crispy yam bean cake w/ shrimp/</v>
      </c>
      <c r="E5717" s="82">
        <v>44804.0</v>
      </c>
      <c r="F5717" s="80">
        <v>581.0</v>
      </c>
      <c r="G5717" s="80" t="s">
        <v>63</v>
      </c>
      <c r="I5717" s="80" t="s">
        <v>63</v>
      </c>
      <c r="J5717" s="80">
        <v>1379.0</v>
      </c>
      <c r="K5717" s="80">
        <v>0.964335664335664</v>
      </c>
      <c r="L5717" s="80" t="s">
        <v>64</v>
      </c>
    </row>
    <row r="5718">
      <c r="A5718" s="80" t="s">
        <v>2041</v>
      </c>
      <c r="B5718" s="81" t="str">
        <f>HYPERLINK("https://www.youtube.com/channel/UCO6pB-ZN4XJ6MVkibvuEe0A", "SingSingTracker 星昇財經指標")</f>
        <v>SingSingTracker 星昇財經指標</v>
      </c>
      <c r="C5718" s="80" t="s">
        <v>6200</v>
      </c>
      <c r="D5718" s="81" t="str">
        <f>HYPERLINK("https://youtube.com/watch?v=biYp7IqGjZc", "【河南村鎮銀行爆發嘅危機】")</f>
        <v>【河南村鎮銀行爆發嘅危機】</v>
      </c>
      <c r="E5718" s="82">
        <v>44775.0</v>
      </c>
      <c r="F5718" s="80">
        <v>184.0</v>
      </c>
      <c r="G5718" s="80" t="s">
        <v>63</v>
      </c>
      <c r="I5718" s="80" t="s">
        <v>63</v>
      </c>
      <c r="J5718" s="80">
        <v>713.0</v>
      </c>
      <c r="K5718" s="80">
        <v>0.993036211699164</v>
      </c>
      <c r="L5718" s="80" t="s">
        <v>64</v>
      </c>
    </row>
    <row r="5719">
      <c r="A5719" s="80" t="s">
        <v>4042</v>
      </c>
      <c r="B5719" s="81" t="str">
        <f>HYPERLINK("https://www.youtube.com/channel/UC71ezGBToBHIpb0nOSwCJyg", "Bokkey")</f>
        <v>Bokkey</v>
      </c>
      <c r="C5719" s="80" t="s">
        <v>6201</v>
      </c>
      <c r="D5719" s="81" t="str">
        <f>HYPERLINK("https://youtube.com/watch?v=UeHPIe831Gg", "客製鍵盤新手一定要知的事 - 客製鍵盤全攻略 EP.1 | 鍵盤套件 | 定位板 | 鍵帽 | 衛星軸")</f>
        <v>客製鍵盤新手一定要知的事 - 客製鍵盤全攻略 EP.1 | 鍵盤套件 | 定位板 | 鍵帽 | 衛星軸</v>
      </c>
      <c r="E5719" s="82">
        <v>44780.0</v>
      </c>
      <c r="F5719" s="80">
        <v>1353.0</v>
      </c>
      <c r="G5719" s="80" t="s">
        <v>63</v>
      </c>
      <c r="I5719" s="80" t="s">
        <v>63</v>
      </c>
      <c r="J5719" s="80">
        <v>3975.0</v>
      </c>
      <c r="K5719" s="80">
        <v>0.840913898878781</v>
      </c>
      <c r="L5719" s="80" t="s">
        <v>120</v>
      </c>
    </row>
    <row r="5720">
      <c r="A5720" s="80" t="s">
        <v>248</v>
      </c>
      <c r="B5720" s="81" t="str">
        <f>HYPERLINK("https://www.youtube.com/channel/UCUEJok-GiWaGlv5nIPwk-GQ", "Price.com.hk 香港格價網")</f>
        <v>Price.com.hk 香港格價網</v>
      </c>
      <c r="C5720" s="80" t="s">
        <v>6202</v>
      </c>
      <c r="D5720" s="81" t="str">
        <f>HYPERLINK("https://youtube.com/watch?v=cFKKo3KuJ2I", "最新Samsung兩代摺機真身對比 Galaxy Z Fold4 ．Z Flip4  | 熒幕摺痕 | 機身 | 跑分 | 鏡頭 | 廣東話【Price.com.hk產品情報】")</f>
        <v>最新Samsung兩代摺機真身對比 Galaxy Z Fold4 ．Z Flip4  | 熒幕摺痕 | 機身 | 跑分 | 鏡頭 | 廣東話【Price.com.hk產品情報】</v>
      </c>
      <c r="E5720" s="82">
        <v>44797.0</v>
      </c>
      <c r="F5720" s="80">
        <v>578.0</v>
      </c>
      <c r="G5720" s="80" t="s">
        <v>63</v>
      </c>
      <c r="I5720" s="80" t="s">
        <v>63</v>
      </c>
      <c r="J5720" s="80">
        <v>1878.0</v>
      </c>
      <c r="K5720" s="80">
        <v>0.784133611691022</v>
      </c>
      <c r="L5720" s="80" t="s">
        <v>64</v>
      </c>
    </row>
    <row r="5721">
      <c r="A5721" s="80" t="s">
        <v>6063</v>
      </c>
      <c r="B5721" s="81" t="str">
        <f>HYPERLINK("https://www.youtube.com/channel/UCFhqo-h29TVyrRFcIIBwr7w", "Realistic records")</f>
        <v>Realistic records</v>
      </c>
      <c r="C5721" s="80" t="s">
        <v>6203</v>
      </c>
      <c r="D5721" s="81" t="str">
        <f>HYPERLINK("https://youtube.com/watch?v=jXQaohcWcPg", "【蒙娜麗莎】Owen奧雲OCS, Martian.B [Offical MV]")</f>
        <v>【蒙娜麗莎】Owen奧雲OCS, Martian.B [Offical MV]</v>
      </c>
      <c r="E5721" s="82">
        <v>44399.0</v>
      </c>
      <c r="F5721" s="80">
        <v>170.0</v>
      </c>
      <c r="G5721" s="80" t="s">
        <v>63</v>
      </c>
      <c r="I5721" s="80" t="s">
        <v>63</v>
      </c>
      <c r="J5721" s="80">
        <v>413.0</v>
      </c>
      <c r="K5721" s="80">
        <v>0.508620689655172</v>
      </c>
      <c r="L5721" s="80" t="s">
        <v>64</v>
      </c>
    </row>
    <row r="5722">
      <c r="A5722" s="80" t="s">
        <v>5301</v>
      </c>
      <c r="B5722" s="81" t="str">
        <f>HYPERLINK("https://www.youtube.com/channel/UCTH_IecfGTuKdew5dTb_D6A", "BOYS' CHOIR")</f>
        <v>BOYS' CHOIR</v>
      </c>
      <c r="C5722" s="80" t="s">
        <v>6204</v>
      </c>
      <c r="D5722" s="81" t="str">
        <f>HYPERLINK("https://youtube.com/watch?v=pkHDLvIhRZI", "Yung Raise - Say It Out Ft. Stanrighthere (Audio)")</f>
        <v>Yung Raise - Say It Out Ft. Stanrighthere (Audio)</v>
      </c>
      <c r="E5722" s="82">
        <v>44785.0</v>
      </c>
      <c r="F5722" s="80">
        <v>212.0</v>
      </c>
      <c r="G5722" s="80" t="s">
        <v>63</v>
      </c>
      <c r="I5722" s="80" t="s">
        <v>63</v>
      </c>
      <c r="J5722" s="80">
        <v>338.0</v>
      </c>
      <c r="K5722" s="80">
        <v>0.203491872366044</v>
      </c>
      <c r="L5722" s="80" t="s">
        <v>64</v>
      </c>
    </row>
    <row r="5723">
      <c r="A5723" s="80" t="s">
        <v>2800</v>
      </c>
      <c r="B5723" s="81" t="str">
        <f>HYPERLINK("https://www.youtube.com/channel/UCMqrlsr-AECPc6_3oDr8m9w", "Unicorn 獸哥")</f>
        <v>Unicorn 獸哥</v>
      </c>
      <c r="C5723" s="80" t="s">
        <v>6205</v>
      </c>
      <c r="D5723" s="81" t="str">
        <f>HYPERLINK("https://youtube.com/watch?v=ZPyr3hRTRKs", "【 H game評】好J又好玩！H game界的left 4 dead Seed of the Dead: Sweet Home")</f>
        <v>【 H game評】好J又好玩！H game界的left 4 dead Seed of the Dead: Sweet Home</v>
      </c>
      <c r="E5723" s="82">
        <v>44775.0</v>
      </c>
      <c r="F5723" s="80">
        <v>574.0</v>
      </c>
      <c r="G5723" s="80" t="s">
        <v>63</v>
      </c>
      <c r="I5723" s="80" t="s">
        <v>63</v>
      </c>
      <c r="J5723" s="80">
        <v>2420.0</v>
      </c>
      <c r="K5723" s="80">
        <v>0.879680116321337</v>
      </c>
      <c r="L5723" s="80" t="s">
        <v>64</v>
      </c>
    </row>
    <row r="5724">
      <c r="A5724" s="80" t="s">
        <v>248</v>
      </c>
      <c r="B5724" s="81" t="str">
        <f>HYPERLINK("https://www.youtube.com/channel/UCUEJok-GiWaGlv5nIPwk-GQ", "Price.com.hk 香港格價網")</f>
        <v>Price.com.hk 香港格價網</v>
      </c>
      <c r="C5724" s="80" t="s">
        <v>6206</v>
      </c>
      <c r="D5724" s="81" t="str">
        <f>HYPERLINK("https://youtube.com/watch?v=QIpr2MU6L1o", "勁過Google Translate？4枝翻譯筆推介！買翻譯筆 值唔值得？｜實用測試｜廣東話【Price.com.hk選購攻略】")</f>
        <v>勁過Google Translate？4枝翻譯筆推介！買翻譯筆 值唔值得？｜實用測試｜廣東話【Price.com.hk選購攻略】</v>
      </c>
      <c r="E5724" s="82">
        <v>44788.0</v>
      </c>
      <c r="F5724" s="80">
        <v>553.0</v>
      </c>
      <c r="G5724" s="80" t="s">
        <v>63</v>
      </c>
      <c r="I5724" s="80" t="s">
        <v>63</v>
      </c>
      <c r="J5724" s="80">
        <v>2173.0</v>
      </c>
      <c r="K5724" s="80">
        <v>0.899792960662525</v>
      </c>
      <c r="L5724" s="80" t="s">
        <v>64</v>
      </c>
    </row>
    <row r="5725">
      <c r="A5725" s="80" t="s">
        <v>755</v>
      </c>
      <c r="B5725" s="81" t="str">
        <f>HYPERLINK("https://www.youtube.com/channel/UCBiJDTc82IM68KVH873VeAw", "Live in Kwangsi廣西人·情·味")</f>
        <v>Live in Kwangsi廣西人·情·味</v>
      </c>
      <c r="C5725" s="80" t="s">
        <v>6207</v>
      </c>
      <c r="D5725" s="81" t="str">
        <f>HYPERLINK("https://youtube.com/watch?v=NrQXDiSFCyU", "睇下梧州人喺西江大橋底西江河邊游水避暑 20220807")</f>
        <v>睇下梧州人喺西江大橋底西江河邊游水避暑 20220807</v>
      </c>
      <c r="E5725" s="82">
        <v>44782.0</v>
      </c>
      <c r="F5725" s="80">
        <v>172.0</v>
      </c>
      <c r="G5725" s="80" t="s">
        <v>63</v>
      </c>
      <c r="I5725" s="80" t="s">
        <v>63</v>
      </c>
      <c r="J5725" s="80">
        <v>58.0</v>
      </c>
      <c r="K5725" s="80">
        <v>1.0</v>
      </c>
      <c r="L5725" s="80" t="s">
        <v>757</v>
      </c>
    </row>
    <row r="5726">
      <c r="A5726" s="80" t="s">
        <v>248</v>
      </c>
      <c r="B5726" s="81" t="str">
        <f>HYPERLINK("https://www.youtube.com/channel/UCUEJok-GiWaGlv5nIPwk-GQ", "Price.com.hk 香港格價網")</f>
        <v>Price.com.hk 香港格價網</v>
      </c>
      <c r="C5726" s="80" t="s">
        <v>6208</v>
      </c>
      <c r="D5726" s="81" t="str">
        <f>HYPERLINK("https://youtube.com/watch?v=BPS1FX66nIU", "ROG首部48吋4K OLED熒幕 刷新率達138Hz 抗眩光塗層畫面更清晰｜廣東話｜特約專題【Price.com.hk產品評測】")</f>
        <v>ROG首部48吋4K OLED熒幕 刷新率達138Hz 抗眩光塗層畫面更清晰｜廣東話｜特約專題【Price.com.hk產品評測】</v>
      </c>
      <c r="E5726" s="82">
        <v>44784.0</v>
      </c>
      <c r="F5726" s="80">
        <v>401.0</v>
      </c>
      <c r="G5726" s="80" t="s">
        <v>63</v>
      </c>
      <c r="I5726" s="80" t="s">
        <v>63</v>
      </c>
      <c r="J5726" s="80">
        <v>1271.0</v>
      </c>
      <c r="K5726" s="80">
        <v>0.786023500309214</v>
      </c>
      <c r="L5726" s="80" t="s">
        <v>64</v>
      </c>
    </row>
    <row r="5727">
      <c r="A5727" s="80" t="s">
        <v>2841</v>
      </c>
      <c r="B5727" s="81" t="str">
        <f>HYPERLINK("https://www.youtube.com/channel/UCBYGm7Iz6ck8jeno5AFiriw", "Seafront TV")</f>
        <v>Seafront TV</v>
      </c>
      <c r="C5727" s="80" t="s">
        <v>6209</v>
      </c>
      <c r="D5727" s="81" t="str">
        <f>HYPERLINK("https://youtube.com/watch?v=Q-SvJXpCT_E", "【科大Science FG人工最高！💰但畢業生話唔好讀？究竟⋯⋯😨🧑‍🔬】科大理學士（生物科技及商學） HKUST BSc in BIBU | #大學Major系列 Seafront TV🌊")</f>
        <v>【科大Science FG人工最高！💰但畢業生話唔好讀？究竟⋯⋯😨🧑‍🔬】科大理學士（生物科技及商學） HKUST BSc in BIBU | #大學Major系列 Seafront TV🌊</v>
      </c>
      <c r="E5727" s="82">
        <v>44772.0</v>
      </c>
      <c r="F5727" s="80">
        <v>1278.0</v>
      </c>
      <c r="G5727" s="80" t="s">
        <v>63</v>
      </c>
      <c r="I5727" s="80" t="s">
        <v>63</v>
      </c>
      <c r="J5727" s="80">
        <v>3302.0</v>
      </c>
      <c r="K5727" s="80">
        <v>0.43516078017923</v>
      </c>
      <c r="L5727" s="80" t="s">
        <v>102</v>
      </c>
    </row>
    <row r="5728">
      <c r="A5728" s="80" t="s">
        <v>6052</v>
      </c>
      <c r="B5728" s="81" t="str">
        <f>HYPERLINK("https://www.youtube.com/channel/UCZdOF7o0teJCv7edI3QCiDg", "KZee")</f>
        <v>KZee</v>
      </c>
      <c r="C5728" s="80" t="s">
        <v>6210</v>
      </c>
      <c r="D5728" s="81" t="str">
        <f>HYPERLINK("https://youtube.com/watch?v=qSGiJmLvMxg", "新情侶配對？！霧地異煞！ w/好多人 (Studio Vlog)")</f>
        <v>新情侶配對？！霧地異煞！ w/好多人 (Studio Vlog)</v>
      </c>
      <c r="E5728" s="82">
        <v>42498.0</v>
      </c>
      <c r="F5728" s="80">
        <v>148.0</v>
      </c>
      <c r="G5728" s="80" t="s">
        <v>63</v>
      </c>
      <c r="I5728" s="80" t="s">
        <v>63</v>
      </c>
      <c r="J5728" s="80">
        <v>530.0</v>
      </c>
      <c r="K5728" s="80">
        <v>0.97748592870544</v>
      </c>
      <c r="L5728" s="80" t="s">
        <v>1889</v>
      </c>
    </row>
    <row r="5729">
      <c r="A5729" s="80" t="s">
        <v>293</v>
      </c>
      <c r="B5729" s="81" t="str">
        <f>HYPERLINK("https://www.youtube.com/channel/UCXRcbXqjORdIvl63I7MtOLQ", "趁熱 Kerry 's kitchen")</f>
        <v>趁熱 Kerry 's kitchen</v>
      </c>
      <c r="C5729" s="80" t="s">
        <v>6211</v>
      </c>
      <c r="D5729" s="81" t="str">
        <f>HYPERLINK("https://youtube.com/watch?v=BQtvDM14R9A", "腐乳蒸雞翼/惹味 嫩滑/自己屋企煮飯好過出去食/簡簡單單又一餐/新手冇難度/廣東話/中字")</f>
        <v>腐乳蒸雞翼/惹味 嫩滑/自己屋企煮飯好過出去食/簡簡單單又一餐/新手冇難度/廣東話/中字</v>
      </c>
      <c r="E5729" s="82">
        <v>44806.0</v>
      </c>
      <c r="F5729" s="80">
        <v>485.0</v>
      </c>
      <c r="G5729" s="80" t="s">
        <v>63</v>
      </c>
      <c r="I5729" s="80" t="s">
        <v>63</v>
      </c>
      <c r="J5729" s="80">
        <v>1107.0</v>
      </c>
      <c r="K5729" s="80">
        <v>0.981382978723404</v>
      </c>
      <c r="L5729" s="80" t="s">
        <v>64</v>
      </c>
    </row>
    <row r="5730">
      <c r="A5730" s="80" t="s">
        <v>248</v>
      </c>
      <c r="B5730" s="81" t="str">
        <f>HYPERLINK("https://www.youtube.com/channel/UCUEJok-GiWaGlv5nIPwk-GQ", "Price.com.hk 香港格價網")</f>
        <v>Price.com.hk 香港格價網</v>
      </c>
      <c r="C5730" s="80" t="s">
        <v>6212</v>
      </c>
      <c r="D5730" s="81" t="str">
        <f>HYPERLINK("https://youtube.com/watch?v=OTTKeYZd9Ds", "Galaxy Z Fold4 、 Flip4 登場．全新Sennheiser  Momentum 4．傳iPhone14 9月登場| 廣東話【Price Weekly #127 2022年8月 】")</f>
        <v>Galaxy Z Fold4 、 Flip4 登場．全新Sennheiser  Momentum 4．傳iPhone14 9月登場| 廣東話【Price Weekly #127 2022年8月 】</v>
      </c>
      <c r="E5730" s="82">
        <v>44786.0</v>
      </c>
      <c r="F5730" s="80">
        <v>620.0</v>
      </c>
      <c r="G5730" s="80" t="s">
        <v>63</v>
      </c>
      <c r="I5730" s="80" t="s">
        <v>63</v>
      </c>
      <c r="J5730" s="80">
        <v>2079.0</v>
      </c>
      <c r="K5730" s="80">
        <v>0.702839756592292</v>
      </c>
      <c r="L5730" s="80" t="s">
        <v>64</v>
      </c>
    </row>
    <row r="5731">
      <c r="A5731" s="80" t="s">
        <v>414</v>
      </c>
      <c r="B5731" s="81" t="str">
        <f>HYPERLINK("https://www.youtube.com/channel/UCCVn38j5xSJZN-II-TeyomA", "Uncle Calvin Cantonese Class")</f>
        <v>Uncle Calvin Cantonese Class</v>
      </c>
      <c r="C5731" s="80" t="s">
        <v>6213</v>
      </c>
      <c r="D5731" s="81" t="str">
        <f>HYPERLINK("https://youtube.com/watch?v=fud1keCDQHU", "【量詞：食物與餐具】Quantifiers: Foods and Tablewares in Cantonese I 幼童認字 for Toddlers I 廣東話教室 I 字幕")</f>
        <v>【量詞：食物與餐具】Quantifiers: Foods and Tablewares in Cantonese I 幼童認字 for Toddlers I 廣東話教室 I 字幕</v>
      </c>
      <c r="E5731" s="82">
        <v>44791.0</v>
      </c>
      <c r="F5731" s="80">
        <v>718.0</v>
      </c>
      <c r="G5731" s="80" t="s">
        <v>63</v>
      </c>
      <c r="H5731" s="80" t="s">
        <v>63</v>
      </c>
      <c r="I5731" s="80" t="s">
        <v>63</v>
      </c>
      <c r="J5731" s="80">
        <v>1616.0</v>
      </c>
      <c r="K5731" s="80">
        <v>0.903463940942646</v>
      </c>
      <c r="L5731" s="80" t="s">
        <v>240</v>
      </c>
    </row>
    <row r="5732">
      <c r="A5732" s="80" t="s">
        <v>2800</v>
      </c>
      <c r="B5732" s="81" t="str">
        <f>HYPERLINK("https://www.youtube.com/channel/UCMqrlsr-AECPc6_3oDr8m9w", "Unicorn 獸哥")</f>
        <v>Unicorn 獸哥</v>
      </c>
      <c r="C5732" s="80" t="s">
        <v>6214</v>
      </c>
      <c r="D5732" s="81" t="str">
        <f>HYPERLINK("https://youtube.com/watch?v=g-9uW305uMA", "【劇評】Marvel phase 4 好看嗎？劇集編")</f>
        <v>【劇評】Marvel phase 4 好看嗎？劇集編</v>
      </c>
      <c r="E5732" s="82">
        <v>44790.0</v>
      </c>
      <c r="F5732" s="80">
        <v>559.0</v>
      </c>
      <c r="G5732" s="80" t="s">
        <v>63</v>
      </c>
      <c r="I5732" s="80" t="s">
        <v>63</v>
      </c>
      <c r="J5732" s="80">
        <v>2434.0</v>
      </c>
      <c r="K5732" s="80">
        <v>0.854634831460674</v>
      </c>
      <c r="L5732" s="80" t="s">
        <v>64</v>
      </c>
    </row>
    <row r="5733">
      <c r="A5733" s="80" t="s">
        <v>1492</v>
      </c>
      <c r="B5733" s="81" t="str">
        <f>HYPERLINK("https://www.youtube.com/channel/UCTo1EIcKtkDYqiUqs4v_NlA", "【常公子】頻道TV - 中文中史歷史哲學")</f>
        <v>【常公子】頻道TV - 中文中史歷史哲學</v>
      </c>
      <c r="C5733" s="80" t="s">
        <v>6215</v>
      </c>
      <c r="D5733" s="81" t="str">
        <f>HYPERLINK("https://youtube.com/watch?v=dn5HpmzvrjY", "【常威近代史】第四百九十六回李大釗之死")</f>
        <v>【常威近代史】第四百九十六回李大釗之死</v>
      </c>
      <c r="E5733" s="82">
        <v>44800.0</v>
      </c>
      <c r="F5733" s="80">
        <v>624.0</v>
      </c>
      <c r="G5733" s="80" t="s">
        <v>63</v>
      </c>
      <c r="I5733" s="80" t="s">
        <v>63</v>
      </c>
      <c r="J5733" s="80">
        <v>1609.0</v>
      </c>
      <c r="K5733" s="80">
        <v>0.973970944309927</v>
      </c>
      <c r="L5733" s="80" t="s">
        <v>64</v>
      </c>
    </row>
    <row r="5734">
      <c r="A5734" s="80" t="s">
        <v>6052</v>
      </c>
      <c r="B5734" s="81" t="str">
        <f>HYPERLINK("https://www.youtube.com/channel/UCZdOF7o0teJCv7edI3QCiDg", "KZee")</f>
        <v>KZee</v>
      </c>
      <c r="C5734" s="80" t="s">
        <v>6216</v>
      </c>
      <c r="D5734" s="81" t="str">
        <f>HYPERLINK("https://youtube.com/watch?v=-xl7jSXixyo", "把銀包的錢都拿出來吧....(Vlog)")</f>
        <v>把銀包的錢都拿出來吧....(Vlog)</v>
      </c>
      <c r="E5734" s="82">
        <v>43503.0</v>
      </c>
      <c r="F5734" s="80">
        <v>161.0</v>
      </c>
      <c r="G5734" s="80" t="s">
        <v>63</v>
      </c>
      <c r="I5734" s="80" t="s">
        <v>63</v>
      </c>
      <c r="J5734" s="80">
        <v>386.0</v>
      </c>
      <c r="K5734" s="80">
        <v>0.835497835497835</v>
      </c>
      <c r="L5734" s="80" t="s">
        <v>64</v>
      </c>
    </row>
    <row r="5735">
      <c r="A5735" s="80" t="s">
        <v>248</v>
      </c>
      <c r="B5735" s="81" t="str">
        <f>HYPERLINK("https://www.youtube.com/channel/UCUEJok-GiWaGlv5nIPwk-GQ", "Price.com.hk 香港格價網")</f>
        <v>Price.com.hk 香港格價網</v>
      </c>
      <c r="C5735" s="80" t="s">
        <v>6217</v>
      </c>
      <c r="D5735" s="81" t="str">
        <f>HYPERLINK("https://youtube.com/watch?v=5OqFISW25ZI", "【Price網上電腦節-特備節目Day3】激筍產品優惠搶先睇 | 8:00播出 8:30開賣｜國仁@feverSound.com影音產品評測  x 小瑟@Post76影音玩樂  x Karen")</f>
        <v>【Price網上電腦節-特備節目Day3】激筍產品優惠搶先睇 | 8:00播出 8:30開賣｜國仁@feverSound.com影音產品評測  x 小瑟@Post76影音玩樂  x Karen</v>
      </c>
      <c r="E5735" s="82">
        <v>44782.0</v>
      </c>
      <c r="F5735" s="80">
        <v>1041.0</v>
      </c>
      <c r="G5735" s="80" t="s">
        <v>63</v>
      </c>
      <c r="I5735" s="80" t="s">
        <v>63</v>
      </c>
      <c r="J5735" s="80">
        <v>3097.0</v>
      </c>
      <c r="K5735" s="80">
        <v>0.65337552742616</v>
      </c>
      <c r="L5735" s="80" t="s">
        <v>64</v>
      </c>
    </row>
    <row r="5736">
      <c r="A5736" s="80" t="s">
        <v>293</v>
      </c>
      <c r="B5736" s="81" t="str">
        <f>HYPERLINK("https://www.youtube.com/channel/UCXRcbXqjORdIvl63I7MtOLQ", "趁熱 Kerry 's kitchen")</f>
        <v>趁熱 Kerry 's kitchen</v>
      </c>
      <c r="C5736" s="80" t="s">
        <v>6218</v>
      </c>
      <c r="D5736" s="81" t="str">
        <f>HYPERLINK("https://youtube.com/watch?v=sYR-2vFSex8", "薑蔥煮魚鰾/鮮花膠/豐富膠原蛋白/去腥竅門/超滑/簡單 家做/廣東話/中字")</f>
        <v>薑蔥煮魚鰾/鮮花膠/豐富膠原蛋白/去腥竅門/超滑/簡單 家做/廣東話/中字</v>
      </c>
      <c r="E5736" s="82">
        <v>44776.0</v>
      </c>
      <c r="F5736" s="80">
        <v>619.0</v>
      </c>
      <c r="G5736" s="80" t="s">
        <v>63</v>
      </c>
      <c r="I5736" s="80" t="s">
        <v>63</v>
      </c>
      <c r="J5736" s="80">
        <v>1509.0</v>
      </c>
      <c r="K5736" s="80">
        <v>0.980506822612085</v>
      </c>
      <c r="L5736" s="80" t="s">
        <v>64</v>
      </c>
    </row>
    <row r="5737">
      <c r="A5737" s="80" t="s">
        <v>96</v>
      </c>
      <c r="B5737" s="81" t="str">
        <f>HYPERLINK("https://www.youtube.com/channel/UCGtyHJ-L_4RDIHe3XaLofQQ", "Anson Cheung")</f>
        <v>Anson Cheung</v>
      </c>
      <c r="C5737" s="80" t="s">
        <v>6219</v>
      </c>
      <c r="D5737" s="81" t="str">
        <f>HYPERLINK("https://youtube.com/watch?v=92p58pqWIkg", "M2 MacBook Air 評測 - 經過一個月後試用，仍然是大學生開學的最佳電腦嗎？｜M2 MacBook Air Review")</f>
        <v>M2 MacBook Air 評測 - 經過一個月後試用，仍然是大學生開學的最佳電腦嗎？｜M2 MacBook Air Review</v>
      </c>
      <c r="E5737" s="82">
        <v>44794.0</v>
      </c>
      <c r="F5737" s="80">
        <v>667.0</v>
      </c>
      <c r="G5737" s="80" t="s">
        <v>63</v>
      </c>
      <c r="I5737" s="80" t="s">
        <v>63</v>
      </c>
      <c r="J5737" s="80">
        <v>2150.0</v>
      </c>
      <c r="K5737" s="80">
        <v>0.63049853372434</v>
      </c>
      <c r="L5737" s="80" t="s">
        <v>64</v>
      </c>
    </row>
    <row r="5738">
      <c r="A5738" s="80" t="s">
        <v>140</v>
      </c>
      <c r="B5738" s="81" t="str">
        <f>HYPERLINK("https://www.youtube.com/channel/UCHK0CZf9HEXs42qIO1GUouA", "TechiCardia")</f>
        <v>TechiCardia</v>
      </c>
      <c r="C5738" s="80" t="s">
        <v>6220</v>
      </c>
      <c r="D5738" s="81" t="str">
        <f>HYPERLINK("https://youtube.com/watch?v=1vEMXCpmOxI", "Insta360 LINK 4K 畫質與相機比較、AI功能詳細評測！WEB CAM 可以有幾突破？ | 最強網路攝影機 | 三軸雲台 | 4K 【TechiCardia】[CC 廣東話字幕]")</f>
        <v>Insta360 LINK 4K 畫質與相機比較、AI功能詳細評測！WEB CAM 可以有幾突破？ | 最強網路攝影機 | 三軸雲台 | 4K 【TechiCardia】[CC 廣東話字幕]</v>
      </c>
      <c r="E5738" s="82">
        <v>44801.0</v>
      </c>
      <c r="F5738" s="80">
        <v>1065.0</v>
      </c>
      <c r="G5738" s="80" t="s">
        <v>63</v>
      </c>
      <c r="I5738" s="80" t="s">
        <v>63</v>
      </c>
      <c r="J5738" s="80">
        <v>4225.0</v>
      </c>
      <c r="K5738" s="80">
        <v>0.777225901398086</v>
      </c>
      <c r="L5738" s="80" t="s">
        <v>102</v>
      </c>
    </row>
    <row r="5739">
      <c r="A5739" s="80" t="s">
        <v>124</v>
      </c>
      <c r="B5739" s="81" t="str">
        <f>HYPERLINK("https://www.youtube.com/channel/UCg0vuSE0fBF_NvodyYhMcWg", "Wallace Studio HK")</f>
        <v>Wallace Studio HK</v>
      </c>
      <c r="C5739" s="80" t="s">
        <v>6221</v>
      </c>
      <c r="D5739" s="81" t="str">
        <f>HYPERLINK("https://youtube.com/watch?v=3y1xXR6aA3M", "Nothing Phone (1) 詳細評測! 平價版iPhone ? 一片睇哂特色，效能發熱表現，拍攝比較 (vs Pixel 6 &amp; iPhone 13 Pro)")</f>
        <v>Nothing Phone (1) 詳細評測! 平價版iPhone ? 一片睇哂特色，效能發熱表現，拍攝比較 (vs Pixel 6 &amp; iPhone 13 Pro)</v>
      </c>
      <c r="E5739" s="82">
        <v>44782.0</v>
      </c>
      <c r="F5739" s="80">
        <v>684.0</v>
      </c>
      <c r="G5739" s="80" t="s">
        <v>63</v>
      </c>
      <c r="H5739" s="80" t="s">
        <v>63</v>
      </c>
      <c r="I5739" s="80" t="s">
        <v>63</v>
      </c>
      <c r="J5739" s="80">
        <v>2644.0</v>
      </c>
      <c r="K5739" s="80">
        <v>0.80683552029295</v>
      </c>
      <c r="L5739" s="80" t="s">
        <v>86</v>
      </c>
    </row>
    <row r="5740">
      <c r="A5740" s="80" t="s">
        <v>293</v>
      </c>
      <c r="B5740" s="81" t="str">
        <f>HYPERLINK("https://www.youtube.com/channel/UCXRcbXqjORdIvl63I7MtOLQ", "趁熱 Kerry 's kitchen")</f>
        <v>趁熱 Kerry 's kitchen</v>
      </c>
      <c r="C5740" s="80" t="s">
        <v>6222</v>
      </c>
      <c r="D5740" s="81" t="str">
        <f>HYPERLINK("https://youtube.com/watch?v=fgHtV-czXkc", "薑蔥炒豬潤/牛奶浸軟厚豬潤做法/炒豬肚/去異味竅門/簡單 家做/廣東話/中字")</f>
        <v>薑蔥炒豬潤/牛奶浸軟厚豬潤做法/炒豬肚/去異味竅門/簡單 家做/廣東話/中字</v>
      </c>
      <c r="E5740" s="82">
        <v>44795.0</v>
      </c>
      <c r="F5740" s="80">
        <v>588.0</v>
      </c>
      <c r="G5740" s="80" t="s">
        <v>63</v>
      </c>
      <c r="I5740" s="80" t="s">
        <v>63</v>
      </c>
      <c r="J5740" s="80">
        <v>1494.0</v>
      </c>
      <c r="K5740" s="80">
        <v>0.96761658031088</v>
      </c>
      <c r="L5740" s="80" t="s">
        <v>64</v>
      </c>
    </row>
    <row r="5741">
      <c r="A5741" s="80" t="s">
        <v>6040</v>
      </c>
      <c r="B5741" s="81" t="str">
        <f>HYPERLINK("https://www.youtube.com/channel/UCOaPA9dplBmTRdkugUnn17g", "光頭幫 TomFatKi")</f>
        <v>光頭幫 TomFatKi</v>
      </c>
      <c r="C5741" s="80" t="s">
        <v>6223</v>
      </c>
      <c r="D5741" s="81" t="str">
        <f>HYPERLINK("https://youtube.com/watch?v=O2Dfluk9Ybg", "《MV》光頭幫TomFatKi - LIFE IS A GAME【Official Music Video】@JNYBeatz")</f>
        <v>《MV》光頭幫TomFatKi - LIFE IS A GAME【Official Music Video】@JNYBeatz</v>
      </c>
      <c r="E5741" s="82">
        <v>44027.0</v>
      </c>
      <c r="F5741" s="80">
        <v>170.0</v>
      </c>
      <c r="G5741" s="80" t="s">
        <v>63</v>
      </c>
      <c r="I5741" s="80" t="s">
        <v>63</v>
      </c>
      <c r="J5741" s="80">
        <v>286.0</v>
      </c>
      <c r="K5741" s="80">
        <v>0.282051282051282</v>
      </c>
      <c r="L5741" s="80" t="s">
        <v>64</v>
      </c>
    </row>
    <row r="5742">
      <c r="A5742" s="80" t="s">
        <v>6171</v>
      </c>
      <c r="B5742" s="81" t="str">
        <f>HYPERLINK("https://www.youtube.com/channel/UCmlrWKze2oHrrvyqZnyfq-g", "Cedric社職仔")</f>
        <v>Cedric社職仔</v>
      </c>
      <c r="C5742" s="80" t="s">
        <v>6224</v>
      </c>
      <c r="D5742" s="81" t="str">
        <f>HYPERLINK("https://youtube.com/watch?v=Oj_jH2x9BYw", "學生在早上原來是這樣準備上學！各種剛剛起床的學生【短劇】")</f>
        <v>學生在早上原來是這樣準備上學！各種剛剛起床的學生【短劇】</v>
      </c>
      <c r="E5742" s="82">
        <v>44457.0</v>
      </c>
      <c r="F5742" s="80">
        <v>632.0</v>
      </c>
      <c r="G5742" s="80" t="s">
        <v>63</v>
      </c>
      <c r="I5742" s="80" t="s">
        <v>63</v>
      </c>
      <c r="J5742" s="80">
        <v>896.0</v>
      </c>
      <c r="K5742" s="80">
        <v>0.893320039880358</v>
      </c>
      <c r="L5742" s="80" t="s">
        <v>64</v>
      </c>
    </row>
    <row r="5743">
      <c r="A5743" s="80" t="s">
        <v>248</v>
      </c>
      <c r="B5743" s="81" t="str">
        <f t="shared" ref="B5743:B5744" si="311">HYPERLINK("https://www.youtube.com/channel/UCUEJok-GiWaGlv5nIPwk-GQ", "Price.com.hk 香港格價網")</f>
        <v>Price.com.hk 香港格價網</v>
      </c>
      <c r="C5743" s="80" t="s">
        <v>6225</v>
      </c>
      <c r="D5743" s="81" t="str">
        <f>HYPERLINK("https://youtube.com/watch?v=QLO-jQIDZng", "好用過USB Hub？USB-C Dock 擴充底座 接口多 性能強！｜內附使用說明、選購要點｜Notebook 用家必備配件｜廣東話【Price.com.hk 產品介紹】")</f>
        <v>好用過USB Hub？USB-C Dock 擴充底座 接口多 性能強！｜內附使用說明、選購要點｜Notebook 用家必備配件｜廣東話【Price.com.hk 產品介紹】</v>
      </c>
      <c r="E5743" s="82">
        <v>44805.0</v>
      </c>
      <c r="F5743" s="80">
        <v>298.0</v>
      </c>
      <c r="G5743" s="80" t="s">
        <v>63</v>
      </c>
      <c r="I5743" s="80" t="s">
        <v>63</v>
      </c>
      <c r="J5743" s="80">
        <v>1192.0</v>
      </c>
      <c r="K5743" s="80">
        <v>0.665921787709497</v>
      </c>
      <c r="L5743" s="80" t="s">
        <v>64</v>
      </c>
    </row>
    <row r="5744">
      <c r="A5744" s="80" t="s">
        <v>248</v>
      </c>
      <c r="B5744" s="81" t="str">
        <f t="shared" si="311"/>
        <v>Price.com.hk 香港格價網</v>
      </c>
      <c r="C5744" s="80" t="s">
        <v>6226</v>
      </c>
      <c r="D5744" s="81" t="str">
        <f>HYPERLINK("https://youtube.com/watch?v=tu9eHdBh47A", "全新最強電玩 Odyssey Neo系列 ｜Samsung曲面 4K 電競顯示器Neo G7．G8．G9｜Upgrade 電競裝備要點｜遊戲試玩｜廣東話｜特約專題【Price.com.hk產品評測】")</f>
        <v>全新最強電玩 Odyssey Neo系列 ｜Samsung曲面 4K 電競顯示器Neo G7．G8．G9｜Upgrade 電競裝備要點｜遊戲試玩｜廣東話｜特約專題【Price.com.hk產品評測】</v>
      </c>
      <c r="E5744" s="82">
        <v>44796.0</v>
      </c>
      <c r="F5744" s="80">
        <v>510.0</v>
      </c>
      <c r="G5744" s="80" t="s">
        <v>63</v>
      </c>
      <c r="I5744" s="80" t="s">
        <v>63</v>
      </c>
      <c r="J5744" s="80">
        <v>1808.0</v>
      </c>
      <c r="K5744" s="80">
        <v>0.784041630529054</v>
      </c>
      <c r="L5744" s="80" t="s">
        <v>64</v>
      </c>
    </row>
    <row r="5745">
      <c r="A5745" s="80" t="s">
        <v>6054</v>
      </c>
      <c r="B5745" s="81" t="str">
        <f>HYPERLINK("https://www.youtube.com/channel/UCZc-RwRZUYVuwu3A9pVBISg", "ToNick")</f>
        <v>ToNick</v>
      </c>
      <c r="C5745" s="80" t="s">
        <v>6227</v>
      </c>
      <c r="D5745" s="81" t="str">
        <f>HYPERLINK("https://youtube.com/watch?v=9d4JgzDfMCw", "ToNick 遊樂場 Vol.02")</f>
        <v>ToNick 遊樂場 Vol.02</v>
      </c>
      <c r="E5745" s="82">
        <v>44651.0</v>
      </c>
      <c r="F5745" s="80">
        <v>529.0</v>
      </c>
      <c r="G5745" s="80" t="s">
        <v>63</v>
      </c>
      <c r="I5745" s="80" t="s">
        <v>63</v>
      </c>
      <c r="J5745" s="80">
        <v>14.0</v>
      </c>
      <c r="K5745" s="80">
        <v>1.0</v>
      </c>
      <c r="L5745" s="80" t="s">
        <v>64</v>
      </c>
    </row>
    <row r="5746">
      <c r="A5746" s="80" t="s">
        <v>124</v>
      </c>
      <c r="B5746" s="81" t="str">
        <f>HYPERLINK("https://www.youtube.com/channel/UCg0vuSE0fBF_NvodyYhMcWg", "Wallace Studio HK")</f>
        <v>Wallace Studio HK</v>
      </c>
      <c r="C5746" s="80" t="s">
        <v>6228</v>
      </c>
      <c r="D5746" s="81" t="str">
        <f>HYPERLINK("https://youtube.com/watch?v=Xu5XnRE3pxc", "Samsung Galaxy Unpacked 2022 發佈會! Z Fold 4，Z Flip 4 只有小改變，Galaxy Watch 5 ， Galaxy Buds 2 Pro 冇咩好期待？")</f>
        <v>Samsung Galaxy Unpacked 2022 發佈會! Z Fold 4，Z Flip 4 只有小改變，Galaxy Watch 5 ， Galaxy Buds 2 Pro 冇咩好期待？</v>
      </c>
      <c r="E5746" s="82">
        <v>44784.0</v>
      </c>
      <c r="F5746" s="80">
        <v>405.0</v>
      </c>
      <c r="G5746" s="80" t="s">
        <v>63</v>
      </c>
      <c r="I5746" s="80" t="s">
        <v>63</v>
      </c>
      <c r="J5746" s="80">
        <v>1671.0</v>
      </c>
      <c r="K5746" s="80">
        <v>0.838014042126379</v>
      </c>
      <c r="L5746" s="80" t="s">
        <v>64</v>
      </c>
    </row>
    <row r="5747">
      <c r="A5747" s="80" t="s">
        <v>6040</v>
      </c>
      <c r="B5747" s="81" t="str">
        <f>HYPERLINK("https://www.youtube.com/channel/UCOaPA9dplBmTRdkugUnn17g", "光頭幫 TomFatKi")</f>
        <v>光頭幫 TomFatKi</v>
      </c>
      <c r="C5747" s="80" t="s">
        <v>6229</v>
      </c>
      <c r="D5747" s="81" t="str">
        <f>HYPERLINK("https://youtube.com/watch?v=kmlk87HT5iE", "光頭幫TomFatKi - 富豪雪糕車【 Official Audio 官方完整版 】")</f>
        <v>光頭幫TomFatKi - 富豪雪糕車【 Official Audio 官方完整版 】</v>
      </c>
      <c r="E5747" s="82">
        <v>44609.0</v>
      </c>
      <c r="F5747" s="80">
        <v>183.0</v>
      </c>
      <c r="G5747" s="80" t="s">
        <v>63</v>
      </c>
      <c r="I5747" s="80" t="s">
        <v>63</v>
      </c>
      <c r="J5747" s="80">
        <v>475.0</v>
      </c>
      <c r="K5747" s="80">
        <v>0.719696969696969</v>
      </c>
      <c r="L5747" s="80" t="s">
        <v>64</v>
      </c>
    </row>
    <row r="5748">
      <c r="A5748" s="80" t="s">
        <v>6169</v>
      </c>
      <c r="B5748" s="81" t="str">
        <f>HYPERLINK("https://www.youtube.com/channel/UC8UAj9wPCBdyd709kD0eEFQ", "P3NTATON1C MUSIC")</f>
        <v>P3NTATON1C MUSIC</v>
      </c>
      <c r="C5748" s="80" t="s">
        <v>6230</v>
      </c>
      <c r="D5748" s="81" t="str">
        <f>HYPERLINK("https://youtube.com/watch?v=RDGUzoFoCzI", "SID22 CJ ROSE - HIGHWAY")</f>
        <v>SID22 CJ ROSE - HIGHWAY</v>
      </c>
      <c r="E5748" s="82">
        <v>44514.0</v>
      </c>
      <c r="F5748" s="80">
        <v>171.0</v>
      </c>
      <c r="G5748" s="80" t="s">
        <v>63</v>
      </c>
      <c r="I5748" s="80" t="s">
        <v>63</v>
      </c>
      <c r="J5748" s="80">
        <v>231.0</v>
      </c>
      <c r="K5748" s="80">
        <v>0.292775665399239</v>
      </c>
      <c r="L5748" s="80" t="s">
        <v>64</v>
      </c>
    </row>
    <row r="5749">
      <c r="A5749" s="80" t="s">
        <v>6052</v>
      </c>
      <c r="B5749" s="81" t="str">
        <f>HYPERLINK("https://www.youtube.com/channel/UCZdOF7o0teJCv7edI3QCiDg", "KZee")</f>
        <v>KZee</v>
      </c>
      <c r="C5749" s="80" t="s">
        <v>6231</v>
      </c>
      <c r="D5749" s="81" t="str">
        <f>HYPERLINK("https://youtube.com/watch?v=0Cd_OFrandM", "打贏世界第一 ?!!!!『 獵神-香港玩家見面熱身賽』( Vlog )")</f>
        <v>打贏世界第一 ?!!!!『 獵神-香港玩家見面熱身賽』( Vlog )</v>
      </c>
      <c r="E5749" s="82">
        <v>42753.0</v>
      </c>
      <c r="F5749" s="80">
        <v>551.0</v>
      </c>
      <c r="G5749" s="80" t="s">
        <v>63</v>
      </c>
      <c r="I5749" s="80" t="s">
        <v>63</v>
      </c>
      <c r="J5749" s="80">
        <v>3299.0</v>
      </c>
      <c r="K5749" s="80">
        <v>0.839867617107943</v>
      </c>
      <c r="L5749" s="80" t="s">
        <v>64</v>
      </c>
    </row>
    <row r="5750">
      <c r="A5750" s="80" t="s">
        <v>108</v>
      </c>
      <c r="B5750" s="81" t="str">
        <f>HYPERLINK("https://www.youtube.com/channel/UCZL6QN6Xs-ZrKY3y6Pv6Emg", "廢青 - 日賺3000")</f>
        <v>廢青 - 日賺3000</v>
      </c>
      <c r="C5750" s="80" t="s">
        <v>6232</v>
      </c>
      <c r="D5750" s="81" t="str">
        <f>HYPERLINK("https://youtube.com/watch?v=l83seFvENgw", "急 ! 【 最後一個月，入市好時機 】緣了吧 !! #港股 #入市最好時機 #優質股值得揸 #緣份到了 #自然揸到2046 #廢青 #共廢之 【點CC看中文字幕】")</f>
        <v>急 ! 【 最後一個月，入市好時機 】緣了吧 !! #港股 #入市最好時機 #優質股值得揸 #緣份到了 #自然揸到2046 #廢青 #共廢之 【點CC看中文字幕】</v>
      </c>
      <c r="E5750" s="82">
        <v>44800.0</v>
      </c>
      <c r="F5750" s="80">
        <v>676.0</v>
      </c>
      <c r="G5750" s="80" t="s">
        <v>63</v>
      </c>
      <c r="I5750" s="80" t="s">
        <v>63</v>
      </c>
      <c r="J5750" s="80">
        <v>2897.0</v>
      </c>
      <c r="K5750" s="80">
        <v>0.884850335980452</v>
      </c>
      <c r="L5750" s="80" t="s">
        <v>64</v>
      </c>
    </row>
    <row r="5751">
      <c r="A5751" s="80" t="s">
        <v>5301</v>
      </c>
      <c r="B5751" s="81" t="str">
        <f>HYPERLINK("https://www.youtube.com/channel/UCTH_IecfGTuKdew5dTb_D6A", "BOYS' CHOIR")</f>
        <v>BOYS' CHOIR</v>
      </c>
      <c r="C5751" s="80" t="s">
        <v>6233</v>
      </c>
      <c r="D5751" s="81" t="str">
        <f>HYPERLINK("https://youtube.com/watch?v=QnxufudaAd4", "Yung Raise - Out Of The Circle (Audio)")</f>
        <v>Yung Raise - Out Of The Circle (Audio)</v>
      </c>
      <c r="E5751" s="82">
        <v>44785.0</v>
      </c>
      <c r="F5751" s="80">
        <v>125.0</v>
      </c>
      <c r="G5751" s="80" t="s">
        <v>63</v>
      </c>
      <c r="I5751" s="80" t="s">
        <v>63</v>
      </c>
      <c r="J5751" s="80">
        <v>10.0</v>
      </c>
      <c r="K5751" s="80">
        <v>0.0100502512562814</v>
      </c>
      <c r="L5751" s="80" t="s">
        <v>64</v>
      </c>
    </row>
    <row r="5752">
      <c r="A5752" s="80" t="s">
        <v>6054</v>
      </c>
      <c r="B5752" s="81" t="str">
        <f>HYPERLINK("https://www.youtube.com/channel/UCZc-RwRZUYVuwu3A9pVBISg", "ToNick")</f>
        <v>ToNick</v>
      </c>
      <c r="C5752" s="80" t="s">
        <v>6234</v>
      </c>
      <c r="D5752" s="81" t="str">
        <f>HYPERLINK("https://youtube.com/watch?v=LTHMa8Rd5V4", "ToNick - 雪糕糯米糍 [Official MV from ""HERE and NOW ToNick Live 2021""]")</f>
        <v>ToNick - 雪糕糯米糍 [Official MV from "HERE and NOW ToNick Live 2021"]</v>
      </c>
      <c r="E5752" s="82">
        <v>44652.0</v>
      </c>
      <c r="F5752" s="80">
        <v>180.0</v>
      </c>
      <c r="G5752" s="80" t="s">
        <v>63</v>
      </c>
      <c r="I5752" s="80" t="s">
        <v>63</v>
      </c>
      <c r="J5752" s="80">
        <v>195.0</v>
      </c>
      <c r="K5752" s="80">
        <v>0.786290322580645</v>
      </c>
      <c r="L5752" s="80" t="s">
        <v>64</v>
      </c>
    </row>
    <row r="5753">
      <c r="A5753" s="80" t="s">
        <v>217</v>
      </c>
      <c r="B5753" s="81" t="str">
        <f>HYPERLINK("https://www.youtube.com/channel/UCXKg0qPRz32bs5Z4mTGF3TQ", "Stormtrooper白兵")</f>
        <v>Stormtrooper白兵</v>
      </c>
      <c r="C5753" s="80" t="s">
        <v>6235</v>
      </c>
      <c r="D5753" s="81" t="str">
        <f>HYPERLINK("https://youtube.com/watch?v=HyGwJQ5qClw", "[玩命系列]近年香港足以發生災難級別的工程事故＋“疑似“豆腐渣工程一覽｜沙中綫偷工減料醜聞｜鉛水事件｜城大天花倒塌事件｜粵語中字")</f>
        <v>[玩命系列]近年香港足以發生災難級別的工程事故＋“疑似“豆腐渣工程一覽｜沙中綫偷工減料醜聞｜鉛水事件｜城大天花倒塌事件｜粵語中字</v>
      </c>
      <c r="E5753" s="82">
        <v>44777.0</v>
      </c>
      <c r="F5753" s="80">
        <v>1387.0</v>
      </c>
      <c r="G5753" s="80" t="s">
        <v>63</v>
      </c>
      <c r="I5753" s="80" t="s">
        <v>63</v>
      </c>
      <c r="J5753" s="80">
        <v>5129.0</v>
      </c>
      <c r="K5753" s="80">
        <v>0.979938861291555</v>
      </c>
      <c r="L5753" s="80" t="s">
        <v>64</v>
      </c>
    </row>
    <row r="5754">
      <c r="A5754" s="80" t="s">
        <v>6236</v>
      </c>
      <c r="B5754" s="81" t="str">
        <f>HYPERLINK("https://www.youtube.com/channel/UCPMsgWJvrkEHE0OpIMtxyYQ", "Comfort鬆")</f>
        <v>Comfort鬆</v>
      </c>
      <c r="C5754" s="80" t="s">
        <v>6237</v>
      </c>
      <c r="D5754" s="81" t="str">
        <f>HYPERLINK("https://youtube.com/watch?v=2d5k0Wp-sJo", "【4000訂閱Q&amp;A】找數時間到！到底私底下嘅 Comfort鬆係點？拍攝嗰陣竟然遇到啲咁嘅嘢🥵")</f>
        <v>【4000訂閱Q&amp;A】找數時間到！到底私底下嘅 Comfort鬆係點？拍攝嗰陣竟然遇到啲咁嘅嘢🥵</v>
      </c>
      <c r="E5754" s="82">
        <v>44778.0</v>
      </c>
      <c r="F5754" s="80">
        <v>611.0</v>
      </c>
      <c r="G5754" s="80" t="s">
        <v>63</v>
      </c>
      <c r="I5754" s="80" t="s">
        <v>63</v>
      </c>
      <c r="J5754" s="80">
        <v>1867.0</v>
      </c>
      <c r="K5754" s="80">
        <v>0.908515815085158</v>
      </c>
      <c r="L5754" s="80" t="s">
        <v>64</v>
      </c>
    </row>
    <row r="5755">
      <c r="A5755" s="80" t="s">
        <v>6238</v>
      </c>
      <c r="B5755" s="81" t="str">
        <f>HYPERLINK("https://www.youtube.com/channel/UC_ogl0qjBdXrTiZZJ6ltsQQ", "Flat Out 地板油")</f>
        <v>Flat Out 地板油</v>
      </c>
      <c r="C5755" s="80" t="s">
        <v>6239</v>
      </c>
      <c r="D5755" s="81" t="str">
        <f>HYPERLINK("https://youtube.com/watch?v=mQ1lIXZsWfc", "抵玩過Model Y？38萬有找Benz電動SUV 平治EQA 250 牌面齊料無得輸 後排屈質動力爭咁啲？ | Flat Out Review #FlatOut試車 #地板油")</f>
        <v>抵玩過Model Y？38萬有找Benz電動SUV 平治EQA 250 牌面齊料無得輸 後排屈質動力爭咁啲？ | Flat Out Review #FlatOut試車 #地板油</v>
      </c>
      <c r="E5755" s="82">
        <v>44419.0</v>
      </c>
      <c r="F5755" s="80">
        <v>1134.0</v>
      </c>
      <c r="G5755" s="80" t="s">
        <v>63</v>
      </c>
      <c r="I5755" s="80" t="s">
        <v>63</v>
      </c>
      <c r="J5755" s="80">
        <v>13.0</v>
      </c>
      <c r="K5755" s="80">
        <v>0.433333333333333</v>
      </c>
      <c r="L5755" s="80" t="s">
        <v>64</v>
      </c>
    </row>
    <row r="5756">
      <c r="A5756" s="80" t="s">
        <v>6236</v>
      </c>
      <c r="B5756" s="81" t="str">
        <f t="shared" ref="B5756:B5757" si="312">HYPERLINK("https://www.youtube.com/channel/UCPMsgWJvrkEHE0OpIMtxyYQ", "Comfort鬆")</f>
        <v>Comfort鬆</v>
      </c>
      <c r="C5756" s="80" t="s">
        <v>6240</v>
      </c>
      <c r="D5756" s="81" t="str">
        <f>HYPERLINK("https://youtube.com/watch?v=3g76KO6lwo0", "挑戰行哂成條條港島線👣誤入香港百慕達三角😱 行咗兩個鐘竟然仲喺起點？(上)")</f>
        <v>挑戰行哂成條條港島線👣誤入香港百慕達三角😱 行咗兩個鐘竟然仲喺起點？(上)</v>
      </c>
      <c r="E5756" s="82">
        <v>44614.0</v>
      </c>
      <c r="F5756" s="80">
        <v>430.0</v>
      </c>
      <c r="G5756" s="80" t="s">
        <v>63</v>
      </c>
      <c r="I5756" s="80" t="s">
        <v>63</v>
      </c>
      <c r="J5756" s="80">
        <v>1029.0</v>
      </c>
      <c r="K5756" s="80">
        <v>0.898689956331877</v>
      </c>
      <c r="L5756" s="80" t="s">
        <v>64</v>
      </c>
    </row>
    <row r="5757">
      <c r="A5757" s="80" t="s">
        <v>6236</v>
      </c>
      <c r="B5757" s="81" t="str">
        <f t="shared" si="312"/>
        <v>Comfort鬆</v>
      </c>
      <c r="C5757" s="80" t="s">
        <v>6241</v>
      </c>
      <c r="D5757" s="81" t="str">
        <f>HYPERLINK("https://youtube.com/watch?v=IjHuA5yVSIg", "【尋找櫻花的故事】香港竟然都有櫻花睇🌸着住JK服暢遊大埔海濱公園🏞️竟然畀Monna發現商天娥？")</f>
        <v>【尋找櫻花的故事】香港竟然都有櫻花睇🌸着住JK服暢遊大埔海濱公園🏞️竟然畀Monna發現商天娥？</v>
      </c>
      <c r="E5757" s="82">
        <v>44649.0</v>
      </c>
      <c r="F5757" s="80">
        <v>506.0</v>
      </c>
      <c r="G5757" s="80" t="s">
        <v>63</v>
      </c>
      <c r="I5757" s="80" t="s">
        <v>63</v>
      </c>
      <c r="J5757" s="80">
        <v>1261.0</v>
      </c>
      <c r="K5757" s="80">
        <v>0.875694444444444</v>
      </c>
      <c r="L5757" s="80" t="s">
        <v>64</v>
      </c>
    </row>
    <row r="5758">
      <c r="A5758" s="80" t="s">
        <v>6238</v>
      </c>
      <c r="B5758" s="81" t="str">
        <f>HYPERLINK("https://www.youtube.com/channel/UC_ogl0qjBdXrTiZZJ6ltsQQ", "Flat Out 地板油")</f>
        <v>Flat Out 地板油</v>
      </c>
      <c r="C5758" s="80" t="s">
        <v>6242</v>
      </c>
      <c r="D5758" s="81" t="str">
        <f>HYPERLINK("https://youtube.com/watch?v=qJTmcWNtruc", "鬥快！Honda Jazz Crosstar vs 混能Jazz e:HEV 由荃灣鬥快入大埔睇動物 激劈大帽山快定係行城隧吐露港快？| Flat Out Race #FlatOut鬥快 #地板油")</f>
        <v>鬥快！Honda Jazz Crosstar vs 混能Jazz e:HEV 由荃灣鬥快入大埔睇動物 激劈大帽山快定係行城隧吐露港快？| Flat Out Race #FlatOut鬥快 #地板油</v>
      </c>
      <c r="E5758" s="82">
        <v>44456.0</v>
      </c>
      <c r="F5758" s="80">
        <v>1257.0</v>
      </c>
      <c r="G5758" s="80" t="s">
        <v>63</v>
      </c>
      <c r="I5758" s="80" t="s">
        <v>63</v>
      </c>
      <c r="J5758" s="80">
        <v>13.0</v>
      </c>
      <c r="K5758" s="80">
        <v>0.5</v>
      </c>
      <c r="L5758" s="80" t="s">
        <v>64</v>
      </c>
    </row>
    <row r="5759">
      <c r="A5759" s="80" t="s">
        <v>6236</v>
      </c>
      <c r="B5759" s="81" t="str">
        <f>HYPERLINK("https://www.youtube.com/channel/UCPMsgWJvrkEHE0OpIMtxyYQ", "Comfort鬆")</f>
        <v>Comfort鬆</v>
      </c>
      <c r="C5759" s="80" t="s">
        <v>6243</v>
      </c>
      <c r="D5759" s="81" t="str">
        <f>HYPERLINK("https://youtube.com/watch?v=aVAiJ2cc2wg", "尋覓香港街頭K歌之王🎤｜經典廣東歌嘅沒落？😱｜唱K必點金曲竟然係...?🙊")</f>
        <v>尋覓香港街頭K歌之王🎤｜經典廣東歌嘅沒落？😱｜唱K必點金曲竟然係...?🙊</v>
      </c>
      <c r="E5759" s="82">
        <v>44719.0</v>
      </c>
      <c r="F5759" s="80">
        <v>411.0</v>
      </c>
      <c r="G5759" s="80" t="s">
        <v>63</v>
      </c>
      <c r="I5759" s="80" t="s">
        <v>63</v>
      </c>
      <c r="J5759" s="80">
        <v>874.0</v>
      </c>
      <c r="K5759" s="80">
        <v>0.883720930232558</v>
      </c>
      <c r="L5759" s="80" t="s">
        <v>64</v>
      </c>
    </row>
    <row r="5760">
      <c r="A5760" s="80" t="s">
        <v>6238</v>
      </c>
      <c r="B5760" s="81" t="str">
        <f>HYPERLINK("https://www.youtube.com/channel/UC_ogl0qjBdXrTiZZJ6ltsQQ", "Flat Out 地板油")</f>
        <v>Flat Out 地板油</v>
      </c>
      <c r="C5760" s="80" t="s">
        <v>6244</v>
      </c>
      <c r="D5760" s="81" t="str">
        <f>HYPERLINK("https://youtube.com/watch?v=HiWUaoax-0s", "無對手！50萬有找Honda Odyssey二度整容更豪氣  後排空間竟可媲美百萬Lexus LM 同級對手還有誰？| Flat Out Review #FlatOut試車 #地板油")</f>
        <v>無對手！50萬有找Honda Odyssey二度整容更豪氣  後排空間竟可媲美百萬Lexus LM 同級對手還有誰？| Flat Out Review #FlatOut試車 #地板油</v>
      </c>
      <c r="E5760" s="82">
        <v>44432.0</v>
      </c>
      <c r="F5760" s="80">
        <v>1118.0</v>
      </c>
      <c r="G5760" s="80" t="s">
        <v>63</v>
      </c>
      <c r="I5760" s="80" t="s">
        <v>63</v>
      </c>
      <c r="J5760" s="80">
        <v>13.0</v>
      </c>
      <c r="K5760" s="80">
        <v>0.481481481481481</v>
      </c>
      <c r="L5760" s="80" t="s">
        <v>64</v>
      </c>
    </row>
    <row r="5761">
      <c r="A5761" s="80" t="s">
        <v>6236</v>
      </c>
      <c r="B5761" s="81" t="str">
        <f>HYPERLINK("https://www.youtube.com/channel/UCPMsgWJvrkEHE0OpIMtxyYQ", "Comfort鬆")</f>
        <v>Comfort鬆</v>
      </c>
      <c r="C5761" s="80" t="s">
        <v>6245</v>
      </c>
      <c r="D5761" s="81" t="str">
        <f>HYPERLINK("https://youtube.com/watch?v=Dxytwiw16EM", "［街訪］最適合鬧交嘅emoji係...🤭｜唔想俾人誤會就唔好用佢喇～😛｜車厘子原來代表...👅")</f>
        <v>［街訪］最適合鬧交嘅emoji係...🤭｜唔想俾人誤會就唔好用佢喇～😛｜車厘子原來代表...👅</v>
      </c>
      <c r="E5761" s="82">
        <v>44764.0</v>
      </c>
      <c r="F5761" s="80">
        <v>413.0</v>
      </c>
      <c r="G5761" s="80" t="s">
        <v>63</v>
      </c>
      <c r="I5761" s="80" t="s">
        <v>63</v>
      </c>
      <c r="J5761" s="80">
        <v>1525.0</v>
      </c>
      <c r="K5761" s="80">
        <v>0.836992316136114</v>
      </c>
      <c r="L5761" s="80" t="s">
        <v>64</v>
      </c>
    </row>
    <row r="5762">
      <c r="A5762" s="80" t="s">
        <v>6246</v>
      </c>
      <c r="B5762" s="81" t="str">
        <f>HYPERLINK("https://www.youtube.com/channel/UCo5QnudUoNDwQCYzwBBZ2Cg", "kitsunekozo")</f>
        <v>kitsunekozo</v>
      </c>
      <c r="C5762" s="80" t="s">
        <v>6247</v>
      </c>
      <c r="D5762" s="81" t="str">
        <f>HYPERLINK("https://youtube.com/watch?v=IWfp-hB2hW0", "【移民台灣🇹🇼】台灣一千呎只需月租$2500？仲要結埋婚？分享居住八年的感受[CC廣東話字幕]")</f>
        <v>【移民台灣🇹🇼】台灣一千呎只需月租$2500？仲要結埋婚？分享居住八年的感受[CC廣東話字幕]</v>
      </c>
      <c r="E5762" s="82">
        <v>44782.0</v>
      </c>
      <c r="F5762" s="80">
        <v>852.0</v>
      </c>
      <c r="G5762" s="80" t="s">
        <v>63</v>
      </c>
      <c r="I5762" s="80" t="s">
        <v>63</v>
      </c>
      <c r="J5762" s="80">
        <v>3502.0</v>
      </c>
      <c r="K5762" s="80">
        <v>0.974130737134909</v>
      </c>
      <c r="L5762" s="80" t="s">
        <v>64</v>
      </c>
    </row>
    <row r="5763">
      <c r="A5763" s="80" t="s">
        <v>6248</v>
      </c>
      <c r="B5763" s="81" t="str">
        <f>HYPERLINK("https://www.youtube.com/channel/UCmlr1is6e9bV34fgg3u0xng", "Ruby.S")</f>
        <v>Ruby.S</v>
      </c>
      <c r="C5763" s="80" t="s">
        <v>6249</v>
      </c>
      <c r="D5763" s="81" t="str">
        <f>HYPERLINK("https://youtube.com/watch?v=ypkGWD7r1k0", "@Ruby.S  [獨木舟攻略] 夏日水上必去浮潛🤿 | 8分鐘帶你去木棉洞|  獨木舟路線🛶 ｜1小時穿越破邊洲 ｜東壩玻璃水? 🐙｜ I believe I can hike Ep 39")</f>
        <v>@Ruby.S  [獨木舟攻略] 夏日水上必去浮潛🤿 | 8分鐘帶你去木棉洞|  獨木舟路線🛶 ｜1小時穿越破邊洲 ｜東壩玻璃水? 🐙｜ I believe I can hike Ep 39</v>
      </c>
      <c r="E5763" s="82">
        <v>44734.0</v>
      </c>
      <c r="F5763" s="80">
        <v>1774.0</v>
      </c>
      <c r="G5763" s="80" t="s">
        <v>63</v>
      </c>
      <c r="I5763" s="80" t="s">
        <v>63</v>
      </c>
      <c r="J5763" s="80">
        <v>2568.0</v>
      </c>
      <c r="K5763" s="80">
        <v>0.946902654867256</v>
      </c>
      <c r="L5763" s="80" t="s">
        <v>64</v>
      </c>
    </row>
    <row r="5764">
      <c r="A5764" s="80" t="s">
        <v>6250</v>
      </c>
      <c r="B5764" s="81" t="str">
        <f>HYPERLINK("https://www.youtube.com/channel/UC4YtAO528H6PdbJkJsolggA", "ASHA ETC")</f>
        <v>ASHA ETC</v>
      </c>
      <c r="C5764" s="80" t="s">
        <v>6251</v>
      </c>
      <c r="D5764" s="81" t="str">
        <f>HYPERLINK("https://youtube.com/watch?v=kkhrkp5QLEM", "Hotel Room Q&amp;A - Meet &amp; Greet? ExBfs? Bullies? | ASHA ETC")</f>
        <v>Hotel Room Q&amp;A - Meet &amp; Greet? ExBfs? Bullies? | ASHA ETC</v>
      </c>
      <c r="E5764" s="82">
        <v>42500.0</v>
      </c>
      <c r="F5764" s="80">
        <v>727.0</v>
      </c>
      <c r="G5764" s="80" t="s">
        <v>63</v>
      </c>
      <c r="I5764" s="80" t="s">
        <v>63</v>
      </c>
      <c r="J5764" s="80">
        <v>2542.0</v>
      </c>
      <c r="K5764" s="80">
        <v>0.809812042051608</v>
      </c>
      <c r="L5764" s="80" t="s">
        <v>1258</v>
      </c>
    </row>
    <row r="5765">
      <c r="A5765" s="80" t="s">
        <v>6246</v>
      </c>
      <c r="B5765" s="81" t="str">
        <f>HYPERLINK("https://www.youtube.com/channel/UCo5QnudUoNDwQCYzwBBZ2Cg", "kitsunekozo")</f>
        <v>kitsunekozo</v>
      </c>
      <c r="C5765" s="80" t="s">
        <v>6252</v>
      </c>
      <c r="D5765" s="81" t="str">
        <f>HYPERLINK("https://youtube.com/watch?v=veE2HY9ir-c", "【移民德國🇩🇪】喺德國大學讀書學費全免！但讀書壓力大過香港十倍！？朋友留學體驗分享👨🏻‍🎓[CC廣東話字幕]")</f>
        <v>【移民德國🇩🇪】喺德國大學讀書學費全免！但讀書壓力大過香港十倍！？朋友留學體驗分享👨🏻‍🎓[CC廣東話字幕]</v>
      </c>
      <c r="E5765" s="82">
        <v>44777.0</v>
      </c>
      <c r="F5765" s="80">
        <v>830.0</v>
      </c>
      <c r="G5765" s="80" t="s">
        <v>63</v>
      </c>
      <c r="I5765" s="80" t="s">
        <v>63</v>
      </c>
      <c r="J5765" s="80">
        <v>4086.0</v>
      </c>
      <c r="K5765" s="80">
        <v>0.877388876959415</v>
      </c>
      <c r="L5765" s="80" t="s">
        <v>64</v>
      </c>
    </row>
    <row r="5766">
      <c r="A5766" s="80" t="s">
        <v>6253</v>
      </c>
      <c r="B5766" s="81" t="str">
        <f>HYPERLINK("https://www.youtube.com/channel/UC_CMir5-79t30BQo-krOSjg", "Dr. Joe Wong")</f>
        <v>Dr. Joe Wong</v>
      </c>
      <c r="C5766" s="80" t="s">
        <v>6254</v>
      </c>
      <c r="D5766" s="81" t="str">
        <f>HYPERLINK("https://youtube.com/watch?v=xHF2_zqhPcM", "消除寒背靠3 招")</f>
        <v>消除寒背靠3 招</v>
      </c>
      <c r="E5766" s="82">
        <v>44219.0</v>
      </c>
      <c r="F5766" s="80">
        <v>634.0</v>
      </c>
      <c r="G5766" s="80" t="s">
        <v>63</v>
      </c>
      <c r="I5766" s="80" t="s">
        <v>63</v>
      </c>
      <c r="J5766" s="80">
        <v>1241.0</v>
      </c>
      <c r="K5766" s="80">
        <v>0.984920634920635</v>
      </c>
      <c r="L5766" s="80" t="s">
        <v>102</v>
      </c>
    </row>
    <row r="5767">
      <c r="A5767" s="80" t="s">
        <v>6248</v>
      </c>
      <c r="B5767" s="81" t="str">
        <f>HYPERLINK("https://www.youtube.com/channel/UCmlr1is6e9bV34fgg3u0xng", "Ruby.S")</f>
        <v>Ruby.S</v>
      </c>
      <c r="C5767" s="80" t="s">
        <v>6255</v>
      </c>
      <c r="D5767" s="81" t="str">
        <f>HYPERLINK("https://youtube.com/watch?v=pw74EC4Kjjc", "@Ruby.S [爬山系列］吊手岩北脊｜ 行山真係唔好搵命博｜敗走之迷｜I believe I can hike Ep16 | 喊住落山｜ 五星路線")</f>
        <v>@Ruby.S [爬山系列］吊手岩北脊｜ 行山真係唔好搵命博｜敗走之迷｜I believe I can hike Ep16 | 喊住落山｜ 五星路線</v>
      </c>
      <c r="E5767" s="82">
        <v>44525.0</v>
      </c>
      <c r="F5767" s="80">
        <v>801.0</v>
      </c>
      <c r="G5767" s="80" t="s">
        <v>63</v>
      </c>
      <c r="I5767" s="80" t="s">
        <v>63</v>
      </c>
      <c r="J5767" s="80">
        <v>837.0</v>
      </c>
      <c r="K5767" s="80">
        <v>0.912758996728462</v>
      </c>
      <c r="L5767" s="80" t="s">
        <v>64</v>
      </c>
    </row>
    <row r="5768">
      <c r="A5768" s="80" t="s">
        <v>6256</v>
      </c>
      <c r="B5768" s="81" t="str">
        <f>HYPERLINK("https://www.youtube.com/channel/UCyvjZ_erIMy_IWzjwHoXLcQ", "CantoneseHome - Learn Cantonese 學廣東話")</f>
        <v>CantoneseHome - Learn Cantonese 學廣東話</v>
      </c>
      <c r="C5768" s="80" t="s">
        <v>6257</v>
      </c>
      <c r="D5768" s="81" t="str">
        <f>HYPERLINK("https://youtube.com/watch?v=K3xrk1pzUdc", "Cantonese listening practice -The airbnb in Korea (subtitles &amp; PDF) Listening #12")</f>
        <v>Cantonese listening practice -The airbnb in Korea (subtitles &amp; PDF) Listening #12</v>
      </c>
      <c r="E5768" s="82">
        <v>43888.0</v>
      </c>
      <c r="F5768" s="80">
        <v>61.0</v>
      </c>
      <c r="G5768" s="80" t="s">
        <v>63</v>
      </c>
      <c r="I5768" s="80" t="s">
        <v>63</v>
      </c>
      <c r="J5768" s="80">
        <v>143.0</v>
      </c>
      <c r="K5768" s="80">
        <v>0.239530988274706</v>
      </c>
      <c r="L5768" s="80" t="s">
        <v>64</v>
      </c>
    </row>
    <row r="5769">
      <c r="A5769" s="80" t="s">
        <v>6238</v>
      </c>
      <c r="B5769" s="81" t="str">
        <f>HYPERLINK("https://www.youtube.com/channel/UC_ogl0qjBdXrTiZZJ6ltsQQ", "Flat Out 地板油")</f>
        <v>Flat Out 地板油</v>
      </c>
      <c r="C5769" s="80" t="s">
        <v>6258</v>
      </c>
      <c r="D5769" s="81" t="str">
        <f>HYPERLINK("https://youtube.com/watch?v=WKcn26VKUp4", "90萬買「平版」Porsche Taycan有幾齋？電動「波子」血統純正好跑得！連電摺鏡都係Option？| Flat Out Review #FlatOut試車 #地板油")</f>
        <v>90萬買「平版」Porsche Taycan有幾齋？電動「波子」血統純正好跑得！連電摺鏡都係Option？| Flat Out Review #FlatOut試車 #地板油</v>
      </c>
      <c r="E5769" s="82">
        <v>44519.0</v>
      </c>
      <c r="F5769" s="80">
        <v>900.0</v>
      </c>
      <c r="G5769" s="80" t="s">
        <v>63</v>
      </c>
      <c r="I5769" s="80" t="s">
        <v>63</v>
      </c>
      <c r="J5769" s="80">
        <v>2719.0</v>
      </c>
      <c r="K5769" s="80">
        <v>0.799235743680188</v>
      </c>
      <c r="L5769" s="80" t="s">
        <v>64</v>
      </c>
    </row>
    <row r="5770">
      <c r="A5770" s="80" t="s">
        <v>6236</v>
      </c>
      <c r="B5770" s="81" t="str">
        <f t="shared" ref="B5770:B5774" si="313">HYPERLINK("https://www.youtube.com/channel/UCPMsgWJvrkEHE0OpIMtxyYQ", "Comfort鬆")</f>
        <v>Comfort鬆</v>
      </c>
      <c r="C5770" s="80" t="s">
        <v>6259</v>
      </c>
      <c r="D5770" s="81" t="str">
        <f>HYPERLINK("https://youtube.com/watch?v=MYvAcMQuXHQ", "【街訪】交友app流行術語你識幾多個？｜開場白避雷指南｜「最緊要靚仔？」")</f>
        <v>【街訪】交友app流行術語你識幾多個？｜開場白避雷指南｜「最緊要靚仔？」</v>
      </c>
      <c r="E5770" s="82">
        <v>44789.0</v>
      </c>
      <c r="F5770" s="80">
        <v>463.0</v>
      </c>
      <c r="G5770" s="80" t="s">
        <v>63</v>
      </c>
      <c r="I5770" s="80" t="s">
        <v>63</v>
      </c>
      <c r="J5770" s="80">
        <v>1569.0</v>
      </c>
      <c r="K5770" s="80">
        <v>0.81974921630094</v>
      </c>
      <c r="L5770" s="80" t="s">
        <v>64</v>
      </c>
    </row>
    <row r="5771">
      <c r="A5771" s="80" t="s">
        <v>6236</v>
      </c>
      <c r="B5771" s="81" t="str">
        <f t="shared" si="313"/>
        <v>Comfort鬆</v>
      </c>
      <c r="C5771" s="80" t="s">
        <v>6260</v>
      </c>
      <c r="D5771" s="81" t="str">
        <f>HYPERLINK("https://youtube.com/watch?v=A7ELq2MlT3k", "【男友秘笈】挑戰全港最大彈床樂園🔥  除咗跳彈床仲有咩好玩？意外發現呢個世界竟然有人唔識跳🥵")</f>
        <v>【男友秘笈】挑戰全港最大彈床樂園🔥  除咗跳彈床仲有咩好玩？意外發現呢個世界竟然有人唔識跳🥵</v>
      </c>
      <c r="E5771" s="82">
        <v>44768.0</v>
      </c>
      <c r="F5771" s="80">
        <v>353.0</v>
      </c>
      <c r="G5771" s="80" t="s">
        <v>63</v>
      </c>
      <c r="I5771" s="80" t="s">
        <v>63</v>
      </c>
      <c r="J5771" s="80">
        <v>683.0</v>
      </c>
      <c r="K5771" s="80">
        <v>0.916778523489932</v>
      </c>
      <c r="L5771" s="80" t="s">
        <v>64</v>
      </c>
    </row>
    <row r="5772">
      <c r="A5772" s="80" t="s">
        <v>6236</v>
      </c>
      <c r="B5772" s="81" t="str">
        <f t="shared" si="313"/>
        <v>Comfort鬆</v>
      </c>
      <c r="C5772" s="80" t="s">
        <v>6261</v>
      </c>
      <c r="D5772" s="81" t="str">
        <f>HYPERLINK("https://youtube.com/watch?v=6es4Jalmkow", "【男友秘笈】入到大澳一定要搭船仔？原來咁樣都可以玩足全日🥵 （最後仲有超實用祕笈📖）")</f>
        <v>【男友秘笈】入到大澳一定要搭船仔？原來咁樣都可以玩足全日🥵 （最後仲有超實用祕笈📖）</v>
      </c>
      <c r="E5772" s="82">
        <v>44754.0</v>
      </c>
      <c r="F5772" s="80">
        <v>432.0</v>
      </c>
      <c r="G5772" s="80" t="s">
        <v>63</v>
      </c>
      <c r="I5772" s="80" t="s">
        <v>63</v>
      </c>
      <c r="J5772" s="80">
        <v>1458.0</v>
      </c>
      <c r="K5772" s="80">
        <v>0.951076320939334</v>
      </c>
      <c r="L5772" s="80" t="s">
        <v>64</v>
      </c>
    </row>
    <row r="5773">
      <c r="A5773" s="80" t="s">
        <v>6236</v>
      </c>
      <c r="B5773" s="81" t="str">
        <f t="shared" si="313"/>
        <v>Comfort鬆</v>
      </c>
      <c r="C5773" s="80" t="s">
        <v>6262</v>
      </c>
      <c r="D5773" s="81" t="str">
        <f>HYPERLINK("https://youtube.com/watch?v=69LJ_ovKOmE", "（內含giveaway資訊❤️）玩盡Netflix大熱動漫打卡點！亂入咒術迴戰首映禮🙈 到底邊個打卡點最值得去？")</f>
        <v>（內含giveaway資訊❤️）玩盡Netflix大熱動漫打卡點！亂入咒術迴戰首映禮🙈 到底邊個打卡點最值得去？</v>
      </c>
      <c r="E5773" s="82">
        <v>44701.0</v>
      </c>
      <c r="F5773" s="80">
        <v>409.0</v>
      </c>
      <c r="G5773" s="80" t="s">
        <v>63</v>
      </c>
      <c r="I5773" s="80" t="s">
        <v>63</v>
      </c>
      <c r="J5773" s="80">
        <v>1523.0</v>
      </c>
      <c r="K5773" s="80">
        <v>0.892731535756154</v>
      </c>
      <c r="L5773" s="80" t="s">
        <v>64</v>
      </c>
    </row>
    <row r="5774">
      <c r="A5774" s="80" t="s">
        <v>6236</v>
      </c>
      <c r="B5774" s="81" t="str">
        <f t="shared" si="313"/>
        <v>Comfort鬆</v>
      </c>
      <c r="C5774" s="80" t="s">
        <v>6263</v>
      </c>
      <c r="D5774" s="81" t="str">
        <f>HYPERLINK("https://youtube.com/watch?v=xQf8itzLano", "【男友秘笈】試玩中環最新嘉年華 🎡 可能係近年去過最伏嘅嘉年華🥵 意外發現攤位遊戲必殺技🔥")</f>
        <v>【男友秘笈】試玩中環最新嘉年華 🎡 可能係近年去過最伏嘅嘉年華🥵 意外發現攤位遊戲必殺技🔥</v>
      </c>
      <c r="E5774" s="82">
        <v>44761.0</v>
      </c>
      <c r="F5774" s="80">
        <v>418.0</v>
      </c>
      <c r="G5774" s="80" t="s">
        <v>63</v>
      </c>
      <c r="I5774" s="80" t="s">
        <v>63</v>
      </c>
      <c r="J5774" s="80">
        <v>867.0</v>
      </c>
      <c r="K5774" s="80">
        <v>0.819470699432892</v>
      </c>
      <c r="L5774" s="80" t="s">
        <v>64</v>
      </c>
    </row>
    <row r="5775">
      <c r="A5775" s="80" t="s">
        <v>6238</v>
      </c>
      <c r="B5775" s="81" t="str">
        <f>HYPERLINK("https://www.youtube.com/channel/UC_ogl0qjBdXrTiZZJ6ltsQQ", "Flat Out 地板油")</f>
        <v>Flat Out 地板油</v>
      </c>
      <c r="C5775" s="80" t="s">
        <v>6264</v>
      </c>
      <c r="D5775" s="81" t="str">
        <f>HYPERLINK("https://youtube.com/watch?v=yztxy4U5N7A", "湊仔神車！21萬有找日式盒仔空間王Suzuki Bandit Solio安全設備電趟門樣樣齊 兩位Toby湊住細路都冇問題？  | Flat Out Review #FlatOut試車 #地板油")</f>
        <v>湊仔神車！21萬有找日式盒仔空間王Suzuki Bandit Solio安全設備電趟門樣樣齊 兩位Toby湊住細路都冇問題？  | Flat Out Review #FlatOut試車 #地板油</v>
      </c>
      <c r="E5775" s="82">
        <v>44449.0</v>
      </c>
      <c r="F5775" s="80">
        <v>1152.0</v>
      </c>
      <c r="G5775" s="80" t="s">
        <v>63</v>
      </c>
      <c r="I5775" s="80" t="s">
        <v>63</v>
      </c>
      <c r="J5775" s="80">
        <v>13.0</v>
      </c>
      <c r="K5775" s="80">
        <v>0.5</v>
      </c>
      <c r="L5775" s="80" t="s">
        <v>64</v>
      </c>
    </row>
    <row r="5776">
      <c r="A5776" s="80" t="s">
        <v>6236</v>
      </c>
      <c r="B5776" s="81" t="str">
        <f>HYPERLINK("https://www.youtube.com/channel/UCPMsgWJvrkEHE0OpIMtxyYQ", "Comfort鬆")</f>
        <v>Comfort鬆</v>
      </c>
      <c r="C5776" s="80" t="s">
        <v>6265</v>
      </c>
      <c r="D5776" s="81" t="str">
        <f>HYPERLINK("https://youtube.com/watch?v=l62FV1sQguY", "介紹香港隱世貨櫃商場📍竟然喺深水埗搵到韓國景點😱 同場加映奇異博士取景地『雷生春』🎥")</f>
        <v>介紹香港隱世貨櫃商場📍竟然喺深水埗搵到韓國景點😱 同場加映奇異博士取景地『雷生春』🎥</v>
      </c>
      <c r="E5776" s="82">
        <v>44684.0</v>
      </c>
      <c r="F5776" s="80">
        <v>413.0</v>
      </c>
      <c r="G5776" s="80" t="s">
        <v>63</v>
      </c>
      <c r="I5776" s="80" t="s">
        <v>63</v>
      </c>
      <c r="J5776" s="80">
        <v>1306.0</v>
      </c>
      <c r="K5776" s="80">
        <v>0.934860415175375</v>
      </c>
      <c r="L5776" s="80" t="s">
        <v>64</v>
      </c>
    </row>
    <row r="5777">
      <c r="A5777" s="80" t="s">
        <v>6248</v>
      </c>
      <c r="B5777" s="81" t="str">
        <f>HYPERLINK("https://www.youtube.com/channel/UCmlr1is6e9bV34fgg3u0xng", "Ruby.S")</f>
        <v>Ruby.S</v>
      </c>
      <c r="C5777" s="80" t="s">
        <v>6266</v>
      </c>
      <c r="D5777" s="81" t="str">
        <f>HYPERLINK("https://youtube.com/watch?v=QZXYbWs-0ms", "@Ruby.S  [caming⛺️] 30分鐘就到嘅營地｜營地真係有樹精？ ｜第一次自己瞓😵‍💫｜飲水都要飲得健康｜I believe I can Hike Ep35")</f>
        <v>@Ruby.S  [caming⛺️] 30分鐘就到嘅營地｜營地真係有樹精？ ｜第一次自己瞓😵‍💫｜飲水都要飲得健康｜I believe I can Hike Ep35</v>
      </c>
      <c r="E5777" s="82">
        <v>44687.0</v>
      </c>
      <c r="F5777" s="80">
        <v>1844.0</v>
      </c>
      <c r="G5777" s="80" t="s">
        <v>63</v>
      </c>
      <c r="I5777" s="80" t="s">
        <v>63</v>
      </c>
      <c r="J5777" s="80">
        <v>2089.0</v>
      </c>
      <c r="K5777" s="80">
        <v>0.917838312829525</v>
      </c>
      <c r="L5777" s="80" t="s">
        <v>64</v>
      </c>
    </row>
    <row r="5778">
      <c r="A5778" s="80" t="s">
        <v>6238</v>
      </c>
      <c r="B5778" s="81" t="str">
        <f>HYPERLINK("https://www.youtube.com/channel/UC_ogl0qjBdXrTiZZJ6ltsQQ", "Flat Out 地板油")</f>
        <v>Flat Out 地板油</v>
      </c>
      <c r="C5778" s="80" t="s">
        <v>6267</v>
      </c>
      <c r="D5778" s="81" t="str">
        <f>HYPERLINK("https://youtube.com/watch?v=eVkb6lGRh_A", "棍波Hot Hatch！韓國炮仗王Hyundai i30N vs 全港唯一「彎王」Peugeot 308 GTi 大山激劈難分高下？| Flat Out Review #FlatOut試車 #地板油")</f>
        <v>棍波Hot Hatch！韓國炮仗王Hyundai i30N vs 全港唯一「彎王」Peugeot 308 GTi 大山激劈難分高下？| Flat Out Review #FlatOut試車 #地板油</v>
      </c>
      <c r="E5778" s="82">
        <v>44463.0</v>
      </c>
      <c r="F5778" s="80">
        <v>1202.0</v>
      </c>
      <c r="G5778" s="80" t="s">
        <v>63</v>
      </c>
      <c r="I5778" s="80" t="s">
        <v>63</v>
      </c>
      <c r="J5778" s="80">
        <v>13.0</v>
      </c>
      <c r="K5778" s="80">
        <v>0.5</v>
      </c>
      <c r="L5778" s="80" t="s">
        <v>64</v>
      </c>
    </row>
    <row r="5779">
      <c r="A5779" s="80" t="s">
        <v>6236</v>
      </c>
      <c r="B5779" s="81" t="str">
        <f>HYPERLINK("https://www.youtube.com/channel/UCPMsgWJvrkEHE0OpIMtxyYQ", "Comfort鬆")</f>
        <v>Comfort鬆</v>
      </c>
      <c r="C5779" s="80" t="s">
        <v>6268</v>
      </c>
      <c r="D5779" s="81" t="str">
        <f>HYPERLINK("https://youtube.com/watch?v=0j46Msxwd3M", "【尋找香港之旅】￼介紹九展動漫同人誌即賣會｜買咗BL百合寫真集？😳｜訪問女神Coser矢風殿下🤤｜Monna銀包大出血💸")</f>
        <v>【尋找香港之旅】￼介紹九展動漫同人誌即賣會｜買咗BL百合寫真集？😳｜訪問女神Coser矢風殿下🤤｜Monna銀包大出血💸</v>
      </c>
      <c r="E5779" s="82">
        <v>44712.0</v>
      </c>
      <c r="F5779" s="80">
        <v>458.0</v>
      </c>
      <c r="G5779" s="80" t="s">
        <v>63</v>
      </c>
      <c r="I5779" s="80" t="s">
        <v>63</v>
      </c>
      <c r="J5779" s="80">
        <v>1783.0</v>
      </c>
      <c r="K5779" s="80">
        <v>0.864694471387003</v>
      </c>
      <c r="L5779" s="80" t="s">
        <v>64</v>
      </c>
    </row>
    <row r="5780">
      <c r="A5780" s="80" t="s">
        <v>6238</v>
      </c>
      <c r="B5780" s="81" t="str">
        <f>HYPERLINK("https://www.youtube.com/channel/UC_ogl0qjBdXrTiZZJ6ltsQQ", "Flat Out 地板油")</f>
        <v>Flat Out 地板油</v>
      </c>
      <c r="C5780" s="80" t="s">
        <v>6269</v>
      </c>
      <c r="D5780" s="81" t="str">
        <f>HYPERLINK("https://youtube.com/watch?v=XS9dFtpvmeM", "消費者先係大贏家？四大良心日本車比拼最終回 本田Jazz vs 萬事得3 vs 掃把佬XV vs 鈴木Bandit Solio（下集）| Flat Out Battle #FlatOut試車 #地板油")</f>
        <v>消費者先係大贏家？四大良心日本車比拼最終回 本田Jazz vs 萬事得3 vs 掃把佬XV vs 鈴木Bandit Solio（下集）| Flat Out Battle #FlatOut試車 #地板油</v>
      </c>
      <c r="E5780" s="82">
        <v>44471.0</v>
      </c>
      <c r="F5780" s="80">
        <v>1095.0</v>
      </c>
      <c r="G5780" s="80" t="s">
        <v>63</v>
      </c>
      <c r="I5780" s="80" t="s">
        <v>63</v>
      </c>
      <c r="J5780" s="80">
        <v>13.0</v>
      </c>
      <c r="K5780" s="80">
        <v>0.5</v>
      </c>
      <c r="L5780" s="80" t="s">
        <v>64</v>
      </c>
    </row>
    <row r="5781">
      <c r="A5781" s="80" t="s">
        <v>6270</v>
      </c>
      <c r="B5781" s="81" t="str">
        <f>HYPERLINK("https://www.youtube.com/channel/UC-4pRjnTEVXuAS6_n7KROtg", "Captain VL Channel隊長郊遊頻道")</f>
        <v>Captain VL Channel隊長郊遊頻道</v>
      </c>
      <c r="C5781" s="80" t="s">
        <v>6271</v>
      </c>
      <c r="D5781" s="81" t="str">
        <f>HYPERLINK("https://youtube.com/watch?v=tb6_c7ous4Y", "[香港郊遊行山好去處] 八仙嶺|九龍坑 路線指南 -最短距離連接八仙嶺九龍坑 (路線大尾篤,八仙嶺,犁壁山,黃嶺,屏風山,平山仔,沙螺洞, 九龍坑, 大埔頭) 行山郊遊樂 [旁白及字幕版]")</f>
        <v>[香港郊遊行山好去處] 八仙嶺|九龍坑 路線指南 -最短距離連接八仙嶺九龍坑 (路線大尾篤,八仙嶺,犁壁山,黃嶺,屏風山,平山仔,沙螺洞, 九龍坑, 大埔頭) 行山郊遊樂 [旁白及字幕版]</v>
      </c>
      <c r="E5781" s="82">
        <v>43974.0</v>
      </c>
      <c r="F5781" s="80">
        <v>613.0</v>
      </c>
      <c r="G5781" s="80" t="s">
        <v>63</v>
      </c>
      <c r="I5781" s="80" t="s">
        <v>63</v>
      </c>
      <c r="J5781" s="80">
        <v>1668.0</v>
      </c>
      <c r="K5781" s="80">
        <v>0.99167657550535</v>
      </c>
      <c r="L5781" s="80" t="s">
        <v>64</v>
      </c>
    </row>
    <row r="5782">
      <c r="A5782" s="80" t="s">
        <v>6238</v>
      </c>
      <c r="B5782" s="81" t="str">
        <f>HYPERLINK("https://www.youtube.com/channel/UC_ogl0qjBdXrTiZZJ6ltsQQ", "Flat Out 地板油")</f>
        <v>Flat Out 地板油</v>
      </c>
      <c r="C5782" s="80" t="s">
        <v>6272</v>
      </c>
      <c r="D5782" s="81" t="str">
        <f>HYPERLINK("https://youtube.com/watch?v=JzxqtUUHArU", "雙To聖誕亂入HEBEFACE？揸住Mercedes-Benz GLB 250捐窿捐罅搵聖誕港產片場景！三個電影發燒友大鬥法？| Flat Out Drive #FlatOut自駕遊 #地板油")</f>
        <v>雙To聖誕亂入HEBEFACE？揸住Mercedes-Benz GLB 250捐窿捐罅搵聖誕港產片場景！三個電影發燒友大鬥法？| Flat Out Drive #FlatOut自駕遊 #地板油</v>
      </c>
      <c r="E5782" s="82">
        <v>44554.0</v>
      </c>
      <c r="F5782" s="80">
        <v>738.0</v>
      </c>
      <c r="G5782" s="80" t="s">
        <v>63</v>
      </c>
      <c r="I5782" s="80" t="s">
        <v>63</v>
      </c>
      <c r="J5782" s="80">
        <v>2442.0</v>
      </c>
      <c r="K5782" s="80">
        <v>0.872766261615439</v>
      </c>
      <c r="L5782" s="80" t="s">
        <v>64</v>
      </c>
    </row>
    <row r="5783">
      <c r="A5783" s="80" t="s">
        <v>6236</v>
      </c>
      <c r="B5783" s="81" t="str">
        <f>HYPERLINK("https://www.youtube.com/channel/UCPMsgWJvrkEHE0OpIMtxyYQ", "Comfort鬆")</f>
        <v>Comfort鬆</v>
      </c>
      <c r="C5783" s="80" t="s">
        <v>6273</v>
      </c>
      <c r="D5783" s="81" t="str">
        <f>HYPERLINK("https://youtube.com/watch?v=f8XEudqmOuc", "【味覺的考驗】￼將薩莉亞變成高級餐廳🥵 唔使300蚊就食到意大利名菜？｜￼介紹薩莉亞隱世食法🤤")</f>
        <v>【味覺的考驗】￼將薩莉亞變成高級餐廳🥵 唔使300蚊就食到意大利名菜？｜￼介紹薩莉亞隱世食法🤤</v>
      </c>
      <c r="E5783" s="82">
        <v>44687.0</v>
      </c>
      <c r="F5783" s="80">
        <v>434.0</v>
      </c>
      <c r="G5783" s="80" t="s">
        <v>63</v>
      </c>
      <c r="I5783" s="80" t="s">
        <v>63</v>
      </c>
      <c r="J5783" s="80">
        <v>1832.0</v>
      </c>
      <c r="K5783" s="80">
        <v>0.918756268806419</v>
      </c>
      <c r="L5783" s="80" t="s">
        <v>64</v>
      </c>
    </row>
    <row r="5784">
      <c r="A5784" s="80" t="s">
        <v>6248</v>
      </c>
      <c r="B5784" s="81" t="str">
        <f>HYPERLINK("https://www.youtube.com/channel/UCmlr1is6e9bV34fgg3u0xng", "Ruby.S")</f>
        <v>Ruby.S</v>
      </c>
      <c r="C5784" s="80" t="s">
        <v>6274</v>
      </c>
      <c r="D5784" s="81" t="str">
        <f>HYPERLINK("https://youtube.com/watch?v=qDyDIJqy6Tk", "［考牌路線］考牌失敗😭 | 行山唔係為咗考牌| 逆走會唔會輕鬆啲?｜ 同伴先係最重要‼️｜ 時間規劃好大問題｜ I believe I can hike Ep23")</f>
        <v>［考牌路線］考牌失敗😭 | 行山唔係為咗考牌| 逆走會唔會輕鬆啲?｜ 同伴先係最重要‼️｜ 時間規劃好大問題｜ I believe I can hike Ep23</v>
      </c>
      <c r="E5784" s="82">
        <v>44581.0</v>
      </c>
      <c r="F5784" s="80">
        <v>948.0</v>
      </c>
      <c r="G5784" s="80" t="s">
        <v>63</v>
      </c>
      <c r="I5784" s="80" t="s">
        <v>63</v>
      </c>
      <c r="J5784" s="80">
        <v>1187.0</v>
      </c>
      <c r="K5784" s="80">
        <v>0.876014760147601</v>
      </c>
      <c r="L5784" s="80" t="s">
        <v>64</v>
      </c>
    </row>
    <row r="5785">
      <c r="A5785" s="80" t="s">
        <v>6238</v>
      </c>
      <c r="B5785" s="81" t="str">
        <f>HYPERLINK("https://www.youtube.com/channel/UC_ogl0qjBdXrTiZZJ6ltsQQ", "Flat Out 地板油")</f>
        <v>Flat Out 地板油</v>
      </c>
      <c r="C5785" s="80" t="s">
        <v>6275</v>
      </c>
      <c r="D5785" s="81" t="str">
        <f>HYPERLINK("https://youtube.com/watch?v=_ttE94X3PQk", "鬥快！返工時間逃出屯門 屯馬線 vs. Volvo XC40 vs. Yamaha MT03 兵分三路出尖咀 屯馬／屯赤／屯公邊個最快？ | Flat Out Race #FlatOut鬥快 #地板油")</f>
        <v>鬥快！返工時間逃出屯門 屯馬線 vs. Volvo XC40 vs. Yamaha MT03 兵分三路出尖咀 屯馬／屯赤／屯公邊個最快？ | Flat Out Race #FlatOut鬥快 #地板油</v>
      </c>
      <c r="E5785" s="82">
        <v>44421.0</v>
      </c>
      <c r="F5785" s="80">
        <v>1167.0</v>
      </c>
      <c r="G5785" s="80" t="s">
        <v>63</v>
      </c>
      <c r="I5785" s="80" t="s">
        <v>63</v>
      </c>
      <c r="J5785" s="80">
        <v>13.0</v>
      </c>
      <c r="K5785" s="80">
        <v>0.419354838709677</v>
      </c>
      <c r="L5785" s="80" t="s">
        <v>64</v>
      </c>
    </row>
    <row r="5786">
      <c r="A5786" s="80" t="s">
        <v>6276</v>
      </c>
      <c r="B5786" s="81" t="str">
        <f>HYPERLINK("https://www.youtube.com/channel/UCExSyW50ydvz6p4FioP58zw", "Mike Yuen 袁竣鋒")</f>
        <v>Mike Yuen 袁竣鋒</v>
      </c>
      <c r="C5786" s="80" t="s">
        <v>6277</v>
      </c>
      <c r="D5786" s="81" t="str">
        <f>HYPERLINK("https://youtube.com/watch?v=Hln1AoGjVt8", "台北&amp;香港壽司郎vlog|當年無想像過會無得去旅行|網上創作食法 #壽司郎 #sushiro")</f>
        <v>台北&amp;香港壽司郎vlog|當年無想像過會無得去旅行|網上創作食法 #壽司郎 #sushiro</v>
      </c>
      <c r="E5786" s="82">
        <v>44314.0</v>
      </c>
      <c r="F5786" s="80">
        <v>492.0</v>
      </c>
      <c r="G5786" s="80" t="s">
        <v>63</v>
      </c>
      <c r="I5786" s="80" t="s">
        <v>63</v>
      </c>
      <c r="J5786" s="80">
        <v>1024.0</v>
      </c>
      <c r="K5786" s="80">
        <v>0.849792531120331</v>
      </c>
      <c r="L5786" s="80" t="s">
        <v>64</v>
      </c>
    </row>
    <row r="5787">
      <c r="A5787" s="80" t="s">
        <v>6248</v>
      </c>
      <c r="B5787" s="81" t="str">
        <f>HYPERLINK("https://www.youtube.com/channel/UCmlr1is6e9bV34fgg3u0xng", "Ruby.S")</f>
        <v>Ruby.S</v>
      </c>
      <c r="C5787" s="80" t="s">
        <v>6278</v>
      </c>
      <c r="D5787" s="81" t="str">
        <f>HYPERLINK("https://youtube.com/watch?v=4p-5zfEneV4", "@Ruby.S  [打卡必去]  大嶼山行山路線｜ 天帝之床真係舒服｜戴口罩令到我暈陀陀😵‍💫 I 點解咁小人去蓮花山？ ｜ I believe I can hike Ep27")</f>
        <v>@Ruby.S  [打卡必去]  大嶼山行山路線｜ 天帝之床真係舒服｜戴口罩令到我暈陀陀😵‍💫 I 點解咁小人去蓮花山？ ｜ I believe I can hike Ep27</v>
      </c>
      <c r="E5787" s="82">
        <v>44622.0</v>
      </c>
      <c r="F5787" s="80">
        <v>1341.0</v>
      </c>
      <c r="G5787" s="80" t="s">
        <v>63</v>
      </c>
      <c r="I5787" s="80" t="s">
        <v>63</v>
      </c>
      <c r="J5787" s="80">
        <v>1609.0</v>
      </c>
      <c r="K5787" s="80">
        <v>0.924712643678161</v>
      </c>
      <c r="L5787" s="80" t="s">
        <v>64</v>
      </c>
    </row>
    <row r="5788">
      <c r="A5788" s="80" t="s">
        <v>6238</v>
      </c>
      <c r="B5788" s="81" t="str">
        <f>HYPERLINK("https://www.youtube.com/channel/UC_ogl0qjBdXrTiZZJ6ltsQQ", "Flat Out 地板油")</f>
        <v>Flat Out 地板油</v>
      </c>
      <c r="C5788" s="80" t="s">
        <v>6279</v>
      </c>
      <c r="D5788" s="81" t="str">
        <f>HYPERLINK("https://youtube.com/watch?v=LrP_Atlcgac", "死火！60年代哈利波特飛天車Ford Anglia 39匹馬力飛出尖沙咀有冇難度？| Flat Out Review #FlatOut卡式台 #地板油 #harrypotter")</f>
        <v>死火！60年代哈利波特飛天車Ford Anglia 39匹馬力飛出尖沙咀有冇難度？| Flat Out Review #FlatOut卡式台 #地板油 #harrypotter</v>
      </c>
      <c r="E5788" s="82">
        <v>44435.0</v>
      </c>
      <c r="F5788" s="80">
        <v>1210.0</v>
      </c>
      <c r="G5788" s="80" t="s">
        <v>63</v>
      </c>
      <c r="I5788" s="80" t="s">
        <v>63</v>
      </c>
      <c r="J5788" s="80">
        <v>13.0</v>
      </c>
      <c r="K5788" s="80">
        <v>0.481481481481481</v>
      </c>
      <c r="L5788" s="80" t="s">
        <v>64</v>
      </c>
    </row>
    <row r="5789">
      <c r="A5789" s="80" t="s">
        <v>6236</v>
      </c>
      <c r="B5789" s="81" t="str">
        <f>HYPERLINK("https://www.youtube.com/channel/UCPMsgWJvrkEHE0OpIMtxyYQ", "Comfort鬆")</f>
        <v>Comfort鬆</v>
      </c>
      <c r="C5789" s="80" t="s">
        <v>6280</v>
      </c>
      <c r="D5789" s="81" t="str">
        <f>HYPERLINK("https://youtube.com/watch?v=M91QN19mqVs", "【味覺的考驗】挑戰韓國辣雞麵🍜 加芝士同埋吞拿魚飯糰又會有咩味道？到底辣雞麵有幾辣🤔")</f>
        <v>【味覺的考驗】挑戰韓國辣雞麵🍜 加芝士同埋吞拿魚飯糰又會有咩味道？到底辣雞麵有幾辣🤔</v>
      </c>
      <c r="E5789" s="82">
        <v>44642.0</v>
      </c>
      <c r="F5789" s="80">
        <v>327.0</v>
      </c>
      <c r="G5789" s="80" t="s">
        <v>63</v>
      </c>
      <c r="I5789" s="80" t="s">
        <v>63</v>
      </c>
      <c r="J5789" s="80">
        <v>835.0</v>
      </c>
      <c r="K5789" s="80">
        <v>0.94563986409966</v>
      </c>
      <c r="L5789" s="80" t="s">
        <v>64</v>
      </c>
    </row>
    <row r="5790">
      <c r="A5790" s="80" t="s">
        <v>6248</v>
      </c>
      <c r="B5790" s="81" t="str">
        <f t="shared" ref="B5790:B5791" si="314">HYPERLINK("https://www.youtube.com/channel/UCmlr1is6e9bV34fgg3u0xng", "Ruby.S")</f>
        <v>Ruby.S</v>
      </c>
      <c r="C5790" s="80" t="s">
        <v>6281</v>
      </c>
      <c r="D5790" s="81" t="str">
        <f>HYPERLINK("https://youtube.com/watch?v=1KtvbrTFByU", "@Ruby.S ［危險路線］地圖都搵唔到？| 點解我要爬呢d路😳| 原來已經係簡易版西崖｜ 西坑又係跣住行😞｜ I believe I can hike EP28 🙌🏻")</f>
        <v>@Ruby.S ［危險路線］地圖都搵唔到？| 點解我要爬呢d路😳| 原來已經係簡易版西崖｜ 西坑又係跣住行😞｜ I believe I can hike EP28 🙌🏻</v>
      </c>
      <c r="E5790" s="82">
        <v>44629.0</v>
      </c>
      <c r="F5790" s="80">
        <v>1388.0</v>
      </c>
      <c r="G5790" s="80" t="s">
        <v>63</v>
      </c>
      <c r="I5790" s="80" t="s">
        <v>63</v>
      </c>
      <c r="J5790" s="80">
        <v>1199.0</v>
      </c>
      <c r="K5790" s="80">
        <v>0.954617834394904</v>
      </c>
      <c r="L5790" s="80" t="s">
        <v>64</v>
      </c>
    </row>
    <row r="5791">
      <c r="A5791" s="80" t="s">
        <v>6248</v>
      </c>
      <c r="B5791" s="81" t="str">
        <f t="shared" si="314"/>
        <v>Ruby.S</v>
      </c>
      <c r="C5791" s="80" t="s">
        <v>6282</v>
      </c>
      <c r="D5791" s="81" t="str">
        <f>HYPERLINK("https://youtube.com/watch?v=AhNhzwB4JlA", "@Ruby.S ［探石之旅] 女婆山唔係重點| 得意嘅石多到過咗都唔知｜ 有人話摸咗會生BB｜仲可以出pool? | 休閒效遊探石之旅 ｜ I believe I can hike ep31")</f>
        <v>@Ruby.S ［探石之旅] 女婆山唔係重點| 得意嘅石多到過咗都唔知｜ 有人話摸咗會生BB｜仲可以出pool? | 休閒效遊探石之旅 ｜ I believe I can hike ep31</v>
      </c>
      <c r="E5791" s="82">
        <v>44655.0</v>
      </c>
      <c r="F5791" s="80">
        <v>1211.0</v>
      </c>
      <c r="G5791" s="80" t="s">
        <v>63</v>
      </c>
      <c r="I5791" s="80" t="s">
        <v>63</v>
      </c>
      <c r="J5791" s="80">
        <v>1993.0</v>
      </c>
      <c r="K5791" s="80">
        <v>0.936120244246124</v>
      </c>
      <c r="L5791" s="80" t="s">
        <v>64</v>
      </c>
    </row>
    <row r="5792">
      <c r="A5792" s="80" t="s">
        <v>6236</v>
      </c>
      <c r="B5792" s="81" t="str">
        <f t="shared" ref="B5792:B5793" si="315">HYPERLINK("https://www.youtube.com/channel/UCPMsgWJvrkEHE0OpIMtxyYQ", "Comfort鬆")</f>
        <v>Comfort鬆</v>
      </c>
      <c r="C5792" s="80" t="s">
        <v>6283</v>
      </c>
      <c r="D5792" s="81" t="str">
        <f>HYPERLINK("https://youtube.com/watch?v=a4g7VvG8lXQ", "【街訪】女朋友著得太性感點算？💦 咁性感真係為咗博人𥄫？😈各位男友接招啦！🙊")</f>
        <v>【街訪】女朋友著得太性感點算？💦 咁性感真係為咗博人𥄫？😈各位男友接招啦！🙊</v>
      </c>
      <c r="E5792" s="82">
        <v>44708.0</v>
      </c>
      <c r="F5792" s="80">
        <v>400.0</v>
      </c>
      <c r="G5792" s="80" t="s">
        <v>63</v>
      </c>
      <c r="I5792" s="80" t="s">
        <v>63</v>
      </c>
      <c r="J5792" s="80">
        <v>1491.0</v>
      </c>
      <c r="K5792" s="80">
        <v>0.922648514851485</v>
      </c>
      <c r="L5792" s="80" t="s">
        <v>64</v>
      </c>
    </row>
    <row r="5793">
      <c r="A5793" s="80" t="s">
        <v>6236</v>
      </c>
      <c r="B5793" s="81" t="str">
        <f t="shared" si="315"/>
        <v>Comfort鬆</v>
      </c>
      <c r="C5793" s="80" t="s">
        <v>6284</v>
      </c>
      <c r="D5793" s="81" t="str">
        <f>HYPERLINK("https://youtube.com/watch?v=ABPn6FaHhqs", "【味覺的考驗】可能係食過最 CLS 嘅雞蛋仔🥵 點解可以辣到咁嘅地步🔥 食到差啲中暑嘅一集味覺的考驗🤮")</f>
        <v>【味覺的考驗】可能係食過最 CLS 嘅雞蛋仔🥵 點解可以辣到咁嘅地步🔥 食到差啲中暑嘅一集味覺的考驗🤮</v>
      </c>
      <c r="E5793" s="82">
        <v>44740.0</v>
      </c>
      <c r="F5793" s="80">
        <v>328.0</v>
      </c>
      <c r="G5793" s="80" t="s">
        <v>63</v>
      </c>
      <c r="I5793" s="80" t="s">
        <v>63</v>
      </c>
      <c r="J5793" s="80">
        <v>1084.0</v>
      </c>
      <c r="K5793" s="80">
        <v>0.916314454775993</v>
      </c>
      <c r="L5793" s="80" t="s">
        <v>64</v>
      </c>
    </row>
    <row r="5794">
      <c r="A5794" s="80" t="s">
        <v>6248</v>
      </c>
      <c r="B5794" s="81" t="str">
        <f t="shared" ref="B5794:B5795" si="316">HYPERLINK("https://www.youtube.com/channel/UCmlr1is6e9bV34fgg3u0xng", "Ruby.S")</f>
        <v>Ruby.S</v>
      </c>
      <c r="C5794" s="80" t="s">
        <v>6285</v>
      </c>
      <c r="D5794" s="81" t="str">
        <f>HYPERLINK("https://youtube.com/watch?v=gwuPMnDYTAA", "@Ruby.S [資深危險⚠️路線］I believe I can hike Ep21 | 近期熱爆路線｜懸崖迫爆人| 天涯石窗｜ 跨天懸門 點解咁熱門? | 行山可以買保險｜")</f>
        <v>@Ruby.S [資深危險⚠️路線］I believe I can hike Ep21 | 近期熱爆路線｜懸崖迫爆人| 天涯石窗｜ 跨天懸門 點解咁熱門? | 行山可以買保險｜</v>
      </c>
      <c r="E5794" s="82">
        <v>44565.0</v>
      </c>
      <c r="F5794" s="80">
        <v>1058.0</v>
      </c>
      <c r="G5794" s="80" t="s">
        <v>63</v>
      </c>
      <c r="I5794" s="80" t="s">
        <v>63</v>
      </c>
      <c r="J5794" s="80">
        <v>994.0</v>
      </c>
      <c r="K5794" s="80">
        <v>0.909423604757548</v>
      </c>
      <c r="L5794" s="80" t="s">
        <v>64</v>
      </c>
    </row>
    <row r="5795">
      <c r="A5795" s="80" t="s">
        <v>6248</v>
      </c>
      <c r="B5795" s="81" t="str">
        <f t="shared" si="316"/>
        <v>Ruby.S</v>
      </c>
      <c r="C5795" s="80" t="s">
        <v>6286</v>
      </c>
      <c r="D5795" s="81" t="str">
        <f>HYPERLINK("https://youtube.com/watch?v=3AB3C5j3NcU", "@Ruby.S [打卡必去路線］ 港版棉花堡｜ 東龍島🗻 | 一生人一定要去一次白崖｜ 成地都係雪❄️| 打卡+航拍｜ I believe I can hike EP34")</f>
        <v>@Ruby.S [打卡必去路線］ 港版棉花堡｜ 東龍島🗻 | 一生人一定要去一次白崖｜ 成地都係雪❄️| 打卡+航拍｜ I believe I can hike EP34</v>
      </c>
      <c r="E5795" s="82">
        <v>44672.0</v>
      </c>
      <c r="F5795" s="80">
        <v>1140.0</v>
      </c>
      <c r="G5795" s="80" t="s">
        <v>63</v>
      </c>
      <c r="I5795" s="80" t="s">
        <v>63</v>
      </c>
      <c r="J5795" s="80">
        <v>1206.0</v>
      </c>
      <c r="K5795" s="80">
        <v>0.959427207637231</v>
      </c>
      <c r="L5795" s="80" t="s">
        <v>64</v>
      </c>
    </row>
    <row r="5796">
      <c r="A5796" s="80" t="s">
        <v>6236</v>
      </c>
      <c r="B5796" s="81" t="str">
        <f>HYPERLINK("https://www.youtube.com/channel/UCPMsgWJvrkEHE0OpIMtxyYQ", "Comfort鬆")</f>
        <v>Comfort鬆</v>
      </c>
      <c r="C5796" s="80" t="s">
        <v>6287</v>
      </c>
      <c r="D5796" s="81" t="str">
        <f>HYPERLINK("https://youtube.com/watch?v=8e0OcZs9ZVg", "【突發】追鐵初體驗！帶你經歷最瘋狂嘅搭車經歷🔥 首次參與地鐵馬拉松🚉")</f>
        <v>【突發】追鐵初體驗！帶你經歷最瘋狂嘅搭車經歷🔥 首次參與地鐵馬拉松🚉</v>
      </c>
      <c r="E5796" s="82">
        <v>44696.0</v>
      </c>
      <c r="F5796" s="80">
        <v>480.0</v>
      </c>
      <c r="G5796" s="80" t="s">
        <v>63</v>
      </c>
      <c r="I5796" s="80" t="s">
        <v>63</v>
      </c>
      <c r="J5796" s="80">
        <v>1287.0</v>
      </c>
      <c r="K5796" s="80">
        <v>0.952627683197631</v>
      </c>
      <c r="L5796" s="80" t="s">
        <v>64</v>
      </c>
    </row>
    <row r="5797">
      <c r="A5797" s="80" t="s">
        <v>6248</v>
      </c>
      <c r="B5797" s="81" t="str">
        <f t="shared" ref="B5797:B5798" si="317">HYPERLINK("https://www.youtube.com/channel/UCmlr1is6e9bV34fgg3u0xng", "Ruby.S")</f>
        <v>Ruby.S</v>
      </c>
      <c r="C5797" s="80" t="s">
        <v>6288</v>
      </c>
      <c r="D5797" s="81" t="str">
        <f>HYPERLINK("https://youtube.com/watch?v=-1hnkDvijls", "@Ruby.S ［危險路線⚠️］ 全程體力考驗｜真心比6星🌟| 感覺最危險嘅一次😵‍💫｜ I believe I can hike Ep30 | 新手不宜🙏🏻")</f>
        <v>@Ruby.S ［危險路線⚠️］ 全程體力考驗｜真心比6星🌟| 感覺最危險嘅一次😵‍💫｜ I believe I can hike Ep30 | 新手不宜🙏🏻</v>
      </c>
      <c r="E5797" s="82">
        <v>44643.0</v>
      </c>
      <c r="F5797" s="80">
        <v>1888.0</v>
      </c>
      <c r="G5797" s="80" t="s">
        <v>63</v>
      </c>
      <c r="I5797" s="80" t="s">
        <v>63</v>
      </c>
      <c r="J5797" s="80">
        <v>2133.0</v>
      </c>
      <c r="K5797" s="80">
        <v>0.93103448275862</v>
      </c>
      <c r="L5797" s="80" t="s">
        <v>64</v>
      </c>
    </row>
    <row r="5798">
      <c r="A5798" s="80" t="s">
        <v>6248</v>
      </c>
      <c r="B5798" s="81" t="str">
        <f t="shared" si="317"/>
        <v>Ruby.S</v>
      </c>
      <c r="C5798" s="80" t="s">
        <v>6289</v>
      </c>
      <c r="D5798" s="81" t="str">
        <f>HYPERLINK("https://youtube.com/watch?v=BbiBF3Hfqbc", "@Ruby.S [簡易BB路線 ] 第一次航拍🥹｜ 格仔山打卡最啱| 輕鬆易行小山 | 30分鐘登頂｜郊遊日落隨時睇 | 飯後散步一流 | 1 believe I can hike EP 36")</f>
        <v>@Ruby.S [簡易BB路線 ] 第一次航拍🥹｜ 格仔山打卡最啱| 輕鬆易行小山 | 30分鐘登頂｜郊遊日落隨時睇 | 飯後散步一流 | 1 believe I can hike EP 36</v>
      </c>
      <c r="E5798" s="82">
        <v>44698.0</v>
      </c>
      <c r="F5798" s="80">
        <v>1229.0</v>
      </c>
      <c r="G5798" s="80" t="s">
        <v>63</v>
      </c>
      <c r="I5798" s="80" t="s">
        <v>63</v>
      </c>
      <c r="J5798" s="80">
        <v>2042.0</v>
      </c>
      <c r="K5798" s="80">
        <v>0.960489181561618</v>
      </c>
      <c r="L5798" s="80" t="s">
        <v>64</v>
      </c>
    </row>
    <row r="5799">
      <c r="A5799" s="80" t="s">
        <v>6290</v>
      </c>
      <c r="B5799" s="81" t="str">
        <f>HYPERLINK("https://www.youtube.com/channel/UCqz7Q8gOavVi_ZiGHePvLug", "商業電台 Hong Kong Toolbar")</f>
        <v>商業電台 Hong Kong Toolbar</v>
      </c>
      <c r="C5799" s="80" t="s">
        <v>6291</v>
      </c>
      <c r="D5799" s="81" t="str">
        <f>HYPERLINK("https://youtube.com/watch?v=IKcrOPeDEzM", "【早霸王Special】地道星期二影院：返工")</f>
        <v>【早霸王Special】地道星期二影院：返工</v>
      </c>
      <c r="E5799" s="82">
        <v>43361.0</v>
      </c>
      <c r="F5799" s="80">
        <v>55.0</v>
      </c>
      <c r="G5799" s="80" t="s">
        <v>63</v>
      </c>
      <c r="I5799" s="80" t="s">
        <v>63</v>
      </c>
      <c r="J5799" s="80">
        <v>192.0</v>
      </c>
      <c r="K5799" s="80">
        <v>0.974619289340101</v>
      </c>
      <c r="L5799" s="80" t="s">
        <v>64</v>
      </c>
    </row>
    <row r="5800">
      <c r="A5800" s="80" t="s">
        <v>6236</v>
      </c>
      <c r="B5800" s="81" t="str">
        <f t="shared" ref="B5800:B5802" si="318">HYPERLINK("https://www.youtube.com/channel/UCPMsgWJvrkEHE0OpIMtxyYQ", "Comfort鬆")</f>
        <v>Comfort鬆</v>
      </c>
      <c r="C5800" s="80" t="s">
        <v>6292</v>
      </c>
      <c r="D5800" s="81" t="str">
        <f>HYPERLINK("https://youtube.com/watch?v=HHJOasqXfAM", "【味覺的考驗】試食三款網上大熱月餅🥮 三文魚整嘅月餅到底係咪劣食🥵  水晶榴槤月餅竟然有真嘅榴槤肉？")</f>
        <v>【味覺的考驗】試食三款網上大熱月餅🥮 三文魚整嘅月餅到底係咪劣食🥵  水晶榴槤月餅竟然有真嘅榴槤肉？</v>
      </c>
      <c r="E5800" s="82">
        <v>44806.0</v>
      </c>
      <c r="F5800" s="80">
        <v>388.0</v>
      </c>
      <c r="G5800" s="80" t="s">
        <v>63</v>
      </c>
      <c r="I5800" s="80" t="s">
        <v>63</v>
      </c>
      <c r="J5800" s="80">
        <v>1457.0</v>
      </c>
      <c r="K5800" s="80">
        <v>0.985791610284167</v>
      </c>
      <c r="L5800" s="80" t="s">
        <v>64</v>
      </c>
    </row>
    <row r="5801">
      <c r="A5801" s="80" t="s">
        <v>6236</v>
      </c>
      <c r="B5801" s="81" t="str">
        <f t="shared" si="318"/>
        <v>Comfort鬆</v>
      </c>
      <c r="C5801" s="80" t="s">
        <v>6293</v>
      </c>
      <c r="D5801" s="81" t="str">
        <f>HYPERLINK("https://youtube.com/watch?v=b3J4itzJUhY", "【街訪】Mkpop同Mirror Collar嘅分別係...？香港樂壇傳奇定時代的眼淚？90後嘅童年回憶！")</f>
        <v>【街訪】Mkpop同Mirror Collar嘅分別係...？香港樂壇傳奇定時代的眼淚？90後嘅童年回憶！</v>
      </c>
      <c r="E5801" s="82">
        <v>44743.0</v>
      </c>
      <c r="F5801" s="80">
        <v>359.0</v>
      </c>
      <c r="G5801" s="80" t="s">
        <v>63</v>
      </c>
      <c r="I5801" s="80" t="s">
        <v>63</v>
      </c>
      <c r="J5801" s="80">
        <v>993.0</v>
      </c>
      <c r="K5801" s="80">
        <v>0.874889867841409</v>
      </c>
      <c r="L5801" s="80" t="s">
        <v>64</v>
      </c>
    </row>
    <row r="5802">
      <c r="A5802" s="80" t="s">
        <v>6236</v>
      </c>
      <c r="B5802" s="81" t="str">
        <f t="shared" si="318"/>
        <v>Comfort鬆</v>
      </c>
      <c r="C5802" s="80" t="s">
        <v>6294</v>
      </c>
      <c r="D5802" s="81" t="str">
        <f>HYPERLINK("https://youtube.com/watch?v=_HbzlbhgeOY", "試食譚仔新出寬麵｜理想與現實落差太大？｜基基第一次挑戰3小 辣到哽親")</f>
        <v>試食譚仔新出寬麵｜理想與現實落差太大？｜基基第一次挑戰3小 辣到哽親</v>
      </c>
      <c r="E5802" s="82">
        <v>44750.0</v>
      </c>
      <c r="F5802" s="80">
        <v>313.0</v>
      </c>
      <c r="G5802" s="80" t="s">
        <v>63</v>
      </c>
      <c r="I5802" s="80" t="s">
        <v>63</v>
      </c>
      <c r="J5802" s="80">
        <v>1394.0</v>
      </c>
      <c r="K5802" s="80">
        <v>0.964038727524204</v>
      </c>
      <c r="L5802" s="80" t="s">
        <v>64</v>
      </c>
    </row>
    <row r="5803">
      <c r="A5803" s="80" t="s">
        <v>6253</v>
      </c>
      <c r="B5803" s="81" t="str">
        <f>HYPERLINK("https://www.youtube.com/channel/UC_CMir5-79t30BQo-krOSjg", "Dr. Joe Wong")</f>
        <v>Dr. Joe Wong</v>
      </c>
      <c r="C5803" s="80" t="s">
        <v>6295</v>
      </c>
      <c r="D5803" s="81" t="str">
        <f>HYPERLINK("https://youtube.com/watch?v=hcy9Y1xoQP0", "3 分鐘踢走肩頸痛DIY")</f>
        <v>3 分鐘踢走肩頸痛DIY</v>
      </c>
      <c r="E5803" s="82">
        <v>44215.0</v>
      </c>
      <c r="F5803" s="80">
        <v>498.0</v>
      </c>
      <c r="G5803" s="80" t="s">
        <v>63</v>
      </c>
      <c r="I5803" s="80" t="s">
        <v>63</v>
      </c>
      <c r="J5803" s="80">
        <v>1018.0</v>
      </c>
      <c r="K5803" s="80">
        <v>0.961284230406043</v>
      </c>
      <c r="L5803" s="80" t="s">
        <v>102</v>
      </c>
    </row>
    <row r="5804">
      <c r="A5804" s="80" t="s">
        <v>6236</v>
      </c>
      <c r="B5804" s="81" t="str">
        <f t="shared" ref="B5804:B5805" si="319">HYPERLINK("https://www.youtube.com/channel/UCPMsgWJvrkEHE0OpIMtxyYQ", "Comfort鬆")</f>
        <v>Comfort鬆</v>
      </c>
      <c r="C5804" s="80" t="s">
        <v>6296</v>
      </c>
      <c r="D5804" s="81" t="str">
        <f>HYPERLINK("https://youtube.com/watch?v=2n5_Jfcs5Y0", "【男友秘笈】夏天拍拖有咩地方去？意外發現Mirror拍攝取景地📷 @Rollalar")</f>
        <v>【男友秘笈】夏天拍拖有咩地方去？意外發現Mirror拍攝取景地📷 @Rollalar</v>
      </c>
      <c r="E5804" s="82">
        <v>44726.0</v>
      </c>
      <c r="F5804" s="80">
        <v>328.0</v>
      </c>
      <c r="G5804" s="80" t="s">
        <v>63</v>
      </c>
      <c r="I5804" s="80" t="s">
        <v>63</v>
      </c>
      <c r="J5804" s="80">
        <v>771.0</v>
      </c>
      <c r="K5804" s="80">
        <v>0.832613390928725</v>
      </c>
      <c r="L5804" s="80" t="s">
        <v>64</v>
      </c>
    </row>
    <row r="5805">
      <c r="A5805" s="80" t="s">
        <v>6236</v>
      </c>
      <c r="B5805" s="81" t="str">
        <f t="shared" si="319"/>
        <v>Comfort鬆</v>
      </c>
      <c r="C5805" s="80" t="s">
        <v>6297</v>
      </c>
      <c r="D5805" s="81" t="str">
        <f>HYPERLINK("https://youtube.com/watch?v=pCrHUu9UuLk", "【味覺的考驗】到底明將壽司係咪真係咁難食？用生命值硬接嘅一次挑戰！（片尾有彩蛋）")</f>
        <v>【味覺的考驗】到底明將壽司係咪真係咁難食？用生命值硬接嘅一次挑戰！（片尾有彩蛋）</v>
      </c>
      <c r="E5805" s="82">
        <v>44663.0</v>
      </c>
      <c r="F5805" s="80">
        <v>517.0</v>
      </c>
      <c r="G5805" s="80" t="s">
        <v>63</v>
      </c>
      <c r="I5805" s="80" t="s">
        <v>63</v>
      </c>
      <c r="J5805" s="80">
        <v>1364.0</v>
      </c>
      <c r="K5805" s="80">
        <v>0.979885057471264</v>
      </c>
      <c r="L5805" s="80" t="s">
        <v>64</v>
      </c>
    </row>
    <row r="5806">
      <c r="A5806" s="80" t="s">
        <v>6238</v>
      </c>
      <c r="B5806" s="81" t="str">
        <f>HYPERLINK("https://www.youtube.com/channel/UC_ogl0qjBdXrTiZZJ6ltsQQ", "Flat Out 地板油")</f>
        <v>Flat Out 地板油</v>
      </c>
      <c r="C5806" s="80" t="s">
        <v>6298</v>
      </c>
      <c r="D5806" s="81" t="str">
        <f>HYPERLINK("https://youtube.com/watch?v=u8zRH8GTBW8", "慳錢！30萬KIA Sorento DIESEL vs 35萬Tesla Model 3 柴油鬥電車究竟邊個最慳家？| Flat Out Review #FlatOut試車 #地板油")</f>
        <v>慳錢！30萬KIA Sorento DIESEL vs 35萬Tesla Model 3 柴油鬥電車究竟邊個最慳家？| Flat Out Review #FlatOut試車 #地板油</v>
      </c>
      <c r="E5806" s="82">
        <v>44400.0</v>
      </c>
      <c r="F5806" s="80">
        <v>1244.0</v>
      </c>
      <c r="G5806" s="80" t="s">
        <v>63</v>
      </c>
      <c r="I5806" s="80" t="s">
        <v>63</v>
      </c>
      <c r="J5806" s="80">
        <v>14.0</v>
      </c>
      <c r="K5806" s="80">
        <v>0.518518518518518</v>
      </c>
      <c r="L5806" s="80" t="s">
        <v>64</v>
      </c>
    </row>
    <row r="5807">
      <c r="A5807" s="80" t="s">
        <v>6248</v>
      </c>
      <c r="B5807" s="81" t="str">
        <f>HYPERLINK("https://www.youtube.com/channel/UCmlr1is6e9bV34fgg3u0xng", "Ruby.S")</f>
        <v>Ruby.S</v>
      </c>
      <c r="C5807" s="80" t="s">
        <v>6299</v>
      </c>
      <c r="D5807" s="81" t="str">
        <f>HYPERLINK("https://youtube.com/watch?v=NszR9eXyduA", "@Ruby.S [閒遊推介］ 西貢大嶺峒新手行山路線| 2小時零難度輕鬆行| 360度無敵大海景＋行山野餐放風箏| I believe I can Hike Ep22| 打卡打到暈｜")</f>
        <v>@Ruby.S [閒遊推介］ 西貢大嶺峒新手行山路線| 2小時零難度輕鬆行| 360度無敵大海景＋行山野餐放風箏| I believe I can Hike Ep22| 打卡打到暈｜</v>
      </c>
      <c r="E5807" s="82">
        <v>44571.0</v>
      </c>
      <c r="F5807" s="80">
        <v>974.0</v>
      </c>
      <c r="G5807" s="80" t="s">
        <v>63</v>
      </c>
      <c r="I5807" s="80" t="s">
        <v>63</v>
      </c>
      <c r="J5807" s="80">
        <v>1347.0</v>
      </c>
      <c r="K5807" s="80">
        <v>0.86015325670498</v>
      </c>
      <c r="L5807" s="80" t="s">
        <v>64</v>
      </c>
    </row>
    <row r="5808">
      <c r="A5808" s="80" t="s">
        <v>6236</v>
      </c>
      <c r="B5808" s="81" t="str">
        <f>HYPERLINK("https://www.youtube.com/channel/UCPMsgWJvrkEHE0OpIMtxyYQ", "Comfort鬆")</f>
        <v>Comfort鬆</v>
      </c>
      <c r="C5808" s="80" t="s">
        <v>6300</v>
      </c>
      <c r="D5808" s="81" t="str">
        <f>HYPERLINK("https://youtube.com/watch?v=9TnM7SqV25o", "【男友秘笈】有得玩仲要有得拎嘅拍拖好去處🤤 開拍以嚟玩得最開心嘅一集男友秘笈🙈 原來咁做可以令對方加分❓❗")</f>
        <v>【男友秘笈】有得玩仲要有得拎嘅拍拖好去處🤤 開拍以嚟玩得最開心嘅一集男友秘笈🙈 原來咁做可以令對方加分❓❗</v>
      </c>
      <c r="E5808" s="82">
        <v>44747.0</v>
      </c>
      <c r="F5808" s="80">
        <v>420.0</v>
      </c>
      <c r="G5808" s="80" t="s">
        <v>63</v>
      </c>
      <c r="I5808" s="80" t="s">
        <v>63</v>
      </c>
      <c r="J5808" s="80">
        <v>1250.0</v>
      </c>
      <c r="K5808" s="80">
        <v>0.941265060240963</v>
      </c>
      <c r="L5808" s="80" t="s">
        <v>64</v>
      </c>
    </row>
    <row r="5809">
      <c r="A5809" s="80" t="s">
        <v>6238</v>
      </c>
      <c r="B5809" s="81" t="str">
        <f>HYPERLINK("https://www.youtube.com/channel/UC_ogl0qjBdXrTiZZJ6ltsQQ", "Flat Out 地板油")</f>
        <v>Flat Out 地板油</v>
      </c>
      <c r="C5809" s="80" t="s">
        <v>6301</v>
      </c>
      <c r="D5809" s="81" t="str">
        <f>HYPERLINK("https://youtube.com/watch?v=S8sj6EWj2YU", "$9,500蚊豐田Echo升值了！10蚊牙膏醫返好「白內障」車頭燈？雙To教你搣甩核突貼紙！Echo DIY Part 1| Flat Out Project Car #FlatOut卡式台 #地板油")</f>
        <v>$9,500蚊豐田Echo升值了！10蚊牙膏醫返好「白內障」車頭燈？雙To教你搣甩核突貼紙！Echo DIY Part 1| Flat Out Project Car #FlatOut卡式台 #地板油</v>
      </c>
      <c r="E5809" s="82">
        <v>44589.0</v>
      </c>
      <c r="F5809" s="80">
        <v>1036.0</v>
      </c>
      <c r="G5809" s="80" t="s">
        <v>63</v>
      </c>
      <c r="I5809" s="80" t="s">
        <v>63</v>
      </c>
      <c r="J5809" s="80">
        <v>2661.0</v>
      </c>
      <c r="K5809" s="80">
        <v>0.884640957446808</v>
      </c>
      <c r="L5809" s="80" t="s">
        <v>64</v>
      </c>
    </row>
    <row r="5810">
      <c r="A5810" s="80" t="s">
        <v>6236</v>
      </c>
      <c r="B5810" s="81" t="str">
        <f>HYPERLINK("https://www.youtube.com/channel/UCPMsgWJvrkEHE0OpIMtxyYQ", "Comfort鬆")</f>
        <v>Comfort鬆</v>
      </c>
      <c r="C5810" s="80" t="s">
        <v>6302</v>
      </c>
      <c r="D5810" s="81" t="str">
        <f>HYPERLINK("https://youtube.com/watch?v=v3xhr_p_NPI", "【味覺的考驗】實測3款傳說中最難食嘅杯麵🍜 真係有煙頭味嘅杯麵🤮 邊款公仔麵食落有日本拉麵嘅感覺🤤")</f>
        <v>【味覺的考驗】實測3款傳說中最難食嘅杯麵🍜 真係有煙頭味嘅杯麵🤮 邊款公仔麵食落有日本拉麵嘅感覺🤤</v>
      </c>
      <c r="E5810" s="82">
        <v>44635.0</v>
      </c>
      <c r="F5810" s="80">
        <v>425.0</v>
      </c>
      <c r="G5810" s="80" t="s">
        <v>63</v>
      </c>
      <c r="I5810" s="80" t="s">
        <v>63</v>
      </c>
      <c r="J5810" s="80">
        <v>1260.0</v>
      </c>
      <c r="K5810" s="80">
        <v>0.928518791451731</v>
      </c>
      <c r="L5810" s="80" t="s">
        <v>64</v>
      </c>
    </row>
    <row r="5811">
      <c r="A5811" s="80" t="s">
        <v>6256</v>
      </c>
      <c r="B5811" s="81" t="str">
        <f>HYPERLINK("https://www.youtube.com/channel/UCyvjZ_erIMy_IWzjwHoXLcQ", "CantoneseHome - Learn Cantonese 學廣東話")</f>
        <v>CantoneseHome - Learn Cantonese 學廣東話</v>
      </c>
      <c r="C5811" s="80" t="s">
        <v>6303</v>
      </c>
      <c r="D5811" s="81" t="str">
        <f>HYPERLINK("https://youtube.com/watch?v=NXu2omDQIAs", "Cantonese listening practice - Home-made dinner - Listening #5")</f>
        <v>Cantonese listening practice - Home-made dinner - Listening #5</v>
      </c>
      <c r="E5811" s="82">
        <v>43675.0</v>
      </c>
      <c r="F5811" s="80">
        <v>66.0</v>
      </c>
      <c r="G5811" s="80" t="s">
        <v>63</v>
      </c>
      <c r="I5811" s="80" t="s">
        <v>63</v>
      </c>
      <c r="J5811" s="80">
        <v>110.0</v>
      </c>
      <c r="K5811" s="80">
        <v>0.407407407407407</v>
      </c>
      <c r="L5811" s="80" t="s">
        <v>64</v>
      </c>
    </row>
    <row r="5812">
      <c r="A5812" s="80" t="s">
        <v>6238</v>
      </c>
      <c r="B5812" s="81" t="str">
        <f>HYPERLINK("https://www.youtube.com/channel/UC_ogl0qjBdXrTiZZJ6ltsQQ", "Flat Out 地板油")</f>
        <v>Flat Out 地板油</v>
      </c>
      <c r="C5812" s="80" t="s">
        <v>6304</v>
      </c>
      <c r="D5812" s="81" t="str">
        <f>HYPERLINK("https://youtube.com/watch?v=CtPBkrQXvo8", "極罕！60年代 巨肺雷鳥襲港 Ford Thunderbird 5米2超長車身單挑九龍城窄巷 長到錶位都泊唔落？| Flat Out Classic #FlatOut卡式台 #地板油")</f>
        <v>極罕！60年代 巨肺雷鳥襲港 Ford Thunderbird 5米2超長車身單挑九龍城窄巷 長到錶位都泊唔落？| Flat Out Classic #FlatOut卡式台 #地板油</v>
      </c>
      <c r="E5812" s="82">
        <v>44405.0</v>
      </c>
      <c r="F5812" s="80">
        <v>1107.0</v>
      </c>
      <c r="G5812" s="80" t="s">
        <v>63</v>
      </c>
      <c r="I5812" s="80" t="s">
        <v>63</v>
      </c>
      <c r="J5812" s="80">
        <v>13.0</v>
      </c>
      <c r="K5812" s="80">
        <v>0.5</v>
      </c>
      <c r="L5812" s="80" t="s">
        <v>64</v>
      </c>
    </row>
    <row r="5813">
      <c r="A5813" s="80" t="s">
        <v>6248</v>
      </c>
      <c r="B5813" s="81" t="str">
        <f>HYPERLINK("https://www.youtube.com/channel/UCmlr1is6e9bV34fgg3u0xng", "Ruby.S")</f>
        <v>Ruby.S</v>
      </c>
      <c r="C5813" s="80" t="s">
        <v>6305</v>
      </c>
      <c r="D5813" s="81" t="str">
        <f>HYPERLINK("https://youtube.com/watch?v=iCz5yn15ZEI", "@Ruby.S  [水系] 夏日水上必去浮潛🤿 | 獨木舟路線🛶 +安全教學｜20分鐘去到羊洲|  連島沙洲超靚水｜I believe I can hike Ep 40｜瑞一寶送奶粉😬")</f>
        <v>@Ruby.S  [水系] 夏日水上必去浮潛🤿 | 獨木舟路線🛶 +安全教學｜20分鐘去到羊洲|  連島沙洲超靚水｜I believe I can hike Ep 40｜瑞一寶送奶粉😬</v>
      </c>
      <c r="E5813" s="82">
        <v>44742.0</v>
      </c>
      <c r="F5813" s="80">
        <v>1410.0</v>
      </c>
      <c r="G5813" s="80" t="s">
        <v>63</v>
      </c>
      <c r="I5813" s="80" t="s">
        <v>63</v>
      </c>
      <c r="J5813" s="80">
        <v>2661.0</v>
      </c>
      <c r="K5813" s="80">
        <v>0.921079958463136</v>
      </c>
      <c r="L5813" s="80" t="s">
        <v>64</v>
      </c>
    </row>
    <row r="5814">
      <c r="A5814" s="80" t="s">
        <v>6236</v>
      </c>
      <c r="B5814" s="81" t="str">
        <f t="shared" ref="B5814:B5815" si="320">HYPERLINK("https://www.youtube.com/channel/UCPMsgWJvrkEHE0OpIMtxyYQ", "Comfort鬆")</f>
        <v>Comfort鬆</v>
      </c>
      <c r="C5814" s="80" t="s">
        <v>6306</v>
      </c>
      <c r="D5814" s="81" t="str">
        <f>HYPERLINK("https://youtube.com/watch?v=9U4hR40h_vk", "實測三款快速測試包 到底邊款先係最好用？家居隔離又可以點保護自己？（Feat. Crystal 中招 第一身視覺及感受）")</f>
        <v>實測三款快速測試包 到底邊款先係最好用？家居隔離又可以點保護自己？（Feat. Crystal 中招 第一身視覺及感受）</v>
      </c>
      <c r="E5814" s="82">
        <v>44621.0</v>
      </c>
      <c r="F5814" s="80">
        <v>372.0</v>
      </c>
      <c r="G5814" s="80" t="s">
        <v>63</v>
      </c>
      <c r="I5814" s="80" t="s">
        <v>63</v>
      </c>
      <c r="J5814" s="80">
        <v>966.0</v>
      </c>
      <c r="K5814" s="80">
        <v>0.89196675900277</v>
      </c>
      <c r="L5814" s="80" t="s">
        <v>64</v>
      </c>
    </row>
    <row r="5815">
      <c r="A5815" s="80" t="s">
        <v>6236</v>
      </c>
      <c r="B5815" s="81" t="str">
        <f t="shared" si="320"/>
        <v>Comfort鬆</v>
      </c>
      <c r="C5815" s="80" t="s">
        <v>6307</v>
      </c>
      <c r="D5815" s="81" t="str">
        <f>HYPERLINK("https://youtube.com/watch?v=RjOM44A3bP0", "【味覺的考驗】實測兩間人氣餅店 到底係咪值得排咁耐？")</f>
        <v>【味覺的考驗】實測兩間人氣餅店 到底係咪值得排咁耐？</v>
      </c>
      <c r="E5815" s="82">
        <v>44670.0</v>
      </c>
      <c r="F5815" s="80">
        <v>400.0</v>
      </c>
      <c r="G5815" s="80" t="s">
        <v>63</v>
      </c>
      <c r="I5815" s="80" t="s">
        <v>63</v>
      </c>
      <c r="J5815" s="80">
        <v>1131.0</v>
      </c>
      <c r="K5815" s="80">
        <v>0.990367775831873</v>
      </c>
      <c r="L5815" s="80" t="s">
        <v>64</v>
      </c>
    </row>
    <row r="5816">
      <c r="A5816" s="80" t="s">
        <v>6238</v>
      </c>
      <c r="B5816" s="81" t="str">
        <f t="shared" ref="B5816:B5818" si="321">HYPERLINK("https://www.youtube.com/channel/UC_ogl0qjBdXrTiZZJ6ltsQQ", "Flat Out 地板油")</f>
        <v>Flat Out 地板油</v>
      </c>
      <c r="C5816" s="80" t="s">
        <v>6308</v>
      </c>
      <c r="D5816" s="81" t="str">
        <f>HYPERLINK("https://youtube.com/watch?v=7XVu7CdFWDY", "鬥快！紅色Benz跑 平治E-Class開篷車 vs 地鐵南港島綫 由尖沙咀鬥快去海洋公園密會水着性感女網友 揸車居然可以快得過搭地鐵？| Flat Out Race #FlatOut鬥快 #地板油")</f>
        <v>鬥快！紅色Benz跑 平治E-Class開篷車 vs 地鐵南港島綫 由尖沙咀鬥快去海洋公園密會水着性感女網友 揸車居然可以快得過搭地鐵？| Flat Out Race #FlatOut鬥快 #地板油</v>
      </c>
      <c r="E5816" s="82">
        <v>44474.0</v>
      </c>
      <c r="F5816" s="80">
        <v>1022.0</v>
      </c>
      <c r="G5816" s="80" t="s">
        <v>63</v>
      </c>
      <c r="I5816" s="80" t="s">
        <v>63</v>
      </c>
      <c r="J5816" s="80">
        <v>13.0</v>
      </c>
      <c r="K5816" s="80">
        <v>0.5</v>
      </c>
      <c r="L5816" s="80" t="s">
        <v>64</v>
      </c>
    </row>
    <row r="5817">
      <c r="A5817" s="80" t="s">
        <v>6238</v>
      </c>
      <c r="B5817" s="81" t="str">
        <f t="shared" si="321"/>
        <v>Flat Out 地板油</v>
      </c>
      <c r="C5817" s="80" t="s">
        <v>6309</v>
      </c>
      <c r="D5817" s="81" t="str">
        <f>HYPERLINK("https://youtube.com/watch?v=3CMm8LAyiBk", "平玩！21萬有找掃把佬全時四驅SUV Subaru XV 2.0i野外郊遊無懼風雨衝水氹都冇有怕？ | Flat Out Review #FlatOut試車 #地板油 #村屋救星")</f>
        <v>平玩！21萬有找掃把佬全時四驅SUV Subaru XV 2.0i野外郊遊無懼風雨衝水氹都冇有怕？ | Flat Out Review #FlatOut試車 #地板油 #村屋救星</v>
      </c>
      <c r="E5817" s="82">
        <v>44407.0</v>
      </c>
      <c r="F5817" s="80">
        <v>1416.0</v>
      </c>
      <c r="G5817" s="80" t="s">
        <v>63</v>
      </c>
      <c r="I5817" s="80" t="s">
        <v>63</v>
      </c>
      <c r="J5817" s="80">
        <v>11.0</v>
      </c>
      <c r="K5817" s="80">
        <v>0.458333333333333</v>
      </c>
      <c r="L5817" s="80" t="s">
        <v>64</v>
      </c>
    </row>
    <row r="5818">
      <c r="A5818" s="80" t="s">
        <v>6238</v>
      </c>
      <c r="B5818" s="81" t="str">
        <f t="shared" si="321"/>
        <v>Flat Out 地板油</v>
      </c>
      <c r="C5818" s="80" t="s">
        <v>6310</v>
      </c>
      <c r="D5818" s="81" t="str">
        <f>HYPERLINK("https://youtube.com/watch?v=AmcfhOEfVlU", "元朗都市傳聞大破解！由元朗大球場去元朗西鐵站真係需要38分鐘？ 雙To兵分兩路實試結果居然有驚喜？| Flat Out Mythbuster #FlatOut大破解 #地板油 #元朗 #都市傳聞")</f>
        <v>元朗都市傳聞大破解！由元朗大球場去元朗西鐵站真係需要38分鐘？ 雙To兵分兩路實試結果居然有驚喜？| Flat Out Mythbuster #FlatOut大破解 #地板油 #元朗 #都市傳聞</v>
      </c>
      <c r="E5818" s="82">
        <v>44491.0</v>
      </c>
      <c r="F5818" s="80">
        <v>793.0</v>
      </c>
      <c r="G5818" s="80" t="s">
        <v>63</v>
      </c>
      <c r="I5818" s="80" t="s">
        <v>63</v>
      </c>
      <c r="J5818" s="80">
        <v>13.0</v>
      </c>
      <c r="K5818" s="80">
        <v>0.5</v>
      </c>
      <c r="L5818" s="80" t="s">
        <v>64</v>
      </c>
    </row>
    <row r="5819">
      <c r="A5819" s="80" t="s">
        <v>6248</v>
      </c>
      <c r="B5819" s="81" t="str">
        <f>HYPERLINK("https://www.youtube.com/channel/UCmlr1is6e9bV34fgg3u0xng", "Ruby.S")</f>
        <v>Ruby.S</v>
      </c>
      <c r="C5819" s="80" t="s">
        <v>6311</v>
      </c>
      <c r="D5819" s="81" t="str">
        <f>HYPERLINK("https://youtube.com/watch?v=DDE-5Mt9eOg", "@Ruby.S  [打卡路線]  而家去旅行隔離要幾錢？|疊石陣真係好震撼| 3小時完成｜ 打卡+吹海風又一靚景｜ I believe I can hike ep32")</f>
        <v>@Ruby.S  [打卡路線]  而家去旅行隔離要幾錢？|疊石陣真係好震撼| 3小時完成｜ 打卡+吹海風又一靚景｜ I believe I can hike ep32</v>
      </c>
      <c r="E5819" s="82">
        <v>44659.0</v>
      </c>
      <c r="F5819" s="80">
        <v>1243.0</v>
      </c>
      <c r="G5819" s="80" t="s">
        <v>63</v>
      </c>
      <c r="I5819" s="80" t="s">
        <v>63</v>
      </c>
      <c r="J5819" s="80">
        <v>1682.0</v>
      </c>
      <c r="K5819" s="80">
        <v>0.889006342494714</v>
      </c>
      <c r="L5819" s="80" t="s">
        <v>64</v>
      </c>
    </row>
    <row r="5820">
      <c r="A5820" s="80" t="s">
        <v>6238</v>
      </c>
      <c r="B5820" s="81" t="str">
        <f>HYPERLINK("https://www.youtube.com/channel/UC_ogl0qjBdXrTiZZJ6ltsQQ", "Flat Out 地板油")</f>
        <v>Flat Out 地板油</v>
      </c>
      <c r="C5820" s="80" t="s">
        <v>6312</v>
      </c>
      <c r="D5820" s="81" t="str">
        <f>HYPERLINK("https://youtube.com/watch?v=ZJn7-9gIJXo", "平玩入門歐洲車！十萬揸Benz不是夢 平治「小鋼炮」A-Class外型靚仔性能夠晒用 用落居然冇乜嘢整？| Flat Out Review #FlatOut試車 #地板油")</f>
        <v>平玩入門歐洲車！十萬揸Benz不是夢 平治「小鋼炮」A-Class外型靚仔性能夠晒用 用落居然冇乜嘢整？| Flat Out Review #FlatOut試車 #地板油</v>
      </c>
      <c r="E5820" s="82">
        <v>44460.0</v>
      </c>
      <c r="F5820" s="80">
        <v>1182.0</v>
      </c>
      <c r="G5820" s="80" t="s">
        <v>63</v>
      </c>
      <c r="I5820" s="80" t="s">
        <v>63</v>
      </c>
      <c r="J5820" s="80">
        <v>13.0</v>
      </c>
      <c r="K5820" s="80">
        <v>0.5</v>
      </c>
      <c r="L5820" s="80" t="s">
        <v>64</v>
      </c>
    </row>
    <row r="5821">
      <c r="A5821" s="80" t="s">
        <v>6236</v>
      </c>
      <c r="B5821" s="81" t="str">
        <f t="shared" ref="B5821:B5822" si="322">HYPERLINK("https://www.youtube.com/channel/UCPMsgWJvrkEHE0OpIMtxyYQ", "Comfort鬆")</f>
        <v>Comfort鬆</v>
      </c>
      <c r="C5821" s="80" t="s">
        <v>6313</v>
      </c>
      <c r="D5821" s="81" t="str">
        <f>HYPERLINK("https://youtube.com/watch?v=XxwEPqOMDps", "原來譚仔都有旗艦店？試食蘭桂坊店限定米線🍜 竟然食到懷疑人生😱")</f>
        <v>原來譚仔都有旗艦店？試食蘭桂坊店限定米線🍜 竟然食到懷疑人生😱</v>
      </c>
      <c r="E5821" s="82">
        <v>44715.0</v>
      </c>
      <c r="F5821" s="80">
        <v>362.0</v>
      </c>
      <c r="G5821" s="80" t="s">
        <v>63</v>
      </c>
      <c r="I5821" s="80" t="s">
        <v>63</v>
      </c>
      <c r="J5821" s="80">
        <v>962.0</v>
      </c>
      <c r="K5821" s="80">
        <v>0.962962962962962</v>
      </c>
      <c r="L5821" s="80" t="s">
        <v>64</v>
      </c>
    </row>
    <row r="5822">
      <c r="A5822" s="80" t="s">
        <v>6236</v>
      </c>
      <c r="B5822" s="81" t="str">
        <f t="shared" si="322"/>
        <v>Comfort鬆</v>
      </c>
      <c r="C5822" s="80" t="s">
        <v>6314</v>
      </c>
      <c r="D5822" s="81" t="str">
        <f>HYPERLINK("https://youtube.com/watch?v=VAy1MiD1uQc", "【街訪】初次約會Dos &amp; Don'ts｜約會NG衣著調查｜女仔竟然唔鍾意...?")</f>
        <v>【街訪】初次約會Dos &amp; Don'ts｜約會NG衣著調查｜女仔竟然唔鍾意...?</v>
      </c>
      <c r="E5822" s="82">
        <v>44796.0</v>
      </c>
      <c r="F5822" s="80">
        <v>379.0</v>
      </c>
      <c r="G5822" s="80" t="s">
        <v>63</v>
      </c>
      <c r="I5822" s="80" t="s">
        <v>63</v>
      </c>
      <c r="J5822" s="80">
        <v>1373.0</v>
      </c>
      <c r="K5822" s="80">
        <v>0.90328947368421</v>
      </c>
      <c r="L5822" s="80" t="s">
        <v>64</v>
      </c>
    </row>
    <row r="5823">
      <c r="A5823" s="80" t="s">
        <v>6248</v>
      </c>
      <c r="B5823" s="81" t="str">
        <f>HYPERLINK("https://www.youtube.com/channel/UCmlr1is6e9bV34fgg3u0xng", "Ruby.S")</f>
        <v>Ruby.S</v>
      </c>
      <c r="C5823" s="80" t="s">
        <v>6315</v>
      </c>
      <c r="D5823" s="81" t="str">
        <f>HYPERLINK("https://youtube.com/watch?v=CQZ7obQ9i98", "@Ruby.S 四大名洞| 穿洞感覺好浪漫🚣‍♀️| 有得選擇我唔想白腊出發😮‍💨｜野餐+浮潛🤿黃白橋|小台灣橫洲角洞｜獨木舟必去景點｜I believe I can hike Ep43")</f>
        <v>@Ruby.S 四大名洞| 穿洞感覺好浪漫🚣‍♀️| 有得選擇我唔想白腊出發😮‍💨｜野餐+浮潛🤿黃白橋|小台灣橫洲角洞｜獨木舟必去景點｜I believe I can hike Ep43</v>
      </c>
      <c r="E5823" s="82">
        <v>44785.0</v>
      </c>
      <c r="F5823" s="80">
        <v>1623.0</v>
      </c>
      <c r="G5823" s="80" t="s">
        <v>63</v>
      </c>
      <c r="I5823" s="80" t="s">
        <v>63</v>
      </c>
      <c r="J5823" s="80">
        <v>2738.0</v>
      </c>
      <c r="K5823" s="80">
        <v>0.914801202806548</v>
      </c>
      <c r="L5823" s="80" t="s">
        <v>64</v>
      </c>
    </row>
    <row r="5824">
      <c r="A5824" s="80" t="s">
        <v>6238</v>
      </c>
      <c r="B5824" s="81" t="str">
        <f>HYPERLINK("https://www.youtube.com/channel/UC_ogl0qjBdXrTiZZJ6ltsQQ", "Flat Out 地板油")</f>
        <v>Flat Out 地板油</v>
      </c>
      <c r="C5824" s="80" t="s">
        <v>6316</v>
      </c>
      <c r="D5824" s="81" t="str">
        <f>HYPERLINK("https://youtube.com/watch?v=xNEhgPVh0tY", "超值選！本田Jazz vs 萬事得3 vs 掃把佬XV vs 鈴木Bandit Solio 四大抵玩日本車同場激戰邊部最正？（上集）| Flat Out Battle #FlatOut試車 #地板油")</f>
        <v>超值選！本田Jazz vs 萬事得3 vs 掃把佬XV vs 鈴木Bandit Solio 四大抵玩日本車同場激戰邊部最正？（上集）| Flat Out Battle #FlatOut試車 #地板油</v>
      </c>
      <c r="E5824" s="82">
        <v>44470.0</v>
      </c>
      <c r="F5824" s="80">
        <v>1166.0</v>
      </c>
      <c r="G5824" s="80" t="s">
        <v>63</v>
      </c>
      <c r="I5824" s="80" t="s">
        <v>63</v>
      </c>
      <c r="J5824" s="80">
        <v>13.0</v>
      </c>
      <c r="K5824" s="80">
        <v>0.5</v>
      </c>
      <c r="L5824" s="80" t="s">
        <v>64</v>
      </c>
    </row>
    <row r="5825">
      <c r="A5825" s="80" t="s">
        <v>6317</v>
      </c>
      <c r="B5825" s="81" t="str">
        <f>HYPERLINK("https://www.youtube.com/channel/UCleUsb9ehxSWcEuihUbWGYw", "Angel the medic")</f>
        <v>Angel the medic</v>
      </c>
      <c r="C5825" s="80" t="s">
        <v>6318</v>
      </c>
      <c r="D5825" s="81" t="str">
        <f>HYPERLINK("https://youtube.com/watch?v=3gKHoU6JlqM", "❥20 Facts about me｜本來唔想讀醫？港大住hall比人仙？曾經有台灣男朋友？中五冇返學半個月？有個大13年嘅XX？誤打誤撞進入XX？港大醫科生分享｜Angel the medic")</f>
        <v>❥20 Facts about me｜本來唔想讀醫？港大住hall比人仙？曾經有台灣男朋友？中五冇返學半個月？有個大13年嘅XX？誤打誤撞進入XX？港大醫科生分享｜Angel the medic</v>
      </c>
      <c r="E5825" s="82">
        <v>44624.0</v>
      </c>
      <c r="F5825" s="80">
        <v>649.0</v>
      </c>
      <c r="G5825" s="80" t="s">
        <v>63</v>
      </c>
      <c r="I5825" s="80" t="s">
        <v>63</v>
      </c>
      <c r="J5825" s="80">
        <v>1946.0</v>
      </c>
      <c r="K5825" s="80">
        <v>0.760453302071121</v>
      </c>
      <c r="L5825" s="80" t="s">
        <v>102</v>
      </c>
    </row>
    <row r="5826">
      <c r="A5826" s="80" t="s">
        <v>6236</v>
      </c>
      <c r="B5826" s="81" t="str">
        <f>HYPERLINK("https://www.youtube.com/channel/UCPMsgWJvrkEHE0OpIMtxyYQ", "Comfort鬆")</f>
        <v>Comfort鬆</v>
      </c>
      <c r="C5826" s="80" t="s">
        <v>6319</v>
      </c>
      <c r="D5826" s="81" t="str">
        <f>HYPERLINK("https://youtube.com/watch?v=YyaqZKKO1HE", "【味覺的考驗】大胃王挑戰之特大牛丼｜到底大胃王獨門祕笈work唔work？")</f>
        <v>【味覺的考驗】大胃王挑戰之特大牛丼｜到底大胃王獨門祕笈work唔work？</v>
      </c>
      <c r="E5826" s="82">
        <v>44785.0</v>
      </c>
      <c r="F5826" s="80">
        <v>414.0</v>
      </c>
      <c r="G5826" s="80" t="s">
        <v>63</v>
      </c>
      <c r="I5826" s="80" t="s">
        <v>63</v>
      </c>
      <c r="J5826" s="80">
        <v>1360.0</v>
      </c>
      <c r="K5826" s="80">
        <v>0.957746478873239</v>
      </c>
      <c r="L5826" s="80" t="s">
        <v>64</v>
      </c>
    </row>
    <row r="5827">
      <c r="A5827" s="80" t="s">
        <v>6238</v>
      </c>
      <c r="B5827" s="81" t="str">
        <f>HYPERLINK("https://www.youtube.com/channel/UC_ogl0qjBdXrTiZZJ6ltsQQ", "Flat Out 地板油")</f>
        <v>Flat Out 地板油</v>
      </c>
      <c r="C5827" s="80" t="s">
        <v>6320</v>
      </c>
      <c r="D5827" s="81" t="str">
        <f>HYPERLINK("https://youtube.com/watch?v=6KnksPU-tCM", "全港首試Model Y！33萬有找平版Tesla Model Y 設備空間操控瓣瓣掂 點止升高版Model 3咁簡單？  | Flat Out Review #FlatOut試車 #地板油")</f>
        <v>全港首試Model Y！33萬有找平版Tesla Model Y 設備空間操控瓣瓣掂 點止升高版Model 3咁簡單？  | Flat Out Review #FlatOut試車 #地板油</v>
      </c>
      <c r="E5827" s="82">
        <v>44439.0</v>
      </c>
      <c r="F5827" s="80">
        <v>1256.0</v>
      </c>
      <c r="G5827" s="80" t="s">
        <v>63</v>
      </c>
      <c r="I5827" s="80" t="s">
        <v>63</v>
      </c>
      <c r="J5827" s="80">
        <v>100.0</v>
      </c>
      <c r="K5827" s="80">
        <v>0.609756097560975</v>
      </c>
      <c r="L5827" s="80" t="s">
        <v>64</v>
      </c>
    </row>
    <row r="5828">
      <c r="A5828" s="80" t="s">
        <v>6248</v>
      </c>
      <c r="B5828" s="81" t="str">
        <f>HYPERLINK("https://www.youtube.com/channel/UCmlr1is6e9bV34fgg3u0xng", "Ruby.S")</f>
        <v>Ruby.S</v>
      </c>
      <c r="C5828" s="80" t="s">
        <v>6321</v>
      </c>
      <c r="D5828" s="81" t="str">
        <f>HYPERLINK("https://youtube.com/watch?v=xmrbf0y7GZw", "@Ruby.S [線上比賽］🐯虎年行大運｜虎年路線｜人山人海😆｜必去愉景灣教堂| I believe I can hike EP24 | CnY first Hike ⛰")</f>
        <v>@Ruby.S [線上比賽］🐯虎年行大運｜虎年路線｜人山人海😆｜必去愉景灣教堂| I believe I can hike EP24 | CnY first Hike ⛰</v>
      </c>
      <c r="E5828" s="82">
        <v>44602.0</v>
      </c>
      <c r="F5828" s="80">
        <v>949.0</v>
      </c>
      <c r="G5828" s="80" t="s">
        <v>63</v>
      </c>
      <c r="I5828" s="80" t="s">
        <v>63</v>
      </c>
      <c r="J5828" s="80">
        <v>1635.0</v>
      </c>
      <c r="K5828" s="80">
        <v>0.941278065630397</v>
      </c>
      <c r="L5828" s="80" t="s">
        <v>64</v>
      </c>
    </row>
    <row r="5829">
      <c r="A5829" s="80" t="s">
        <v>6322</v>
      </c>
      <c r="B5829" s="81" t="str">
        <f>HYPERLINK("https://www.youtube.com/channel/UC2NKcc0MDnz3E5O1XS6ZH1w", "山人物近beware the mountainman")</f>
        <v>山人物近beware the mountainman</v>
      </c>
      <c r="C5829" s="80" t="s">
        <v>6323</v>
      </c>
      <c r="D5829" s="81" t="str">
        <f>HYPERLINK("https://youtube.com/watch?v=mbzBLLYUj0E", "香港露營 裝備推介 野外煮食 我的露營裝備 | 香港露營裝備分享 | PRETENTS SOLOIST | 生蛋牛肉飯 | 日式壽喜燒 中文字幕")</f>
        <v>香港露營 裝備推介 野外煮食 我的露營裝備 | 香港露營裝備分享 | PRETENTS SOLOIST | 生蛋牛肉飯 | 日式壽喜燒 中文字幕</v>
      </c>
      <c r="E5829" s="82">
        <v>44269.0</v>
      </c>
      <c r="F5829" s="80">
        <v>540.0</v>
      </c>
      <c r="G5829" s="80" t="s">
        <v>63</v>
      </c>
      <c r="H5829" s="80" t="s">
        <v>63</v>
      </c>
      <c r="I5829" s="80" t="s">
        <v>63</v>
      </c>
      <c r="J5829" s="80">
        <v>1056.0</v>
      </c>
      <c r="K5829" s="80">
        <v>0.922597864768683</v>
      </c>
      <c r="L5829" s="80" t="s">
        <v>86</v>
      </c>
    </row>
    <row r="5830">
      <c r="A5830" s="80" t="s">
        <v>6236</v>
      </c>
      <c r="B5830" s="81" t="str">
        <f>HYPERLINK("https://www.youtube.com/channel/UCPMsgWJvrkEHE0OpIMtxyYQ", "Comfort鬆")</f>
        <v>Comfort鬆</v>
      </c>
      <c r="C5830" s="80" t="s">
        <v>6324</v>
      </c>
      <c r="D5830" s="81" t="str">
        <f>HYPERLINK("https://youtube.com/watch?v=AXNZaP8oH5M", "【味覺的考驗】👨🏻父親節抵食之選：香港經典扒房｜極大份量 價錢取勝？🥩｜童年回憶花園餐廳👨🏻‍🍼")</f>
        <v>【味覺的考驗】👨🏻父親節抵食之選：香港經典扒房｜極大份量 價錢取勝？🥩｜童年回憶花園餐廳👨🏻‍🍼</v>
      </c>
      <c r="E5830" s="82">
        <v>44729.0</v>
      </c>
      <c r="F5830" s="80">
        <v>450.0</v>
      </c>
      <c r="G5830" s="80" t="s">
        <v>63</v>
      </c>
      <c r="I5830" s="80" t="s">
        <v>63</v>
      </c>
      <c r="J5830" s="80">
        <v>1663.0</v>
      </c>
      <c r="K5830" s="80">
        <v>0.968549796156086</v>
      </c>
      <c r="L5830" s="80" t="s">
        <v>64</v>
      </c>
    </row>
    <row r="5831">
      <c r="A5831" s="80" t="s">
        <v>6238</v>
      </c>
      <c r="B5831" s="81" t="str">
        <f>HYPERLINK("https://www.youtube.com/channel/UC_ogl0qjBdXrTiZZJ6ltsQQ", "Flat Out 地板油")</f>
        <v>Flat Out 地板油</v>
      </c>
      <c r="C5831" s="80" t="s">
        <v>6325</v>
      </c>
      <c r="D5831" s="81" t="str">
        <f>HYPERLINK("https://youtube.com/watch?v=hF8zkGsrlRw", "《無敵腳車王2021之呢條係預告片？》 | Flat Out Trailer #FlatOut試車 #地板油")</f>
        <v>《無敵腳車王2021之呢條係預告片？》 | Flat Out Trailer #FlatOut試車 #地板油</v>
      </c>
      <c r="E5831" s="82">
        <v>44393.0</v>
      </c>
      <c r="F5831" s="80">
        <v>48.0</v>
      </c>
      <c r="G5831" s="80" t="s">
        <v>63</v>
      </c>
      <c r="I5831" s="80" t="s">
        <v>63</v>
      </c>
      <c r="J5831" s="80">
        <v>13.0</v>
      </c>
      <c r="K5831" s="80">
        <v>1.0</v>
      </c>
      <c r="L5831" s="80" t="s">
        <v>64</v>
      </c>
    </row>
    <row r="5832">
      <c r="A5832" s="80" t="s">
        <v>6248</v>
      </c>
      <c r="B5832" s="81" t="str">
        <f>HYPERLINK("https://www.youtube.com/channel/UCmlr1is6e9bV34fgg3u0xng", "Ruby.S")</f>
        <v>Ruby.S</v>
      </c>
      <c r="C5832" s="80" t="s">
        <v>6326</v>
      </c>
      <c r="D5832" s="81" t="str">
        <f>HYPERLINK("https://youtube.com/watch?v=-Xuk8EfFbxo", "@Ruby.S   [中級行山路線］線上求救🆘? 出意外？ 落雨行山係咪真係錯？ 再選擇嘅話唔會想有下一次🥹 最緊要冷靜 💪🏼 I believe I can hike EP38")</f>
        <v>@Ruby.S   [中級行山路線］線上求救🆘? 出意外？ 落雨行山係咪真係錯？ 再選擇嘅話唔會想有下一次🥹 最緊要冷靜 💪🏼 I believe I can hike EP38</v>
      </c>
      <c r="E5832" s="82">
        <v>44727.0</v>
      </c>
      <c r="F5832" s="80">
        <v>1870.0</v>
      </c>
      <c r="G5832" s="80" t="s">
        <v>63</v>
      </c>
      <c r="I5832" s="80" t="s">
        <v>63</v>
      </c>
      <c r="J5832" s="80">
        <v>2442.0</v>
      </c>
      <c r="K5832" s="80">
        <v>0.890915724188252</v>
      </c>
      <c r="L5832" s="80" t="s">
        <v>64</v>
      </c>
    </row>
    <row r="5833">
      <c r="A5833" s="80" t="s">
        <v>6236</v>
      </c>
      <c r="B5833" s="81" t="str">
        <f t="shared" ref="B5833:B5834" si="323">HYPERLINK("https://www.youtube.com/channel/UCPMsgWJvrkEHE0OpIMtxyYQ", "Comfort鬆")</f>
        <v>Comfort鬆</v>
      </c>
      <c r="C5833" s="80" t="s">
        <v>6327</v>
      </c>
      <c r="D5833" s="81" t="str">
        <f>HYPERLINK("https://youtube.com/watch?v=JUqjrIMoLZE", "挑戰自己一個去海洋公園🥵 入嚟陪我一齊過生日🎂  尷尬度爆錶嘅一條片🤮")</f>
        <v>挑戰自己一個去海洋公園🥵 入嚟陪我一齊過生日🎂  尷尬度爆錶嘅一條片🤮</v>
      </c>
      <c r="E5833" s="82">
        <v>44736.0</v>
      </c>
      <c r="F5833" s="80">
        <v>359.0</v>
      </c>
      <c r="G5833" s="80" t="s">
        <v>63</v>
      </c>
      <c r="I5833" s="80" t="s">
        <v>63</v>
      </c>
      <c r="J5833" s="80">
        <v>982.0</v>
      </c>
      <c r="K5833" s="80">
        <v>0.918615528531337</v>
      </c>
      <c r="L5833" s="80" t="s">
        <v>64</v>
      </c>
    </row>
    <row r="5834">
      <c r="A5834" s="80" t="s">
        <v>6236</v>
      </c>
      <c r="B5834" s="81" t="str">
        <f t="shared" si="323"/>
        <v>Comfort鬆</v>
      </c>
      <c r="C5834" s="80" t="s">
        <v>6328</v>
      </c>
      <c r="D5834" s="81" t="str">
        <f>HYPERLINK("https://youtube.com/watch?v=-fYZoq0ESQU", "【味覺的考驗】試食譚仔新出芝士撈米🥵到底譚仔有咩係少女唔食得？｜（內附昔日大胃王的慨嘆）")</f>
        <v>【味覺的考驗】試食譚仔新出芝士撈米🥵到底譚仔有咩係少女唔食得？｜（內附昔日大胃王的慨嘆）</v>
      </c>
      <c r="E5834" s="82">
        <v>44677.0</v>
      </c>
      <c r="F5834" s="80">
        <v>532.0</v>
      </c>
      <c r="G5834" s="80" t="s">
        <v>63</v>
      </c>
      <c r="I5834" s="80" t="s">
        <v>63</v>
      </c>
      <c r="J5834" s="80">
        <v>1953.0</v>
      </c>
      <c r="K5834" s="80">
        <v>0.930886558627264</v>
      </c>
      <c r="L5834" s="80" t="s">
        <v>64</v>
      </c>
    </row>
    <row r="5835">
      <c r="A5835" s="80" t="s">
        <v>6253</v>
      </c>
      <c r="B5835" s="81" t="str">
        <f>HYPERLINK("https://www.youtube.com/channel/UC_CMir5-79t30BQo-krOSjg", "Dr. Joe Wong")</f>
        <v>Dr. Joe Wong</v>
      </c>
      <c r="C5835" s="80" t="s">
        <v>6329</v>
      </c>
      <c r="D5835" s="81" t="str">
        <f>HYPERLINK("https://youtube.com/watch?v=JccZYKFGy7c", "坐骨神經痛及腳痺伸展運動")</f>
        <v>坐骨神經痛及腳痺伸展運動</v>
      </c>
      <c r="E5835" s="82">
        <v>44208.0</v>
      </c>
      <c r="F5835" s="80">
        <v>254.0</v>
      </c>
      <c r="G5835" s="80" t="s">
        <v>63</v>
      </c>
      <c r="I5835" s="80" t="s">
        <v>63</v>
      </c>
      <c r="J5835" s="80">
        <v>144.0</v>
      </c>
      <c r="K5835" s="80">
        <v>1.0</v>
      </c>
      <c r="L5835" s="80" t="s">
        <v>102</v>
      </c>
    </row>
    <row r="5836">
      <c r="A5836" s="80" t="s">
        <v>6236</v>
      </c>
      <c r="B5836" s="81" t="str">
        <f>HYPERLINK("https://www.youtube.com/channel/UCPMsgWJvrkEHE0OpIMtxyYQ", "Comfort鬆")</f>
        <v>Comfort鬆</v>
      </c>
      <c r="C5836" s="80" t="s">
        <v>6330</v>
      </c>
      <c r="D5836" s="81" t="str">
        <f>HYPERLINK("https://youtube.com/watch?v=aoR6GHgdG_0", "【街訪】點解你要呃我啊！｜俾mk婆逼到走投無路？｜Sorry...我都係講善意嘅謊言啫...")</f>
        <v>【街訪】點解你要呃我啊！｜俾mk婆逼到走投無路？｜Sorry...我都係講善意嘅謊言啫...</v>
      </c>
      <c r="E5836" s="82">
        <v>44775.0</v>
      </c>
      <c r="F5836" s="80">
        <v>423.0</v>
      </c>
      <c r="G5836" s="80" t="s">
        <v>63</v>
      </c>
      <c r="I5836" s="80" t="s">
        <v>63</v>
      </c>
      <c r="J5836" s="80">
        <v>1548.0</v>
      </c>
      <c r="K5836" s="80">
        <v>0.897391304347826</v>
      </c>
      <c r="L5836" s="80" t="s">
        <v>64</v>
      </c>
    </row>
    <row r="5837">
      <c r="A5837" s="80" t="s">
        <v>6248</v>
      </c>
      <c r="B5837" s="81" t="str">
        <f t="shared" ref="B5837:B5838" si="324">HYPERLINK("https://www.youtube.com/channel/UCmlr1is6e9bV34fgg3u0xng", "Ruby.S")</f>
        <v>Ruby.S</v>
      </c>
      <c r="C5837" s="80" t="s">
        <v>6331</v>
      </c>
      <c r="D5837" s="81" t="str">
        <f>HYPERLINK("https://youtube.com/watch?v=Ul8BlWjKX4w", "@Ruby.S ［梅窩打卡遊］梅窩有啲咩新嘢玩？｜睇銀礦瀑布睇彩數｜ 帶你睇新開隱世峇里feel cafe ☕️｜ I believe I can hike EP37 | 龍貓巴士真係好似📸")</f>
        <v>@Ruby.S ［梅窩打卡遊］梅窩有啲咩新嘢玩？｜睇銀礦瀑布睇彩數｜ 帶你睇新開隱世峇里feel cafe ☕️｜ I believe I can hike EP37 | 龍貓巴士真係好似📸</v>
      </c>
      <c r="E5837" s="82">
        <v>44715.0</v>
      </c>
      <c r="F5837" s="80">
        <v>1047.0</v>
      </c>
      <c r="G5837" s="80" t="s">
        <v>63</v>
      </c>
      <c r="I5837" s="80" t="s">
        <v>63</v>
      </c>
      <c r="J5837" s="80">
        <v>1769.0</v>
      </c>
      <c r="K5837" s="80">
        <v>0.891633064516129</v>
      </c>
      <c r="L5837" s="80" t="s">
        <v>64</v>
      </c>
    </row>
    <row r="5838">
      <c r="A5838" s="80" t="s">
        <v>6248</v>
      </c>
      <c r="B5838" s="81" t="str">
        <f t="shared" si="324"/>
        <v>Ruby.S</v>
      </c>
      <c r="C5838" s="80" t="s">
        <v>6332</v>
      </c>
      <c r="D5838" s="81" t="str">
        <f>HYPERLINK("https://youtube.com/watch?v=E3f6bZVgWNs", "@Ruby.S [資深路線］敵唔過天氣好無奈🥲｜消失的羅漢塔｜辛苦路線之一| I believe I can hike Ep20 | 不要哭我一定會回來😭")</f>
        <v>@Ruby.S [資深路線］敵唔過天氣好無奈🥲｜消失的羅漢塔｜辛苦路線之一| I believe I can hike Ep20 | 不要哭我一定會回來😭</v>
      </c>
      <c r="E5838" s="82">
        <v>44551.0</v>
      </c>
      <c r="F5838" s="80">
        <v>1095.0</v>
      </c>
      <c r="G5838" s="80" t="s">
        <v>63</v>
      </c>
      <c r="I5838" s="80" t="s">
        <v>63</v>
      </c>
      <c r="J5838" s="80">
        <v>1692.0</v>
      </c>
      <c r="K5838" s="80">
        <v>0.911147011308562</v>
      </c>
      <c r="L5838" s="80" t="s">
        <v>64</v>
      </c>
    </row>
    <row r="5839">
      <c r="A5839" s="80" t="s">
        <v>6236</v>
      </c>
      <c r="B5839" s="81" t="str">
        <f>HYPERLINK("https://www.youtube.com/channel/UCPMsgWJvrkEHE0OpIMtxyYQ", "Comfort鬆")</f>
        <v>Comfort鬆</v>
      </c>
      <c r="C5839" s="80" t="s">
        <v>6333</v>
      </c>
      <c r="D5839" s="81" t="str">
        <f>HYPERLINK("https://youtube.com/watch?v=lBo2KYUZ-jU", "實測扮看更逗利是🧧｜可能係人生最羞恥嘅一件事🥵｜到底用咩辦法先可以攞到陌生人嘅利是？")</f>
        <v>實測扮看更逗利是🧧｜可能係人生最羞恥嘅一件事🥵｜到底用咩辦法先可以攞到陌生人嘅利是？</v>
      </c>
      <c r="E5839" s="82">
        <v>44596.0</v>
      </c>
      <c r="F5839" s="80">
        <v>469.0</v>
      </c>
      <c r="G5839" s="80" t="s">
        <v>63</v>
      </c>
      <c r="I5839" s="80" t="s">
        <v>63</v>
      </c>
      <c r="J5839" s="80">
        <v>661.0</v>
      </c>
      <c r="K5839" s="80">
        <v>0.672431332655137</v>
      </c>
      <c r="L5839" s="80" t="s">
        <v>64</v>
      </c>
    </row>
    <row r="5840">
      <c r="A5840" s="80" t="s">
        <v>6256</v>
      </c>
      <c r="B5840" s="81" t="str">
        <f>HYPERLINK("https://www.youtube.com/channel/UCyvjZ_erIMy_IWzjwHoXLcQ", "CantoneseHome - Learn Cantonese 學廣東話")</f>
        <v>CantoneseHome - Learn Cantonese 學廣東話</v>
      </c>
      <c r="C5840" s="80" t="s">
        <v>6334</v>
      </c>
      <c r="D5840" s="81" t="str">
        <f>HYPERLINK("https://youtube.com/watch?v=ENeeNurhc2Y", "Learn Cantonese Everyday : How to say send寄, deliver送, receive收 - Just Received Google Pixel 4")</f>
        <v>Learn Cantonese Everyday : How to say send寄, deliver送, receive收 - Just Received Google Pixel 4</v>
      </c>
      <c r="E5840" s="82">
        <v>43921.0</v>
      </c>
      <c r="F5840" s="80">
        <v>362.0</v>
      </c>
      <c r="G5840" s="80" t="s">
        <v>63</v>
      </c>
      <c r="I5840" s="80" t="s">
        <v>63</v>
      </c>
      <c r="J5840" s="80">
        <v>106.0</v>
      </c>
      <c r="K5840" s="80">
        <v>0.109730848861283</v>
      </c>
      <c r="L5840" s="80" t="s">
        <v>91</v>
      </c>
    </row>
    <row r="5841">
      <c r="A5841" s="80" t="s">
        <v>6248</v>
      </c>
      <c r="B5841" s="81" t="str">
        <f>HYPERLINK("https://www.youtube.com/channel/UCmlr1is6e9bV34fgg3u0xng", "Ruby.S")</f>
        <v>Ruby.S</v>
      </c>
      <c r="C5841" s="80" t="s">
        <v>6335</v>
      </c>
      <c r="D5841" s="81" t="str">
        <f>HYPERLINK("https://youtube.com/watch?v=7okxRE1ZIsQ", "@Ruby.S    工作辛酸無人知😞｜KOL究竟點賺錢？｜35度上黃嶺差D中暑🥵｜我真係好鍾意行山| i believe i can hike EP42")</f>
        <v>@Ruby.S    工作辛酸無人知😞｜KOL究竟點賺錢？｜35度上黃嶺差D中暑🥵｜我真係好鍾意行山| i believe i can hike EP42</v>
      </c>
      <c r="E5841" s="82">
        <v>44766.0</v>
      </c>
      <c r="F5841" s="80">
        <v>1735.0</v>
      </c>
      <c r="G5841" s="80" t="s">
        <v>63</v>
      </c>
      <c r="I5841" s="80" t="s">
        <v>63</v>
      </c>
      <c r="J5841" s="80">
        <v>3423.0</v>
      </c>
      <c r="K5841" s="80">
        <v>0.899605781865965</v>
      </c>
      <c r="L5841" s="80" t="s">
        <v>64</v>
      </c>
    </row>
    <row r="5842">
      <c r="A5842" s="80" t="s">
        <v>6246</v>
      </c>
      <c r="B5842" s="81" t="str">
        <f>HYPERLINK("https://www.youtube.com/channel/UCo5QnudUoNDwQCYzwBBZ2Cg", "kitsunekozo")</f>
        <v>kitsunekozo</v>
      </c>
      <c r="C5842" s="80" t="s">
        <v>6336</v>
      </c>
      <c r="D5842" s="81" t="str">
        <f>HYPERLINK("https://youtube.com/watch?v=Xk4Jhq0-kcs", "【移民日本】去日本留學唔需要N1？除左識日文仲要準備XX萬？男神傳授識女仔秘技！")</f>
        <v>【移民日本】去日本留學唔需要N1？除左識日文仲要準備XX萬？男神傳授識女仔秘技！</v>
      </c>
      <c r="E5842" s="82">
        <v>44791.0</v>
      </c>
      <c r="F5842" s="80">
        <v>1312.0</v>
      </c>
      <c r="G5842" s="80" t="s">
        <v>63</v>
      </c>
      <c r="I5842" s="80" t="s">
        <v>63</v>
      </c>
      <c r="J5842" s="80">
        <v>7008.0</v>
      </c>
      <c r="K5842" s="80">
        <v>0.95973705834018</v>
      </c>
      <c r="L5842" s="80" t="s">
        <v>64</v>
      </c>
    </row>
    <row r="5843">
      <c r="A5843" s="80" t="s">
        <v>6236</v>
      </c>
      <c r="B5843" s="81" t="str">
        <f>HYPERLINK("https://www.youtube.com/channel/UCPMsgWJvrkEHE0OpIMtxyYQ", "Comfort鬆")</f>
        <v>Comfort鬆</v>
      </c>
      <c r="C5843" s="80" t="s">
        <v>6337</v>
      </c>
      <c r="D5843" s="81" t="str">
        <f>HYPERLINK("https://youtube.com/watch?v=cuieNpesRXg", "【味覺的考驗】實測 DON DON DONKI 5款即食食品🥵 邊樣嘢CP值最高？XX竟然出乎意料地好食？")</f>
        <v>【味覺的考驗】實測 DON DON DONKI 5款即食食品🥵 邊樣嘢CP值最高？XX竟然出乎意料地好食？</v>
      </c>
      <c r="E5843" s="82">
        <v>44691.0</v>
      </c>
      <c r="F5843" s="80">
        <v>411.0</v>
      </c>
      <c r="G5843" s="80" t="s">
        <v>63</v>
      </c>
      <c r="I5843" s="80" t="s">
        <v>63</v>
      </c>
      <c r="J5843" s="80">
        <v>1278.0</v>
      </c>
      <c r="K5843" s="80">
        <v>0.975572519083969</v>
      </c>
      <c r="L5843" s="80" t="s">
        <v>64</v>
      </c>
    </row>
    <row r="5844">
      <c r="A5844" s="80" t="s">
        <v>6238</v>
      </c>
      <c r="B5844" s="81" t="str">
        <f>HYPERLINK("https://www.youtube.com/channel/UC_ogl0qjBdXrTiZZJ6ltsQQ", "Flat Out 地板油")</f>
        <v>Flat Out 地板油</v>
      </c>
      <c r="C5844" s="80" t="s">
        <v>6338</v>
      </c>
      <c r="D5844" s="81" t="str">
        <f>HYPERLINK("https://youtube.com/watch?v=nJwOrs5rsPc", "真經典！地獄腳車王Toyota Corolla vs 神級採訪車Mazda 323 那些年我們坐過的1,500cc日本家庭房車 | Flat Out Classic #FlatOut卡式台 #地板油")</f>
        <v>真經典！地獄腳車王Toyota Corolla vs 神級採訪車Mazda 323 那些年我們坐過的1,500cc日本家庭房車 | Flat Out Classic #FlatOut卡式台 #地板油</v>
      </c>
      <c r="E5844" s="82">
        <v>44428.0</v>
      </c>
      <c r="F5844" s="80">
        <v>1198.0</v>
      </c>
      <c r="G5844" s="80" t="s">
        <v>63</v>
      </c>
      <c r="I5844" s="80" t="s">
        <v>63</v>
      </c>
      <c r="J5844" s="80">
        <v>13.0</v>
      </c>
      <c r="K5844" s="80">
        <v>0.481481481481481</v>
      </c>
      <c r="L5844" s="80" t="s">
        <v>64</v>
      </c>
    </row>
    <row r="5845">
      <c r="A5845" s="80" t="s">
        <v>6236</v>
      </c>
      <c r="B5845" s="81" t="str">
        <f>HYPERLINK("https://www.youtube.com/channel/UCPMsgWJvrkEHE0OpIMtxyYQ", "Comfort鬆")</f>
        <v>Comfort鬆</v>
      </c>
      <c r="C5845" s="80" t="s">
        <v>6339</v>
      </c>
      <c r="D5845" s="81" t="str">
        <f>HYPERLINK("https://youtube.com/watch?v=Ib1avKCdnJs", "【尋找香港之旅】 傳媒推介嘅薄鳧林牧場到底值唔值得去？介紹最新打卡熱點 🐮")</f>
        <v>【尋找香港之旅】 傳媒推介嘅薄鳧林牧場到底值唔值得去？介紹最新打卡熱點 🐮</v>
      </c>
      <c r="E5845" s="82">
        <v>44722.0</v>
      </c>
      <c r="F5845" s="80">
        <v>363.0</v>
      </c>
      <c r="G5845" s="80" t="s">
        <v>63</v>
      </c>
      <c r="I5845" s="80" t="s">
        <v>63</v>
      </c>
      <c r="J5845" s="80">
        <v>1192.0</v>
      </c>
      <c r="K5845" s="80">
        <v>0.962843295638126</v>
      </c>
      <c r="L5845" s="80" t="s">
        <v>64</v>
      </c>
    </row>
    <row r="5846">
      <c r="A5846" s="80" t="s">
        <v>6248</v>
      </c>
      <c r="B5846" s="81" t="str">
        <f>HYPERLINK("https://www.youtube.com/channel/UCmlr1is6e9bV34fgg3u0xng", "Ruby.S")</f>
        <v>Ruby.S</v>
      </c>
      <c r="C5846" s="80" t="s">
        <v>6340</v>
      </c>
      <c r="D5846" s="81" t="str">
        <f>HYPERLINK("https://youtube.com/watch?v=j4-W-DqacXI", "@Ruby.S  [水系] 夏日水上必去浮潛🤿 | 初級獨木舟路線🛶 ｜玻璃水綠蛋島｜I believe I can hike Ep 41｜媲美泰國外島")</f>
        <v>@Ruby.S  [水系] 夏日水上必去浮潛🤿 | 初級獨木舟路線🛶 ｜玻璃水綠蛋島｜I believe I can hike Ep 41｜媲美泰國外島</v>
      </c>
      <c r="E5846" s="82">
        <v>44749.0</v>
      </c>
      <c r="F5846" s="80">
        <v>1394.0</v>
      </c>
      <c r="G5846" s="80" t="s">
        <v>63</v>
      </c>
      <c r="I5846" s="80" t="s">
        <v>63</v>
      </c>
      <c r="J5846" s="80">
        <v>2061.0</v>
      </c>
      <c r="K5846" s="80">
        <v>0.899214659685863</v>
      </c>
      <c r="L5846" s="80" t="s">
        <v>64</v>
      </c>
    </row>
    <row r="5847">
      <c r="A5847" s="80" t="s">
        <v>248</v>
      </c>
      <c r="B5847" s="81" t="str">
        <f>HYPERLINK("https://www.youtube.com/channel/UCUEJok-GiWaGlv5nIPwk-GQ", "Price.com.hk 香港格價網")</f>
        <v>Price.com.hk 香港格價網</v>
      </c>
      <c r="C5847" s="80" t="s">
        <v>6341</v>
      </c>
      <c r="D5847" s="81" t="str">
        <f>HYPERLINK("https://youtube.com/watch?v=W7VOwgfrV2Y", "Sony Xperia 5 IV 移除無段式光學變焦！iPhone 14 料加價15%？ Corsair 推出「能屈能伸」曲面螢幕 | 廣東話【Price Weekly #130 2022年9月 】")</f>
        <v>Sony Xperia 5 IV 移除無段式光學變焦！iPhone 14 料加價15%？ Corsair 推出「能屈能伸」曲面螢幕 | 廣東話【Price Weekly #130 2022年9月 】</v>
      </c>
      <c r="E5847" s="82">
        <v>44807.0</v>
      </c>
      <c r="F5847" s="80">
        <v>577.0</v>
      </c>
      <c r="G5847" s="80" t="s">
        <v>63</v>
      </c>
      <c r="I5847" s="80" t="s">
        <v>63</v>
      </c>
      <c r="J5847" s="80">
        <v>1937.0</v>
      </c>
      <c r="K5847" s="80">
        <v>0.699530516431924</v>
      </c>
      <c r="L5847" s="80" t="s">
        <v>64</v>
      </c>
    </row>
    <row r="5848">
      <c r="A5848" s="80" t="s">
        <v>6248</v>
      </c>
      <c r="B5848" s="81" t="str">
        <f>HYPERLINK("https://www.youtube.com/channel/UCmlr1is6e9bV34fgg3u0xng", "Ruby.S")</f>
        <v>Ruby.S</v>
      </c>
      <c r="C5848" s="80" t="s">
        <v>6342</v>
      </c>
      <c r="D5848" s="81" t="str">
        <f>HYPERLINK("https://youtube.com/watch?v=zs--uHlaw28", "@Ruby.S ［情人節獻禮］閨蜜Camping🏕｜原來冇人好恐怖| 冇得輸嘅日落｜好驚嘅一晚｜ I believe I can hike Ep25 |")</f>
        <v>@Ruby.S ［情人節獻禮］閨蜜Camping🏕｜原來冇人好恐怖| 冇得輸嘅日落｜好驚嘅一晚｜ I believe I can hike Ep25 |</v>
      </c>
      <c r="E5848" s="82">
        <v>44606.0</v>
      </c>
      <c r="F5848" s="80">
        <v>1112.0</v>
      </c>
      <c r="G5848" s="80" t="s">
        <v>63</v>
      </c>
      <c r="I5848" s="80" t="s">
        <v>63</v>
      </c>
      <c r="J5848" s="80">
        <v>2065.0</v>
      </c>
      <c r="K5848" s="80">
        <v>0.889702714347264</v>
      </c>
      <c r="L5848" s="80" t="s">
        <v>64</v>
      </c>
    </row>
    <row r="5849">
      <c r="A5849" s="80" t="s">
        <v>6276</v>
      </c>
      <c r="B5849" s="81" t="str">
        <f>HYPERLINK("https://www.youtube.com/channel/UCExSyW50ydvz6p4FioP58zw", "Mike Yuen 袁竣鋒")</f>
        <v>Mike Yuen 袁竣鋒</v>
      </c>
      <c r="C5849" s="80" t="s">
        <v>6343</v>
      </c>
      <c r="D5849" s="81" t="str">
        <f>HYPERLINK("https://youtube.com/watch?v=fLneXIoExc0", "【Beats Fit Pro】比預期優秀/14項重要功能使用感受 #BeatsFitPro #AirPods #真無線耳機 #")</f>
        <v>【Beats Fit Pro】比預期優秀/14項重要功能使用感受 #BeatsFitPro #AirPods #真無線耳機 #</v>
      </c>
      <c r="E5849" s="82">
        <v>44588.0</v>
      </c>
      <c r="F5849" s="80">
        <v>618.0</v>
      </c>
      <c r="G5849" s="80" t="s">
        <v>63</v>
      </c>
      <c r="I5849" s="80" t="s">
        <v>63</v>
      </c>
      <c r="J5849" s="80">
        <v>1596.0</v>
      </c>
      <c r="K5849" s="80">
        <v>0.626865671641791</v>
      </c>
      <c r="L5849" s="80" t="s">
        <v>64</v>
      </c>
    </row>
    <row r="5850">
      <c r="A5850" s="80" t="s">
        <v>6236</v>
      </c>
      <c r="B5850" s="81" t="str">
        <f t="shared" ref="B5850:B5851" si="325">HYPERLINK("https://www.youtube.com/channel/UCPMsgWJvrkEHE0OpIMtxyYQ", "Comfort鬆")</f>
        <v>Comfort鬆</v>
      </c>
      <c r="C5850" s="80" t="s">
        <v>6344</v>
      </c>
      <c r="D5850" s="81" t="str">
        <f>HYPERLINK("https://youtube.com/watch?v=lQYe_jclmDM", "鬧市中尋找維港景色🏞️ 只需要行15分鐘就可以登頂？到底紅香爐峰係咪真係咁易行👣初級行山路線 推介🏞️")</f>
        <v>鬧市中尋找維港景色🏞️ 只需要行15分鐘就可以登頂？到底紅香爐峰係咪真係咁易行👣初級行山路線 推介🏞️</v>
      </c>
      <c r="E5850" s="82">
        <v>44656.0</v>
      </c>
      <c r="F5850" s="80">
        <v>426.0</v>
      </c>
      <c r="G5850" s="80" t="s">
        <v>63</v>
      </c>
      <c r="I5850" s="80" t="s">
        <v>63</v>
      </c>
      <c r="J5850" s="80">
        <v>1099.0</v>
      </c>
      <c r="K5850" s="80">
        <v>0.989198919891989</v>
      </c>
      <c r="L5850" s="80" t="s">
        <v>64</v>
      </c>
    </row>
    <row r="5851">
      <c r="A5851" s="80" t="s">
        <v>6236</v>
      </c>
      <c r="B5851" s="81" t="str">
        <f t="shared" si="325"/>
        <v>Comfort鬆</v>
      </c>
      <c r="C5851" s="80" t="s">
        <v>6345</v>
      </c>
      <c r="D5851" s="81" t="str">
        <f>HYPERLINK("https://youtube.com/watch?v=t_EQinHPBaw", "Dse 可以有咩奇怪事🥶｜最強擾敵方法🥵｜給dse考生的話🫂")</f>
        <v>Dse 可以有咩奇怪事🥶｜最強擾敵方法🥵｜給dse考生的話🫂</v>
      </c>
      <c r="E5851" s="82">
        <v>44680.0</v>
      </c>
      <c r="F5851" s="80">
        <v>343.0</v>
      </c>
      <c r="G5851" s="80" t="s">
        <v>63</v>
      </c>
      <c r="I5851" s="80" t="s">
        <v>63</v>
      </c>
      <c r="J5851" s="80">
        <v>1329.0</v>
      </c>
      <c r="K5851" s="80">
        <v>0.891946308724832</v>
      </c>
      <c r="L5851" s="80" t="s">
        <v>64</v>
      </c>
    </row>
    <row r="5852">
      <c r="A5852" s="80" t="s">
        <v>6238</v>
      </c>
      <c r="B5852" s="81" t="str">
        <f t="shared" ref="B5852:B5855" si="326">HYPERLINK("https://www.youtube.com/channel/UC_ogl0qjBdXrTiZZJ6ltsQQ", "Flat Out 地板油")</f>
        <v>Flat Out 地板油</v>
      </c>
      <c r="C5852" s="80" t="s">
        <v>6346</v>
      </c>
      <c r="D5852" s="81" t="str">
        <f>HYPERLINK("https://youtube.com/watch?v=F5P5aREhIg4", "抵玩！33萬有找柴油SUV Hyundai Santa Fe Diesel力水設備乜都有 就算冇咗四驅都好劈過Sorento？ | Flat Out Review #FlatOut試車 #地板油")</f>
        <v>抵玩！33萬有找柴油SUV Hyundai Santa Fe Diesel力水設備乜都有 就算冇咗四驅都好劈過Sorento？ | Flat Out Review #FlatOut試車 #地板油</v>
      </c>
      <c r="E5852" s="82">
        <v>44447.0</v>
      </c>
      <c r="F5852" s="80">
        <v>1150.0</v>
      </c>
      <c r="G5852" s="80" t="s">
        <v>63</v>
      </c>
      <c r="I5852" s="80" t="s">
        <v>63</v>
      </c>
      <c r="J5852" s="80">
        <v>13.0</v>
      </c>
      <c r="K5852" s="80">
        <v>0.5</v>
      </c>
      <c r="L5852" s="80" t="s">
        <v>64</v>
      </c>
    </row>
    <row r="5853">
      <c r="A5853" s="80" t="s">
        <v>6238</v>
      </c>
      <c r="B5853" s="81" t="str">
        <f t="shared" si="326"/>
        <v>Flat Out 地板油</v>
      </c>
      <c r="C5853" s="80" t="s">
        <v>6347</v>
      </c>
      <c r="D5853" s="81" t="str">
        <f>HYPERLINK("https://youtube.com/watch?v=HKsAKyZbvPw", "鬥快！巨鼻電寶馬BMW iX xDrive 40 vs 中環半山扶手電梯 鬥快上半山干德道！326匹居然不敵兩條腿？| Flat Out Race #FlatOut鬥快 #地板油 #BMWiX")</f>
        <v>鬥快！巨鼻電寶馬BMW iX xDrive 40 vs 中環半山扶手電梯 鬥快上半山干德道！326匹居然不敵兩條腿？| Flat Out Race #FlatOut鬥快 #地板油 #BMWiX</v>
      </c>
      <c r="E5853" s="82">
        <v>44582.0</v>
      </c>
      <c r="F5853" s="80">
        <v>1441.0</v>
      </c>
      <c r="G5853" s="80" t="s">
        <v>63</v>
      </c>
      <c r="I5853" s="80" t="s">
        <v>63</v>
      </c>
      <c r="J5853" s="80">
        <v>4360.0</v>
      </c>
      <c r="K5853" s="80">
        <v>0.896565905819453</v>
      </c>
      <c r="L5853" s="80" t="s">
        <v>64</v>
      </c>
    </row>
    <row r="5854">
      <c r="A5854" s="80" t="s">
        <v>6238</v>
      </c>
      <c r="B5854" s="81" t="str">
        <f t="shared" si="326"/>
        <v>Flat Out 地板油</v>
      </c>
      <c r="C5854" s="80" t="s">
        <v>6348</v>
      </c>
      <c r="D5854" s="81" t="str">
        <f>HYPERLINK("https://youtube.com/watch?v=63mSM_jlllY", "VTEC Kicked In Yo！紅章本田魂 十件你未必知道Honda Integra Type R DC2/DB8 的大小事 | Flat Out Classic #FlatOut卡式台 #地板油")</f>
        <v>VTEC Kicked In Yo！紅章本田魂 十件你未必知道Honda Integra Type R DC2/DB8 的大小事 | Flat Out Classic #FlatOut卡式台 #地板油</v>
      </c>
      <c r="E5854" s="82">
        <v>44414.0</v>
      </c>
      <c r="F5854" s="80">
        <v>582.0</v>
      </c>
      <c r="G5854" s="80" t="s">
        <v>63</v>
      </c>
      <c r="I5854" s="80" t="s">
        <v>63</v>
      </c>
      <c r="J5854" s="80">
        <v>13.0</v>
      </c>
      <c r="K5854" s="80">
        <v>0.5</v>
      </c>
      <c r="L5854" s="80" t="s">
        <v>64</v>
      </c>
    </row>
    <row r="5855">
      <c r="A5855" s="80" t="s">
        <v>6238</v>
      </c>
      <c r="B5855" s="81" t="str">
        <f t="shared" si="326"/>
        <v>Flat Out 地板油</v>
      </c>
      <c r="C5855" s="80" t="s">
        <v>6349</v>
      </c>
      <c r="D5855" s="81" t="str">
        <f>HYPERLINK("https://youtube.com/watch?v=8dAD02XQjcI", "全港首試Defender 90！揸住百萬Land Rover Defender 90/110齊齊去撈泥 玩到變泥鴨邊個洗？  | Flat Out Review #FlatOut試車 #地板油")</f>
        <v>全港首試Defender 90！揸住百萬Land Rover Defender 90/110齊齊去撈泥 玩到變泥鴨邊個洗？  | Flat Out Review #FlatOut試車 #地板油</v>
      </c>
      <c r="E5855" s="82">
        <v>44442.0</v>
      </c>
      <c r="F5855" s="80">
        <v>1034.0</v>
      </c>
      <c r="G5855" s="80" t="s">
        <v>63</v>
      </c>
      <c r="I5855" s="80" t="s">
        <v>63</v>
      </c>
      <c r="J5855" s="80">
        <v>17.0</v>
      </c>
      <c r="K5855" s="80">
        <v>0.566666666666666</v>
      </c>
      <c r="L5855" s="80" t="s">
        <v>64</v>
      </c>
    </row>
    <row r="5856">
      <c r="A5856" s="80" t="s">
        <v>6250</v>
      </c>
      <c r="B5856" s="81" t="str">
        <f>HYPERLINK("https://www.youtube.com/channel/UC4YtAO528H6PdbJkJsolggA", "ASHA ETC")</f>
        <v>ASHA ETC</v>
      </c>
      <c r="C5856" s="80" t="s">
        <v>6350</v>
      </c>
      <c r="D5856" s="81" t="str">
        <f>HYPERLINK("https://youtube.com/watch?v=dxk0nX0j4Ts", "Unintentional Racism | ASHA ETC")</f>
        <v>Unintentional Racism | ASHA ETC</v>
      </c>
      <c r="E5856" s="82">
        <v>42684.0</v>
      </c>
      <c r="F5856" s="80">
        <v>352.0</v>
      </c>
      <c r="G5856" s="80" t="s">
        <v>63</v>
      </c>
      <c r="I5856" s="80" t="s">
        <v>63</v>
      </c>
      <c r="J5856" s="80">
        <v>34.0</v>
      </c>
      <c r="K5856" s="80">
        <v>1.0</v>
      </c>
      <c r="L5856" s="80" t="s">
        <v>1503</v>
      </c>
    </row>
    <row r="5857">
      <c r="A5857" s="80" t="s">
        <v>6236</v>
      </c>
      <c r="B5857" s="81" t="str">
        <f>HYPERLINK("https://www.youtube.com/channel/UCPMsgWJvrkEHE0OpIMtxyYQ", "Comfort鬆")</f>
        <v>Comfort鬆</v>
      </c>
      <c r="C5857" s="80" t="s">
        <v>6351</v>
      </c>
      <c r="D5857" s="81" t="str">
        <f>HYPERLINK("https://youtube.com/watch?v=eXbNxwZf7eo", "［重口味之選］基基 Gel甲初體驗🥵 如何拉近同Tyson Yoshi距離？｜痛到叫媽咪嘅覺悟！")</f>
        <v>［重口味之選］基基 Gel甲初體驗🥵 如何拉近同Tyson Yoshi距離？｜痛到叫媽咪嘅覺悟！</v>
      </c>
      <c r="E5857" s="82">
        <v>44757.0</v>
      </c>
      <c r="F5857" s="80">
        <v>435.0</v>
      </c>
      <c r="G5857" s="80" t="s">
        <v>63</v>
      </c>
      <c r="I5857" s="80" t="s">
        <v>63</v>
      </c>
      <c r="J5857" s="80">
        <v>1406.0</v>
      </c>
      <c r="K5857" s="80">
        <v>0.917155903457273</v>
      </c>
      <c r="L5857" s="80" t="s">
        <v>64</v>
      </c>
    </row>
    <row r="5858">
      <c r="A5858" s="80" t="s">
        <v>6238</v>
      </c>
      <c r="B5858" s="81" t="str">
        <f t="shared" ref="B5858:B5859" si="327">HYPERLINK("https://www.youtube.com/channel/UC_ogl0qjBdXrTiZZJ6ltsQQ", "Flat Out 地板油")</f>
        <v>Flat Out 地板油</v>
      </c>
      <c r="C5858" s="80" t="s">
        <v>6352</v>
      </c>
      <c r="D5858" s="81" t="str">
        <f>HYPERLINK("https://youtube.com/watch?v=SFfQR7ePDG8", "平玩馬後炮！五萬可以揸走寶馬末代後驅「小鋼炮」？BMW 1 Series外形Sharp醒 操控無敵 唯獨維修保養多嘢整|Flat Out Review #FlatOut試車 #地板油 #平玩入門歐洲車")</f>
        <v>平玩馬後炮！五萬可以揸走寶馬末代後驅「小鋼炮」？BMW 1 Series外形Sharp醒 操控無敵 唯獨維修保養多嘢整|Flat Out Review #FlatOut試車 #地板油 #平玩入門歐洲車</v>
      </c>
      <c r="E5858" s="82">
        <v>44484.0</v>
      </c>
      <c r="F5858" s="80">
        <v>1461.0</v>
      </c>
      <c r="G5858" s="80" t="s">
        <v>63</v>
      </c>
      <c r="I5858" s="80" t="s">
        <v>63</v>
      </c>
      <c r="J5858" s="80">
        <v>17.0</v>
      </c>
      <c r="K5858" s="80">
        <v>0.566666666666666</v>
      </c>
      <c r="L5858" s="80" t="s">
        <v>64</v>
      </c>
    </row>
    <row r="5859">
      <c r="A5859" s="80" t="s">
        <v>6238</v>
      </c>
      <c r="B5859" s="81" t="str">
        <f t="shared" si="327"/>
        <v>Flat Out 地板油</v>
      </c>
      <c r="C5859" s="80" t="s">
        <v>6353</v>
      </c>
      <c r="D5859" s="81" t="str">
        <f>HYPERLINK("https://youtube.com/watch?v=Bi-pyO0OFUg", "其實車評人自己揸咩車？Toby Leung日用腳車大公開！Audi A4 Avant B9 揸足四年都冇投訴？超大尾箱擺啲咩？（上集）| Flat Out Review #FlatOut試車 #地板油")</f>
        <v>其實車評人自己揸咩車？Toby Leung日用腳車大公開！Audi A4 Avant B9 揸足四年都冇投訴？超大尾箱擺啲咩？（上集）| Flat Out Review #FlatOut試車 #地板油</v>
      </c>
      <c r="E5859" s="82">
        <v>44498.0</v>
      </c>
      <c r="F5859" s="80">
        <v>1357.0</v>
      </c>
      <c r="G5859" s="80" t="s">
        <v>63</v>
      </c>
      <c r="I5859" s="80" t="s">
        <v>63</v>
      </c>
      <c r="J5859" s="80">
        <v>13.0</v>
      </c>
      <c r="K5859" s="80">
        <v>0.5</v>
      </c>
      <c r="L5859" s="80" t="s">
        <v>64</v>
      </c>
    </row>
    <row r="5860">
      <c r="A5860" s="80" t="s">
        <v>6248</v>
      </c>
      <c r="B5860" s="81" t="str">
        <f>HYPERLINK("https://www.youtube.com/channel/UCmlr1is6e9bV34fgg3u0xng", "Ruby.S")</f>
        <v>Ruby.S</v>
      </c>
      <c r="C5860" s="80" t="s">
        <v>6354</v>
      </c>
      <c r="D5860" s="81" t="str">
        <f>HYPERLINK("https://youtube.com/watch?v=o5ORuVz-wwE", "@Ruby.S ［快閃路線］2.5小時完成｜大波板｜挑戰雄獅拉矢脊｜爬攀無停過｜你會愛上的攀爬路線? | 獅子山 🦁| I believe I can hike Ep26")</f>
        <v>@Ruby.S ［快閃路線］2.5小時完成｜大波板｜挑戰雄獅拉矢脊｜爬攀無停過｜你會愛上的攀爬路線? | 獅子山 🦁| I believe I can hike Ep26</v>
      </c>
      <c r="E5860" s="82">
        <v>44613.0</v>
      </c>
      <c r="F5860" s="80">
        <v>1305.0</v>
      </c>
      <c r="G5860" s="80" t="s">
        <v>63</v>
      </c>
      <c r="I5860" s="80" t="s">
        <v>63</v>
      </c>
      <c r="J5860" s="80">
        <v>1286.0</v>
      </c>
      <c r="K5860" s="80">
        <v>0.933914306463326</v>
      </c>
      <c r="L5860" s="80" t="s">
        <v>64</v>
      </c>
    </row>
    <row r="5861">
      <c r="A5861" s="80" t="s">
        <v>5459</v>
      </c>
      <c r="B5861" s="81" t="str">
        <f>HYPERLINK("https://www.youtube.com/channel/UC8_4V541ZqVTev0mWbp10oA", "COMPUTE_B 砌機師")</f>
        <v>COMPUTE_B 砌機師</v>
      </c>
      <c r="C5861" s="80" t="s">
        <v>6355</v>
      </c>
      <c r="D5861" s="81" t="str">
        <f>HYPERLINK("https://youtube.com/watch?v=myykBw9U2Q0", "[CB實驗室] 最強水冷 VK C360 詳細測試! 贏NZXT CORSAIR ? 風冷定水冷抵用!? 同dB音量 邊隻最涼?? | 廣東話 | cc字幕 | 4K | COMPUTE.B評測師")</f>
        <v>[CB實驗室] 最強水冷 VK C360 詳細測試! 贏NZXT CORSAIR ? 風冷定水冷抵用!? 同dB音量 邊隻最涼?? | 廣東話 | cc字幕 | 4K | COMPUTE.B評測師</v>
      </c>
      <c r="E5861" s="82">
        <v>44807.0</v>
      </c>
      <c r="F5861" s="80">
        <v>663.0</v>
      </c>
      <c r="G5861" s="80" t="s">
        <v>63</v>
      </c>
      <c r="I5861" s="80" t="s">
        <v>63</v>
      </c>
      <c r="J5861" s="80">
        <v>1960.0</v>
      </c>
      <c r="K5861" s="80">
        <v>0.797396257119609</v>
      </c>
      <c r="L5861" s="80" t="s">
        <v>64</v>
      </c>
    </row>
    <row r="5862">
      <c r="A5862" s="80" t="s">
        <v>6290</v>
      </c>
      <c r="B5862" s="81" t="str">
        <f>HYPERLINK("https://www.youtube.com/channel/UCqz7Q8gOavVi_ZiGHePvLug", "商業電台 Hong Kong Toolbar")</f>
        <v>商業電台 Hong Kong Toolbar</v>
      </c>
      <c r="C5862" s="80" t="s">
        <v>6356</v>
      </c>
      <c r="D5862" s="81" t="str">
        <f>HYPERLINK("https://youtube.com/watch?v=acLhVkoaJu0", "《忘記和記》仿電訊廣告歌　「和記代言人」？！唔知呢")</f>
        <v>《忘記和記》仿電訊廣告歌　「和記代言人」？！唔知呢</v>
      </c>
      <c r="E5862" s="82">
        <v>43761.0</v>
      </c>
      <c r="F5862" s="80">
        <v>111.0</v>
      </c>
      <c r="G5862" s="80" t="s">
        <v>63</v>
      </c>
      <c r="I5862" s="80" t="s">
        <v>63</v>
      </c>
      <c r="J5862" s="80">
        <v>297.0</v>
      </c>
      <c r="K5862" s="80">
        <v>0.922360248447205</v>
      </c>
      <c r="L5862" s="80" t="s">
        <v>64</v>
      </c>
    </row>
    <row r="5863">
      <c r="A5863" s="80" t="s">
        <v>6248</v>
      </c>
      <c r="B5863" s="81" t="str">
        <f>HYPERLINK("https://www.youtube.com/channel/UCmlr1is6e9bV34fgg3u0xng", "Ruby.S")</f>
        <v>Ruby.S</v>
      </c>
      <c r="C5863" s="80" t="s">
        <v>6357</v>
      </c>
      <c r="D5863" s="81" t="str">
        <f>HYPERLINK("https://youtube.com/watch?v=WYqqEPOZQTE", "@Ruby.S  [打卡路線] 點解突然間變咗靈探？| 分享真人真事｜ 超無敵靚景打卡+航拍 |  舊村落係咪特別恐怖？｜ 自駕遊要睇彩數｜ I believe I can hike Ep29")</f>
        <v>@Ruby.S  [打卡路線] 點解突然間變咗靈探？| 分享真人真事｜ 超無敵靚景打卡+航拍 |  舊村落係咪特別恐怖？｜ 自駕遊要睇彩數｜ I believe I can hike Ep29</v>
      </c>
      <c r="E5863" s="82">
        <v>44636.0</v>
      </c>
      <c r="F5863" s="80">
        <v>1205.0</v>
      </c>
      <c r="G5863" s="80" t="s">
        <v>63</v>
      </c>
      <c r="I5863" s="80" t="s">
        <v>63</v>
      </c>
      <c r="J5863" s="80">
        <v>2371.0</v>
      </c>
      <c r="K5863" s="80">
        <v>0.950681635926222</v>
      </c>
      <c r="L5863" s="80" t="s">
        <v>64</v>
      </c>
    </row>
    <row r="5864">
      <c r="A5864" s="80" t="s">
        <v>6236</v>
      </c>
      <c r="B5864" s="81" t="str">
        <f>HYPERLINK("https://www.youtube.com/channel/UCPMsgWJvrkEHE0OpIMtxyYQ", "Comfort鬆")</f>
        <v>Comfort鬆</v>
      </c>
      <c r="C5864" s="80" t="s">
        <v>6358</v>
      </c>
      <c r="D5864" s="81" t="str">
        <f>HYPERLINK("https://youtube.com/watch?v=fY5lupGWSy4", "【街訪】拍拖鬧交千祈唔好道歉先？｜夠嗲就可以為所欲為發脾氣？｜想和好最緊要係...")</f>
        <v>【街訪】拍拖鬧交千祈唔好道歉先？｜夠嗲就可以為所欲為發脾氣？｜想和好最緊要係...</v>
      </c>
      <c r="E5864" s="82">
        <v>44803.0</v>
      </c>
      <c r="F5864" s="80">
        <v>387.0</v>
      </c>
      <c r="G5864" s="80" t="s">
        <v>63</v>
      </c>
      <c r="I5864" s="80" t="s">
        <v>63</v>
      </c>
      <c r="J5864" s="80">
        <v>1454.0</v>
      </c>
      <c r="K5864" s="80">
        <v>0.917350157728706</v>
      </c>
      <c r="L5864" s="80" t="s">
        <v>64</v>
      </c>
    </row>
    <row r="5865">
      <c r="A5865" s="80" t="s">
        <v>6359</v>
      </c>
      <c r="B5865" s="81" t="str">
        <f>HYPERLINK("https://www.youtube.com/channel/UCqLvgorz6_42ZDNWTNkQmpA", "生活泰導Fan's Life")</f>
        <v>生活泰導Fan's Life</v>
      </c>
      <c r="C5865" s="80" t="s">
        <v>6360</v>
      </c>
      <c r="D5865" s="81" t="str">
        <f>HYPERLINK("https://youtube.com/watch?v=T-c3gXKXOro", "【平帆食堂】 長沙灣 | 美蘭廚房  | 豬扒蛋飯 | 叉燒蛋飯 |  自製油渣麵 | 醉貓四兄弟 | 鴨肉翅  |  ( Chinese Cuisine )")</f>
        <v>【平帆食堂】 長沙灣 | 美蘭廚房  | 豬扒蛋飯 | 叉燒蛋飯 |  自製油渣麵 | 醉貓四兄弟 | 鴨肉翅  |  ( Chinese Cuisine )</v>
      </c>
      <c r="E5865" s="82">
        <v>44333.0</v>
      </c>
      <c r="F5865" s="80">
        <v>889.0</v>
      </c>
      <c r="G5865" s="80" t="s">
        <v>63</v>
      </c>
      <c r="I5865" s="80" t="s">
        <v>63</v>
      </c>
      <c r="J5865" s="80">
        <v>2373.0</v>
      </c>
      <c r="K5865" s="80">
        <v>0.953394937725994</v>
      </c>
      <c r="L5865" s="80" t="s">
        <v>64</v>
      </c>
    </row>
    <row r="5866">
      <c r="A5866" s="80" t="s">
        <v>6236</v>
      </c>
      <c r="B5866" s="81" t="str">
        <f t="shared" ref="B5866:B5867" si="328">HYPERLINK("https://www.youtube.com/channel/UCPMsgWJvrkEHE0OpIMtxyYQ", "Comfort鬆")</f>
        <v>Comfort鬆</v>
      </c>
      <c r="C5866" s="80" t="s">
        <v>6361</v>
      </c>
      <c r="D5866" s="81" t="str">
        <f>HYPERLINK("https://youtube.com/watch?v=6OvQEdYxhls", "【街訪】 經典紅爆改歌 你識唱邊首？｜Tag你身邊成日唱嗰個friend｜最貼地嘅廣東歌 沒有之一｜唔識唱小學校歌 但一定識唱佢！")</f>
        <v>【街訪】 經典紅爆改歌 你識唱邊首？｜Tag你身邊成日唱嗰個friend｜最貼地嘅廣東歌 沒有之一｜唔識唱小學校歌 但一定識唱佢！</v>
      </c>
      <c r="E5866" s="82">
        <v>44782.0</v>
      </c>
      <c r="F5866" s="80">
        <v>450.0</v>
      </c>
      <c r="G5866" s="80" t="s">
        <v>63</v>
      </c>
      <c r="I5866" s="80" t="s">
        <v>63</v>
      </c>
      <c r="J5866" s="80">
        <v>942.0</v>
      </c>
      <c r="K5866" s="80">
        <v>0.852488687782805</v>
      </c>
      <c r="L5866" s="80" t="s">
        <v>64</v>
      </c>
    </row>
    <row r="5867">
      <c r="A5867" s="80" t="s">
        <v>6236</v>
      </c>
      <c r="B5867" s="81" t="str">
        <f t="shared" si="328"/>
        <v>Comfort鬆</v>
      </c>
      <c r="C5867" s="80" t="s">
        <v>6362</v>
      </c>
      <c r="D5867" s="81" t="str">
        <f>HYPERLINK("https://youtube.com/watch?v=O_p8FcpGCQU", "【男友祕笈】實測灣仔新景點📍 傳媒力推嘅『勝地』到底有冇伏🥵 女朋友唔舒服嘅時候又應該點做？")</f>
        <v>【男友祕笈】實測灣仔新景點📍 傳媒力推嘅『勝地』到底有冇伏🥵 女朋友唔舒服嘅時候又應該點做？</v>
      </c>
      <c r="E5867" s="82">
        <v>44705.0</v>
      </c>
      <c r="F5867" s="80">
        <v>473.0</v>
      </c>
      <c r="G5867" s="80" t="s">
        <v>63</v>
      </c>
      <c r="I5867" s="80" t="s">
        <v>63</v>
      </c>
      <c r="J5867" s="80">
        <v>1307.0</v>
      </c>
      <c r="K5867" s="80">
        <v>0.923022598870056</v>
      </c>
      <c r="L5867" s="80" t="s">
        <v>64</v>
      </c>
    </row>
    <row r="5868">
      <c r="A5868" s="80" t="s">
        <v>6248</v>
      </c>
      <c r="B5868" s="81" t="str">
        <f>HYPERLINK("https://www.youtube.com/channel/UCmlr1is6e9bV34fgg3u0xng", "Ruby.S")</f>
        <v>Ruby.S</v>
      </c>
      <c r="C5868" s="80" t="s">
        <v>6363</v>
      </c>
      <c r="D5868" s="81" t="str">
        <f>HYPERLINK("https://youtube.com/watch?v=l2Qz7HCUO_E", "［出山系列］山腳爬上純陽峰？| 好玩路線不能錯過｜唔好同我嗌辛苦| 空少識唔到空姐｜ I believe I can hike Ep19| RubyS請你飲咖啡")</f>
        <v>［出山系列］山腳爬上純陽峰？| 好玩路線不能錯過｜唔好同我嗌辛苦| 空少識唔到空姐｜ I believe I can hike Ep19| RubyS請你飲咖啡</v>
      </c>
      <c r="E5868" s="82">
        <v>44544.0</v>
      </c>
      <c r="F5868" s="80">
        <v>2265.0</v>
      </c>
      <c r="G5868" s="80" t="s">
        <v>63</v>
      </c>
      <c r="I5868" s="80" t="s">
        <v>63</v>
      </c>
      <c r="J5868" s="80">
        <v>3042.0</v>
      </c>
      <c r="K5868" s="80">
        <v>0.90589636688505</v>
      </c>
      <c r="L5868" s="80" t="s">
        <v>64</v>
      </c>
    </row>
    <row r="5869">
      <c r="A5869" s="80" t="s">
        <v>6238</v>
      </c>
      <c r="B5869" s="81" t="str">
        <f>HYPERLINK("https://www.youtube.com/channel/UC_ogl0qjBdXrTiZZJ6ltsQQ", "Flat Out 地板油")</f>
        <v>Flat Out 地板油</v>
      </c>
      <c r="C5869" s="80" t="s">
        <v>6364</v>
      </c>
      <c r="D5869" s="81" t="str">
        <f>HYPERLINK("https://youtube.com/watch?v=iCHEvReTzVw", "超驚險四驅車！42匹「祖先級」Suzuki Jimny SJ20挑戰沙田坳道+龍翔道 玩車變成玩自己？| Flat Out Classic #FlatOut卡式台 #地板油")</f>
        <v>超驚險四驅車！42匹「祖先級」Suzuki Jimny SJ20挑戰沙田坳道+龍翔道 玩車變成玩自己？| Flat Out Classic #FlatOut卡式台 #地板油</v>
      </c>
      <c r="E5869" s="82">
        <v>44568.0</v>
      </c>
      <c r="F5869" s="80">
        <v>1043.0</v>
      </c>
      <c r="G5869" s="80" t="s">
        <v>63</v>
      </c>
      <c r="I5869" s="80" t="s">
        <v>63</v>
      </c>
      <c r="J5869" s="80">
        <v>2608.0</v>
      </c>
      <c r="K5869" s="80">
        <v>0.851174934725848</v>
      </c>
      <c r="L5869" s="80" t="s">
        <v>64</v>
      </c>
    </row>
    <row r="5870">
      <c r="A5870" s="80" t="s">
        <v>6236</v>
      </c>
      <c r="B5870" s="81" t="str">
        <f>HYPERLINK("https://www.youtube.com/channel/UCPMsgWJvrkEHE0OpIMtxyYQ", "Comfort鬆")</f>
        <v>Comfort鬆</v>
      </c>
      <c r="C5870" s="80" t="s">
        <v>6365</v>
      </c>
      <c r="D5870" s="81" t="str">
        <f>HYPERLINK("https://youtube.com/watch?v=BvIs9h84HgM", "【味覺的考驗】試食壯陽必食炒飯🤮 食完之後竟然會覺得XX？可能係最出乎意料嘅一集試食🙈")</f>
        <v>【味覺的考驗】試食壯陽必食炒飯🤮 食完之後竟然會覺得XX？可能係最出乎意料嘅一集試食🙈</v>
      </c>
      <c r="E5870" s="82">
        <v>44799.0</v>
      </c>
      <c r="F5870" s="80">
        <v>358.0</v>
      </c>
      <c r="G5870" s="80" t="s">
        <v>63</v>
      </c>
      <c r="I5870" s="80" t="s">
        <v>63</v>
      </c>
      <c r="J5870" s="80">
        <v>1165.0</v>
      </c>
      <c r="K5870" s="80">
        <v>0.98063973063973</v>
      </c>
      <c r="L5870" s="80" t="s">
        <v>64</v>
      </c>
    </row>
    <row r="5871">
      <c r="A5871" s="80" t="s">
        <v>6238</v>
      </c>
      <c r="B5871" s="81" t="str">
        <f>HYPERLINK("https://www.youtube.com/channel/UC_ogl0qjBdXrTiZZJ6ltsQQ", "Flat Out 地板油")</f>
        <v>Flat Out 地板油</v>
      </c>
      <c r="C5871" s="80" t="s">
        <v>6366</v>
      </c>
      <c r="D5871" s="81" t="str">
        <f>HYPERLINK("https://youtube.com/watch?v=IwXnJIvm8oU", "其實車評人點改車？雙To日用腳車實測全港最貴Dyno「跑步機」寫電腦可以加大幾多匹？ | Flat Out Myth Buster #FlatOut大破解 #地板油")</f>
        <v>其實車評人點改車？雙To日用腳車實測全港最貴Dyno「跑步機」寫電腦可以加大幾多匹？ | Flat Out Myth Buster #FlatOut大破解 #地板油</v>
      </c>
      <c r="E5871" s="82">
        <v>44558.0</v>
      </c>
      <c r="F5871" s="80">
        <v>680.0</v>
      </c>
      <c r="G5871" s="80" t="s">
        <v>63</v>
      </c>
      <c r="I5871" s="80" t="s">
        <v>63</v>
      </c>
      <c r="J5871" s="80">
        <v>1853.0</v>
      </c>
      <c r="K5871" s="80">
        <v>0.836191335740072</v>
      </c>
      <c r="L5871" s="80" t="s">
        <v>64</v>
      </c>
    </row>
    <row r="5872">
      <c r="A5872" s="80" t="s">
        <v>6236</v>
      </c>
      <c r="B5872" s="81" t="str">
        <f>HYPERLINK("https://www.youtube.com/channel/UCPMsgWJvrkEHE0OpIMtxyYQ", "Comfort鬆")</f>
        <v>Comfort鬆</v>
      </c>
      <c r="C5872" s="80" t="s">
        <v>6367</v>
      </c>
      <c r="D5872" s="81" t="str">
        <f>HYPERLINK("https://youtube.com/watch?v=7jm8-zxOfCo", "【街訪】爸爸我愛你 不過...｜驗證爸爸真係個女嘅前世情人！｜「究竟我有咩比唔上舊叉燒！」")</f>
        <v>【街訪】爸爸我愛你 不過...｜驗證爸爸真係個女嘅前世情人！｜「究竟我有咩比唔上舊叉燒！」</v>
      </c>
      <c r="E5872" s="82">
        <v>44733.0</v>
      </c>
      <c r="F5872" s="80">
        <v>511.0</v>
      </c>
      <c r="G5872" s="80" t="s">
        <v>63</v>
      </c>
      <c r="I5872" s="80" t="s">
        <v>63</v>
      </c>
      <c r="J5872" s="80">
        <v>2016.0</v>
      </c>
      <c r="K5872" s="80">
        <v>0.933333333333333</v>
      </c>
      <c r="L5872" s="80" t="s">
        <v>64</v>
      </c>
    </row>
    <row r="5873">
      <c r="A5873" s="80" t="s">
        <v>6248</v>
      </c>
      <c r="B5873" s="81" t="str">
        <f>HYPERLINK("https://www.youtube.com/channel/UCmlr1is6e9bV34fgg3u0xng", "Ruby.S")</f>
        <v>Ruby.S</v>
      </c>
      <c r="C5873" s="80" t="s">
        <v>6368</v>
      </c>
      <c r="D5873" s="81" t="str">
        <f>HYPERLINK("https://youtube.com/watch?v=s4unCA_3MTc", "@Ruby.s [復活節好去處］西貢路線|半日時間就去到| 咖啡欣話你知點解叫蠄蟝石?｜笑到失控| 4小時+打卡I｜I believe I can hike EP33")</f>
        <v>@Ruby.s [復活節好去處］西貢路線|半日時間就去到| 咖啡欣話你知點解叫蠄蟝石?｜笑到失控| 4小時+打卡I｜I believe I can hike EP33</v>
      </c>
      <c r="E5873" s="82">
        <v>44665.0</v>
      </c>
      <c r="F5873" s="80">
        <v>1284.0</v>
      </c>
      <c r="G5873" s="80" t="s">
        <v>63</v>
      </c>
      <c r="I5873" s="80" t="s">
        <v>63</v>
      </c>
      <c r="J5873" s="80">
        <v>2447.0</v>
      </c>
      <c r="K5873" s="80">
        <v>0.884990958408679</v>
      </c>
      <c r="L5873" s="80" t="s">
        <v>64</v>
      </c>
    </row>
    <row r="5874">
      <c r="A5874" s="80" t="s">
        <v>293</v>
      </c>
      <c r="B5874" s="81" t="str">
        <f>HYPERLINK("https://www.youtube.com/channel/UCXRcbXqjORdIvl63I7MtOLQ", "趁熱 Kerry 's kitchen")</f>
        <v>趁熱 Kerry 's kitchen</v>
      </c>
      <c r="C5874" s="80" t="s">
        <v>6369</v>
      </c>
      <c r="D5874" s="81" t="str">
        <f>HYPERLINK("https://youtube.com/watch?v=UaS-hpICRYg", "鹹蛋黃大蝦/富貴黃金蝦/過節在家做超容易/不用炸/冇明火都做到/出去食麻煩不如自已做/廣東話/中字/pan-fried king prawn w/salted duck egg yolk sauce")</f>
        <v>鹹蛋黃大蝦/富貴黃金蝦/過節在家做超容易/不用炸/冇明火都做到/出去食麻煩不如自已做/廣東話/中字/pan-fried king prawn w/salted duck egg yolk sauce</v>
      </c>
      <c r="E5874" s="82">
        <v>44809.0</v>
      </c>
      <c r="F5874" s="80">
        <v>556.0</v>
      </c>
      <c r="G5874" s="80" t="s">
        <v>63</v>
      </c>
      <c r="I5874" s="80" t="s">
        <v>63</v>
      </c>
      <c r="J5874" s="80">
        <v>1283.0</v>
      </c>
      <c r="K5874" s="80">
        <v>0.972706595905989</v>
      </c>
      <c r="L5874" s="80" t="s">
        <v>64</v>
      </c>
    </row>
    <row r="5875">
      <c r="A5875" s="80" t="s">
        <v>6370</v>
      </c>
      <c r="B5875" s="81" t="str">
        <f t="shared" ref="B5875:B5876" si="329">HYPERLINK("https://www.youtube.com/channel/UCEhhnDIEGsRWMVP-GxnuKjw", "記錄日常 Ordinary Diary")</f>
        <v>記錄日常 Ordinary Diary</v>
      </c>
      <c r="C5875" s="80" t="s">
        <v>6371</v>
      </c>
      <c r="D5875" s="81" t="str">
        <f>HYPERLINK("https://youtube.com/watch?v=8xPZoK54n7o", "本地薑系列Part 3🔥香港製造玩具｜1/12月餅、茶餐廳&amp;街燈開箱｜Sandy Crafts &amp; MXW工作室 (中文字幕)")</f>
        <v>本地薑系列Part 3🔥香港製造玩具｜1/12月餅、茶餐廳&amp;街燈開箱｜Sandy Crafts &amp; MXW工作室 (中文字幕)</v>
      </c>
      <c r="E5875" s="82">
        <v>44763.0</v>
      </c>
      <c r="F5875" s="80">
        <v>854.0</v>
      </c>
      <c r="G5875" s="80" t="s">
        <v>63</v>
      </c>
      <c r="I5875" s="80" t="s">
        <v>63</v>
      </c>
      <c r="J5875" s="80">
        <v>2991.0</v>
      </c>
      <c r="K5875" s="80">
        <v>0.92002460781298</v>
      </c>
      <c r="L5875" s="80" t="s">
        <v>1471</v>
      </c>
    </row>
    <row r="5876">
      <c r="A5876" s="80" t="s">
        <v>6370</v>
      </c>
      <c r="B5876" s="81" t="str">
        <f t="shared" si="329"/>
        <v>記錄日常 Ordinary Diary</v>
      </c>
      <c r="C5876" s="80" t="s">
        <v>6372</v>
      </c>
      <c r="D5876" s="81" t="str">
        <f>HYPERLINK("https://youtube.com/watch?v=l9M5SfoYpy0", "【酒店Staycation】聽講高官都鍾意住港麗？🤔食唔飽嘅自助餐&amp;追不上時代變遷嘅裝潢😅仲食到生豬肉!😱(中文字幕) Conrad Hong Kong Staycation, Garden Cafe")</f>
        <v>【酒店Staycation】聽講高官都鍾意住港麗？🤔食唔飽嘅自助餐&amp;追不上時代變遷嘅裝潢😅仲食到生豬肉!😱(中文字幕) Conrad Hong Kong Staycation, Garden Cafe</v>
      </c>
      <c r="E5876" s="82">
        <v>44750.0</v>
      </c>
      <c r="F5876" s="80">
        <v>835.0</v>
      </c>
      <c r="G5876" s="80" t="s">
        <v>63</v>
      </c>
      <c r="I5876" s="80" t="s">
        <v>63</v>
      </c>
      <c r="J5876" s="80">
        <v>3488.0</v>
      </c>
      <c r="K5876" s="80">
        <v>0.946796959826275</v>
      </c>
      <c r="L5876" s="80" t="s">
        <v>1471</v>
      </c>
    </row>
    <row r="5877">
      <c r="A5877" s="80" t="s">
        <v>6373</v>
      </c>
      <c r="B5877" s="81" t="str">
        <f>HYPERLINK("https://www.youtube.com/channel/UCMXOmw_gVvTj8n1gjqUN51w", "瑪姬英文 English with Maggie")</f>
        <v>瑪姬英文 English with Maggie</v>
      </c>
      <c r="C5877" s="80" t="s">
        <v>6374</v>
      </c>
      <c r="D5877" s="81" t="str">
        <f>HYPERLINK("https://youtube.com/watch?v=cr6GZxsTiMU", "【兩頭唔到岸 In English?】英文是什麼？Useful English Idioms/ Vocabulary #shorts")</f>
        <v>【兩頭唔到岸 In English?】英文是什麼？Useful English Idioms/ Vocabulary #shorts</v>
      </c>
      <c r="E5877" s="82">
        <v>44640.0</v>
      </c>
      <c r="F5877" s="80">
        <v>53.0</v>
      </c>
      <c r="G5877" s="80" t="s">
        <v>63</v>
      </c>
      <c r="I5877" s="80" t="s">
        <v>63</v>
      </c>
      <c r="J5877" s="80">
        <v>28.0</v>
      </c>
      <c r="K5877" s="80">
        <v>1.0</v>
      </c>
      <c r="L5877" s="80" t="s">
        <v>64</v>
      </c>
    </row>
    <row r="5878">
      <c r="A5878" s="80" t="s">
        <v>6370</v>
      </c>
      <c r="B5878" s="81" t="str">
        <f t="shared" ref="B5878:B5893" si="330">HYPERLINK("https://www.youtube.com/channel/UCEhhnDIEGsRWMVP-GxnuKjw", "記錄日常 Ordinary Diary")</f>
        <v>記錄日常 Ordinary Diary</v>
      </c>
      <c r="C5878" s="80" t="s">
        <v>6375</v>
      </c>
      <c r="D5878" s="81" t="str">
        <f>HYPERLINK("https://youtube.com/watch?v=bEml0Q_Q8qo", "分域碼頭：又一個即將拆卸的殖民地時代建築😔 (中文字幕)")</f>
        <v>分域碼頭：又一個即將拆卸的殖民地時代建築😔 (中文字幕)</v>
      </c>
      <c r="E5878" s="82">
        <v>44538.0</v>
      </c>
      <c r="F5878" s="80">
        <v>768.0</v>
      </c>
      <c r="G5878" s="80" t="s">
        <v>63</v>
      </c>
      <c r="I5878" s="80" t="s">
        <v>63</v>
      </c>
      <c r="J5878" s="80">
        <v>2484.0</v>
      </c>
      <c r="K5878" s="80">
        <v>0.956856702619414</v>
      </c>
      <c r="L5878" s="80" t="s">
        <v>64</v>
      </c>
    </row>
    <row r="5879">
      <c r="A5879" s="80" t="s">
        <v>6370</v>
      </c>
      <c r="B5879" s="81" t="str">
        <f t="shared" si="330"/>
        <v>記錄日常 Ordinary Diary</v>
      </c>
      <c r="C5879" s="80" t="s">
        <v>6376</v>
      </c>
      <c r="D5879" s="81" t="str">
        <f>HYPERLINK("https://youtube.com/watch?v=-aqV678kD5s", "【震驚】可能係全香港最好食嘅粵菜?😋 連續十四年榮獲米芝蓮三星評級😱服務一流👍 (中文字幕) Perhaps the most delicious Chinese food in Hong Kong")</f>
        <v>【震驚】可能係全香港最好食嘅粵菜?😋 連續十四年榮獲米芝蓮三星評級😱服務一流👍 (中文字幕) Perhaps the most delicious Chinese food in Hong Kong</v>
      </c>
      <c r="E5879" s="82">
        <v>44728.0</v>
      </c>
      <c r="F5879" s="80">
        <v>639.0</v>
      </c>
      <c r="G5879" s="80" t="s">
        <v>63</v>
      </c>
      <c r="I5879" s="80" t="s">
        <v>63</v>
      </c>
      <c r="J5879" s="80">
        <v>2881.0</v>
      </c>
      <c r="K5879" s="80">
        <v>0.969380888290713</v>
      </c>
      <c r="L5879" s="80" t="s">
        <v>1471</v>
      </c>
    </row>
    <row r="5880">
      <c r="A5880" s="80" t="s">
        <v>6370</v>
      </c>
      <c r="B5880" s="81" t="str">
        <f t="shared" si="330"/>
        <v>記錄日常 Ordinary Diary</v>
      </c>
      <c r="C5880" s="80" t="s">
        <v>6377</v>
      </c>
      <c r="D5880" s="81" t="str">
        <f>HYPERLINK("https://youtube.com/watch?v=fDOKKj-ftwo", "【酒店Staycation】無敵維港海景🤩四季酒店全新尊尚海景套房🔥服務一流👍(中文字幕)")</f>
        <v>【酒店Staycation】無敵維港海景🤩四季酒店全新尊尚海景套房🔥服務一流👍(中文字幕)</v>
      </c>
      <c r="E5880" s="82">
        <v>44692.0</v>
      </c>
      <c r="F5880" s="80">
        <v>588.0</v>
      </c>
      <c r="G5880" s="80" t="s">
        <v>63</v>
      </c>
      <c r="I5880" s="80" t="s">
        <v>63</v>
      </c>
      <c r="J5880" s="80">
        <v>2555.0</v>
      </c>
      <c r="K5880" s="80">
        <v>0.960165351371664</v>
      </c>
      <c r="L5880" s="80" t="s">
        <v>91</v>
      </c>
    </row>
    <row r="5881">
      <c r="A5881" s="80" t="s">
        <v>6370</v>
      </c>
      <c r="B5881" s="81" t="str">
        <f t="shared" si="330"/>
        <v>記錄日常 Ordinary Diary</v>
      </c>
      <c r="C5881" s="80" t="s">
        <v>6378</v>
      </c>
      <c r="D5881" s="81" t="str">
        <f>HYPERLINK("https://youtube.com/watch?v=5Yc4xTvJ8oQ", "新手必看🔥《魔戒：開戰時刻》初階詳解Part 4 | 戒指、賽季目標、勇者之心、衝等聖地💍😊📱(中文字幕)")</f>
        <v>新手必看🔥《魔戒：開戰時刻》初階詳解Part 4 | 戒指、賽季目標、勇者之心、衝等聖地💍😊📱(中文字幕)</v>
      </c>
      <c r="E5881" s="82">
        <v>44701.0</v>
      </c>
      <c r="F5881" s="80">
        <v>1093.0</v>
      </c>
      <c r="G5881" s="80" t="s">
        <v>63</v>
      </c>
      <c r="I5881" s="80" t="s">
        <v>63</v>
      </c>
      <c r="J5881" s="80">
        <v>4728.0</v>
      </c>
      <c r="K5881" s="80">
        <v>0.972639374614276</v>
      </c>
      <c r="L5881" s="80" t="s">
        <v>1471</v>
      </c>
    </row>
    <row r="5882">
      <c r="A5882" s="80" t="s">
        <v>6370</v>
      </c>
      <c r="B5882" s="81" t="str">
        <f t="shared" si="330"/>
        <v>記錄日常 Ordinary Diary</v>
      </c>
      <c r="C5882" s="80" t="s">
        <v>6379</v>
      </c>
      <c r="D5882" s="81" t="str">
        <f>HYPERLINK("https://youtube.com/watch?v=4YU7-yWHnas", "【糧尾恩物】究竟中環有無兩餸飯？中環區低至$30的午餐！🤩(中文字幕) Central Lunch box from $30 up")</f>
        <v>【糧尾恩物】究竟中環有無兩餸飯？中環區低至$30的午餐！🤩(中文字幕) Central Lunch box from $30 up</v>
      </c>
      <c r="E5882" s="82">
        <v>44699.0</v>
      </c>
      <c r="F5882" s="80">
        <v>892.0</v>
      </c>
      <c r="G5882" s="80" t="s">
        <v>63</v>
      </c>
      <c r="I5882" s="80" t="s">
        <v>63</v>
      </c>
      <c r="J5882" s="80">
        <v>3266.0</v>
      </c>
      <c r="K5882" s="80">
        <v>0.965986394557823</v>
      </c>
      <c r="L5882" s="80" t="s">
        <v>1471</v>
      </c>
    </row>
    <row r="5883">
      <c r="A5883" s="80" t="s">
        <v>6370</v>
      </c>
      <c r="B5883" s="81" t="str">
        <f t="shared" si="330"/>
        <v>記錄日常 Ordinary Diary</v>
      </c>
      <c r="C5883" s="80" t="s">
        <v>6380</v>
      </c>
      <c r="D5883" s="81" t="str">
        <f>HYPERLINK("https://youtube.com/watch?v=VcACFVTDuQg", "【突發】香港人投稿設計實體化！2022夏季樂高新消息Part 1 (中文字幕)")</f>
        <v>【突發】香港人投稿設計實體化！2022夏季樂高新消息Part 1 (中文字幕)</v>
      </c>
      <c r="E5883" s="82">
        <v>44733.0</v>
      </c>
      <c r="F5883" s="80">
        <v>464.0</v>
      </c>
      <c r="G5883" s="80" t="s">
        <v>63</v>
      </c>
      <c r="I5883" s="80" t="s">
        <v>63</v>
      </c>
      <c r="J5883" s="80">
        <v>1842.0</v>
      </c>
      <c r="K5883" s="80">
        <v>0.896350364963503</v>
      </c>
      <c r="L5883" s="80" t="s">
        <v>1471</v>
      </c>
    </row>
    <row r="5884">
      <c r="A5884" s="80" t="s">
        <v>6370</v>
      </c>
      <c r="B5884" s="81" t="str">
        <f t="shared" si="330"/>
        <v>記錄日常 Ordinary Diary</v>
      </c>
      <c r="C5884" s="80" t="s">
        <v>6381</v>
      </c>
      <c r="D5884" s="81" t="str">
        <f>HYPERLINK("https://youtube.com/watch?v=PW19sWwUsRQ", "非一般夜上海🥢先後14次獲得米芝蓮一星殊榮！😋必食江南脆鱔、黃橋燒餅...(中文字幕) Yè Shanghai - Michelin One Star Restaurant")</f>
        <v>非一般夜上海🥢先後14次獲得米芝蓮一星殊榮！😋必食江南脆鱔、黃橋燒餅...(中文字幕) Yè Shanghai - Michelin One Star Restaurant</v>
      </c>
      <c r="E5884" s="82">
        <v>44810.0</v>
      </c>
      <c r="F5884" s="80">
        <v>564.0</v>
      </c>
      <c r="G5884" s="80" t="s">
        <v>63</v>
      </c>
      <c r="I5884" s="80" t="s">
        <v>63</v>
      </c>
      <c r="J5884" s="80">
        <v>2444.0</v>
      </c>
      <c r="K5884" s="80">
        <v>0.981132075471698</v>
      </c>
      <c r="L5884" s="80" t="s">
        <v>1471</v>
      </c>
    </row>
    <row r="5885">
      <c r="A5885" s="80" t="s">
        <v>6370</v>
      </c>
      <c r="B5885" s="81" t="str">
        <f t="shared" si="330"/>
        <v>記錄日常 Ordinary Diary</v>
      </c>
      <c r="C5885" s="80" t="s">
        <v>6382</v>
      </c>
      <c r="D5885" s="81" t="str">
        <f>HYPERLINK("https://youtube.com/watch?v=EvB1bGT4nGI", "【號外】紐約至聖所、90週年城堡、阿凡達🔥2022夏季樂高新消息Part 2 (中文字幕)")</f>
        <v>【號外】紐約至聖所、90週年城堡、阿凡達🔥2022夏季樂高新消息Part 2 (中文字幕)</v>
      </c>
      <c r="E5885" s="82">
        <v>44736.0</v>
      </c>
      <c r="F5885" s="80">
        <v>808.0</v>
      </c>
      <c r="G5885" s="80" t="s">
        <v>63</v>
      </c>
      <c r="I5885" s="80" t="s">
        <v>63</v>
      </c>
      <c r="J5885" s="80">
        <v>3565.0</v>
      </c>
      <c r="K5885" s="80">
        <v>0.885714285714285</v>
      </c>
      <c r="L5885" s="80" t="s">
        <v>1471</v>
      </c>
    </row>
    <row r="5886">
      <c r="A5886" s="80" t="s">
        <v>6370</v>
      </c>
      <c r="B5886" s="81" t="str">
        <f t="shared" si="330"/>
        <v>記錄日常 Ordinary Diary</v>
      </c>
      <c r="C5886" s="80" t="s">
        <v>6383</v>
      </c>
      <c r="D5886" s="81" t="str">
        <f>HYPERLINK("https://youtube.com/watch?v=_P_D3_0H4Mc", "【震驚】係度買牛扒，原來平幾舊！😱點解仲要貼錢買難受？順便分享4分鐘煎牛扒(中文字幕) Bought High Quality Steaks from One Stop for a Low Price")</f>
        <v>【震驚】係度買牛扒，原來平幾舊！😱點解仲要貼錢買難受？順便分享4分鐘煎牛扒(中文字幕) Bought High Quality Steaks from One Stop for a Low Price</v>
      </c>
      <c r="E5886" s="82">
        <v>44792.0</v>
      </c>
      <c r="F5886" s="80">
        <v>392.0</v>
      </c>
      <c r="G5886" s="80" t="s">
        <v>63</v>
      </c>
      <c r="I5886" s="80" t="s">
        <v>63</v>
      </c>
      <c r="J5886" s="80">
        <v>1575.0</v>
      </c>
      <c r="K5886" s="80">
        <v>0.953967292549969</v>
      </c>
      <c r="L5886" s="80" t="s">
        <v>2580</v>
      </c>
    </row>
    <row r="5887">
      <c r="A5887" s="80" t="s">
        <v>6370</v>
      </c>
      <c r="B5887" s="81" t="str">
        <f t="shared" si="330"/>
        <v>記錄日常 Ordinary Diary</v>
      </c>
      <c r="C5887" s="80" t="s">
        <v>6384</v>
      </c>
      <c r="D5887" s="81" t="str">
        <f>HYPERLINK("https://youtube.com/watch?v=DaYaYx-RNl8", "【突發】今年我吃過最好的自助餐！食足4小時😋君悅酒店自助晚餐｜必食煎鵝肝、海南雞飯 ｜香港美食👍Best Buffet I ate in 2022, Grand Cafe at Grand Hyatt")</f>
        <v>【突發】今年我吃過最好的自助餐！食足4小時😋君悅酒店自助晚餐｜必食煎鵝肝、海南雞飯 ｜香港美食👍Best Buffet I ate in 2022, Grand Cafe at Grand Hyatt</v>
      </c>
      <c r="E5887" s="82">
        <v>44779.0</v>
      </c>
      <c r="F5887" s="80">
        <v>1643.0</v>
      </c>
      <c r="G5887" s="80" t="s">
        <v>63</v>
      </c>
      <c r="I5887" s="80" t="s">
        <v>63</v>
      </c>
      <c r="J5887" s="80">
        <v>5433.0</v>
      </c>
      <c r="K5887" s="80">
        <v>0.958708311275807</v>
      </c>
      <c r="L5887" s="80" t="s">
        <v>1471</v>
      </c>
    </row>
    <row r="5888">
      <c r="A5888" s="80" t="s">
        <v>6370</v>
      </c>
      <c r="B5888" s="81" t="str">
        <f t="shared" si="330"/>
        <v>記錄日常 Ordinary Diary</v>
      </c>
      <c r="C5888" s="80" t="s">
        <v>6385</v>
      </c>
      <c r="D5888" s="81" t="str">
        <f>HYPERLINK("https://youtube.com/watch?v=cgO7xVRM6Jc", "開箱系列🔥Comicave Iron Man MK43 開箱 (中文字幕)")</f>
        <v>開箱系列🔥Comicave Iron Man MK43 開箱 (中文字幕)</v>
      </c>
      <c r="E5888" s="82">
        <v>44584.0</v>
      </c>
      <c r="F5888" s="80">
        <v>410.0</v>
      </c>
      <c r="G5888" s="80" t="s">
        <v>63</v>
      </c>
      <c r="I5888" s="80" t="s">
        <v>63</v>
      </c>
      <c r="J5888" s="80">
        <v>903.0</v>
      </c>
      <c r="K5888" s="80">
        <v>0.866602687140115</v>
      </c>
      <c r="L5888" s="80" t="s">
        <v>91</v>
      </c>
    </row>
    <row r="5889">
      <c r="A5889" s="80" t="s">
        <v>6370</v>
      </c>
      <c r="B5889" s="81" t="str">
        <f t="shared" si="330"/>
        <v>記錄日常 Ordinary Diary</v>
      </c>
      <c r="C5889" s="80" t="s">
        <v>6386</v>
      </c>
      <c r="D5889" s="81" t="str">
        <f>HYPERLINK("https://youtube.com/watch?v=L8X5LHiORfU", "偽日本遊｜豐洲直送生鮪即日送港😱真係好少係香港食到咁新鮮嘅吞拿魚！😋金所3.0生鮪 (中文字幕)")</f>
        <v>偽日本遊｜豐洲直送生鮪即日送港😱真係好少係香港食到咁新鮮嘅吞拿魚！😋金所3.0生鮪 (中文字幕)</v>
      </c>
      <c r="E5889" s="82">
        <v>44740.0</v>
      </c>
      <c r="F5889" s="80">
        <v>841.0</v>
      </c>
      <c r="G5889" s="80" t="s">
        <v>63</v>
      </c>
      <c r="I5889" s="80" t="s">
        <v>63</v>
      </c>
      <c r="J5889" s="80">
        <v>3508.0</v>
      </c>
      <c r="K5889" s="80">
        <v>0.970401106500691</v>
      </c>
      <c r="L5889" s="80" t="s">
        <v>1471</v>
      </c>
    </row>
    <row r="5890">
      <c r="A5890" s="80" t="s">
        <v>6370</v>
      </c>
      <c r="B5890" s="81" t="str">
        <f t="shared" si="330"/>
        <v>記錄日常 Ordinary Diary</v>
      </c>
      <c r="C5890" s="80" t="s">
        <v>6387</v>
      </c>
      <c r="D5890" s="81" t="str">
        <f>HYPERLINK("https://youtube.com/watch?v=IzNOTmYvGx4", "【酒店Staycation】香港君悅酒店海景套房Room Tour (中文字幕) Grand Hyatt Room Tour")</f>
        <v>【酒店Staycation】香港君悅酒店海景套房Room Tour (中文字幕) Grand Hyatt Room Tour</v>
      </c>
      <c r="E5890" s="82">
        <v>44581.0</v>
      </c>
      <c r="F5890" s="80">
        <v>434.0</v>
      </c>
      <c r="G5890" s="80" t="s">
        <v>63</v>
      </c>
      <c r="I5890" s="80" t="s">
        <v>63</v>
      </c>
      <c r="J5890" s="80">
        <v>1490.0</v>
      </c>
      <c r="K5890" s="80">
        <v>0.877502944640753</v>
      </c>
      <c r="L5890" s="80" t="s">
        <v>91</v>
      </c>
    </row>
    <row r="5891">
      <c r="A5891" s="80" t="s">
        <v>6370</v>
      </c>
      <c r="B5891" s="81" t="str">
        <f t="shared" si="330"/>
        <v>記錄日常 Ordinary Diary</v>
      </c>
      <c r="C5891" s="80" t="s">
        <v>6388</v>
      </c>
      <c r="D5891" s="81" t="str">
        <f>HYPERLINK("https://youtube.com/watch?v=A9qbqhCkgTA", "【香港好去處】香港故宮究竟值得購票入場嗎？🤔一流建築，三流服務😱故宮文化博物館詳細參觀攻略🔥(中文字幕) Hong Kong Palace Museum")</f>
        <v>【香港好去處】香港故宮究竟值得購票入場嗎？🤔一流建築，三流服務😱故宮文化博物館詳細參觀攻略🔥(中文字幕) Hong Kong Palace Museum</v>
      </c>
      <c r="E5891" s="82">
        <v>44773.0</v>
      </c>
      <c r="F5891" s="80">
        <v>1762.0</v>
      </c>
      <c r="G5891" s="80" t="s">
        <v>63</v>
      </c>
      <c r="I5891" s="80" t="s">
        <v>63</v>
      </c>
      <c r="J5891" s="80">
        <v>7333.0</v>
      </c>
      <c r="K5891" s="80">
        <v>0.974226119303839</v>
      </c>
      <c r="L5891" s="80" t="s">
        <v>1471</v>
      </c>
    </row>
    <row r="5892">
      <c r="A5892" s="80" t="s">
        <v>6370</v>
      </c>
      <c r="B5892" s="81" t="str">
        <f t="shared" si="330"/>
        <v>記錄日常 Ordinary Diary</v>
      </c>
      <c r="C5892" s="80" t="s">
        <v>6389</v>
      </c>
      <c r="D5892" s="81" t="str">
        <f>HYPERLINK("https://youtube.com/watch?v=f-Fqp819Ptk", "創新口味，一試難忘？🤔究竟知名高級糕點品牌推出的月餅係乜嘢味道？(中文字幕)  Paul Lafayet Mooncake")</f>
        <v>創新口味，一試難忘？🤔究竟知名高級糕點品牌推出的月餅係乜嘢味道？(中文字幕)  Paul Lafayet Mooncake</v>
      </c>
      <c r="E5892" s="82">
        <v>44804.0</v>
      </c>
      <c r="F5892" s="80">
        <v>626.0</v>
      </c>
      <c r="G5892" s="80" t="s">
        <v>63</v>
      </c>
      <c r="I5892" s="80" t="s">
        <v>63</v>
      </c>
      <c r="J5892" s="80">
        <v>1948.0</v>
      </c>
      <c r="K5892" s="80">
        <v>0.950243902439024</v>
      </c>
      <c r="L5892" s="80" t="s">
        <v>1471</v>
      </c>
    </row>
    <row r="5893">
      <c r="A5893" s="80" t="s">
        <v>6370</v>
      </c>
      <c r="B5893" s="81" t="str">
        <f t="shared" si="330"/>
        <v>記錄日常 Ordinary Diary</v>
      </c>
      <c r="C5893" s="80" t="s">
        <v>6390</v>
      </c>
      <c r="D5893" s="81" t="str">
        <f>HYPERLINK("https://youtube.com/watch?v=HiYS4YiTDtE", "【香港好去處】貧窮限制想像？😱從百年大宅窺探昔日有錢人嘅生活！💵 (中文字幕) Haw Par Mansion")</f>
        <v>【香港好去處】貧窮限制想像？😱從百年大宅窺探昔日有錢人嘅生活！💵 (中文字幕) Haw Par Mansion</v>
      </c>
      <c r="E5893" s="82">
        <v>44746.0</v>
      </c>
      <c r="F5893" s="80">
        <v>970.0</v>
      </c>
      <c r="G5893" s="80" t="s">
        <v>63</v>
      </c>
      <c r="I5893" s="80" t="s">
        <v>63</v>
      </c>
      <c r="J5893" s="80">
        <v>4411.0</v>
      </c>
      <c r="K5893" s="80">
        <v>0.96881177245772</v>
      </c>
      <c r="L5893" s="80" t="s">
        <v>1471</v>
      </c>
    </row>
    <row r="5894">
      <c r="A5894" s="80" t="s">
        <v>2766</v>
      </c>
      <c r="B5894" s="81" t="str">
        <f>HYPERLINK("https://www.youtube.com/channel/UCrZG5sGryxwgSDQSlHgmZTw", "GadgetGang HK")</f>
        <v>GadgetGang HK</v>
      </c>
      <c r="C5894" s="80" t="s">
        <v>6391</v>
      </c>
      <c r="D5894" s="81" t="str">
        <f>HYPERLINK("https://youtube.com/watch?v=izq0bjos8Xc", "iPhone 14〡 Apple發佈會 會前最後預測〡新iPhone傳規格、價錢、外型、硬件、顏色〡iPhone 14新紫色？〡4800萬像素鏡頭？〡最大2TB容量？〡再見M字額？〡摺機初登場？")</f>
        <v>iPhone 14〡 Apple發佈會 會前最後預測〡新iPhone傳規格、價錢、外型、硬件、顏色〡iPhone 14新紫色？〡4800萬像素鏡頭？〡最大2TB容量？〡再見M字額？〡摺機初登場？</v>
      </c>
      <c r="E5894" s="82">
        <v>44810.0</v>
      </c>
      <c r="F5894" s="80">
        <v>480.0</v>
      </c>
      <c r="G5894" s="80" t="s">
        <v>63</v>
      </c>
      <c r="I5894" s="80" t="s">
        <v>63</v>
      </c>
      <c r="J5894" s="80">
        <v>23.0</v>
      </c>
      <c r="K5894" s="80">
        <v>0.793103448275862</v>
      </c>
      <c r="L5894" s="80" t="s">
        <v>64</v>
      </c>
    </row>
    <row r="5895">
      <c r="A5895" s="80" t="s">
        <v>6370</v>
      </c>
      <c r="B5895" s="81" t="str">
        <f t="shared" ref="B5895:B5896" si="331">HYPERLINK("https://www.youtube.com/channel/UCEhhnDIEGsRWMVP-GxnuKjw", "記錄日常 Ordinary Diary")</f>
        <v>記錄日常 Ordinary Diary</v>
      </c>
      <c r="C5895" s="80" t="s">
        <v>6392</v>
      </c>
      <c r="D5895" s="81" t="str">
        <f>HYPERLINK("https://youtube.com/watch?v=zs_4K_6nQ_E", "【酒店Staycation】飽覽無敵維港海景🤩｜寓館K11 ARTUS尊貴海景一房行政公寓｜超開揚景觀 (中文字幕) K11 ARTUS Staycation Vlog")</f>
        <v>【酒店Staycation】飽覽無敵維港海景🤩｜寓館K11 ARTUS尊貴海景一房行政公寓｜超開揚景觀 (中文字幕) K11 ARTUS Staycation Vlog</v>
      </c>
      <c r="E5895" s="82">
        <v>44790.0</v>
      </c>
      <c r="F5895" s="80">
        <v>638.0</v>
      </c>
      <c r="G5895" s="80" t="s">
        <v>63</v>
      </c>
      <c r="I5895" s="80" t="s">
        <v>63</v>
      </c>
      <c r="J5895" s="80">
        <v>2689.0</v>
      </c>
      <c r="K5895" s="80">
        <v>0.88833828873472</v>
      </c>
      <c r="L5895" s="80" t="s">
        <v>1471</v>
      </c>
    </row>
    <row r="5896">
      <c r="A5896" s="80" t="s">
        <v>6370</v>
      </c>
      <c r="B5896" s="81" t="str">
        <f t="shared" si="331"/>
        <v>記錄日常 Ordinary Diary</v>
      </c>
      <c r="C5896" s="80" t="s">
        <v>6393</v>
      </c>
      <c r="D5896" s="81" t="str">
        <f>HYPERLINK("https://youtube.com/watch?v=PU9isnGkERg", "【中環街市1週年】自欺欺人最高境界！每個月只有1團導賞團！😱似商場多過活化保育項目?🤔｜3大打卡熱點 (中文字幕) What went wrong for Central Market?")</f>
        <v>【中環街市1週年】自欺欺人最高境界！每個月只有1團導賞團！😱似商場多過活化保育項目?🤔｜3大打卡熱點 (中文字幕) What went wrong for Central Market?</v>
      </c>
      <c r="E5896" s="82">
        <v>44795.0</v>
      </c>
      <c r="F5896" s="80">
        <v>620.0</v>
      </c>
      <c r="G5896" s="80" t="s">
        <v>63</v>
      </c>
      <c r="I5896" s="80" t="s">
        <v>63</v>
      </c>
      <c r="J5896" s="80">
        <v>2581.0</v>
      </c>
      <c r="K5896" s="80">
        <v>0.975803402646502</v>
      </c>
      <c r="L5896" s="80" t="s">
        <v>1471</v>
      </c>
    </row>
    <row r="5897">
      <c r="A5897" s="80" t="s">
        <v>6373</v>
      </c>
      <c r="B5897" s="81" t="str">
        <f>HYPERLINK("https://www.youtube.com/channel/UCMXOmw_gVvTj8n1gjqUN51w", "瑪姬英文 English with Maggie")</f>
        <v>瑪姬英文 English with Maggie</v>
      </c>
      <c r="C5897" s="80" t="s">
        <v>6394</v>
      </c>
      <c r="D5897" s="81" t="str">
        <f>HYPERLINK("https://youtube.com/watch?v=Pe9Dc5TEj54", "【讀好英文字必看】 5分鐘成人 英文拼音 (第1課）Phonics for Adults 廣東話解釋")</f>
        <v>【讀好英文字必看】 5分鐘成人 英文拼音 (第1課）Phonics for Adults 廣東話解釋</v>
      </c>
      <c r="E5897" s="82">
        <v>44075.0</v>
      </c>
      <c r="F5897" s="80">
        <v>285.0</v>
      </c>
      <c r="G5897" s="80" t="s">
        <v>63</v>
      </c>
      <c r="I5897" s="80" t="s">
        <v>63</v>
      </c>
      <c r="J5897" s="80">
        <v>641.0</v>
      </c>
      <c r="K5897" s="80">
        <v>0.713014460511679</v>
      </c>
      <c r="L5897" s="80" t="s">
        <v>64</v>
      </c>
    </row>
    <row r="5898">
      <c r="A5898" s="80" t="s">
        <v>6370</v>
      </c>
      <c r="B5898" s="81" t="str">
        <f t="shared" ref="B5898:B5901" si="332">HYPERLINK("https://www.youtube.com/channel/UCEhhnDIEGsRWMVP-GxnuKjw", "記錄日常 Ordinary Diary")</f>
        <v>記錄日常 Ordinary Diary</v>
      </c>
      <c r="C5898" s="80" t="s">
        <v>6395</v>
      </c>
      <c r="D5898" s="81" t="str">
        <f>HYPERLINK("https://youtube.com/watch?v=_MqSnL6yj8s", "【震驚】Cafe一定呃錢？中環隱世Cafe🔥必食Egg Benedict，$8一件Cake！😱 (中文字幕) A Cafe in Central - brunch club")</f>
        <v>【震驚】Cafe一定呃錢？中環隱世Cafe🔥必食Egg Benedict，$8一件Cake！😱 (中文字幕) A Cafe in Central - brunch club</v>
      </c>
      <c r="E5898" s="82">
        <v>44720.0</v>
      </c>
      <c r="F5898" s="80">
        <v>614.0</v>
      </c>
      <c r="G5898" s="80" t="s">
        <v>63</v>
      </c>
      <c r="I5898" s="80" t="s">
        <v>63</v>
      </c>
      <c r="J5898" s="80">
        <v>2486.0</v>
      </c>
      <c r="K5898" s="80">
        <v>0.842140921409214</v>
      </c>
      <c r="L5898" s="80" t="s">
        <v>1471</v>
      </c>
    </row>
    <row r="5899">
      <c r="A5899" s="80" t="s">
        <v>6370</v>
      </c>
      <c r="B5899" s="81" t="str">
        <f t="shared" si="332"/>
        <v>記錄日常 Ordinary Diary</v>
      </c>
      <c r="C5899" s="80" t="s">
        <v>6396</v>
      </c>
      <c r="D5899" s="81" t="str">
        <f>HYPERLINK("https://youtube.com/watch?v=1D2bwb2NJlw", "本地薑系列Part 2🔥香港製造1/12打印機｜葡提子工作室🍇 (中文字幕)")</f>
        <v>本地薑系列Part 2🔥香港製造1/12打印機｜葡提子工作室🍇 (中文字幕)</v>
      </c>
      <c r="E5899" s="82">
        <v>44714.0</v>
      </c>
      <c r="F5899" s="80">
        <v>935.0</v>
      </c>
      <c r="G5899" s="80" t="s">
        <v>63</v>
      </c>
      <c r="I5899" s="80" t="s">
        <v>63</v>
      </c>
      <c r="J5899" s="80">
        <v>2914.0</v>
      </c>
      <c r="K5899" s="80">
        <v>0.951665578053559</v>
      </c>
      <c r="L5899" s="80" t="s">
        <v>1471</v>
      </c>
    </row>
    <row r="5900">
      <c r="A5900" s="80" t="s">
        <v>6370</v>
      </c>
      <c r="B5900" s="81" t="str">
        <f t="shared" si="332"/>
        <v>記錄日常 Ordinary Diary</v>
      </c>
      <c r="C5900" s="80" t="s">
        <v>6397</v>
      </c>
      <c r="D5900" s="81" t="str">
        <f>HYPERLINK("https://youtube.com/watch?v=xLOF08fK3FY", "【突發】我食過最好的日式放題！😋3小時任食拖羅、海膽、和牛、鮑魚、花膠｜殿大喜屋日本料理 Best Japanese Buffet in Hong Kong - Tono Daikiya😋")</f>
        <v>【突發】我食過最好的日式放題！😋3小時任食拖羅、海膽、和牛、鮑魚、花膠｜殿大喜屋日本料理 Best Japanese Buffet in Hong Kong - Tono Daikiya😋</v>
      </c>
      <c r="E5900" s="82">
        <v>44799.0</v>
      </c>
      <c r="F5900" s="80">
        <v>883.0</v>
      </c>
      <c r="G5900" s="80" t="s">
        <v>63</v>
      </c>
      <c r="I5900" s="80" t="s">
        <v>63</v>
      </c>
      <c r="J5900" s="80">
        <v>3183.0</v>
      </c>
      <c r="K5900" s="80">
        <v>0.965423111919927</v>
      </c>
      <c r="L5900" s="80" t="s">
        <v>1471</v>
      </c>
    </row>
    <row r="5901">
      <c r="A5901" s="80" t="s">
        <v>6370</v>
      </c>
      <c r="B5901" s="81" t="str">
        <f t="shared" si="332"/>
        <v>記錄日常 Ordinary Diary</v>
      </c>
      <c r="C5901" s="80" t="s">
        <v>6398</v>
      </c>
      <c r="D5901" s="81" t="str">
        <f>HYPERLINK("https://youtube.com/watch?v=EJr0F0fc0BY", "真人實測🔥JW萬豪酒店下午茶自助餐 | 香港必食美食😋 (中文字幕) Afternoon Tea Buffet from JW Cafe, JW Marriott Hotel Hong Kong")</f>
        <v>真人實測🔥JW萬豪酒店下午茶自助餐 | 香港必食美食😋 (中文字幕) Afternoon Tea Buffet from JW Cafe, JW Marriott Hotel Hong Kong</v>
      </c>
      <c r="E5901" s="82">
        <v>44557.0</v>
      </c>
      <c r="F5901" s="80">
        <v>642.0</v>
      </c>
      <c r="G5901" s="80" t="s">
        <v>63</v>
      </c>
      <c r="I5901" s="80" t="s">
        <v>63</v>
      </c>
      <c r="J5901" s="80">
        <v>2113.0</v>
      </c>
      <c r="K5901" s="80">
        <v>0.954381210478771</v>
      </c>
      <c r="L5901" s="80" t="s">
        <v>64</v>
      </c>
    </row>
    <row r="5902">
      <c r="A5902" s="80" t="s">
        <v>6373</v>
      </c>
      <c r="B5902" s="81" t="str">
        <f t="shared" ref="B5902:B5903" si="333">HYPERLINK("https://www.youtube.com/channel/UCMXOmw_gVvTj8n1gjqUN51w", "瑪姬英文 English with Maggie")</f>
        <v>瑪姬英文 English with Maggie</v>
      </c>
      <c r="C5902" s="80" t="s">
        <v>6399</v>
      </c>
      <c r="D5902" s="81" t="str">
        <f>HYPERLINK("https://youtube.com/watch?v=rUMKuDjqGT8", "【時事英文】沙中線通車係好興奮架！Learn English from the news")</f>
        <v>【時事英文】沙中線通車係好興奮架！Learn English from the news</v>
      </c>
      <c r="E5902" s="82">
        <v>44704.0</v>
      </c>
      <c r="F5902" s="80">
        <v>57.0</v>
      </c>
      <c r="G5902" s="80" t="s">
        <v>63</v>
      </c>
      <c r="I5902" s="80" t="s">
        <v>63</v>
      </c>
      <c r="J5902" s="80">
        <v>14.0</v>
      </c>
      <c r="K5902" s="80">
        <v>1.0</v>
      </c>
      <c r="L5902" s="80" t="s">
        <v>64</v>
      </c>
    </row>
    <row r="5903">
      <c r="A5903" s="80" t="s">
        <v>6373</v>
      </c>
      <c r="B5903" s="81" t="str">
        <f t="shared" si="333"/>
        <v>瑪姬英文 English with Maggie</v>
      </c>
      <c r="C5903" s="80" t="s">
        <v>6400</v>
      </c>
      <c r="D5903" s="81" t="str">
        <f>HYPERLINK("https://youtube.com/watch?v=DIxBjDebvXY", "【讀好英文字必看】 5分鐘成人 英文拼音 (第2課）Phonics for Adults 廣東話解釋")</f>
        <v>【讀好英文字必看】 5分鐘成人 英文拼音 (第2課）Phonics for Adults 廣東話解釋</v>
      </c>
      <c r="E5903" s="82">
        <v>44105.0</v>
      </c>
      <c r="F5903" s="80">
        <v>250.0</v>
      </c>
      <c r="G5903" s="80" t="s">
        <v>63</v>
      </c>
      <c r="I5903" s="80" t="s">
        <v>63</v>
      </c>
      <c r="J5903" s="80">
        <v>478.0</v>
      </c>
      <c r="K5903" s="80">
        <v>0.688760806916426</v>
      </c>
      <c r="L5903" s="80" t="s">
        <v>102</v>
      </c>
    </row>
    <row r="5904">
      <c r="A5904" s="80" t="s">
        <v>6370</v>
      </c>
      <c r="B5904" s="81" t="str">
        <f t="shared" ref="B5904:B5906" si="334">HYPERLINK("https://www.youtube.com/channel/UCEhhnDIEGsRWMVP-GxnuKjw", "記錄日常 Ordinary Diary")</f>
        <v>記錄日常 Ordinary Diary</v>
      </c>
      <c r="C5904" s="80" t="s">
        <v>6401</v>
      </c>
      <c r="D5904" s="81" t="str">
        <f>HYPERLINK("https://youtube.com/watch?v=9jnmoygj7Ns", "【香港好去處】港版TeamLab？打卡熱點&amp;展品介紹🤩｜「潛入你眼簾—皮皮樂迪．里思特」展覽 🔥(中文字幕) Behind your Eyelid — Pipilotti Rist, Tai Kwun")</f>
        <v>【香港好去處】港版TeamLab？打卡熱點&amp;展品介紹🤩｜「潛入你眼簾—皮皮樂迪．里思特」展覽 🔥(中文字幕) Behind your Eyelid — Pipilotti Rist, Tai Kwun</v>
      </c>
      <c r="E5904" s="82">
        <v>44808.0</v>
      </c>
      <c r="F5904" s="80">
        <v>945.0</v>
      </c>
      <c r="G5904" s="80" t="s">
        <v>63</v>
      </c>
      <c r="I5904" s="80" t="s">
        <v>63</v>
      </c>
      <c r="J5904" s="80">
        <v>2757.0</v>
      </c>
      <c r="K5904" s="80">
        <v>0.892810880829015</v>
      </c>
      <c r="L5904" s="80" t="s">
        <v>1471</v>
      </c>
    </row>
    <row r="5905">
      <c r="A5905" s="80" t="s">
        <v>6370</v>
      </c>
      <c r="B5905" s="81" t="str">
        <f t="shared" si="334"/>
        <v>記錄日常 Ordinary Diary</v>
      </c>
      <c r="C5905" s="80" t="s">
        <v>6402</v>
      </c>
      <c r="D5905" s="81" t="str">
        <f>HYPERLINK("https://youtube.com/watch?v=Nn3Rz39IbcU", "網購豐洲直送拖羅解鄉愁！非常有魚味！😋 (中文字幕)")</f>
        <v>網購豐洲直送拖羅解鄉愁！非常有魚味！😋 (中文字幕)</v>
      </c>
      <c r="E5905" s="82">
        <v>44711.0</v>
      </c>
      <c r="F5905" s="80">
        <v>1128.0</v>
      </c>
      <c r="G5905" s="80" t="s">
        <v>63</v>
      </c>
      <c r="I5905" s="80" t="s">
        <v>63</v>
      </c>
      <c r="J5905" s="80">
        <v>4431.0</v>
      </c>
      <c r="K5905" s="80">
        <v>0.968524590163934</v>
      </c>
      <c r="L5905" s="80" t="s">
        <v>1471</v>
      </c>
    </row>
    <row r="5906">
      <c r="A5906" s="80" t="s">
        <v>6370</v>
      </c>
      <c r="B5906" s="81" t="str">
        <f t="shared" si="334"/>
        <v>記錄日常 Ordinary Diary</v>
      </c>
      <c r="C5906" s="80" t="s">
        <v>6403</v>
      </c>
      <c r="D5906" s="81" t="str">
        <f>HYPERLINK("https://youtube.com/watch?v=uVwmBDU4tP4", "【糧尾恩物】最平$25就有交易！😱中環兩餸飯平價飯盒🤩｜兩餸飯地圖 (中文字幕)")</f>
        <v>【糧尾恩物】最平$25就有交易！😱中環兩餸飯平價飯盒🤩｜兩餸飯地圖 (中文字幕)</v>
      </c>
      <c r="E5906" s="82">
        <v>44784.0</v>
      </c>
      <c r="F5906" s="80">
        <v>396.0</v>
      </c>
      <c r="G5906" s="80" t="s">
        <v>63</v>
      </c>
      <c r="I5906" s="80" t="s">
        <v>63</v>
      </c>
      <c r="J5906" s="80">
        <v>1494.0</v>
      </c>
      <c r="K5906" s="80">
        <v>0.941992433795712</v>
      </c>
      <c r="L5906" s="80" t="s">
        <v>1471</v>
      </c>
    </row>
    <row r="5907">
      <c r="A5907" s="80" t="s">
        <v>248</v>
      </c>
      <c r="B5907" s="81" t="str">
        <f>HYPERLINK("https://www.youtube.com/channel/UCUEJok-GiWaGlv5nIPwk-GQ", "Price.com.hk 香港格價網")</f>
        <v>Price.com.hk 香港格價網</v>
      </c>
      <c r="C5907" s="80" t="s">
        <v>6404</v>
      </c>
      <c r="D5907" s="81" t="str">
        <f>HYPERLINK("https://youtube.com/watch?v=p3GuSjOmOGo", "全能型掃拖機械人？ ECOVACS DEEBOT X1 OMNI ｜掃拖一體｜自動集塵、清洗＋烘乾拖布｜｜廣東話【Price.com.hk產品介紹】")</f>
        <v>全能型掃拖機械人？ ECOVACS DEEBOT X1 OMNI ｜掃拖一體｜自動集塵、清洗＋烘乾拖布｜｜廣東話【Price.com.hk產品介紹】</v>
      </c>
      <c r="E5907" s="82">
        <v>44809.0</v>
      </c>
      <c r="F5907" s="80">
        <v>443.0</v>
      </c>
      <c r="G5907" s="80" t="s">
        <v>63</v>
      </c>
      <c r="I5907" s="80" t="s">
        <v>63</v>
      </c>
      <c r="J5907" s="80">
        <v>1596.0</v>
      </c>
      <c r="K5907" s="80">
        <v>0.87308533916849</v>
      </c>
      <c r="L5907" s="80" t="s">
        <v>64</v>
      </c>
    </row>
    <row r="5908">
      <c r="A5908" s="80" t="s">
        <v>6236</v>
      </c>
      <c r="B5908" s="81" t="str">
        <f>HYPERLINK("https://www.youtube.com/channel/UCPMsgWJvrkEHE0OpIMtxyYQ", "Comfort鬆")</f>
        <v>Comfort鬆</v>
      </c>
      <c r="C5908" s="80" t="s">
        <v>6405</v>
      </c>
      <c r="D5908" s="81" t="str">
        <f>HYPERLINK("https://youtube.com/watch?v=3JBtPYTociA", "【新丁迎新營 （上）】Comfort鬆首次全員出動！大玩Ocamp熱門遊戲🥵 到底邊個先係遊戲之王？")</f>
        <v>【新丁迎新營 （上）】Comfort鬆首次全員出動！大玩Ocamp熱門遊戲🥵 到底邊個先係遊戲之王？</v>
      </c>
      <c r="E5908" s="82">
        <v>44810.0</v>
      </c>
      <c r="F5908" s="80">
        <v>469.0</v>
      </c>
      <c r="G5908" s="80" t="s">
        <v>63</v>
      </c>
      <c r="I5908" s="80" t="s">
        <v>63</v>
      </c>
      <c r="J5908" s="80">
        <v>658.0</v>
      </c>
      <c r="K5908" s="80">
        <v>0.805385556915544</v>
      </c>
      <c r="L5908" s="80" t="s">
        <v>64</v>
      </c>
    </row>
    <row r="5909">
      <c r="A5909" s="80" t="s">
        <v>6406</v>
      </c>
      <c r="B5909" s="81" t="str">
        <f t="shared" ref="B5909:B5910" si="335">HYPERLINK("https://www.youtube.com/channel/UCDYgTnWK6sl-YZEDM4jv7fQ", "香港人在多倫多 HongKonger in Toronto")</f>
        <v>香港人在多倫多 HongKonger in Toronto</v>
      </c>
      <c r="C5909" s="80" t="s">
        <v>6407</v>
      </c>
      <c r="D5909" s="81" t="str">
        <f>HYPERLINK("https://youtube.com/watch?v=akOO15Wrc2I", "[多倫多好為食] 老朱車仔麵 Noodle Bar")</f>
        <v>[多倫多好為食] 老朱車仔麵 Noodle Bar</v>
      </c>
      <c r="E5909" s="82">
        <v>44464.0</v>
      </c>
      <c r="F5909" s="80">
        <v>522.0</v>
      </c>
      <c r="G5909" s="80" t="s">
        <v>63</v>
      </c>
      <c r="I5909" s="80" t="s">
        <v>63</v>
      </c>
      <c r="J5909" s="80">
        <v>935.0</v>
      </c>
      <c r="K5909" s="80">
        <v>0.918467583497053</v>
      </c>
      <c r="L5909" s="80" t="s">
        <v>102</v>
      </c>
    </row>
    <row r="5910">
      <c r="A5910" s="80" t="s">
        <v>6406</v>
      </c>
      <c r="B5910" s="81" t="str">
        <f t="shared" si="335"/>
        <v>香港人在多倫多 HongKonger in Toronto</v>
      </c>
      <c r="C5910" s="80" t="s">
        <v>6408</v>
      </c>
      <c r="D5910" s="81" t="str">
        <f>HYPERLINK("https://youtube.com/watch?v=jya_a9icFmI", "[多倫多好為食] 腸粉試食兵團")</f>
        <v>[多倫多好為食] 腸粉試食兵團</v>
      </c>
      <c r="E5910" s="82">
        <v>44501.0</v>
      </c>
      <c r="F5910" s="80">
        <v>1890.0</v>
      </c>
      <c r="G5910" s="80" t="s">
        <v>63</v>
      </c>
      <c r="I5910" s="80" t="s">
        <v>63</v>
      </c>
      <c r="J5910" s="80">
        <v>3716.0</v>
      </c>
      <c r="K5910" s="80">
        <v>0.961200206932229</v>
      </c>
      <c r="L5910" s="80" t="s">
        <v>64</v>
      </c>
    </row>
    <row r="5911">
      <c r="A5911" s="80" t="s">
        <v>2800</v>
      </c>
      <c r="B5911" s="81" t="str">
        <f>HYPERLINK("https://www.youtube.com/channel/UCMqrlsr-AECPc6_3oDr8m9w", "Unicorn 獸哥")</f>
        <v>Unicorn 獸哥</v>
      </c>
      <c r="C5911" s="80" t="s">
        <v>6409</v>
      </c>
      <c r="D5911" s="81" t="str">
        <f>HYPERLINK("https://youtube.com/watch?v=csRHRmWGePo", "【速食新聞】TGS重點大作懶人包 CC中文字幕")</f>
        <v>【速食新聞】TGS重點大作懶人包 CC中文字幕</v>
      </c>
      <c r="E5911" s="82">
        <v>44825.0</v>
      </c>
      <c r="F5911" s="80">
        <v>429.0</v>
      </c>
      <c r="G5911" s="80" t="s">
        <v>63</v>
      </c>
      <c r="I5911" s="80" t="s">
        <v>63</v>
      </c>
      <c r="J5911" s="80">
        <v>1669.0</v>
      </c>
      <c r="K5911" s="80">
        <v>0.787264150943396</v>
      </c>
      <c r="L5911" s="80" t="s">
        <v>64</v>
      </c>
    </row>
    <row r="5912">
      <c r="A5912" s="80" t="s">
        <v>593</v>
      </c>
      <c r="B5912" s="81" t="str">
        <f>HYPERLINK("https://www.youtube.com/channel/UCsSO44XVYhs_fQU2zDR82CA", "餓底男女")</f>
        <v>餓底男女</v>
      </c>
      <c r="C5912" s="80" t="s">
        <v>6410</v>
      </c>
      <c r="D5912" s="81" t="str">
        <f>HYPERLINK("https://youtube.com/watch?v=bnMqm9thNIo", "鮮選排2個鐘唔係因為多客😡 | 餓遊･香港 #93 [4K]")</f>
        <v>鮮選排2個鐘唔係因為多客😡 | 餓遊･香港 #93 [4K]</v>
      </c>
      <c r="E5912" s="82">
        <v>44814.0</v>
      </c>
      <c r="F5912" s="80">
        <v>245.0</v>
      </c>
      <c r="G5912" s="80" t="s">
        <v>63</v>
      </c>
      <c r="I5912" s="80" t="s">
        <v>63</v>
      </c>
      <c r="J5912" s="80">
        <v>749.0</v>
      </c>
      <c r="K5912" s="80">
        <v>0.972727272727272</v>
      </c>
      <c r="L5912" s="80" t="s">
        <v>102</v>
      </c>
    </row>
    <row r="5913">
      <c r="A5913" s="80" t="s">
        <v>108</v>
      </c>
      <c r="B5913" s="81" t="str">
        <f>HYPERLINK("https://www.youtube.com/channel/UCZL6QN6Xs-ZrKY3y6Pv6Emg", "廢青 - 日賺3000")</f>
        <v>廢青 - 日賺3000</v>
      </c>
      <c r="C5913" s="80" t="s">
        <v>6411</v>
      </c>
      <c r="D5913" s="81" t="str">
        <f>HYPERLINK("https://youtube.com/watch?v=sbahdyljnqk", "【技術篇】 2 個 持貨技巧 !  你裝備好自己未?【廢青 日賺3000】【點CC看中文字幕】")</f>
        <v>【技術篇】 2 個 持貨技巧 !  你裝備好自己未?【廢青 日賺3000】【點CC看中文字幕】</v>
      </c>
      <c r="E5913" s="82">
        <v>44808.0</v>
      </c>
      <c r="F5913" s="80">
        <v>990.0</v>
      </c>
      <c r="G5913" s="80" t="s">
        <v>63</v>
      </c>
      <c r="I5913" s="80" t="s">
        <v>63</v>
      </c>
      <c r="J5913" s="80">
        <v>4462.0</v>
      </c>
      <c r="K5913" s="80">
        <v>0.933668131408244</v>
      </c>
      <c r="L5913" s="80" t="s">
        <v>64</v>
      </c>
    </row>
    <row r="5914">
      <c r="A5914" s="80" t="s">
        <v>293</v>
      </c>
      <c r="B5914" s="81" t="str">
        <f>HYPERLINK("https://www.youtube.com/channel/UCXRcbXqjORdIvl63I7MtOLQ", "趁熱 Kerry 's kitchen")</f>
        <v>趁熱 Kerry 's kitchen</v>
      </c>
      <c r="C5914" s="80" t="s">
        <v>6412</v>
      </c>
      <c r="D5914" s="81" t="str">
        <f>HYPERLINK("https://youtube.com/watch?v=aKeYnUaw_2o", "蝦米炒青瓜/炒青瓜不出水竅門/ 節後清清地/一樣夠香 惹味/簡單 家做/廣東話/中字")</f>
        <v>蝦米炒青瓜/炒青瓜不出水竅門/ 節後清清地/一樣夠香 惹味/簡單 家做/廣東話/中字</v>
      </c>
      <c r="E5914" s="82">
        <v>44816.0</v>
      </c>
      <c r="F5914" s="80">
        <v>480.0</v>
      </c>
      <c r="G5914" s="80" t="s">
        <v>63</v>
      </c>
      <c r="I5914" s="80" t="s">
        <v>63</v>
      </c>
      <c r="J5914" s="80">
        <v>1140.0</v>
      </c>
      <c r="K5914" s="80">
        <v>0.973526900085397</v>
      </c>
      <c r="L5914" s="80" t="s">
        <v>64</v>
      </c>
    </row>
    <row r="5915">
      <c r="A5915" s="80" t="s">
        <v>6413</v>
      </c>
      <c r="B5915" s="81" t="str">
        <f>HYPERLINK("https://www.youtube.com/channel/UCT75m3vhQMx28-KAuBwkmkA", "尋味多多TorTorlious")</f>
        <v>尋味多多TorTorlious</v>
      </c>
      <c r="C5915" s="80" t="s">
        <v>6414</v>
      </c>
      <c r="D5915" s="81" t="str">
        <f>HYPERLINK("https://youtube.com/watch?v=4oWZ2Chw_xY", "王府井food court 系列之三！ 食到你伏！係咪又俾呃了？ #多倫多 #中伏 (chinese/ English captions 字幕）")</f>
        <v>王府井food court 系列之三！ 食到你伏！係咪又俾呃了？ #多倫多 #中伏 (chinese/ English captions 字幕）</v>
      </c>
      <c r="E5915" s="82">
        <v>44707.0</v>
      </c>
      <c r="F5915" s="80">
        <v>886.0</v>
      </c>
      <c r="G5915" s="80" t="s">
        <v>63</v>
      </c>
      <c r="I5915" s="80" t="s">
        <v>63</v>
      </c>
      <c r="J5915" s="80">
        <v>1372.0</v>
      </c>
      <c r="K5915" s="80">
        <v>0.932065217391304</v>
      </c>
      <c r="L5915" s="80" t="s">
        <v>896</v>
      </c>
    </row>
    <row r="5916">
      <c r="A5916" s="80" t="s">
        <v>6236</v>
      </c>
      <c r="B5916" s="81" t="str">
        <f t="shared" ref="B5916:B5917" si="336">HYPERLINK("https://www.youtube.com/channel/UCPMsgWJvrkEHE0OpIMtxyYQ", "Comfort鬆")</f>
        <v>Comfort鬆</v>
      </c>
      <c r="C5916" s="80" t="s">
        <v>6415</v>
      </c>
      <c r="D5916" s="81" t="str">
        <f>HYPERLINK("https://youtube.com/watch?v=lfwHDiSPuC4", "【新丁迎新營 （下）】大玩Ocamp必玩遊戲火麒麟🥵 懲罰竟然係銅鑼灣羞恥Play？點解呢班人可以將啲Game玩到咁🥶")</f>
        <v>【新丁迎新營 （下）】大玩Ocamp必玩遊戲火麒麟🥵 懲罰竟然係銅鑼灣羞恥Play？點解呢班人可以將啲Game玩到咁🥶</v>
      </c>
      <c r="E5916" s="82">
        <v>44813.0</v>
      </c>
      <c r="F5916" s="80">
        <v>358.0</v>
      </c>
      <c r="G5916" s="80" t="s">
        <v>63</v>
      </c>
      <c r="I5916" s="80" t="s">
        <v>63</v>
      </c>
      <c r="J5916" s="80">
        <v>107.0</v>
      </c>
      <c r="K5916" s="80">
        <v>0.849206349206349</v>
      </c>
      <c r="L5916" s="80" t="s">
        <v>64</v>
      </c>
    </row>
    <row r="5917">
      <c r="A5917" s="80" t="s">
        <v>6236</v>
      </c>
      <c r="B5917" s="81" t="str">
        <f t="shared" si="336"/>
        <v>Comfort鬆</v>
      </c>
      <c r="C5917" s="80" t="s">
        <v>6416</v>
      </c>
      <c r="D5917" s="81" t="str">
        <f>HYPERLINK("https://youtube.com/watch?v=ePwiaIc-JqI", "【味覺的考驗】加太賀=貴價劣版明將？｜內容可能引起不適，我敢食你又敢唔敢睇？｜挑戰膽量嘅壽司")</f>
        <v>【味覺的考驗】加太賀=貴價劣版明將？｜內容可能引起不適，我敢食你又敢唔敢睇？｜挑戰膽量嘅壽司</v>
      </c>
      <c r="E5917" s="82">
        <v>44827.0</v>
      </c>
      <c r="F5917" s="80">
        <v>488.0</v>
      </c>
      <c r="G5917" s="80" t="s">
        <v>63</v>
      </c>
      <c r="I5917" s="80" t="s">
        <v>63</v>
      </c>
      <c r="J5917" s="80">
        <v>1724.0</v>
      </c>
      <c r="K5917" s="80">
        <v>0.964745383324006</v>
      </c>
      <c r="L5917" s="80" t="s">
        <v>64</v>
      </c>
    </row>
    <row r="5918">
      <c r="A5918" s="80" t="s">
        <v>2841</v>
      </c>
      <c r="B5918" s="81" t="str">
        <f>HYPERLINK("https://www.youtube.com/channel/UCBYGm7Iz6ck8jeno5AFiriw", "Seafront TV")</f>
        <v>Seafront TV</v>
      </c>
      <c r="C5918" s="80" t="s">
        <v>6417</v>
      </c>
      <c r="D5918" s="81" t="str">
        <f>HYPERLINK("https://youtube.com/watch?v=Qc3-ARi9fOw", "【科大街訪🎤】全香港最辛苦嘅大學究竟有幾chur？chur到直接QuitU ？！ | Seafront TV🌊")</f>
        <v>【科大街訪🎤】全香港最辛苦嘅大學究竟有幾chur？chur到直接QuitU ？！ | Seafront TV🌊</v>
      </c>
      <c r="E5918" s="82">
        <v>44828.0</v>
      </c>
      <c r="F5918" s="80">
        <v>596.0</v>
      </c>
      <c r="G5918" s="80" t="s">
        <v>63</v>
      </c>
      <c r="I5918" s="80" t="s">
        <v>63</v>
      </c>
      <c r="J5918" s="80">
        <v>2037.0</v>
      </c>
      <c r="K5918" s="80">
        <v>0.685166498486377</v>
      </c>
      <c r="L5918" s="80" t="s">
        <v>102</v>
      </c>
    </row>
    <row r="5919">
      <c r="A5919" s="80" t="s">
        <v>593</v>
      </c>
      <c r="B5919" s="81" t="str">
        <f>HYPERLINK("https://www.youtube.com/channel/UCsSO44XVYhs_fQU2zDR82CA", "餓底男女")</f>
        <v>餓底男女</v>
      </c>
      <c r="C5919" s="80" t="s">
        <v>6418</v>
      </c>
      <c r="D5919" s="81" t="str">
        <f>HYPERLINK("https://youtube.com/watch?v=z-elbExPGFE", "🍣壽司郎開居酒屋⁉🤩唔飲酒🍻算係伏❔🥢 | 餓遊･香港 #92 [4K]")</f>
        <v>🍣壽司郎開居酒屋⁉🤩唔飲酒🍻算係伏❔🥢 | 餓遊･香港 #92 [4K]</v>
      </c>
      <c r="E5919" s="82">
        <v>44809.0</v>
      </c>
      <c r="F5919" s="80">
        <v>296.0</v>
      </c>
      <c r="G5919" s="80" t="s">
        <v>63</v>
      </c>
      <c r="I5919" s="80" t="s">
        <v>63</v>
      </c>
      <c r="J5919" s="80">
        <v>942.0</v>
      </c>
      <c r="K5919" s="80">
        <v>0.973140495867768</v>
      </c>
      <c r="L5919" s="80" t="s">
        <v>102</v>
      </c>
    </row>
    <row r="5920">
      <c r="A5920" s="80" t="s">
        <v>124</v>
      </c>
      <c r="B5920" s="81" t="str">
        <f>HYPERLINK("https://www.youtube.com/channel/UCg0vuSE0fBF_NvodyYhMcWg", "Wallace Studio HK")</f>
        <v>Wallace Studio HK</v>
      </c>
      <c r="C5920" s="80" t="s">
        <v>6419</v>
      </c>
      <c r="D5920" s="81" t="str">
        <f>HYPERLINK("https://youtube.com/watch?v=NhJFS-V43_I", "搞直播無從入手？試下Yolobox Pro ！直播設備推薦，多功能直播儀器上手教學")</f>
        <v>搞直播無從入手？試下Yolobox Pro ！直播設備推薦，多功能直播儀器上手教學</v>
      </c>
      <c r="E5920" s="82">
        <v>44815.0</v>
      </c>
      <c r="F5920" s="80">
        <v>914.0</v>
      </c>
      <c r="G5920" s="80" t="s">
        <v>63</v>
      </c>
      <c r="I5920" s="80" t="s">
        <v>63</v>
      </c>
      <c r="J5920" s="80">
        <v>3074.0</v>
      </c>
      <c r="K5920" s="80">
        <v>0.745754488112566</v>
      </c>
      <c r="L5920" s="80" t="s">
        <v>64</v>
      </c>
    </row>
    <row r="5921">
      <c r="A5921" s="80" t="s">
        <v>755</v>
      </c>
      <c r="B5921" s="81" t="str">
        <f t="shared" ref="B5921:B5922" si="337">HYPERLINK("https://www.youtube.com/channel/UCBiJDTc82IM68KVH873VeAw", "Live in Kwangsi廣西人·情·味")</f>
        <v>Live in Kwangsi廣西人·情·味</v>
      </c>
      <c r="C5921" s="80" t="s">
        <v>6420</v>
      </c>
      <c r="D5921" s="81" t="str">
        <f>HYPERLINK("https://youtube.com/watch?v=Hr95xyJt5ps", "桂林3日2夜之一 夜遊東西巷 疊彩山｜廣西vlog 20220813")</f>
        <v>桂林3日2夜之一 夜遊東西巷 疊彩山｜廣西vlog 20220813</v>
      </c>
      <c r="E5921" s="82">
        <v>44816.0</v>
      </c>
      <c r="F5921" s="80">
        <v>378.0</v>
      </c>
      <c r="G5921" s="80" t="s">
        <v>63</v>
      </c>
      <c r="I5921" s="80" t="s">
        <v>63</v>
      </c>
      <c r="J5921" s="80">
        <v>340.0</v>
      </c>
      <c r="K5921" s="80">
        <v>0.997067448680351</v>
      </c>
      <c r="L5921" s="80" t="s">
        <v>757</v>
      </c>
    </row>
    <row r="5922">
      <c r="A5922" s="80" t="s">
        <v>755</v>
      </c>
      <c r="B5922" s="81" t="str">
        <f t="shared" si="337"/>
        <v>Live in Kwangsi廣西人·情·味</v>
      </c>
      <c r="C5922" s="80" t="s">
        <v>6421</v>
      </c>
      <c r="D5922" s="81" t="str">
        <f>HYPERLINK("https://youtube.com/watch?v=9-6BGCXwvHQ", "永州市江永縣勾藍瑤寨掠影｜湖南美景 20220906")</f>
        <v>永州市江永縣勾藍瑤寨掠影｜湖南美景 20220906</v>
      </c>
      <c r="E5922" s="82">
        <v>44825.0</v>
      </c>
      <c r="F5922" s="80">
        <v>325.0</v>
      </c>
      <c r="G5922" s="80" t="s">
        <v>63</v>
      </c>
      <c r="I5922" s="80" t="s">
        <v>63</v>
      </c>
      <c r="J5922" s="80">
        <v>199.0</v>
      </c>
      <c r="K5922" s="80">
        <v>1.0</v>
      </c>
      <c r="L5922" s="80" t="s">
        <v>757</v>
      </c>
    </row>
    <row r="5923">
      <c r="A5923" s="80" t="s">
        <v>1492</v>
      </c>
      <c r="B5923" s="81" t="str">
        <f>HYPERLINK("https://www.youtube.com/channel/UCTo1EIcKtkDYqiUqs4v_NlA", "【常公子】頻道TV - 中文中史歷史哲學")</f>
        <v>【常公子】頻道TV - 中文中史歷史哲學</v>
      </c>
      <c r="C5923" s="80" t="s">
        <v>6422</v>
      </c>
      <c r="D5923" s="81" t="str">
        <f>HYPERLINK("https://youtube.com/watch?v=B84SAiZmxG4", "【常威近代史】第五百零一回武漢國民政府劃清界線")</f>
        <v>【常威近代史】第五百零一回武漢國民政府劃清界線</v>
      </c>
      <c r="E5923" s="82">
        <v>44828.0</v>
      </c>
      <c r="F5923" s="80">
        <v>583.0</v>
      </c>
      <c r="G5923" s="80" t="s">
        <v>63</v>
      </c>
      <c r="I5923" s="80" t="s">
        <v>63</v>
      </c>
      <c r="J5923" s="80">
        <v>1543.0</v>
      </c>
      <c r="K5923" s="80">
        <v>0.963772642098688</v>
      </c>
      <c r="L5923" s="80" t="s">
        <v>64</v>
      </c>
    </row>
    <row r="5924">
      <c r="A5924" s="80" t="s">
        <v>6248</v>
      </c>
      <c r="B5924" s="81" t="str">
        <f>HYPERLINK("https://www.youtube.com/channel/UCmlr1is6e9bV34fgg3u0xng", "Ruby.S")</f>
        <v>Ruby.S</v>
      </c>
      <c r="C5924" s="80" t="s">
        <v>6423</v>
      </c>
      <c r="D5924" s="81" t="str">
        <f>HYPERLINK("https://youtube.com/watch?v=dDTZtUPTJKA", "@Ruby.S  黃龍石澗｜ 黃龍瀑  ｜龍窟潭｜ 五米深玻璃水😦｜ 九大石澗之一｜高危地點之一？⚠️II believe I can hike EP44 l @野外露 jay")</f>
        <v>@Ruby.S  黃龍石澗｜ 黃龍瀑  ｜龍窟潭｜ 五米深玻璃水😦｜ 九大石澗之一｜高危地點之一？⚠️II believe I can hike EP44 l @野外露 jay</v>
      </c>
      <c r="E5924" s="82">
        <v>44816.0</v>
      </c>
      <c r="F5924" s="80">
        <v>1761.0</v>
      </c>
      <c r="G5924" s="80" t="s">
        <v>63</v>
      </c>
      <c r="I5924" s="80" t="s">
        <v>63</v>
      </c>
      <c r="J5924" s="80">
        <v>2371.0</v>
      </c>
      <c r="K5924" s="80">
        <v>0.881412639405204</v>
      </c>
      <c r="L5924" s="80" t="s">
        <v>64</v>
      </c>
    </row>
    <row r="5925">
      <c r="A5925" s="80" t="s">
        <v>217</v>
      </c>
      <c r="B5925" s="81" t="str">
        <f>HYPERLINK("https://www.youtube.com/channel/UCXKg0qPRz32bs5Z4mTGF3TQ", "Stormtrooper白兵")</f>
        <v>Stormtrooper白兵</v>
      </c>
      <c r="C5925" s="80" t="s">
        <v>6424</v>
      </c>
      <c r="D5925" s="81" t="str">
        <f>HYPERLINK("https://youtube.com/watch?v=TFFL2Gcw1Fg", "15分鐘了解冷戰局勢＋蘇聯解體原因＋為共產黨帶黎民主自由的蘇聯領導人－戈爾巴喬夫－將一個幾乎崩潰的體系做到和平解體｜粵語中字")</f>
        <v>15分鐘了解冷戰局勢＋蘇聯解體原因＋為共產黨帶黎民主自由的蘇聯領導人－戈爾巴喬夫－將一個幾乎崩潰的體系做到和平解體｜粵語中字</v>
      </c>
      <c r="E5925" s="82">
        <v>44812.0</v>
      </c>
      <c r="F5925" s="80">
        <v>1064.0</v>
      </c>
      <c r="G5925" s="80" t="s">
        <v>63</v>
      </c>
      <c r="I5925" s="80" t="s">
        <v>63</v>
      </c>
      <c r="J5925" s="80">
        <v>4345.0</v>
      </c>
      <c r="K5925" s="80">
        <v>0.983031674208144</v>
      </c>
      <c r="L5925" s="80" t="s">
        <v>64</v>
      </c>
    </row>
    <row r="5926">
      <c r="A5926" s="80" t="s">
        <v>6425</v>
      </c>
      <c r="B5926" s="81" t="str">
        <f>HYPERLINK("https://www.youtube.com/channel/UCb1EgKwe6X9bdCPOKKLL0oA", "地盤佬江湖 - 五金街")</f>
        <v>地盤佬江湖 - 五金街</v>
      </c>
      <c r="C5926" s="80" t="s">
        <v>6426</v>
      </c>
      <c r="D5926" s="81" t="str">
        <f>HYPERLINK("https://youtube.com/watch?v=hYosQEFk04s", "眼鏡防霧？點揀護目鏡？眼鏡用的眼鏡？|3M眼罩 穩固、貼合、防霧測試｜3M OTG 3700系列｜產品比較｜五金街【挑機達人】")</f>
        <v>眼鏡防霧？點揀護目鏡？眼鏡用的眼鏡？|3M眼罩 穩固、貼合、防霧測試｜3M OTG 3700系列｜產品比較｜五金街【挑機達人】</v>
      </c>
      <c r="E5926" s="82">
        <v>44064.0</v>
      </c>
      <c r="F5926" s="80">
        <v>384.0</v>
      </c>
      <c r="G5926" s="80" t="s">
        <v>63</v>
      </c>
      <c r="H5926" s="80" t="s">
        <v>63</v>
      </c>
      <c r="I5926" s="80" t="s">
        <v>63</v>
      </c>
      <c r="J5926" s="80">
        <v>1217.0</v>
      </c>
      <c r="K5926" s="80">
        <v>0.857646229739253</v>
      </c>
      <c r="L5926" s="80" t="s">
        <v>86</v>
      </c>
    </row>
    <row r="5927">
      <c r="A5927" s="80" t="s">
        <v>1390</v>
      </c>
      <c r="B5927" s="81" t="str">
        <f>HYPERLINK("https://www.youtube.com/channel/UCgwEJflQi4WnZ8PU0xdibZQ", "Kinson Ho")</f>
        <v>Kinson Ho</v>
      </c>
      <c r="C5927" s="80" t="s">
        <v>6427</v>
      </c>
      <c r="D5927" s="81" t="str">
        <f>HYPERLINK("https://youtube.com/watch?v=dHJr3wnfGYU", "K神任我行 -  [CC字幕4K] 橫洲海上皇宮｜巧遇玻璃水｜壯麗六角柱｜蠟燭洞｜高洞｜橫洲角洞｜穿洞探洞")</f>
        <v>K神任我行 -  [CC字幕4K] 橫洲海上皇宮｜巧遇玻璃水｜壯麗六角柱｜蠟燭洞｜高洞｜橫洲角洞｜穿洞探洞</v>
      </c>
      <c r="E5927" s="82">
        <v>44825.0</v>
      </c>
      <c r="F5927" s="80">
        <v>724.0</v>
      </c>
      <c r="G5927" s="80" t="s">
        <v>63</v>
      </c>
      <c r="I5927" s="80" t="s">
        <v>63</v>
      </c>
      <c r="J5927" s="80">
        <v>295.0</v>
      </c>
      <c r="K5927" s="80">
        <v>0.967213114754098</v>
      </c>
      <c r="L5927" s="80" t="s">
        <v>64</v>
      </c>
    </row>
    <row r="5928">
      <c r="A5928" s="80" t="s">
        <v>217</v>
      </c>
      <c r="B5928" s="81" t="str">
        <f>HYPERLINK("https://www.youtube.com/channel/UCXKg0qPRz32bs5Z4mTGF3TQ", "Stormtrooper白兵")</f>
        <v>Stormtrooper白兵</v>
      </c>
      <c r="C5928" s="80" t="s">
        <v>6428</v>
      </c>
      <c r="D5928" s="81" t="str">
        <f>HYPERLINK("https://youtube.com/watch?v=pQDeFRK1gUk", "[廣東話字幕]10分鐘帶你認識英國皇室的魔法｜英女皇在位70年，成為君主立憲的典範｜帶你欣賞英女皇的美好｜")</f>
        <v>[廣東話字幕]10分鐘帶你認識英國皇室的魔法｜英女皇在位70年，成為君主立憲的典範｜帶你欣賞英女皇的美好｜</v>
      </c>
      <c r="E5928" s="82">
        <v>44819.0</v>
      </c>
      <c r="F5928" s="80">
        <v>839.0</v>
      </c>
      <c r="G5928" s="80" t="s">
        <v>63</v>
      </c>
      <c r="I5928" s="80" t="s">
        <v>63</v>
      </c>
      <c r="J5928" s="80">
        <v>3398.0</v>
      </c>
      <c r="K5928" s="80">
        <v>0.975315729047072</v>
      </c>
      <c r="L5928" s="80" t="s">
        <v>64</v>
      </c>
    </row>
    <row r="5929">
      <c r="A5929" s="80" t="s">
        <v>755</v>
      </c>
      <c r="B5929" s="81" t="str">
        <f>HYPERLINK("https://www.youtube.com/channel/UCBiJDTc82IM68KVH873VeAw", "Live in Kwangsi廣西人·情·味")</f>
        <v>Live in Kwangsi廣西人·情·味</v>
      </c>
      <c r="C5929" s="80" t="s">
        <v>6429</v>
      </c>
      <c r="D5929" s="81" t="str">
        <f>HYPERLINK("https://youtube.com/watch?v=WlDLcnmlMH8", "桂林3日2夜之二 遊象鼻山 試當地日式料理｜廣西vlog 20220813")</f>
        <v>桂林3日2夜之二 遊象鼻山 試當地日式料理｜廣西vlog 20220813</v>
      </c>
      <c r="E5929" s="82">
        <v>44817.0</v>
      </c>
      <c r="F5929" s="80">
        <v>539.0</v>
      </c>
      <c r="G5929" s="80" t="s">
        <v>63</v>
      </c>
      <c r="I5929" s="80" t="s">
        <v>63</v>
      </c>
      <c r="J5929" s="80">
        <v>543.0</v>
      </c>
      <c r="K5929" s="80">
        <v>0.987272727272727</v>
      </c>
      <c r="L5929" s="80" t="s">
        <v>757</v>
      </c>
    </row>
    <row r="5930">
      <c r="A5930" s="80" t="s">
        <v>6248</v>
      </c>
      <c r="B5930" s="81" t="str">
        <f>HYPERLINK("https://www.youtube.com/channel/UCmlr1is6e9bV34fgg3u0xng", "Ruby.S")</f>
        <v>Ruby.S</v>
      </c>
      <c r="C5930" s="80" t="s">
        <v>6430</v>
      </c>
      <c r="D5930" s="81" t="str">
        <f>HYPERLINK("https://youtube.com/watch?v=hahAP9tVmNc", "@Ruby.S  【一家大細必去】果洲群島｜南果洲｜全港最正浮潛熱點🤿 | 海洋友善防曬「凍齡秘技」 🏖 | 連營養師都力推 @Ruby.S | I believe I can hike EP45")</f>
        <v>@Ruby.S  【一家大細必去】果洲群島｜南果洲｜全港最正浮潛熱點🤿 | 海洋友善防曬「凍齡秘技」 🏖 | 連營養師都力推 @Ruby.S | I believe I can hike EP45</v>
      </c>
      <c r="E5930" s="82">
        <v>44820.0</v>
      </c>
      <c r="F5930" s="80">
        <v>866.0</v>
      </c>
      <c r="G5930" s="80" t="s">
        <v>63</v>
      </c>
      <c r="I5930" s="80" t="s">
        <v>63</v>
      </c>
      <c r="J5930" s="80">
        <v>575.0</v>
      </c>
      <c r="K5930" s="80">
        <v>0.819088319088319</v>
      </c>
      <c r="L5930" s="80" t="s">
        <v>64</v>
      </c>
    </row>
    <row r="5931">
      <c r="A5931" s="80" t="s">
        <v>248</v>
      </c>
      <c r="B5931" s="81" t="str">
        <f>HYPERLINK("https://www.youtube.com/channel/UCUEJok-GiWaGlv5nIPwk-GQ", "Price.com.hk 香港格價網")</f>
        <v>Price.com.hk 香港格價網</v>
      </c>
      <c r="C5931" s="80" t="s">
        <v>6431</v>
      </c>
      <c r="D5931" s="81" t="str">
        <f>HYPERLINK("https://youtube.com/watch?v=1nczvUy4UK4", "日本製Sony旗艦4K電視A95K 全新面版QD-OLED 同場介紹 A90K A80K｜BRAVIA XR｜MASTER SERIES｜廣東話｜特約專題【Price.com.hk產品評測】")</f>
        <v>日本製Sony旗艦4K電視A95K 全新面版QD-OLED 同場介紹 A90K A80K｜BRAVIA XR｜MASTER SERIES｜廣東話｜特約專題【Price.com.hk產品評測】</v>
      </c>
      <c r="E5931" s="82">
        <v>44813.0</v>
      </c>
      <c r="F5931" s="80">
        <v>464.0</v>
      </c>
      <c r="G5931" s="80" t="s">
        <v>63</v>
      </c>
      <c r="I5931" s="80" t="s">
        <v>63</v>
      </c>
      <c r="J5931" s="80">
        <v>1268.0</v>
      </c>
      <c r="K5931" s="80">
        <v>0.636226793778223</v>
      </c>
      <c r="L5931" s="80" t="s">
        <v>64</v>
      </c>
    </row>
    <row r="5932">
      <c r="A5932" s="80" t="s">
        <v>2766</v>
      </c>
      <c r="B5932" s="81" t="str">
        <f>HYPERLINK("https://www.youtube.com/channel/UCrZG5sGryxwgSDQSlHgmZTw", "GadgetGang HK")</f>
        <v>GadgetGang HK</v>
      </c>
      <c r="C5932" s="80" t="s">
        <v>6432</v>
      </c>
      <c r="D5932" s="81" t="str">
        <f>HYPERLINK("https://youtube.com/watch?v=kmFOKOMbU-w", "iPhone 14 〡 Apple發佈會懶人包〡AirPods Pro 2 降噪功能倍升 但有失望位〡 Apple Watch Ultra 驚喜現身〡iPhone 14 Pro藥丸額〡內附優惠碼")</f>
        <v>iPhone 14 〡 Apple發佈會懶人包〡AirPods Pro 2 降噪功能倍升 但有失望位〡 Apple Watch Ultra 驚喜現身〡iPhone 14 Pro藥丸額〡內附優惠碼</v>
      </c>
      <c r="E5932" s="82">
        <v>44812.0</v>
      </c>
      <c r="F5932" s="80">
        <v>748.0</v>
      </c>
      <c r="G5932" s="80" t="s">
        <v>63</v>
      </c>
      <c r="I5932" s="80" t="s">
        <v>63</v>
      </c>
      <c r="J5932" s="80">
        <v>11.0</v>
      </c>
      <c r="K5932" s="80">
        <v>0.392857142857142</v>
      </c>
      <c r="L5932" s="80" t="s">
        <v>64</v>
      </c>
    </row>
    <row r="5933">
      <c r="A5933" s="80" t="s">
        <v>6236</v>
      </c>
      <c r="B5933" s="81" t="str">
        <f>HYPERLINK("https://www.youtube.com/channel/UCPMsgWJvrkEHE0OpIMtxyYQ", "Comfort鬆")</f>
        <v>Comfort鬆</v>
      </c>
      <c r="C5933" s="80" t="s">
        <v>6433</v>
      </c>
      <c r="D5933" s="81" t="str">
        <f>HYPERLINK("https://youtube.com/watch?v=bu7P1jKWNyE", "【街訪】Ocamp淫Game失傳？｜邪教儀式群魔亂舞？｜殘酷蠟燭滴BenChau...")</f>
        <v>【街訪】Ocamp淫Game失傳？｜邪教儀式群魔亂舞？｜殘酷蠟燭滴BenChau...</v>
      </c>
      <c r="E5933" s="82">
        <v>44817.0</v>
      </c>
      <c r="F5933" s="80">
        <v>356.0</v>
      </c>
      <c r="G5933" s="80" t="s">
        <v>63</v>
      </c>
      <c r="I5933" s="80" t="s">
        <v>63</v>
      </c>
      <c r="J5933" s="80">
        <v>1108.0</v>
      </c>
      <c r="K5933" s="80">
        <v>0.82074074074074</v>
      </c>
      <c r="L5933" s="80" t="s">
        <v>64</v>
      </c>
    </row>
    <row r="5934">
      <c r="A5934" s="80" t="s">
        <v>755</v>
      </c>
      <c r="B5934" s="81" t="str">
        <f>HYPERLINK("https://www.youtube.com/channel/UCBiJDTc82IM68KVH873VeAw", "Live in Kwangsi廣西人·情·味")</f>
        <v>Live in Kwangsi廣西人·情·味</v>
      </c>
      <c r="C5934" s="80" t="s">
        <v>6434</v>
      </c>
      <c r="D5934" s="81" t="str">
        <f>HYPERLINK("https://youtube.com/watch?v=Ni44NCV_f28", "鬱林五彩田園掠影｜廣西美景 20220827")</f>
        <v>鬱林五彩田園掠影｜廣西美景 20220827</v>
      </c>
      <c r="E5934" s="82">
        <v>44821.0</v>
      </c>
      <c r="F5934" s="80">
        <v>156.0</v>
      </c>
      <c r="G5934" s="80" t="s">
        <v>63</v>
      </c>
      <c r="I5934" s="80" t="s">
        <v>63</v>
      </c>
      <c r="J5934" s="80">
        <v>18.0</v>
      </c>
      <c r="K5934" s="80">
        <v>1.0</v>
      </c>
      <c r="L5934" s="80" t="s">
        <v>757</v>
      </c>
    </row>
    <row r="5935">
      <c r="A5935" s="80" t="s">
        <v>248</v>
      </c>
      <c r="B5935" s="81" t="str">
        <f>HYPERLINK("https://www.youtube.com/channel/UCUEJok-GiWaGlv5nIPwk-GQ", "Price.com.hk 香港格價網")</f>
        <v>Price.com.hk 香港格價網</v>
      </c>
      <c r="C5935" s="80" t="s">
        <v>6435</v>
      </c>
      <c r="D5935" s="81" t="str">
        <f>HYPERLINK("https://youtube.com/watch?v=uqG6uL8m4ac", "Apple發佈會 三大產品齊登場． USB 新規格 USB 4 Version 2.0．AI生成圖像奪美國藝術獎 | 廣東話【Price Weekly #131 2022年9月 】")</f>
        <v>Apple發佈會 三大產品齊登場． USB 新規格 USB 4 Version 2.0．AI生成圖像奪美國藝術獎 | 廣東話【Price Weekly #131 2022年9月 】</v>
      </c>
      <c r="E5935" s="82">
        <v>44814.0</v>
      </c>
      <c r="F5935" s="80">
        <v>513.0</v>
      </c>
      <c r="G5935" s="80" t="s">
        <v>63</v>
      </c>
      <c r="I5935" s="80" t="s">
        <v>63</v>
      </c>
      <c r="J5935" s="80">
        <v>1848.0</v>
      </c>
      <c r="K5935" s="80">
        <v>0.667871340802313</v>
      </c>
      <c r="L5935" s="80" t="s">
        <v>64</v>
      </c>
    </row>
    <row r="5936">
      <c r="A5936" s="80" t="s">
        <v>755</v>
      </c>
      <c r="B5936" s="81" t="str">
        <f>HYPERLINK("https://www.youtube.com/channel/UCBiJDTc82IM68KVH873VeAw", "Live in Kwangsi廣西人·情·味")</f>
        <v>Live in Kwangsi廣西人·情·味</v>
      </c>
      <c r="C5936" s="80" t="s">
        <v>6436</v>
      </c>
      <c r="D5936" s="81" t="str">
        <f>HYPERLINK("https://youtube.com/watch?v=ocM72r1Ycmk", "桂林特色餐廳：莫奈花園餐廳｜廣西日常實拍 20220814")</f>
        <v>桂林特色餐廳：莫奈花園餐廳｜廣西日常實拍 20220814</v>
      </c>
      <c r="E5936" s="82">
        <v>44819.0</v>
      </c>
      <c r="F5936" s="80">
        <v>109.0</v>
      </c>
      <c r="G5936" s="80" t="s">
        <v>63</v>
      </c>
      <c r="I5936" s="80" t="s">
        <v>63</v>
      </c>
      <c r="J5936" s="80">
        <v>139.0</v>
      </c>
      <c r="K5936" s="80">
        <v>1.0</v>
      </c>
      <c r="L5936" s="80" t="s">
        <v>757</v>
      </c>
    </row>
    <row r="5937">
      <c r="A5937" s="80" t="s">
        <v>293</v>
      </c>
      <c r="B5937" s="81" t="str">
        <f>HYPERLINK("https://www.youtube.com/channel/UCXRcbXqjORdIvl63I7MtOLQ", "趁熱 Kerry 's kitchen")</f>
        <v>趁熱 Kerry 's kitchen</v>
      </c>
      <c r="C5937" s="80" t="s">
        <v>6437</v>
      </c>
      <c r="D5937" s="81" t="str">
        <f>HYPERLINK("https://youtube.com/watch?v=trqAX4vkthY", "沙茶牛肋條/牛腩條/簡單 新手也做到/堅惹味 好送飯/冇明火都得/廣東話/中字")</f>
        <v>沙茶牛肋條/牛腩條/簡單 新手也做到/堅惹味 好送飯/冇明火都得/廣東話/中字</v>
      </c>
      <c r="E5937" s="82">
        <v>44813.0</v>
      </c>
      <c r="F5937" s="80">
        <v>542.0</v>
      </c>
      <c r="G5937" s="80" t="s">
        <v>63</v>
      </c>
      <c r="I5937" s="80" t="s">
        <v>63</v>
      </c>
      <c r="J5937" s="80">
        <v>1365.0</v>
      </c>
      <c r="K5937" s="80">
        <v>0.97360912981455</v>
      </c>
      <c r="L5937" s="80" t="s">
        <v>64</v>
      </c>
    </row>
    <row r="5938">
      <c r="A5938" s="80" t="s">
        <v>260</v>
      </c>
      <c r="B5938" s="81" t="str">
        <f>HYPERLINK("https://www.youtube.com/channel/UC-HXOikkLx7BGEfILGIpYOg", "港短 . 英移")</f>
        <v>港短 . 英移</v>
      </c>
      <c r="C5938" s="80" t="s">
        <v>6438</v>
      </c>
      <c r="D5938" s="81" t="str">
        <f>HYPERLINK("https://youtube.com/watch?v=V1I6erTpmzU", "最少您們最次再一起.. | 港短.英移 #永遠的事頭婆")</f>
        <v>最少您們最次再一起.. | 港短.英移 #永遠的事頭婆</v>
      </c>
      <c r="E5938" s="82">
        <v>44812.0</v>
      </c>
      <c r="F5938" s="80">
        <v>397.0</v>
      </c>
      <c r="G5938" s="80" t="s">
        <v>63</v>
      </c>
      <c r="I5938" s="80" t="s">
        <v>63</v>
      </c>
      <c r="J5938" s="80">
        <v>1287.0</v>
      </c>
      <c r="K5938" s="80">
        <v>0.751752336448598</v>
      </c>
      <c r="L5938" s="80" t="s">
        <v>102</v>
      </c>
    </row>
    <row r="5939">
      <c r="A5939" s="80" t="s">
        <v>248</v>
      </c>
      <c r="B5939" s="81" t="str">
        <f>HYPERLINK("https://www.youtube.com/channel/UCUEJok-GiWaGlv5nIPwk-GQ", "Price.com.hk 香港格價網")</f>
        <v>Price.com.hk 香港格價網</v>
      </c>
      <c r="C5939" s="80" t="s">
        <v>6439</v>
      </c>
      <c r="D5939" s="81" t="str">
        <f>HYPERLINK("https://youtube.com/watch?v=_1XkG_lDh5o", "手感好 觸發快！ASUS ROG RX光軸 + NX機械軸｜鍵盤選購指南｜特約專題｜廣東話【Price.com.hk產品介紹】")</f>
        <v>手感好 觸發快！ASUS ROG RX光軸 + NX機械軸｜鍵盤選購指南｜特約專題｜廣東話【Price.com.hk產品介紹】</v>
      </c>
      <c r="E5939" s="82">
        <v>44817.0</v>
      </c>
      <c r="F5939" s="80">
        <v>297.0</v>
      </c>
      <c r="G5939" s="80" t="s">
        <v>63</v>
      </c>
      <c r="I5939" s="80" t="s">
        <v>63</v>
      </c>
      <c r="J5939" s="80">
        <v>957.0</v>
      </c>
      <c r="K5939" s="80">
        <v>0.860611510791366</v>
      </c>
      <c r="L5939" s="80" t="s">
        <v>64</v>
      </c>
    </row>
    <row r="5940">
      <c r="A5940" s="80" t="s">
        <v>140</v>
      </c>
      <c r="B5940" s="81" t="str">
        <f>HYPERLINK("https://www.youtube.com/channel/UCHK0CZf9HEXs42qIO1GUouA", "TechiCardia")</f>
        <v>TechiCardia</v>
      </c>
      <c r="C5940" s="80" t="s">
        <v>6440</v>
      </c>
      <c r="D5940" s="81" t="str">
        <f>HYPERLINK("https://youtube.com/watch?v=4lc3j9X3PU0", "全新 Jabra Elite 5 詳細試用實測！千元價位最推薦 真無線藍牙降噪耳機| 高階功能、中階價錢 | 加入aptX、混合ANC、超強收音 | 4K【TechiCardia】[cc廣東話字幕]")</f>
        <v>全新 Jabra Elite 5 詳細試用實測！千元價位最推薦 真無線藍牙降噪耳機| 高階功能、中階價錢 | 加入aptX、混合ANC、超強收音 | 4K【TechiCardia】[cc廣東話字幕]</v>
      </c>
      <c r="E5940" s="82">
        <v>44813.0</v>
      </c>
      <c r="F5940" s="80">
        <v>619.0</v>
      </c>
      <c r="G5940" s="80" t="s">
        <v>63</v>
      </c>
      <c r="I5940" s="80" t="s">
        <v>63</v>
      </c>
      <c r="J5940" s="80">
        <v>2300.0</v>
      </c>
      <c r="K5940" s="80">
        <v>0.736</v>
      </c>
      <c r="L5940" s="80" t="s">
        <v>102</v>
      </c>
    </row>
    <row r="5941">
      <c r="A5941" s="80" t="s">
        <v>248</v>
      </c>
      <c r="B5941" s="81" t="str">
        <f>HYPERLINK("https://www.youtube.com/channel/UCUEJok-GiWaGlv5nIPwk-GQ", "Price.com.hk 香港格價網")</f>
        <v>Price.com.hk 香港格價網</v>
      </c>
      <c r="C5941" s="80" t="s">
        <v>6441</v>
      </c>
      <c r="D5941" s="81" t="str">
        <f>HYPERLINK("https://youtube.com/watch?v=mwltLmdA38o", "2022 Apple發佈會懶人包﹗暗紫色iPhone 14亮相｜Airpods Pro第二代｜Apple Watch S8 / Ultra｜功能、售價、推出日期速報【Price.com.hk產品情報】")</f>
        <v>2022 Apple發佈會懶人包﹗暗紫色iPhone 14亮相｜Airpods Pro第二代｜Apple Watch S8 / Ultra｜功能、售價、推出日期速報【Price.com.hk產品情報】</v>
      </c>
      <c r="E5941" s="82">
        <v>44812.0</v>
      </c>
      <c r="F5941" s="80">
        <v>650.0</v>
      </c>
      <c r="G5941" s="80" t="s">
        <v>63</v>
      </c>
      <c r="I5941" s="80" t="s">
        <v>63</v>
      </c>
      <c r="J5941" s="80">
        <v>2190.0</v>
      </c>
      <c r="K5941" s="80">
        <v>0.768151525780427</v>
      </c>
      <c r="L5941" s="80" t="s">
        <v>64</v>
      </c>
    </row>
    <row r="5942">
      <c r="A5942" s="80" t="s">
        <v>242</v>
      </c>
      <c r="B5942" s="81" t="str">
        <f>HYPERLINK("https://www.youtube.com/channel/UCZGVB6g74LXWtkR3fX50ykg", "Edwin H.")</f>
        <v>Edwin H.</v>
      </c>
      <c r="C5942" s="80" t="s">
        <v>6442</v>
      </c>
      <c r="D5942" s="81" t="str">
        <f>HYPERLINK("https://youtube.com/watch?v=Co7ZQR--ZNU", "7分鐘精華 🍎 Apple 發佈會📱 iPhone 14 Pro👂🏻AirPods Pro 2📱iPhone 14 懶人包 ⌚Apple Watch Ultra Series 8 中文")</f>
        <v>7分鐘精華 🍎 Apple 發佈會📱 iPhone 14 Pro👂🏻AirPods Pro 2📱iPhone 14 懶人包 ⌚Apple Watch Ultra Series 8 中文</v>
      </c>
      <c r="E5942" s="82">
        <v>44812.0</v>
      </c>
      <c r="F5942" s="80">
        <v>574.0</v>
      </c>
      <c r="G5942" s="80" t="s">
        <v>63</v>
      </c>
      <c r="I5942" s="80" t="s">
        <v>63</v>
      </c>
      <c r="J5942" s="80">
        <v>1982.0</v>
      </c>
      <c r="K5942" s="80">
        <v>0.80831973898858</v>
      </c>
      <c r="L5942" s="80" t="s">
        <v>64</v>
      </c>
    </row>
    <row r="5943">
      <c r="A5943" s="80" t="s">
        <v>108</v>
      </c>
      <c r="B5943" s="81" t="str">
        <f>HYPERLINK("https://www.youtube.com/channel/UCZL6QN6Xs-ZrKY3y6Pv6Emg", "廢青 - 日賺3000")</f>
        <v>廢青 - 日賺3000</v>
      </c>
      <c r="C5943" s="80" t="s">
        <v>6443</v>
      </c>
      <c r="D5943" s="81" t="str">
        <f>HYPERLINK("https://youtube.com/watch?v=97uMPufcEs8", "【 廢氏預測 】短線港股18,000點，即將成真 !! #止蝕位 #散戶即將止蝕啦 廢友你呢？【廢青 日賺3000】【點CC看中文字幕】")</f>
        <v>【 廢氏預測 】短線港股18,000點，即將成真 !! #止蝕位 #散戶即將止蝕啦 廢友你呢？【廢青 日賺3000】【點CC看中文字幕】</v>
      </c>
      <c r="E5943" s="82">
        <v>44813.0</v>
      </c>
      <c r="F5943" s="80">
        <v>814.0</v>
      </c>
      <c r="G5943" s="80" t="s">
        <v>63</v>
      </c>
      <c r="I5943" s="80" t="s">
        <v>63</v>
      </c>
      <c r="J5943" s="80">
        <v>3296.0</v>
      </c>
      <c r="K5943" s="80">
        <v>0.923249299719888</v>
      </c>
      <c r="L5943" s="80" t="s">
        <v>64</v>
      </c>
    </row>
    <row r="5944">
      <c r="A5944" s="80" t="s">
        <v>1492</v>
      </c>
      <c r="B5944" s="81" t="str">
        <f>HYPERLINK("https://www.youtube.com/channel/UCTo1EIcKtkDYqiUqs4v_NlA", "【常公子】頻道TV - 中文中史歷史哲學")</f>
        <v>【常公子】頻道TV - 中文中史歷史哲學</v>
      </c>
      <c r="C5944" s="80" t="s">
        <v>6444</v>
      </c>
      <c r="D5944" s="81" t="str">
        <f>HYPERLINK("https://youtube.com/watch?v=cdaf0uLO5DQ", "【常威近代史】第五百回有錢使得鬼推磨")</f>
        <v>【常威近代史】第五百回有錢使得鬼推磨</v>
      </c>
      <c r="E5944" s="82">
        <v>44821.0</v>
      </c>
      <c r="F5944" s="80">
        <v>596.0</v>
      </c>
      <c r="G5944" s="80" t="s">
        <v>63</v>
      </c>
      <c r="I5944" s="80" t="s">
        <v>63</v>
      </c>
      <c r="J5944" s="80">
        <v>1621.0</v>
      </c>
      <c r="K5944" s="80">
        <v>0.968339307048984</v>
      </c>
      <c r="L5944" s="80" t="s">
        <v>64</v>
      </c>
    </row>
    <row r="5945">
      <c r="A5945" s="80" t="s">
        <v>248</v>
      </c>
      <c r="B5945" s="81" t="str">
        <f>HYPERLINK("https://www.youtube.com/channel/UCUEJok-GiWaGlv5nIPwk-GQ", "Price.com.hk 香港格價網")</f>
        <v>Price.com.hk 香港格價網</v>
      </c>
      <c r="C5945" s="80" t="s">
        <v>6445</v>
      </c>
      <c r="D5945" s="81" t="str">
        <f>HYPERLINK("https://youtube.com/watch?v=JeAhMDYuOts", "Insta360 X3 全景運動相機率先上手試！帶你去大尾篤踩水上單車｜特約專題｜廣東話【Price.com.hk產品評測】")</f>
        <v>Insta360 X3 全景運動相機率先上手試！帶你去大尾篤踩水上單車｜特約專題｜廣東話【Price.com.hk產品評測】</v>
      </c>
      <c r="E5945" s="82">
        <v>44812.0</v>
      </c>
      <c r="F5945" s="80">
        <v>434.0</v>
      </c>
      <c r="G5945" s="80" t="s">
        <v>63</v>
      </c>
      <c r="I5945" s="80" t="s">
        <v>63</v>
      </c>
      <c r="J5945" s="80">
        <v>1253.0</v>
      </c>
      <c r="K5945" s="80">
        <v>0.884262526464361</v>
      </c>
      <c r="L5945" s="80" t="s">
        <v>64</v>
      </c>
    </row>
    <row r="5946">
      <c r="A5946" s="80" t="s">
        <v>755</v>
      </c>
      <c r="B5946" s="81" t="str">
        <f t="shared" ref="B5946:B5947" si="338">HYPERLINK("https://www.youtube.com/channel/UCBiJDTc82IM68KVH873VeAw", "Live in Kwangsi廣西人·情·味")</f>
        <v>Live in Kwangsi廣西人·情·味</v>
      </c>
      <c r="C5946" s="80" t="s">
        <v>6446</v>
      </c>
      <c r="D5946" s="81" t="str">
        <f>HYPERLINK("https://youtube.com/watch?v=jrkCPODY650", "鬱林3日2夜 行夜市 試本地復古餐廳 遊五彩田園 鬱林小灕江｜廣西vlog 20220826~28")</f>
        <v>鬱林3日2夜 行夜市 試本地復古餐廳 遊五彩田園 鬱林小灕江｜廣西vlog 20220826~28</v>
      </c>
      <c r="E5946" s="82">
        <v>44820.0</v>
      </c>
      <c r="F5946" s="80">
        <v>400.0</v>
      </c>
      <c r="G5946" s="80" t="s">
        <v>63</v>
      </c>
      <c r="I5946" s="80" t="s">
        <v>63</v>
      </c>
      <c r="J5946" s="80">
        <v>528.0</v>
      </c>
      <c r="K5946" s="80">
        <v>0.996226415094339</v>
      </c>
      <c r="L5946" s="80" t="s">
        <v>757</v>
      </c>
    </row>
    <row r="5947">
      <c r="A5947" s="80" t="s">
        <v>755</v>
      </c>
      <c r="B5947" s="81" t="str">
        <f t="shared" si="338"/>
        <v>Live in Kwangsi廣西人·情·味</v>
      </c>
      <c r="C5947" s="80" t="s">
        <v>6447</v>
      </c>
      <c r="D5947" s="81" t="str">
        <f>HYPERLINK("https://youtube.com/watch?v=qHNVF1dPvcM", "湖南省江永縣勾藍瑤寨、上甘棠一日遊(佩服堅持整傳統美食嘅勾藍小食店老闆) vlog 20220906")</f>
        <v>湖南省江永縣勾藍瑤寨、上甘棠一日遊(佩服堅持整傳統美食嘅勾藍小食店老闆) vlog 20220906</v>
      </c>
      <c r="E5947" s="82">
        <v>44824.0</v>
      </c>
      <c r="F5947" s="80">
        <v>615.0</v>
      </c>
      <c r="G5947" s="80" t="s">
        <v>63</v>
      </c>
      <c r="I5947" s="80" t="s">
        <v>63</v>
      </c>
      <c r="J5947" s="80">
        <v>841.0</v>
      </c>
      <c r="K5947" s="80">
        <v>1.0</v>
      </c>
      <c r="L5947" s="80" t="s">
        <v>757</v>
      </c>
    </row>
    <row r="5948">
      <c r="A5948" s="80" t="s">
        <v>6425</v>
      </c>
      <c r="B5948" s="81" t="str">
        <f>HYPERLINK("https://www.youtube.com/channel/UCb1EgKwe6X9bdCPOKKLL0oA", "地盤佬江湖 - 五金街")</f>
        <v>地盤佬江湖 - 五金街</v>
      </c>
      <c r="C5948" s="80" t="s">
        <v>6448</v>
      </c>
      <c r="D5948" s="81" t="str">
        <f>HYPERLINK("https://youtube.com/watch?v=D1eUWL6gVDc", "【超治癒洗車神器】超便攜Bosch Easy Aquatak 110  洗車洗牆洗冷氣通通啱用  | 五金街開箱")</f>
        <v>【超治癒洗車神器】超便攜Bosch Easy Aquatak 110  洗車洗牆洗冷氣通通啱用  | 五金街開箱</v>
      </c>
      <c r="E5948" s="82">
        <v>43937.0</v>
      </c>
      <c r="F5948" s="80">
        <v>291.0</v>
      </c>
      <c r="G5948" s="80" t="s">
        <v>63</v>
      </c>
      <c r="I5948" s="80" t="s">
        <v>63</v>
      </c>
      <c r="J5948" s="80">
        <v>744.0</v>
      </c>
      <c r="K5948" s="80">
        <v>0.807817589576547</v>
      </c>
      <c r="L5948" s="80" t="s">
        <v>64</v>
      </c>
    </row>
    <row r="5949">
      <c r="A5949" s="80" t="s">
        <v>2761</v>
      </c>
      <c r="B5949" s="81" t="str">
        <f>HYPERLINK("https://www.youtube.com/channel/UCr_L9cZdbBU_XDsKDHBBlew", "am730")</f>
        <v>am730</v>
      </c>
      <c r="C5949" s="80" t="s">
        <v>6449</v>
      </c>
      <c r="D5949" s="81" t="str">
        <f>HYPERLINK("https://youtube.com/watch?v=6eurWTNLq2s", "靈異丨香港02：「bear熊 + 花媽媽」中集丨小紅帽聲音專欄 #靈異 #都市傳說 #鬼故事 #盂蘭節 #podcast")</f>
        <v>靈異丨香港02：「bear熊 + 花媽媽」中集丨小紅帽聲音專欄 #靈異 #都市傳說 #鬼故事 #盂蘭節 #podcast</v>
      </c>
      <c r="E5949" s="82">
        <v>44818.0</v>
      </c>
      <c r="F5949" s="80">
        <v>401.0</v>
      </c>
      <c r="G5949" s="80" t="s">
        <v>63</v>
      </c>
      <c r="I5949" s="80" t="s">
        <v>63</v>
      </c>
      <c r="J5949" s="80">
        <v>1077.0</v>
      </c>
      <c r="K5949" s="80">
        <v>0.979981801637852</v>
      </c>
      <c r="L5949" s="80" t="s">
        <v>91</v>
      </c>
    </row>
    <row r="5950">
      <c r="A5950" s="80" t="s">
        <v>124</v>
      </c>
      <c r="B5950" s="81" t="str">
        <f>HYPERLINK("https://www.youtube.com/channel/UCg0vuSE0fBF_NvodyYhMcWg", "Wallace Studio HK")</f>
        <v>Wallace Studio HK</v>
      </c>
      <c r="C5950" s="80" t="s">
        <v>6450</v>
      </c>
      <c r="D5950" s="81" t="str">
        <f>HYPERLINK("https://youtube.com/watch?v=ZlB8wmbqMsE", "Macbook 2022 終極比較! (MacBook Air/Pro M2 vs Macbook M1 Pro /M1 Max )")</f>
        <v>Macbook 2022 終極比較! (MacBook Air/Pro M2 vs Macbook M1 Pro /M1 Max )</v>
      </c>
      <c r="E5950" s="82">
        <v>44811.0</v>
      </c>
      <c r="F5950" s="80">
        <v>736.0</v>
      </c>
      <c r="G5950" s="80" t="s">
        <v>63</v>
      </c>
      <c r="I5950" s="80" t="s">
        <v>63</v>
      </c>
      <c r="J5950" s="80">
        <v>2289.0</v>
      </c>
      <c r="K5950" s="80">
        <v>0.59132007233273</v>
      </c>
      <c r="L5950" s="80" t="s">
        <v>64</v>
      </c>
    </row>
    <row r="5951">
      <c r="A5951" s="80" t="s">
        <v>248</v>
      </c>
      <c r="B5951" s="81" t="str">
        <f>HYPERLINK("https://www.youtube.com/channel/UCUEJok-GiWaGlv5nIPwk-GQ", "Price.com.hk 香港格價網")</f>
        <v>Price.com.hk 香港格價網</v>
      </c>
      <c r="C5951" s="80" t="s">
        <v>6451</v>
      </c>
      <c r="D5951" s="81" t="str">
        <f>HYPERLINK("https://youtube.com/watch?v=rLU-FD79t4c", "AirPods Pro 2降噪真係勁兩倍？睇戲表現好過聽歌！消噪竟然影響通話？ 對比上代｜ H2晶片｜廣東話｜耳機評測 | 中文字幕【Price.com.hk產品開箱】")</f>
        <v>AirPods Pro 2降噪真係勁兩倍？睇戲表現好過聽歌！消噪竟然影響通話？ 對比上代｜ H2晶片｜廣東話｜耳機評測 | 中文字幕【Price.com.hk產品開箱】</v>
      </c>
      <c r="E5951" s="82">
        <v>44826.0</v>
      </c>
      <c r="F5951" s="80">
        <v>510.0</v>
      </c>
      <c r="G5951" s="80" t="s">
        <v>63</v>
      </c>
      <c r="I5951" s="80" t="s">
        <v>63</v>
      </c>
      <c r="J5951" s="80">
        <v>1540.0</v>
      </c>
      <c r="K5951" s="80">
        <v>0.851299060254284</v>
      </c>
      <c r="L5951" s="80" t="s">
        <v>64</v>
      </c>
    </row>
    <row r="5952">
      <c r="A5952" s="80" t="s">
        <v>1492</v>
      </c>
      <c r="B5952" s="81" t="str">
        <f>HYPERLINK("https://www.youtube.com/channel/UCTo1EIcKtkDYqiUqs4v_NlA", "【常公子】頻道TV - 中文中史歷史哲學")</f>
        <v>【常公子】頻道TV - 中文中史歷史哲學</v>
      </c>
      <c r="C5952" s="80" t="s">
        <v>6452</v>
      </c>
      <c r="D5952" s="81" t="str">
        <f>HYPERLINK("https://youtube.com/watch?v=rKPmaSGPNGs", "【常威近代史】第四百九十九回王國維自沉頤和園昆明湖")</f>
        <v>【常威近代史】第四百九十九回王國維自沉頤和園昆明湖</v>
      </c>
      <c r="E5952" s="82">
        <v>44819.0</v>
      </c>
      <c r="F5952" s="80">
        <v>724.0</v>
      </c>
      <c r="G5952" s="80" t="s">
        <v>63</v>
      </c>
      <c r="I5952" s="80" t="s">
        <v>63</v>
      </c>
      <c r="J5952" s="80">
        <v>1596.0</v>
      </c>
      <c r="K5952" s="80">
        <v>0.955688622754491</v>
      </c>
      <c r="L5952" s="80" t="s">
        <v>64</v>
      </c>
    </row>
    <row r="5953">
      <c r="A5953" s="80" t="s">
        <v>293</v>
      </c>
      <c r="B5953" s="81" t="str">
        <f>HYPERLINK("https://www.youtube.com/channel/UCXRcbXqjORdIvl63I7MtOLQ", "趁熱 Kerry 's kitchen")</f>
        <v>趁熱 Kerry 's kitchen</v>
      </c>
      <c r="C5953" s="80" t="s">
        <v>6453</v>
      </c>
      <c r="D5953" s="81" t="str">
        <f>HYPERLINK("https://youtube.com/watch?v=A4SRna7WuPU", "香蔥滑魚片蒸豆腐/超滑/新手 入門/超容易 收工做都得/廣東話/中字")</f>
        <v>香蔥滑魚片蒸豆腐/超滑/新手 入門/超容易 收工做都得/廣東話/中字</v>
      </c>
      <c r="E5953" s="82">
        <v>44818.0</v>
      </c>
      <c r="F5953" s="80">
        <v>495.0</v>
      </c>
      <c r="G5953" s="80" t="s">
        <v>63</v>
      </c>
      <c r="I5953" s="80" t="s">
        <v>63</v>
      </c>
      <c r="J5953" s="80">
        <v>1302.0</v>
      </c>
      <c r="K5953" s="80">
        <v>0.982641509433962</v>
      </c>
      <c r="L5953" s="80" t="s">
        <v>64</v>
      </c>
    </row>
    <row r="5954">
      <c r="A5954" s="80" t="s">
        <v>96</v>
      </c>
      <c r="B5954" s="81" t="str">
        <f>HYPERLINK("https://www.youtube.com/channel/UCGtyHJ-L_4RDIHe3XaLofQQ", "Anson Cheung")</f>
        <v>Anson Cheung</v>
      </c>
      <c r="C5954" s="80" t="s">
        <v>6454</v>
      </c>
      <c r="D5954" s="81" t="str">
        <f>HYPERLINK("https://youtube.com/watch?v=8H6UFTqbs-E", "ASUS Zenfone 9 詳細評測：細機，世一！｜相機內置六軸混合雲台系統有幾勁？影相又有冇用？細機身有冇咩功能犧牲咗？｜ASUS Zenfone 9 Review")</f>
        <v>ASUS Zenfone 9 詳細評測：細機，世一！｜相機內置六軸混合雲台系統有幾勁？影相又有冇用？細機身有冇咩功能犧牲咗？｜ASUS Zenfone 9 Review</v>
      </c>
      <c r="E5954" s="82">
        <v>44813.0</v>
      </c>
      <c r="F5954" s="80">
        <v>899.0</v>
      </c>
      <c r="G5954" s="80" t="s">
        <v>63</v>
      </c>
      <c r="I5954" s="80" t="s">
        <v>63</v>
      </c>
      <c r="J5954" s="80">
        <v>3295.0</v>
      </c>
      <c r="K5954" s="80">
        <v>0.628576879053796</v>
      </c>
      <c r="L5954" s="80" t="s">
        <v>64</v>
      </c>
    </row>
    <row r="5955">
      <c r="A5955" s="80" t="s">
        <v>1670</v>
      </c>
      <c r="B5955" s="81" t="str">
        <f>HYPERLINK("https://www.youtube.com/channel/UC-PIt5m-WOg8UVBkt2RnN0g", "阿JACK睇樓團")</f>
        <v>阿JACK睇樓團</v>
      </c>
      <c r="C5955" s="80" t="s">
        <v>6455</v>
      </c>
      <c r="D5955" s="81" t="str">
        <f>HYPERLINK("https://youtube.com/watch?v=_NRRpA8B3HE", "罕有逾2800平方呎空中會所🤩濕地公園四季景睇晒🦢勁多放鬆位🤤一定要睇 片尾介紹第三期坐向間隔￼🤔(( CC字幕) #新鴻基 #天水圍 #wetland #會所設施 #阿JACK睇樓團 #新樓 #買樓")</f>
        <v>罕有逾2800平方呎空中會所🤩濕地公園四季景睇晒🦢勁多放鬆位🤤一定要睇 片尾介紹第三期坐向間隔￼🤔(( CC字幕) #新鴻基 #天水圍 #wetland #會所設施 #阿JACK睇樓團 #新樓 #買樓</v>
      </c>
      <c r="E5955" s="82">
        <v>44813.0</v>
      </c>
      <c r="F5955" s="80">
        <v>601.0</v>
      </c>
      <c r="G5955" s="80" t="s">
        <v>63</v>
      </c>
      <c r="I5955" s="80" t="s">
        <v>63</v>
      </c>
      <c r="J5955" s="80">
        <v>1782.0</v>
      </c>
      <c r="K5955" s="80">
        <v>0.964807796426637</v>
      </c>
      <c r="L5955" s="80" t="s">
        <v>64</v>
      </c>
    </row>
    <row r="5956">
      <c r="A5956" s="80" t="s">
        <v>248</v>
      </c>
      <c r="B5956" s="81" t="str">
        <f>HYPERLINK("https://www.youtube.com/channel/UCUEJok-GiWaGlv5nIPwk-GQ", "Price.com.hk 香港格價網")</f>
        <v>Price.com.hk 香港格價網</v>
      </c>
      <c r="C5956" s="80" t="s">
        <v>6456</v>
      </c>
      <c r="D5956" s="81" t="str">
        <f>HYPERLINK("https://youtube.com/watch?v=nAiqJwoWROY", "iPhone 14 Pro Max 炒價高見$15,900！iOS 16 有bugs？DJI、GoPro同日推出新款運動相機 | 廣東話【Price Weekly #132 2022年9月】")</f>
        <v>iPhone 14 Pro Max 炒價高見$15,900！iOS 16 有bugs？DJI、GoPro同日推出新款運動相機 | 廣東話【Price Weekly #132 2022年9月】</v>
      </c>
      <c r="E5956" s="82">
        <v>44821.0</v>
      </c>
      <c r="F5956" s="80">
        <v>602.0</v>
      </c>
      <c r="G5956" s="80" t="s">
        <v>63</v>
      </c>
      <c r="I5956" s="80" t="s">
        <v>63</v>
      </c>
      <c r="J5956" s="80">
        <v>1995.0</v>
      </c>
      <c r="K5956" s="80">
        <v>0.728102189781021</v>
      </c>
      <c r="L5956" s="80" t="s">
        <v>64</v>
      </c>
    </row>
    <row r="5957">
      <c r="A5957" s="80" t="s">
        <v>2800</v>
      </c>
      <c r="B5957" s="81" t="str">
        <f>HYPERLINK("https://www.youtube.com/channel/UCMqrlsr-AECPc6_3oDr8m9w", "Unicorn 獸哥")</f>
        <v>Unicorn 獸哥</v>
      </c>
      <c r="C5957" s="80" t="s">
        <v>6457</v>
      </c>
      <c r="D5957" s="81" t="str">
        <f>HYPERLINK("https://youtube.com/watch?v=lhPtG0AfVA8", "【速食新聞】3分鐘了解未來刺客教條所有作品！cc字幕")</f>
        <v>【速食新聞】3分鐘了解未來刺客教條所有作品！cc字幕</v>
      </c>
      <c r="E5957" s="82">
        <v>44818.0</v>
      </c>
      <c r="F5957" s="80">
        <v>218.0</v>
      </c>
      <c r="G5957" s="80" t="s">
        <v>63</v>
      </c>
      <c r="I5957" s="80" t="s">
        <v>63</v>
      </c>
      <c r="J5957" s="80">
        <v>769.0</v>
      </c>
      <c r="K5957" s="80">
        <v>0.651143099068585</v>
      </c>
      <c r="L5957" s="80" t="s">
        <v>64</v>
      </c>
    </row>
    <row r="5958">
      <c r="A5958" s="80" t="s">
        <v>755</v>
      </c>
      <c r="B5958" s="81" t="str">
        <f>HYPERLINK("https://www.youtube.com/channel/UCBiJDTc82IM68KVH873VeAw", "Live in Kwangsi廣西人·情·味")</f>
        <v>Live in Kwangsi廣西人·情·味</v>
      </c>
      <c r="C5958" s="80" t="s">
        <v>6458</v>
      </c>
      <c r="D5958" s="81" t="str">
        <f>HYPERLINK("https://youtube.com/watch?v=cYGS1A3HSoU", "2022年中秋節八步街遠東商圈實況🚶🏻喺賀州市區一路行一路傾下偈 20220910")</f>
        <v>2022年中秋節八步街遠東商圈實況🚶🏻喺賀州市區一路行一路傾下偈 20220910</v>
      </c>
      <c r="E5958" s="82">
        <v>44814.0</v>
      </c>
      <c r="F5958" s="80">
        <v>1012.0</v>
      </c>
      <c r="G5958" s="80" t="s">
        <v>63</v>
      </c>
      <c r="I5958" s="80" t="s">
        <v>63</v>
      </c>
      <c r="J5958" s="80">
        <v>1184.0</v>
      </c>
      <c r="K5958" s="80">
        <v>0.995794785534062</v>
      </c>
      <c r="L5958" s="80" t="s">
        <v>757</v>
      </c>
    </row>
    <row r="5959">
      <c r="A5959" s="80" t="s">
        <v>293</v>
      </c>
      <c r="B5959" s="81" t="str">
        <f>HYPERLINK("https://www.youtube.com/channel/UCXRcbXqjORdIvl63I7MtOLQ", "趁熱 Kerry 's kitchen")</f>
        <v>趁熱 Kerry 's kitchen</v>
      </c>
      <c r="C5959" s="80" t="s">
        <v>6459</v>
      </c>
      <c r="D5959" s="81" t="str">
        <f>HYPERLINK("https://youtube.com/watch?v=gbOL8GkXUu8", "夜香花蝦仁炒蛋/軟滑不出水竅門/新手 入門/收工做都得/廣東話/中字")</f>
        <v>夜香花蝦仁炒蛋/軟滑不出水竅門/新手 入門/收工做都得/廣東話/中字</v>
      </c>
      <c r="E5959" s="82">
        <v>44823.0</v>
      </c>
      <c r="F5959" s="80">
        <v>506.0</v>
      </c>
      <c r="G5959" s="80" t="s">
        <v>63</v>
      </c>
      <c r="I5959" s="80" t="s">
        <v>63</v>
      </c>
      <c r="J5959" s="80">
        <v>1286.0</v>
      </c>
      <c r="K5959" s="80">
        <v>0.983932670237184</v>
      </c>
      <c r="L5959" s="80" t="s">
        <v>64</v>
      </c>
    </row>
    <row r="5960">
      <c r="A5960" s="80" t="s">
        <v>248</v>
      </c>
      <c r="B5960" s="81" t="str">
        <f>HYPERLINK("https://www.youtube.com/channel/UCUEJok-GiWaGlv5nIPwk-GQ", "Price.com.hk 香港格價網")</f>
        <v>Price.com.hk 香港格價網</v>
      </c>
      <c r="C5960" s="80" t="s">
        <v>6460</v>
      </c>
      <c r="D5960" s="81" t="str">
        <f>HYPERLINK("https://youtube.com/watch?v=ei2t5R925Iw", "首試 iPhone 14系列 新feature逐個數！暗紫色 |48MP主攝 | 動態島 | A16晶片跑分 | Action mode | 廣東話 | 中文字幕【Price.com.hk產品開箱】")</f>
        <v>首試 iPhone 14系列 新feature逐個數！暗紫色 |48MP主攝 | 動態島 | A16晶片跑分 | Action mode | 廣東話 | 中文字幕【Price.com.hk產品開箱】</v>
      </c>
      <c r="E5960" s="82">
        <v>44818.0</v>
      </c>
      <c r="F5960" s="80">
        <v>514.0</v>
      </c>
      <c r="G5960" s="80" t="s">
        <v>63</v>
      </c>
      <c r="I5960" s="80" t="s">
        <v>63</v>
      </c>
      <c r="J5960" s="80">
        <v>1292.0</v>
      </c>
      <c r="K5960" s="80">
        <v>0.688699360341151</v>
      </c>
      <c r="L5960" s="80" t="s">
        <v>64</v>
      </c>
    </row>
    <row r="5961">
      <c r="A5961" s="80" t="s">
        <v>140</v>
      </c>
      <c r="B5961" s="81" t="str">
        <f>HYPERLINK("https://www.youtube.com/channel/UCHK0CZf9HEXs42qIO1GUouA", "TechiCardia")</f>
        <v>TechiCardia</v>
      </c>
      <c r="C5961" s="80" t="s">
        <v>6461</v>
      </c>
      <c r="D5961" s="81" t="str">
        <f>HYPERLINK("https://youtube.com/watch?v=8Gry-fxTvoo", "扺玩靚色 4K 144Hz Nano IPS 電競螢幕有咩揀？竟然冇人提起佢？| 開箱 | 試玩 | 實測 | Philips 27M1F5800 | 【TechiCardia】[cc 廣東話字幕]")</f>
        <v>扺玩靚色 4K 144Hz Nano IPS 電競螢幕有咩揀？竟然冇人提起佢？| 開箱 | 試玩 | 實測 | Philips 27M1F5800 | 【TechiCardia】[cc 廣東話字幕]</v>
      </c>
      <c r="E5961" s="82">
        <v>44808.0</v>
      </c>
      <c r="F5961" s="80">
        <v>673.0</v>
      </c>
      <c r="G5961" s="80" t="s">
        <v>63</v>
      </c>
      <c r="I5961" s="80" t="s">
        <v>63</v>
      </c>
      <c r="J5961" s="80">
        <v>2544.0</v>
      </c>
      <c r="K5961" s="80">
        <v>0.7419072615923</v>
      </c>
      <c r="L5961" s="80" t="s">
        <v>102</v>
      </c>
    </row>
    <row r="5962">
      <c r="A5962" s="80" t="s">
        <v>217</v>
      </c>
      <c r="B5962" s="81" t="str">
        <f>HYPERLINK("https://www.youtube.com/channel/UCXKg0qPRz32bs5Z4mTGF3TQ", "Stormtrooper白兵")</f>
        <v>Stormtrooper白兵</v>
      </c>
      <c r="C5962" s="80" t="s">
        <v>6462</v>
      </c>
      <c r="D5962" s="81" t="str">
        <f>HYPERLINK("https://youtube.com/watch?v=_FI4bgYFhtU", "[懶人包]歷任港督如何將香港從頹垣敗瓦變成國際金融中心？｜公屋、地鐵、九年免費教育、綜緩、ICAC｜粵語中字")</f>
        <v>[懶人包]歷任港督如何將香港從頹垣敗瓦變成國際金融中心？｜公屋、地鐵、九年免費教育、綜緩、ICAC｜粵語中字</v>
      </c>
      <c r="E5962" s="82">
        <v>44826.0</v>
      </c>
      <c r="F5962" s="80">
        <v>983.0</v>
      </c>
      <c r="G5962" s="80" t="s">
        <v>63</v>
      </c>
      <c r="I5962" s="80" t="s">
        <v>63</v>
      </c>
      <c r="J5962" s="80">
        <v>4107.0</v>
      </c>
      <c r="K5962" s="80">
        <v>0.971381267738883</v>
      </c>
      <c r="L5962" s="80" t="s">
        <v>64</v>
      </c>
    </row>
    <row r="5963">
      <c r="A5963" s="80" t="s">
        <v>124</v>
      </c>
      <c r="B5963" s="81" t="str">
        <f>HYPERLINK("https://www.youtube.com/channel/UCg0vuSE0fBF_NvodyYhMcWg", "Wallace Studio HK")</f>
        <v>Wallace Studio HK</v>
      </c>
      <c r="C5963" s="80" t="s">
        <v>6463</v>
      </c>
      <c r="D5963" s="81" t="str">
        <f>HYPERLINK("https://youtube.com/watch?v=4OHBN1bzPSI", "MacBook Pro 13 M2 2022 剪片夠用? 同你試下Premiere Pro , DaVinci Resolve , Final Cut Pro 下4K /5.7K 剪片表現")</f>
        <v>MacBook Pro 13 M2 2022 剪片夠用? 同你試下Premiere Pro , DaVinci Resolve , Final Cut Pro 下4K /5.7K 剪片表現</v>
      </c>
      <c r="E5963" s="82">
        <v>44809.0</v>
      </c>
      <c r="F5963" s="80">
        <v>423.0</v>
      </c>
      <c r="G5963" s="80" t="s">
        <v>63</v>
      </c>
      <c r="H5963" s="80" t="s">
        <v>63</v>
      </c>
      <c r="I5963" s="80" t="s">
        <v>63</v>
      </c>
      <c r="J5963" s="80">
        <v>1415.0</v>
      </c>
      <c r="K5963" s="80">
        <v>0.68159922928709</v>
      </c>
      <c r="L5963" s="80" t="s">
        <v>86</v>
      </c>
    </row>
    <row r="5964">
      <c r="A5964" s="80" t="s">
        <v>108</v>
      </c>
      <c r="B5964" s="81" t="str">
        <f>HYPERLINK("https://www.youtube.com/channel/UCZL6QN6Xs-ZrKY3y6Pv6Emg", "廢青 - 日賺3000")</f>
        <v>廢青 - 日賺3000</v>
      </c>
      <c r="C5964" s="80" t="s">
        <v>6464</v>
      </c>
      <c r="D5964" s="81" t="str">
        <f>HYPERLINK("https://youtube.com/watch?v=LNjvEJp_I9E", "新誕生 !! 3隻優質股票(上)   9月隨時買買買得 !!  #廢青新新新手投資教學【點CC看中文字幕】")</f>
        <v>新誕生 !! 3隻優質股票(上)   9月隨時買買買得 !!  #廢青新新新手投資教學【點CC看中文字幕】</v>
      </c>
      <c r="E5964" s="82">
        <v>44822.0</v>
      </c>
      <c r="F5964" s="80">
        <v>543.0</v>
      </c>
      <c r="G5964" s="80" t="s">
        <v>63</v>
      </c>
      <c r="I5964" s="80" t="s">
        <v>63</v>
      </c>
      <c r="J5964" s="80">
        <v>1964.0</v>
      </c>
      <c r="K5964" s="80">
        <v>0.940162757300143</v>
      </c>
      <c r="L5964" s="80" t="s">
        <v>64</v>
      </c>
    </row>
    <row r="5965">
      <c r="A5965" s="80" t="s">
        <v>293</v>
      </c>
      <c r="B5965" s="81" t="str">
        <f>HYPERLINK("https://www.youtube.com/channel/UCXRcbXqjORdIvl63I7MtOLQ", "趁熱 Kerry 's kitchen")</f>
        <v>趁熱 Kerry 's kitchen</v>
      </c>
      <c r="C5965" s="80" t="s">
        <v>6465</v>
      </c>
      <c r="D5965" s="81" t="str">
        <f>HYPERLINK("https://youtube.com/watch?v=ksC8z9ZbWr4", "南乳脆雞翼/不用炸一樣脆/入味/簡單 家做/新手 入門/廣東話/中字 deep fried chicken wings w/ red femented bean curd")</f>
        <v>南乳脆雞翼/不用炸一樣脆/入味/簡單 家做/新手 入門/廣東話/中字 deep fried chicken wings w/ red femented bean curd</v>
      </c>
      <c r="E5965" s="82">
        <v>44820.0</v>
      </c>
      <c r="F5965" s="80">
        <v>490.0</v>
      </c>
      <c r="G5965" s="80" t="s">
        <v>63</v>
      </c>
      <c r="I5965" s="80" t="s">
        <v>63</v>
      </c>
      <c r="J5965" s="80">
        <v>1269.0</v>
      </c>
      <c r="K5965" s="80">
        <v>0.977657935285054</v>
      </c>
      <c r="L5965" s="80" t="s">
        <v>64</v>
      </c>
    </row>
    <row r="5966">
      <c r="A5966" s="80" t="s">
        <v>6054</v>
      </c>
      <c r="B5966" s="81" t="str">
        <f>HYPERLINK("https://www.youtube.com/channel/UCZc-RwRZUYVuwu3A9pVBISg", "ToNick")</f>
        <v>ToNick</v>
      </c>
      <c r="C5966" s="80" t="s">
        <v>6466</v>
      </c>
      <c r="D5966" s="81" t="str">
        <f>HYPERLINK("https://youtube.com/watch?v=_Nd2VIiWn5E", "ToNick - 小明少少明 [Official MV from ""HERE and NOW ToNick Live 2021""]")</f>
        <v>ToNick - 小明少少明 [Official MV from "HERE and NOW ToNick Live 2021"]</v>
      </c>
      <c r="E5966" s="82">
        <v>44827.0</v>
      </c>
      <c r="F5966" s="80">
        <v>360.0</v>
      </c>
      <c r="G5966" s="80" t="s">
        <v>63</v>
      </c>
      <c r="I5966" s="80" t="s">
        <v>63</v>
      </c>
      <c r="J5966" s="80">
        <v>510.0</v>
      </c>
      <c r="K5966" s="80">
        <v>0.899470899470899</v>
      </c>
      <c r="L5966" s="80" t="s">
        <v>64</v>
      </c>
    </row>
    <row r="5967">
      <c r="A5967" s="80" t="s">
        <v>124</v>
      </c>
      <c r="B5967" s="81" t="str">
        <f>HYPERLINK("https://www.youtube.com/channel/UCg0vuSE0fBF_NvodyYhMcWg", "Wallace Studio HK")</f>
        <v>Wallace Studio HK</v>
      </c>
      <c r="C5967" s="80" t="s">
        <v>6467</v>
      </c>
      <c r="D5967" s="81" t="str">
        <f>HYPERLINK("https://youtube.com/watch?v=mZH_sGuFK4s", "Xiaomi Book S 12.4 詳細評測 ! 真 Surface Pro 8 對手？ 抵用 2合1 Windows 平板?")</f>
        <v>Xiaomi Book S 12.4 詳細評測 ! 真 Surface Pro 8 對手？ 抵用 2合1 Windows 平板?</v>
      </c>
      <c r="E5967" s="82">
        <v>44822.0</v>
      </c>
      <c r="F5967" s="80">
        <v>600.0</v>
      </c>
      <c r="G5967" s="80" t="s">
        <v>63</v>
      </c>
      <c r="H5967" s="80" t="s">
        <v>63</v>
      </c>
      <c r="I5967" s="80" t="s">
        <v>63</v>
      </c>
      <c r="J5967" s="80">
        <v>2067.0</v>
      </c>
      <c r="K5967" s="80">
        <v>0.747014115092291</v>
      </c>
      <c r="L5967" s="80" t="s">
        <v>86</v>
      </c>
    </row>
    <row r="5968">
      <c r="A5968" s="80" t="s">
        <v>6413</v>
      </c>
      <c r="B5968" s="81" t="str">
        <f>HYPERLINK("https://www.youtube.com/channel/UCT75m3vhQMx28-KAuBwkmkA", "尋味多多TorTorlious")</f>
        <v>尋味多多TorTorlious</v>
      </c>
      <c r="C5968" s="80" t="s">
        <v>6468</v>
      </c>
      <c r="D5968" s="81" t="str">
        <f>HYPERLINK("https://youtube.com/watch?v=HZslXMNR1io", "尋味 多倫多 ～竟然有「 新鮮生猛 」軟殼蟹🦀！！！第一次見! 肉質好鮮甜多膏, 究竟同雪藏有乜分別?! ｜ Live Soft Shell Crabs 🦀 WoW!! （Caption/字幕)")</f>
        <v>尋味 多倫多 ～竟然有「 新鮮生猛 」軟殼蟹🦀！！！第一次見! 肉質好鮮甜多膏, 究竟同雪藏有乜分別?! ｜ Live Soft Shell Crabs 🦀 WoW!! （Caption/字幕)</v>
      </c>
      <c r="E5968" s="82">
        <v>44347.0</v>
      </c>
      <c r="F5968" s="80">
        <v>421.0</v>
      </c>
      <c r="G5968" s="80" t="s">
        <v>63</v>
      </c>
      <c r="I5968" s="80" t="s">
        <v>63</v>
      </c>
      <c r="J5968" s="80">
        <v>392.0</v>
      </c>
      <c r="K5968" s="80">
        <v>0.203319502074688</v>
      </c>
      <c r="L5968" s="80" t="s">
        <v>102</v>
      </c>
    </row>
    <row r="5969">
      <c r="A5969" s="80" t="s">
        <v>6236</v>
      </c>
      <c r="B5969" s="81" t="str">
        <f>HYPERLINK("https://www.youtube.com/channel/UCPMsgWJvrkEHE0OpIMtxyYQ", "Comfort鬆")</f>
        <v>Comfort鬆</v>
      </c>
      <c r="C5969" s="80" t="s">
        <v>6469</v>
      </c>
      <c r="D5969" s="81" t="str">
        <f>HYPERLINK("https://youtube.com/watch?v=y_GYUP9Iq0Y", "【男友秘笈】重開嘅山頂纜車到底係點？唔使一百蚊就可以玩盡三大景點🤩 去山頂拍拖最緊要係帶XX🥶 一齊感受老派約會🥰")</f>
        <v>【男友秘笈】重開嘅山頂纜車到底係點？唔使一百蚊就可以玩盡三大景點🤩 去山頂拍拖最緊要係帶XX🥶 一齊感受老派約會🥰</v>
      </c>
      <c r="E5969" s="82">
        <v>44820.0</v>
      </c>
      <c r="F5969" s="80">
        <v>403.0</v>
      </c>
      <c r="G5969" s="80" t="s">
        <v>63</v>
      </c>
      <c r="I5969" s="80" t="s">
        <v>63</v>
      </c>
      <c r="J5969" s="80">
        <v>1456.0</v>
      </c>
      <c r="K5969" s="80">
        <v>0.964238410596026</v>
      </c>
      <c r="L5969" s="80" t="s">
        <v>64</v>
      </c>
    </row>
    <row r="5970">
      <c r="A5970" s="80" t="s">
        <v>248</v>
      </c>
      <c r="B5970" s="81" t="str">
        <f>HYPERLINK("https://www.youtube.com/channel/UCUEJok-GiWaGlv5nIPwk-GQ", "Price.com.hk 香港格價網")</f>
        <v>Price.com.hk 香港格價網</v>
      </c>
      <c r="C5970" s="80" t="s">
        <v>6470</v>
      </c>
      <c r="D5970" s="81" t="str">
        <f>HYPERLINK("https://youtube.com/watch?v=j_FxNmxFAQg", "骨傳導耳機該如何選擇？運動 / 通訊用途 Shokz 六款耳機逐一試｜特約專題｜廣東話【Price.com.hk產品評測】")</f>
        <v>骨傳導耳機該如何選擇？運動 / 通訊用途 Shokz 六款耳機逐一試｜特約專題｜廣東話【Price.com.hk產品評測】</v>
      </c>
      <c r="E5970" s="82">
        <v>44824.0</v>
      </c>
      <c r="F5970" s="80">
        <v>543.0</v>
      </c>
      <c r="G5970" s="80" t="s">
        <v>63</v>
      </c>
      <c r="I5970" s="80" t="s">
        <v>63</v>
      </c>
      <c r="J5970" s="80">
        <v>2183.0</v>
      </c>
      <c r="K5970" s="80">
        <v>0.850740452065471</v>
      </c>
      <c r="L5970" s="80" t="s">
        <v>64</v>
      </c>
    </row>
    <row r="5971">
      <c r="A5971" s="80" t="s">
        <v>2841</v>
      </c>
      <c r="B5971" s="81" t="str">
        <f>HYPERLINK("https://www.youtube.com/channel/UCBYGm7Iz6ck8jeno5AFiriw", "Seafront TV")</f>
        <v>Seafront TV</v>
      </c>
      <c r="C5971" s="80" t="s">
        <v>6471</v>
      </c>
      <c r="D5971" s="81" t="str">
        <f>HYPERLINK("https://youtube.com/watch?v=krbzAx3prVs", "【R熟professor就有靚Grade?! 讀呢科讀書居然唔係最重要！】科大工商管理學士（市場學） HKUST BBA in MARK | #大學Major系列 Seafront TV🌊")</f>
        <v>【R熟professor就有靚Grade?! 讀呢科讀書居然唔係最重要！】科大工商管理學士（市場學） HKUST BBA in MARK | #大學Major系列 Seafront TV🌊</v>
      </c>
      <c r="E5971" s="82">
        <v>44814.0</v>
      </c>
      <c r="F5971" s="80">
        <v>903.0</v>
      </c>
      <c r="G5971" s="80" t="s">
        <v>63</v>
      </c>
      <c r="I5971" s="80" t="s">
        <v>63</v>
      </c>
      <c r="J5971" s="80">
        <v>2962.0</v>
      </c>
      <c r="K5971" s="80">
        <v>0.498569264433597</v>
      </c>
      <c r="L5971" s="80" t="s">
        <v>102</v>
      </c>
    </row>
    <row r="5972">
      <c r="A5972" s="80" t="s">
        <v>755</v>
      </c>
      <c r="B5972" s="81" t="str">
        <f>HYPERLINK("https://www.youtube.com/channel/UCBiJDTc82IM68KVH873VeAw", "Live in Kwangsi廣西人·情·味")</f>
        <v>Live in Kwangsi廣西人·情·味</v>
      </c>
      <c r="C5972" s="80" t="s">
        <v>6472</v>
      </c>
      <c r="D5972" s="81" t="str">
        <f>HYPERLINK("https://youtube.com/watch?v=UfGKmO3B-_w", "賀州市沙田鎮龍景玫瑰園掠影｜廣西美景 20220903")</f>
        <v>賀州市沙田鎮龍景玫瑰園掠影｜廣西美景 20220903</v>
      </c>
      <c r="E5972" s="82">
        <v>44823.0</v>
      </c>
      <c r="F5972" s="80">
        <v>161.0</v>
      </c>
      <c r="G5972" s="80" t="s">
        <v>63</v>
      </c>
      <c r="I5972" s="80" t="s">
        <v>63</v>
      </c>
      <c r="J5972" s="80">
        <v>22.0</v>
      </c>
      <c r="K5972" s="80">
        <v>1.0</v>
      </c>
      <c r="L5972" s="80" t="s">
        <v>757</v>
      </c>
    </row>
    <row r="5973">
      <c r="A5973" s="80" t="s">
        <v>6236</v>
      </c>
      <c r="B5973" s="81" t="str">
        <f>HYPERLINK("https://www.youtube.com/channel/UCPMsgWJvrkEHE0OpIMtxyYQ", "Comfort鬆")</f>
        <v>Comfort鬆</v>
      </c>
      <c r="C5973" s="80" t="s">
        <v>6473</v>
      </c>
      <c r="D5973" s="81" t="str">
        <f>HYPERLINK("https://youtube.com/watch?v=Td_Ar0ehRz8", "【街訪】Long D=出軌+分手？｜殘酷二選一之肉體 vs. 心靈出軌 ｜被戴綠帽嘅先兆！一齊向綠帽說不！")</f>
        <v>【街訪】Long D=出軌+分手？｜殘酷二選一之肉體 vs. 心靈出軌 ｜被戴綠帽嘅先兆！一齊向綠帽說不！</v>
      </c>
      <c r="E5973" s="82">
        <v>44824.0</v>
      </c>
      <c r="F5973" s="80">
        <v>324.0</v>
      </c>
      <c r="G5973" s="80" t="s">
        <v>63</v>
      </c>
      <c r="I5973" s="80" t="s">
        <v>63</v>
      </c>
      <c r="J5973" s="80">
        <v>1049.0</v>
      </c>
      <c r="K5973" s="80">
        <v>0.888983050847457</v>
      </c>
      <c r="L5973" s="80" t="s">
        <v>64</v>
      </c>
    </row>
    <row r="5974">
      <c r="A5974" s="80" t="s">
        <v>1492</v>
      </c>
      <c r="B5974" s="81" t="str">
        <f>HYPERLINK("https://www.youtube.com/channel/UCTo1EIcKtkDYqiUqs4v_NlA", "【常公子】頻道TV - 中文中史歷史哲學")</f>
        <v>【常公子】頻道TV - 中文中史歷史哲學</v>
      </c>
      <c r="C5974" s="80" t="s">
        <v>6474</v>
      </c>
      <c r="D5974" s="81" t="str">
        <f>HYPERLINK("https://youtube.com/watch?v=9fE7QKFI6Jg", "【常威近代史】第四百九十八回四一二之後就要選擇站邊條隊")</f>
        <v>【常威近代史】第四百九十八回四一二之後就要選擇站邊條隊</v>
      </c>
      <c r="E5974" s="82">
        <v>44812.0</v>
      </c>
      <c r="F5974" s="80">
        <v>658.0</v>
      </c>
      <c r="G5974" s="80" t="s">
        <v>63</v>
      </c>
      <c r="I5974" s="80" t="s">
        <v>63</v>
      </c>
      <c r="J5974" s="80">
        <v>1684.0</v>
      </c>
      <c r="K5974" s="80">
        <v>0.977932636469221</v>
      </c>
      <c r="L5974" s="80" t="s">
        <v>64</v>
      </c>
    </row>
    <row r="5975">
      <c r="A5975" s="80" t="s">
        <v>755</v>
      </c>
      <c r="B5975" s="81" t="str">
        <f>HYPERLINK("https://www.youtube.com/channel/UCBiJDTc82IM68KVH873VeAw", "Live in Kwangsi廣西人·情·味")</f>
        <v>Live in Kwangsi廣西人·情·味</v>
      </c>
      <c r="C5975" s="80" t="s">
        <v>6475</v>
      </c>
      <c r="D5975" s="81" t="str">
        <f>HYPERLINK("https://youtube.com/watch?v=k7erJ78QPlQ", "再行賀州八步車尾箱夜市｜廣西日常實拍 20220905")</f>
        <v>再行賀州八步車尾箱夜市｜廣西日常實拍 20220905</v>
      </c>
      <c r="E5975" s="82">
        <v>44809.0</v>
      </c>
      <c r="F5975" s="80">
        <v>331.0</v>
      </c>
      <c r="G5975" s="80" t="s">
        <v>63</v>
      </c>
      <c r="I5975" s="80" t="s">
        <v>63</v>
      </c>
      <c r="J5975" s="80">
        <v>118.0</v>
      </c>
      <c r="K5975" s="80">
        <v>1.0</v>
      </c>
      <c r="L5975" s="80" t="s">
        <v>757</v>
      </c>
    </row>
    <row r="5976">
      <c r="A5976" s="80" t="s">
        <v>293</v>
      </c>
      <c r="B5976" s="81" t="str">
        <f>HYPERLINK("https://www.youtube.com/channel/UCXRcbXqjORdIvl63I7MtOLQ", "趁熱 Kerry 's kitchen")</f>
        <v>趁熱 Kerry 's kitchen</v>
      </c>
      <c r="C5976" s="80" t="s">
        <v>6476</v>
      </c>
      <c r="D5976" s="81" t="str">
        <f>HYPERLINK("https://youtube.com/watch?v=YH1yd0rn4iw", "鹹魚/香辣鹹魚醬/自已做 唔駛買/堅惹味 萬用醬/簡單 家做/ 炒米粉 菜 茄子 撈面 炒蛋 炒飯都得/廣東話/中字/Chinese salted fish jam")</f>
        <v>鹹魚/香辣鹹魚醬/自已做 唔駛買/堅惹味 萬用醬/簡單 家做/ 炒米粉 菜 茄子 撈面 炒蛋 炒飯都得/廣東話/中字/Chinese salted fish jam</v>
      </c>
      <c r="E5976" s="82">
        <v>44827.0</v>
      </c>
      <c r="F5976" s="80">
        <v>570.0</v>
      </c>
      <c r="G5976" s="80" t="s">
        <v>63</v>
      </c>
      <c r="I5976" s="80" t="s">
        <v>63</v>
      </c>
      <c r="J5976" s="80">
        <v>1564.0</v>
      </c>
      <c r="K5976" s="80">
        <v>0.972032318210068</v>
      </c>
      <c r="L5976" s="80" t="s">
        <v>64</v>
      </c>
    </row>
    <row r="5977">
      <c r="A5977" s="80" t="s">
        <v>2800</v>
      </c>
      <c r="B5977" s="81" t="str">
        <f>HYPERLINK("https://www.youtube.com/channel/UCMqrlsr-AECPc6_3oDr8m9w", "Unicorn 獸哥")</f>
        <v>Unicorn 獸哥</v>
      </c>
      <c r="C5977" s="80" t="s">
        <v>6477</v>
      </c>
      <c r="D5977" s="81" t="str">
        <f>HYPERLINK("https://youtube.com/watch?v=0tdbKZCCm5E", "【速食新聞】下集刺客喺中東？連ubisoft都比騰訊入股？CC字幕")</f>
        <v>【速食新聞】下集刺客喺中東？連ubisoft都比騰訊入股？CC字幕</v>
      </c>
      <c r="E5977" s="82">
        <v>44812.0</v>
      </c>
      <c r="F5977" s="80">
        <v>150.0</v>
      </c>
      <c r="G5977" s="80" t="s">
        <v>63</v>
      </c>
      <c r="I5977" s="80" t="s">
        <v>63</v>
      </c>
      <c r="J5977" s="80">
        <v>580.0</v>
      </c>
      <c r="K5977" s="80">
        <v>0.797799174690509</v>
      </c>
      <c r="L5977" s="80" t="s">
        <v>64</v>
      </c>
    </row>
    <row r="5978">
      <c r="A5978" s="80" t="s">
        <v>2841</v>
      </c>
      <c r="B5978" s="81" t="str">
        <f>HYPERLINK("https://www.youtube.com/channel/UCBYGm7Iz6ck8jeno5AFiriw", "Seafront TV")</f>
        <v>Seafront TV</v>
      </c>
      <c r="C5978" s="80" t="s">
        <v>6478</v>
      </c>
      <c r="D5978" s="81" t="str">
        <f>HYPERLINK("https://youtube.com/watch?v=q7nYgvjhqXY", "【LinkedIn技巧】搵工HR連IG都會睇 ？申請NGO/公務員只要....｜#見工診療室 Seafront TV 🌊 ft. @HKUST Career Center 〈香港科技大學 就業中心〉")</f>
        <v>【LinkedIn技巧】搵工HR連IG都會睇 ？申請NGO/公務員只要....｜#見工診療室 Seafront TV 🌊 ft. @HKUST Career Center 〈香港科技大學 就業中心〉</v>
      </c>
      <c r="E5978" s="82">
        <v>44821.0</v>
      </c>
      <c r="F5978" s="80">
        <v>1269.0</v>
      </c>
      <c r="G5978" s="80" t="s">
        <v>63</v>
      </c>
      <c r="I5978" s="80" t="s">
        <v>63</v>
      </c>
      <c r="J5978" s="80">
        <v>4377.0</v>
      </c>
      <c r="K5978" s="80">
        <v>0.670907418761496</v>
      </c>
      <c r="L5978" s="80" t="s">
        <v>102</v>
      </c>
    </row>
    <row r="5979">
      <c r="A5979" s="80" t="s">
        <v>124</v>
      </c>
      <c r="B5979" s="81" t="str">
        <f>HYPERLINK("https://www.youtube.com/channel/UCg0vuSE0fBF_NvodyYhMcWg", "Wallace Studio HK")</f>
        <v>Wallace Studio HK</v>
      </c>
      <c r="C5979" s="80" t="s">
        <v>6479</v>
      </c>
      <c r="D5979" s="81" t="str">
        <f>HYPERLINK("https://youtube.com/watch?v=g9wD1z6PtYM", "ASUS ROG Strix G15 2022 詳細評測，2022 高評價電競筆電!  ASUS 電競機信仰之選 (R96900HX, RTX3060)")</f>
        <v>ASUS ROG Strix G15 2022 詳細評測，2022 高評價電競筆電!  ASUS 電競機信仰之選 (R96900HX, RTX3060)</v>
      </c>
      <c r="E5979" s="82">
        <v>44808.0</v>
      </c>
      <c r="F5979" s="80">
        <v>466.0</v>
      </c>
      <c r="G5979" s="80" t="s">
        <v>63</v>
      </c>
      <c r="H5979" s="80" t="s">
        <v>63</v>
      </c>
      <c r="I5979" s="80" t="s">
        <v>63</v>
      </c>
      <c r="J5979" s="80">
        <v>1743.0</v>
      </c>
      <c r="K5979" s="80">
        <v>0.77986577181208</v>
      </c>
      <c r="L5979" s="80" t="s">
        <v>86</v>
      </c>
    </row>
    <row r="5980">
      <c r="A5980" s="80" t="s">
        <v>593</v>
      </c>
      <c r="B5980" s="81" t="str">
        <f>HYPERLINK("https://www.youtube.com/channel/UCsSO44XVYhs_fQU2zDR82CA", "餓底男女")</f>
        <v>餓底男女</v>
      </c>
      <c r="C5980" s="80" t="s">
        <v>6480</v>
      </c>
      <c r="D5980" s="81" t="str">
        <f>HYPERLINK("https://youtube.com/watch?v=9HUZ_NB9pyw", "[唔伏唔食🚁] 連招牌甜品都伏😭 | 餓遊･香港 #39")</f>
        <v>[唔伏唔食🚁] 連招牌甜品都伏😭 | 餓遊･香港 #39</v>
      </c>
      <c r="E5980" s="82">
        <v>44826.0</v>
      </c>
      <c r="F5980" s="80">
        <v>117.0</v>
      </c>
      <c r="G5980" s="80" t="s">
        <v>63</v>
      </c>
      <c r="I5980" s="80" t="s">
        <v>63</v>
      </c>
      <c r="J5980" s="80">
        <v>424.0</v>
      </c>
      <c r="K5980" s="80">
        <v>0.965831435079726</v>
      </c>
      <c r="L5980" s="80" t="s">
        <v>102</v>
      </c>
    </row>
    <row r="5981">
      <c r="A5981" s="80" t="s">
        <v>293</v>
      </c>
      <c r="B5981" s="81" t="str">
        <f>HYPERLINK("https://www.youtube.com/channel/UCXRcbXqjORdIvl63I7MtOLQ", "趁熱 Kerry 's kitchen")</f>
        <v>趁熱 Kerry 's kitchen</v>
      </c>
      <c r="C5981" s="80" t="s">
        <v>6481</v>
      </c>
      <c r="D5981" s="81" t="str">
        <f>HYPERLINK("https://youtube.com/watch?v=HDP-06fcrhA", "鹹魚雞粒炒大豆芽/不出水竅門/簡單住家菜/收工做都得/低 成本/廣東話/中字")</f>
        <v>鹹魚雞粒炒大豆芽/不出水竅門/簡單住家菜/收工做都得/低 成本/廣東話/中字</v>
      </c>
      <c r="E5981" s="82">
        <v>44825.0</v>
      </c>
      <c r="F5981" s="80">
        <v>515.0</v>
      </c>
      <c r="G5981" s="80" t="s">
        <v>63</v>
      </c>
      <c r="I5981" s="80" t="s">
        <v>63</v>
      </c>
      <c r="J5981" s="80">
        <v>1367.0</v>
      </c>
      <c r="K5981" s="80">
        <v>0.982040229885057</v>
      </c>
      <c r="L5981" s="80" t="s">
        <v>64</v>
      </c>
    </row>
    <row r="5982">
      <c r="A5982" s="80" t="s">
        <v>6482</v>
      </c>
      <c r="B5982" s="81" t="str">
        <f>HYPERLINK("https://www.youtube.com/channel/UCuxWbKfRuvuKtxTfvFwm5ow", "Cheungtinn")</f>
        <v>Cheungtinn</v>
      </c>
      <c r="C5982" s="80" t="s">
        <v>6483</v>
      </c>
      <c r="D5982" s="81" t="str">
        <f>HYPERLINK("https://youtube.com/watch?v=Bm9VeHPkd4E", "[私家醫院VS公立醫院-上集] 有咩分別? 醫生質素有冇唔同? Private Hospital VS Public Hospital Part 1 !")</f>
        <v>[私家醫院VS公立醫院-上集] 有咩分別? 醫生質素有冇唔同? Private Hospital VS Public Hospital Part 1 !</v>
      </c>
      <c r="E5982" s="82">
        <v>44649.0</v>
      </c>
      <c r="F5982" s="80">
        <v>984.0</v>
      </c>
      <c r="G5982" s="80" t="s">
        <v>63</v>
      </c>
      <c r="I5982" s="80" t="s">
        <v>63</v>
      </c>
      <c r="J5982" s="80">
        <v>4029.0</v>
      </c>
      <c r="K5982" s="80">
        <v>0.90255376344086</v>
      </c>
      <c r="L5982" s="80" t="s">
        <v>102</v>
      </c>
    </row>
    <row r="5983">
      <c r="A5983" s="80" t="s">
        <v>124</v>
      </c>
      <c r="B5983" s="81" t="str">
        <f>HYPERLINK("https://www.youtube.com/channel/UCg0vuSE0fBF_NvodyYhMcWg", "Wallace Studio HK")</f>
        <v>Wallace Studio HK</v>
      </c>
      <c r="C5983" s="80" t="s">
        <v>6484</v>
      </c>
      <c r="D5983" s="81" t="str">
        <f>HYPERLINK("https://youtube.com/watch?v=68dtYj0khU0", "iPhone 14 VS iPhone 13 開箱測試! 同你比較下有咩分別 !")</f>
        <v>iPhone 14 VS iPhone 13 開箱測試! 同你比較下有咩分別 !</v>
      </c>
      <c r="E5983" s="82">
        <v>44824.0</v>
      </c>
      <c r="F5983" s="80">
        <v>658.0</v>
      </c>
      <c r="G5983" s="80" t="s">
        <v>63</v>
      </c>
      <c r="I5983" s="80" t="s">
        <v>63</v>
      </c>
      <c r="J5983" s="80">
        <v>1612.0</v>
      </c>
      <c r="K5983" s="80">
        <v>0.7002606429192</v>
      </c>
      <c r="L5983" s="80" t="s">
        <v>64</v>
      </c>
    </row>
    <row r="5984">
      <c r="A5984" s="80" t="s">
        <v>6485</v>
      </c>
      <c r="B5984" s="81" t="str">
        <f>HYPERLINK("https://www.youtube.com/channel/UCKotu_QH2JBRNQZIyGHp2yw", "C-Fu Chan")</f>
        <v>C-Fu Chan</v>
      </c>
      <c r="C5984" s="80" t="s">
        <v>6486</v>
      </c>
      <c r="D5984" s="81" t="str">
        <f>HYPERLINK("https://youtube.com/watch?v=glo4uLlvFbQ", "[一個裝修佬]氣喉漏水 滲水到下層 華景山莊     個案")</f>
        <v>[一個裝修佬]氣喉漏水 滲水到下層 華景山莊     個案</v>
      </c>
      <c r="E5984" s="82">
        <v>44652.0</v>
      </c>
      <c r="F5984" s="80">
        <v>662.0</v>
      </c>
      <c r="G5984" s="80" t="s">
        <v>63</v>
      </c>
      <c r="I5984" s="80" t="s">
        <v>63</v>
      </c>
      <c r="J5984" s="80">
        <v>771.0</v>
      </c>
      <c r="K5984" s="80">
        <v>1.0</v>
      </c>
      <c r="L5984" s="80" t="s">
        <v>91</v>
      </c>
    </row>
    <row r="5985">
      <c r="A5985" s="80" t="s">
        <v>6482</v>
      </c>
      <c r="B5985" s="81" t="str">
        <f>HYPERLINK("https://www.youtube.com/channel/UCuxWbKfRuvuKtxTfvFwm5ow", "Cheungtinn")</f>
        <v>Cheungtinn</v>
      </c>
      <c r="C5985" s="80" t="s">
        <v>6487</v>
      </c>
      <c r="D5985" s="81" t="str">
        <f>HYPERLINK("https://youtube.com/watch?v=vk9I7WNUNY4", "[Road to Heaven +571 Days - 癌末Vlog] - 再次電療前的兩星期!")</f>
        <v>[Road to Heaven +571 Days - 癌末Vlog] - 再次電療前的兩星期!</v>
      </c>
      <c r="E5985" s="82">
        <v>44796.0</v>
      </c>
      <c r="F5985" s="80">
        <v>823.0</v>
      </c>
      <c r="G5985" s="80" t="s">
        <v>63</v>
      </c>
      <c r="I5985" s="80" t="s">
        <v>63</v>
      </c>
      <c r="J5985" s="80">
        <v>742.0</v>
      </c>
      <c r="K5985" s="80">
        <v>0.904878048780487</v>
      </c>
      <c r="L5985" s="80" t="s">
        <v>102</v>
      </c>
    </row>
    <row r="5986">
      <c r="A5986" s="80" t="s">
        <v>248</v>
      </c>
      <c r="B5986" s="81" t="str">
        <f>HYPERLINK("https://www.youtube.com/channel/UCUEJok-GiWaGlv5nIPwk-GQ", "Price.com.hk 香港格價網")</f>
        <v>Price.com.hk 香港格價網</v>
      </c>
      <c r="C5986" s="80" t="s">
        <v>6488</v>
      </c>
      <c r="D5986" s="81" t="str">
        <f>HYPERLINK("https://youtube.com/watch?v=x_kGoIWKY2g", "Apple10月出M2 iPad/MacBook Pro．NVIDIA發表RTX4090 4080．LG Rollable實機開箱 | 廣東話【Price Weekly #133 2022年9月 】")</f>
        <v>Apple10月出M2 iPad/MacBook Pro．NVIDIA發表RTX4090 4080．LG Rollable實機開箱 | 廣東話【Price Weekly #133 2022年9月 】</v>
      </c>
      <c r="E5986" s="82">
        <v>44828.0</v>
      </c>
      <c r="F5986" s="80">
        <v>741.0</v>
      </c>
      <c r="G5986" s="80" t="s">
        <v>63</v>
      </c>
      <c r="I5986" s="80" t="s">
        <v>63</v>
      </c>
      <c r="J5986" s="80">
        <v>2617.0</v>
      </c>
      <c r="K5986" s="80">
        <v>0.713662394327788</v>
      </c>
      <c r="L5986" s="80" t="s">
        <v>64</v>
      </c>
    </row>
    <row r="5987">
      <c r="A5987" s="80" t="s">
        <v>755</v>
      </c>
      <c r="B5987" s="81" t="str">
        <f t="shared" ref="B5987:B5988" si="339">HYPERLINK("https://www.youtube.com/channel/UCBiJDTc82IM68KVH873VeAw", "Live in Kwangsi廣西人·情·味")</f>
        <v>Live in Kwangsi廣西人·情·味</v>
      </c>
      <c r="C5987" s="80" t="s">
        <v>6489</v>
      </c>
      <c r="D5987" s="81" t="str">
        <f>HYPERLINK("https://youtube.com/watch?v=l2qUuVqwsZU", "桂林象鼻山掠影｜廣西美景 20220813")</f>
        <v>桂林象鼻山掠影｜廣西美景 20220813</v>
      </c>
      <c r="E5987" s="82">
        <v>44817.0</v>
      </c>
      <c r="F5987" s="80">
        <v>298.0</v>
      </c>
      <c r="G5987" s="80" t="s">
        <v>63</v>
      </c>
      <c r="I5987" s="80" t="s">
        <v>63</v>
      </c>
      <c r="J5987" s="80">
        <v>37.0</v>
      </c>
      <c r="K5987" s="80">
        <v>1.0</v>
      </c>
      <c r="L5987" s="80" t="s">
        <v>757</v>
      </c>
    </row>
    <row r="5988">
      <c r="A5988" s="80" t="s">
        <v>755</v>
      </c>
      <c r="B5988" s="81" t="str">
        <f t="shared" si="339"/>
        <v>Live in Kwangsi廣西人·情·味</v>
      </c>
      <c r="C5988" s="80" t="s">
        <v>6490</v>
      </c>
      <c r="D5988" s="81" t="str">
        <f>HYPERLINK("https://youtube.com/watch?v=Lwzad7Xy5ZI", "桂林3日2夜之三 行東西巷 咁大個仔第一次試「洗眼」 試採耳｜廣西vlog 20220813")</f>
        <v>桂林3日2夜之三 行東西巷 咁大個仔第一次試「洗眼」 試採耳｜廣西vlog 20220813</v>
      </c>
      <c r="E5988" s="82">
        <v>44818.0</v>
      </c>
      <c r="F5988" s="80">
        <v>307.0</v>
      </c>
      <c r="G5988" s="80" t="s">
        <v>63</v>
      </c>
      <c r="I5988" s="80" t="s">
        <v>63</v>
      </c>
      <c r="J5988" s="80">
        <v>522.0</v>
      </c>
      <c r="K5988" s="80">
        <v>0.975700934579439</v>
      </c>
      <c r="L5988" s="80" t="s">
        <v>757</v>
      </c>
    </row>
    <row r="5989">
      <c r="A5989" s="80" t="s">
        <v>2761</v>
      </c>
      <c r="B5989" s="81" t="str">
        <f>HYPERLINK("https://www.youtube.com/channel/UCr_L9cZdbBU_XDsKDHBBlew", "am730")</f>
        <v>am730</v>
      </c>
      <c r="C5989" s="80" t="s">
        <v>6491</v>
      </c>
      <c r="D5989" s="81" t="str">
        <f>HYPERLINK("https://youtube.com/watch?v=86_95c0pCWE", "靈異丨香港02：「bear熊 + 花媽媽」後集丨小紅帽聲音專欄 #靈異 #都市傳說 #鬼故事 #盂蘭節 #podcast")</f>
        <v>靈異丨香港02：「bear熊 + 花媽媽」後集丨小紅帽聲音專欄 #靈異 #都市傳說 #鬼故事 #盂蘭節 #podcast</v>
      </c>
      <c r="E5989" s="82">
        <v>44825.0</v>
      </c>
      <c r="F5989" s="80">
        <v>355.0</v>
      </c>
      <c r="G5989" s="80" t="s">
        <v>63</v>
      </c>
      <c r="I5989" s="80" t="s">
        <v>63</v>
      </c>
      <c r="J5989" s="80">
        <v>1047.0</v>
      </c>
      <c r="K5989" s="80">
        <v>0.252532561505065</v>
      </c>
      <c r="L5989" s="80" t="s">
        <v>91</v>
      </c>
    </row>
    <row r="5990">
      <c r="A5990" s="80" t="s">
        <v>1594</v>
      </c>
      <c r="B5990" s="81" t="str">
        <f>HYPERLINK("https://www.youtube.com/channel/UCUtm1awT2EO9D7uJ2OlMcTQ", "黐住這一家 Sticky Love Family")</f>
        <v>黐住這一家 Sticky Love Family</v>
      </c>
      <c r="C5990" s="80" t="s">
        <v>6492</v>
      </c>
      <c r="D5990" s="81" t="str">
        <f>HYPERLINK("https://youtube.com/watch?v=IAayKPKo2YA", "【靜心時間☁️】感受自己 💛 粵語配音員聲音導航🎙️🧡")</f>
        <v>【靜心時間☁️】感受自己 💛 粵語配音員聲音導航🎙️🧡</v>
      </c>
      <c r="E5990" s="82">
        <v>44819.0</v>
      </c>
      <c r="F5990" s="80">
        <v>463.0</v>
      </c>
      <c r="G5990" s="80" t="s">
        <v>63</v>
      </c>
      <c r="H5990" s="80" t="s">
        <v>63</v>
      </c>
      <c r="I5990" s="80" t="s">
        <v>63</v>
      </c>
      <c r="J5990" s="80">
        <v>995.0</v>
      </c>
      <c r="K5990" s="80">
        <v>1.0</v>
      </c>
      <c r="L5990" s="80" t="s">
        <v>439</v>
      </c>
    </row>
    <row r="5991">
      <c r="A5991" s="80" t="s">
        <v>248</v>
      </c>
      <c r="B5991" s="81" t="str">
        <f>HYPERLINK("https://www.youtube.com/channel/UCUEJok-GiWaGlv5nIPwk-GQ", "Price.com.hk 香港格價網")</f>
        <v>Price.com.hk 香港格價網</v>
      </c>
      <c r="C5991" s="80" t="s">
        <v>6493</v>
      </c>
      <c r="D5991" s="81" t="str">
        <f>HYPERLINK("https://youtube.com/watch?v=T9PehJrPk6Q", "最新MARSHALL 3款家用喇叭邊款啱你？ 外型小改款 音質終提升｜ACTON．STANMORE．WOBURN｜HDMI｜藍牙5.2｜LE Audio｜廣東話【Price.com.hk 產品介紹 】")</f>
        <v>最新MARSHALL 3款家用喇叭邊款啱你？ 外型小改款 音質終提升｜ACTON．STANMORE．WOBURN｜HDMI｜藍牙5.2｜LE Audio｜廣東話【Price.com.hk 產品介紹 】</v>
      </c>
      <c r="E5991" s="82">
        <v>44883.0</v>
      </c>
      <c r="F5991" s="80">
        <v>502.0</v>
      </c>
      <c r="G5991" s="80" t="s">
        <v>63</v>
      </c>
      <c r="I5991" s="80" t="s">
        <v>63</v>
      </c>
      <c r="J5991" s="80">
        <v>1050.0</v>
      </c>
      <c r="K5991" s="80">
        <v>0.788288288288288</v>
      </c>
      <c r="L5991" s="80" t="s">
        <v>64</v>
      </c>
    </row>
    <row r="5992">
      <c r="A5992" s="80" t="s">
        <v>124</v>
      </c>
      <c r="B5992" s="81" t="str">
        <f>HYPERLINK("https://www.youtube.com/channel/UCg0vuSE0fBF_NvodyYhMcWg", "Wallace Studio HK")</f>
        <v>Wallace Studio HK</v>
      </c>
      <c r="C5992" s="80" t="s">
        <v>6494</v>
      </c>
      <c r="D5992" s="81" t="str">
        <f>HYPERLINK("https://youtube.com/watch?v=3261jNGYT-Q", "[詳細比較] iPad 10 vs iPad Air 5，揀邊部好啲？")</f>
        <v>[詳細比較] iPad 10 vs iPad Air 5，揀邊部好啲？</v>
      </c>
      <c r="E5992" s="82">
        <v>44894.0</v>
      </c>
      <c r="F5992" s="80">
        <v>699.0</v>
      </c>
      <c r="G5992" s="80" t="s">
        <v>63</v>
      </c>
      <c r="I5992" s="80" t="s">
        <v>63</v>
      </c>
      <c r="J5992" s="80">
        <v>2826.0</v>
      </c>
      <c r="K5992" s="80">
        <v>0.736129200312581</v>
      </c>
      <c r="L5992" s="80" t="s">
        <v>86</v>
      </c>
    </row>
    <row r="5993">
      <c r="A5993" s="80" t="s">
        <v>755</v>
      </c>
      <c r="B5993" s="81" t="str">
        <f>HYPERLINK("https://www.youtube.com/channel/UCBiJDTc82IM68KVH873VeAw", "Live in Kwangsi廣西人·情·味")</f>
        <v>Live in Kwangsi廣西人·情·味</v>
      </c>
      <c r="C5993" s="80" t="s">
        <v>6495</v>
      </c>
      <c r="D5993" s="81" t="str">
        <f>HYPERLINK("https://youtube.com/watch?v=gfD-9zoFl30", "夜晚食飽飽喺賀州市黃田鎮路花村行下🚶🏻 20221112")</f>
        <v>夜晚食飽飽喺賀州市黃田鎮路花村行下🚶🏻 20221112</v>
      </c>
      <c r="E5993" s="82">
        <v>44878.0</v>
      </c>
      <c r="F5993" s="80">
        <v>893.0</v>
      </c>
      <c r="G5993" s="80" t="s">
        <v>63</v>
      </c>
      <c r="I5993" s="80" t="s">
        <v>63</v>
      </c>
      <c r="J5993" s="80">
        <v>1304.0</v>
      </c>
      <c r="K5993" s="80">
        <v>0.975317875841436</v>
      </c>
      <c r="L5993" s="80" t="s">
        <v>757</v>
      </c>
    </row>
    <row r="5994">
      <c r="A5994" s="80" t="s">
        <v>2841</v>
      </c>
      <c r="B5994" s="81" t="str">
        <f>HYPERLINK("https://www.youtube.com/channel/UCBYGm7Iz6ck8jeno5AFiriw", "Seafront TV")</f>
        <v>Seafront TV</v>
      </c>
      <c r="C5994" s="80" t="s">
        <v>6496</v>
      </c>
      <c r="D5994" s="81" t="str">
        <f>HYPERLINK("https://youtube.com/watch?v=wJ1XtxkjI4Q", "【💕文學女神想收情書💌？寫文收$1一隻字會發達？🤑】都會大學中文榮譽文學士 | #大學Major系列 Seafront TV🌊")</f>
        <v>【💕文學女神想收情書💌？寫文收$1一隻字會發達？🤑】都會大學中文榮譽文學士 | #大學Major系列 Seafront TV🌊</v>
      </c>
      <c r="E5994" s="82">
        <v>44891.0</v>
      </c>
      <c r="F5994" s="80">
        <v>778.0</v>
      </c>
      <c r="G5994" s="80" t="s">
        <v>63</v>
      </c>
      <c r="I5994" s="80" t="s">
        <v>63</v>
      </c>
      <c r="J5994" s="80">
        <v>2801.0</v>
      </c>
      <c r="K5994" s="80">
        <v>0.851109085384381</v>
      </c>
      <c r="L5994" s="80" t="s">
        <v>102</v>
      </c>
    </row>
    <row r="5995">
      <c r="A5995" s="80" t="s">
        <v>755</v>
      </c>
      <c r="B5995" s="81" t="str">
        <f t="shared" ref="B5995:B5997" si="340">HYPERLINK("https://www.youtube.com/channel/UCBiJDTc82IM68KVH873VeAw", "Live in Kwangsi廣西人·情·味")</f>
        <v>Live in Kwangsi廣西人·情·味</v>
      </c>
      <c r="C5995" s="80" t="s">
        <v>6497</v>
      </c>
      <c r="D5995" s="81" t="str">
        <f>HYPERLINK("https://youtube.com/watch?v=xnKOkEJqh4w", "梧州市河東掠影 騎樓城 大同酒店 廣西銀行梧州舊址｜廣西日常實拍 20220927")</f>
        <v>梧州市河東掠影 騎樓城 大同酒店 廣西銀行梧州舊址｜廣西日常實拍 20220927</v>
      </c>
      <c r="E5995" s="82">
        <v>44838.0</v>
      </c>
      <c r="F5995" s="80">
        <v>226.0</v>
      </c>
      <c r="G5995" s="80" t="s">
        <v>63</v>
      </c>
      <c r="I5995" s="80" t="s">
        <v>63</v>
      </c>
      <c r="J5995" s="80">
        <v>44.0</v>
      </c>
      <c r="K5995" s="80">
        <v>0.916666666666666</v>
      </c>
      <c r="L5995" s="80" t="s">
        <v>757</v>
      </c>
    </row>
    <row r="5996">
      <c r="A5996" s="80" t="s">
        <v>755</v>
      </c>
      <c r="B5996" s="81" t="str">
        <f t="shared" si="340"/>
        <v>Live in Kwangsi廣西人·情·味</v>
      </c>
      <c r="C5996" s="80" t="s">
        <v>6498</v>
      </c>
      <c r="D5996" s="81" t="str">
        <f>HYPERLINK("https://youtube.com/watch?v=Or2VblKkYs8", "封開縣城夜間掠影｜廣東日常實拍 20220926")</f>
        <v>封開縣城夜間掠影｜廣東日常實拍 20220926</v>
      </c>
      <c r="E5996" s="82">
        <v>44836.0</v>
      </c>
      <c r="F5996" s="80">
        <v>310.0</v>
      </c>
      <c r="G5996" s="80" t="s">
        <v>63</v>
      </c>
      <c r="I5996" s="80" t="s">
        <v>63</v>
      </c>
      <c r="J5996" s="80">
        <v>70.0</v>
      </c>
      <c r="K5996" s="80">
        <v>1.0</v>
      </c>
      <c r="L5996" s="80" t="s">
        <v>757</v>
      </c>
    </row>
    <row r="5997">
      <c r="A5997" s="80" t="s">
        <v>755</v>
      </c>
      <c r="B5997" s="81" t="str">
        <f t="shared" si="340"/>
        <v>Live in Kwangsi廣西人·情·味</v>
      </c>
      <c r="C5997" s="80" t="s">
        <v>6499</v>
      </c>
      <c r="D5997" s="81" t="str">
        <f>HYPERLINK("https://youtube.com/watch?v=Np97TCUigQI", "賀州市鵝塘鎮鵝塘墟🚶🏻記錄 20221103")</f>
        <v>賀州市鵝塘鎮鵝塘墟🚶🏻記錄 20221103</v>
      </c>
      <c r="E5997" s="82">
        <v>44870.0</v>
      </c>
      <c r="F5997" s="80">
        <v>2056.0</v>
      </c>
      <c r="G5997" s="80" t="s">
        <v>63</v>
      </c>
      <c r="I5997" s="80" t="s">
        <v>63</v>
      </c>
      <c r="J5997" s="80">
        <v>129.0</v>
      </c>
      <c r="K5997" s="80">
        <v>1.0</v>
      </c>
      <c r="L5997" s="80" t="s">
        <v>757</v>
      </c>
    </row>
    <row r="5998">
      <c r="A5998" s="80" t="s">
        <v>248</v>
      </c>
      <c r="B5998" s="81" t="str">
        <f>HYPERLINK("https://www.youtube.com/channel/UCUEJok-GiWaGlv5nIPwk-GQ", "Price.com.hk 香港格價網")</f>
        <v>Price.com.hk 香港格價網</v>
      </c>
      <c r="C5998" s="80" t="s">
        <v>6500</v>
      </c>
      <c r="D5998" s="81" t="str">
        <f>HYPERLINK("https://youtube.com/watch?v=Fp7J8bgYIXE", "野餐實試 2022 五大品牌便攜式藍牙喇叭｜JBL、Sony、Marshall、Bose、B&amp;O | 音色試聽、連接表現、機身防護 | 廣東話【Price.com.hk產品評測】")</f>
        <v>野餐實試 2022 五大品牌便攜式藍牙喇叭｜JBL、Sony、Marshall、Bose、B&amp;O | 音色試聽、連接表現、機身防護 | 廣東話【Price.com.hk產品評測】</v>
      </c>
      <c r="E5998" s="82">
        <v>44837.0</v>
      </c>
      <c r="F5998" s="80">
        <v>807.0</v>
      </c>
      <c r="G5998" s="80" t="s">
        <v>63</v>
      </c>
      <c r="I5998" s="80" t="s">
        <v>63</v>
      </c>
      <c r="J5998" s="80">
        <v>2403.0</v>
      </c>
      <c r="K5998" s="80">
        <v>0.852127659574468</v>
      </c>
      <c r="L5998" s="80" t="s">
        <v>64</v>
      </c>
    </row>
    <row r="5999">
      <c r="A5999" s="80" t="s">
        <v>2761</v>
      </c>
      <c r="B5999" s="81" t="str">
        <f>HYPERLINK("https://www.youtube.com/channel/UCr_L9cZdbBU_XDsKDHBBlew", "am730")</f>
        <v>am730</v>
      </c>
      <c r="C5999" s="80" t="s">
        <v>6501</v>
      </c>
      <c r="D5999" s="81" t="str">
        <f>HYPERLINK("https://youtube.com/watch?v=Sdq_uk0CEaE", "靈異丨香港02：「黑頭人變爆頭人」上集丨小紅帽聲音專欄 #靈異 #都市傳說 #鬼故事 #盂蘭節 #podcast")</f>
        <v>靈異丨香港02：「黑頭人變爆頭人」上集丨小紅帽聲音專欄 #靈異 #都市傳說 #鬼故事 #盂蘭節 #podcast</v>
      </c>
      <c r="E5999" s="82">
        <v>44845.0</v>
      </c>
      <c r="F5999" s="80">
        <v>237.0</v>
      </c>
      <c r="G5999" s="80" t="s">
        <v>63</v>
      </c>
      <c r="I5999" s="80" t="s">
        <v>63</v>
      </c>
      <c r="J5999" s="80">
        <v>678.0</v>
      </c>
      <c r="K5999" s="80">
        <v>0.963068181818181</v>
      </c>
      <c r="L5999" s="80" t="s">
        <v>91</v>
      </c>
    </row>
    <row r="6000">
      <c r="A6000" s="80" t="s">
        <v>3869</v>
      </c>
      <c r="B6000" s="81" t="str">
        <f>HYPERLINK("https://www.youtube.com/channel/UCxG_Sl8LTqDJyzurpOSKW0Q", "papa")</f>
        <v>papa</v>
      </c>
      <c r="C6000" s="80" t="s">
        <v>6502</v>
      </c>
      <c r="D6000" s="81" t="str">
        <f>HYPERLINK("https://youtube.com/watch?v=dKlh36-Ti_I", "［粵語］papa嘅刺客教條 #3.1 | 中期小結 |")</f>
        <v>［粵語］papa嘅刺客教條 #3.1 | 中期小結 |</v>
      </c>
      <c r="E6000" s="82">
        <v>44905.0</v>
      </c>
      <c r="F6000" s="80">
        <v>1037.0</v>
      </c>
      <c r="G6000" s="80" t="s">
        <v>63</v>
      </c>
      <c r="I6000" s="80" t="s">
        <v>63</v>
      </c>
      <c r="J6000" s="80">
        <v>4387.0</v>
      </c>
      <c r="K6000" s="80">
        <v>0.916057632073501</v>
      </c>
      <c r="L6000" s="80" t="s">
        <v>64</v>
      </c>
    </row>
    <row r="6001">
      <c r="A6001" s="80" t="s">
        <v>755</v>
      </c>
      <c r="B6001" s="81" t="str">
        <f>HYPERLINK("https://www.youtube.com/channel/UCBiJDTc82IM68KVH873VeAw", "Live in Kwangsi廣西人·情·味")</f>
        <v>Live in Kwangsi廣西人·情·味</v>
      </c>
      <c r="C6001" s="80" t="s">
        <v>6503</v>
      </c>
      <c r="D6001" s="81" t="str">
        <f>HYPERLINK("https://youtube.com/watch?v=SyuUxpVeGx8", "賀州市望高鎮川岩｜廣西美景 20221113")</f>
        <v>賀州市望高鎮川岩｜廣西美景 20221113</v>
      </c>
      <c r="E6001" s="82">
        <v>44885.0</v>
      </c>
      <c r="F6001" s="80">
        <v>846.0</v>
      </c>
      <c r="G6001" s="80" t="s">
        <v>63</v>
      </c>
      <c r="I6001" s="80" t="s">
        <v>63</v>
      </c>
      <c r="J6001" s="80">
        <v>78.0</v>
      </c>
      <c r="K6001" s="80">
        <v>0.886363636363636</v>
      </c>
      <c r="L6001" s="80" t="s">
        <v>757</v>
      </c>
    </row>
    <row r="6002">
      <c r="A6002" s="80" t="s">
        <v>248</v>
      </c>
      <c r="B6002" s="81" t="str">
        <f>HYPERLINK("https://www.youtube.com/channel/UCUEJok-GiWaGlv5nIPwk-GQ", "Price.com.hk 香港格價網")</f>
        <v>Price.com.hk 香港格價網</v>
      </c>
      <c r="C6002" s="80" t="s">
        <v>6504</v>
      </c>
      <c r="D6002" s="81" t="str">
        <f>HYPERLINK("https://youtube.com/watch?v=k7-EjgLFCwc", "最智能嘅智能電話？Google Pixel 7 Pro 唔賣硬件賣軟件！｜規格・攝力・獨家功能｜廣東話【Price.com.hk 產品評測】")</f>
        <v>最智能嘅智能電話？Google Pixel 7 Pro 唔賣硬件賣軟件！｜規格・攝力・獨家功能｜廣東話【Price.com.hk 產品評測】</v>
      </c>
      <c r="E6002" s="82">
        <v>44909.0</v>
      </c>
      <c r="F6002" s="80">
        <v>552.0</v>
      </c>
      <c r="G6002" s="80" t="s">
        <v>63</v>
      </c>
      <c r="I6002" s="80" t="s">
        <v>63</v>
      </c>
      <c r="J6002" s="80">
        <v>1907.0</v>
      </c>
      <c r="K6002" s="80">
        <v>0.783162217659137</v>
      </c>
      <c r="L6002" s="80" t="s">
        <v>64</v>
      </c>
    </row>
    <row r="6003">
      <c r="A6003" s="80" t="s">
        <v>6505</v>
      </c>
      <c r="B6003" s="81" t="str">
        <f>HYPERLINK("https://www.youtube.com/channel/UCU-sdeH9IMsk_IBOtIFGYFg", "Tasty Money 港股直播室")</f>
        <v>Tasty Money 港股直播室</v>
      </c>
      <c r="C6003" s="80" t="s">
        <v>6506</v>
      </c>
      <c r="D6003" s="81" t="str">
        <f>HYPERLINK("https://youtube.com/watch?v=tqyYucc1mPA", "恒指幾時到底?溫故知新 大市有咩底位及支持位?  | 小編話你知")</f>
        <v>恒指幾時到底?溫故知新 大市有咩底位及支持位?  | 小編話你知</v>
      </c>
      <c r="E6003" s="82">
        <v>44838.0</v>
      </c>
      <c r="F6003" s="80">
        <v>156.0</v>
      </c>
      <c r="G6003" s="80" t="s">
        <v>63</v>
      </c>
      <c r="I6003" s="80" t="s">
        <v>63</v>
      </c>
      <c r="J6003" s="80">
        <v>392.0</v>
      </c>
      <c r="K6003" s="80">
        <v>0.98989898989899</v>
      </c>
      <c r="L6003" s="80" t="s">
        <v>91</v>
      </c>
    </row>
    <row r="6004">
      <c r="A6004" s="80" t="s">
        <v>293</v>
      </c>
      <c r="B6004" s="81" t="str">
        <f t="shared" ref="B6004:B6005" si="341">HYPERLINK("https://www.youtube.com/channel/UCXRcbXqjORdIvl63I7MtOLQ", "趁熱 Kerry 's kitchen")</f>
        <v>趁熱 Kerry 's kitchen</v>
      </c>
      <c r="C6004" s="80" t="s">
        <v>6507</v>
      </c>
      <c r="D6004" s="81" t="str">
        <f>HYPERLINK("https://youtube.com/watch?v=shK9cIzYBmI", "豆豉南瓜炆排骨/勁入味/入口即化/簡單 家做/新手 入門/廣東話/中字")</f>
        <v>豆豉南瓜炆排骨/勁入味/入口即化/簡單 家做/新手 入門/廣東話/中字</v>
      </c>
      <c r="E6004" s="82">
        <v>44851.0</v>
      </c>
      <c r="F6004" s="80">
        <v>571.0</v>
      </c>
      <c r="G6004" s="80" t="s">
        <v>63</v>
      </c>
      <c r="I6004" s="80" t="s">
        <v>63</v>
      </c>
      <c r="J6004" s="80">
        <v>1589.0</v>
      </c>
      <c r="K6004" s="80">
        <v>0.979654747225647</v>
      </c>
      <c r="L6004" s="80" t="s">
        <v>64</v>
      </c>
    </row>
    <row r="6005">
      <c r="A6005" s="80" t="s">
        <v>293</v>
      </c>
      <c r="B6005" s="81" t="str">
        <f t="shared" si="341"/>
        <v>趁熱 Kerry 's kitchen</v>
      </c>
      <c r="C6005" s="80" t="s">
        <v>6508</v>
      </c>
      <c r="D6005" s="81" t="str">
        <f>HYPERLINK("https://youtube.com/watch?v=qBG3d9bH03s", "桃膠雪耳糖水/雪梨茶/兩款 /桃膠浸發竅門/喉乾火燒 飲啖潤肺 潤喉 養顏護膚/簡單 家做/廣東話/中字")</f>
        <v>桃膠雪耳糖水/雪梨茶/兩款 /桃膠浸發竅門/喉乾火燒 飲啖潤肺 潤喉 養顏護膚/簡單 家做/廣東話/中字</v>
      </c>
      <c r="E6005" s="82">
        <v>44834.0</v>
      </c>
      <c r="F6005" s="80">
        <v>533.0</v>
      </c>
      <c r="G6005" s="80" t="s">
        <v>63</v>
      </c>
      <c r="I6005" s="80" t="s">
        <v>63</v>
      </c>
      <c r="J6005" s="80">
        <v>1405.0</v>
      </c>
      <c r="K6005" s="80">
        <v>0.977731384829506</v>
      </c>
      <c r="L6005" s="80" t="s">
        <v>64</v>
      </c>
    </row>
    <row r="6006">
      <c r="A6006" s="80" t="s">
        <v>755</v>
      </c>
      <c r="B6006" s="81" t="str">
        <f>HYPERLINK("https://www.youtube.com/channel/UCBiJDTc82IM68KVH873VeAw", "Live in Kwangsi廣西人·情·味")</f>
        <v>Live in Kwangsi廣西人·情·味</v>
      </c>
      <c r="C6006" s="80" t="s">
        <v>6509</v>
      </c>
      <c r="D6006" s="81" t="str">
        <f>HYPERLINK("https://youtube.com/watch?v=X2_r8XV5uVI", "欽州市子材大橋（四橋）夜景｜廣西日常實拍 20221006")</f>
        <v>欽州市子材大橋（四橋）夜景｜廣西日常實拍 20221006</v>
      </c>
      <c r="E6006" s="82">
        <v>44878.0</v>
      </c>
      <c r="F6006" s="80">
        <v>354.0</v>
      </c>
      <c r="G6006" s="80" t="s">
        <v>63</v>
      </c>
      <c r="I6006" s="80" t="s">
        <v>63</v>
      </c>
      <c r="J6006" s="80">
        <v>198.0</v>
      </c>
      <c r="K6006" s="80">
        <v>1.0</v>
      </c>
      <c r="L6006" s="80" t="s">
        <v>757</v>
      </c>
    </row>
    <row r="6007">
      <c r="A6007" s="80" t="s">
        <v>248</v>
      </c>
      <c r="B6007" s="81" t="str">
        <f>HYPERLINK("https://www.youtube.com/channel/UCUEJok-GiWaGlv5nIPwk-GQ", "Price.com.hk 香港格價網")</f>
        <v>Price.com.hk 香港格價網</v>
      </c>
      <c r="C6007" s="80" t="s">
        <v>6510</v>
      </c>
      <c r="D6007" s="81" t="str">
        <f>HYPERLINK("https://youtube.com/watch?v=FmKOMmFTfjo", "Apple TV 4K 2022 邊個要買？｜支援 HDR 10+ ｜連接 AirPods Pro、HomePod mini｜廣東話【Price.com.hk 產品評測】")</f>
        <v>Apple TV 4K 2022 邊個要買？｜支援 HDR 10+ ｜連接 AirPods Pro、HomePod mini｜廣東話【Price.com.hk 產品評測】</v>
      </c>
      <c r="E6007" s="82">
        <v>44881.0</v>
      </c>
      <c r="F6007" s="80">
        <v>364.0</v>
      </c>
      <c r="G6007" s="80" t="s">
        <v>63</v>
      </c>
      <c r="I6007" s="80" t="s">
        <v>63</v>
      </c>
      <c r="J6007" s="80">
        <v>1106.0</v>
      </c>
      <c r="K6007" s="80">
        <v>0.687810945273631</v>
      </c>
      <c r="L6007" s="80" t="s">
        <v>64</v>
      </c>
    </row>
    <row r="6008">
      <c r="A6008" s="80" t="s">
        <v>2761</v>
      </c>
      <c r="B6008" s="81" t="str">
        <f>HYPERLINK("https://www.youtube.com/channel/UCr_L9cZdbBU_XDsKDHBBlew", "am730")</f>
        <v>am730</v>
      </c>
      <c r="C6008" s="80" t="s">
        <v>6511</v>
      </c>
      <c r="D6008" s="81" t="str">
        <f>HYPERLINK("https://youtube.com/watch?v=0rx_5FD95H4", "靈異丨香港02：「黑頭人變爆頭人」下集丨小紅帽聲音專欄 #靈異 #都市傳說 #鬼故事 #盂蘭節 #podcast")</f>
        <v>靈異丨香港02：「黑頭人變爆頭人」下集丨小紅帽聲音專欄 #靈異 #都市傳說 #鬼故事 #盂蘭節 #podcast</v>
      </c>
      <c r="E6008" s="82">
        <v>44851.0</v>
      </c>
      <c r="F6008" s="80">
        <v>446.0</v>
      </c>
      <c r="G6008" s="80" t="s">
        <v>63</v>
      </c>
      <c r="I6008" s="80" t="s">
        <v>63</v>
      </c>
      <c r="J6008" s="80">
        <v>1291.0</v>
      </c>
      <c r="K6008" s="80">
        <v>0.976550680786686</v>
      </c>
      <c r="L6008" s="80" t="s">
        <v>91</v>
      </c>
    </row>
    <row r="6009">
      <c r="A6009" s="80" t="s">
        <v>3869</v>
      </c>
      <c r="B6009" s="81" t="str">
        <f>HYPERLINK("https://www.youtube.com/channel/UCxG_Sl8LTqDJyzurpOSKW0Q", "papa")</f>
        <v>papa</v>
      </c>
      <c r="C6009" s="80" t="s">
        <v>6512</v>
      </c>
      <c r="D6009" s="81" t="str">
        <f>HYPERLINK("https://youtube.com/watch?v=dMK2EuJRvIY", "［粵語］papa嘅刺客教條 #3")</f>
        <v>［粵語］papa嘅刺客教條 #3</v>
      </c>
      <c r="E6009" s="82">
        <v>44905.0</v>
      </c>
      <c r="F6009" s="80">
        <v>3631.0</v>
      </c>
      <c r="G6009" s="80" t="s">
        <v>63</v>
      </c>
      <c r="I6009" s="80" t="s">
        <v>63</v>
      </c>
      <c r="J6009" s="80">
        <v>12597.0</v>
      </c>
      <c r="K6009" s="80">
        <v>0.969447437278744</v>
      </c>
      <c r="L6009" s="80" t="s">
        <v>64</v>
      </c>
    </row>
    <row r="6010">
      <c r="A6010" s="80" t="s">
        <v>755</v>
      </c>
      <c r="B6010" s="81" t="str">
        <f t="shared" ref="B6010:B6011" si="342">HYPERLINK("https://www.youtube.com/channel/UCBiJDTc82IM68KVH873VeAw", "Live in Kwangsi廣西人·情·味")</f>
        <v>Live in Kwangsi廣西人·情·味</v>
      </c>
      <c r="C6010" s="80" t="s">
        <v>6513</v>
      </c>
      <c r="D6010" s="81" t="str">
        <f>HYPERLINK("https://youtube.com/watch?v=EyJVyskaQsE", "富川縣瑞光園掠影｜廣西日常實拍 20220907")</f>
        <v>富川縣瑞光園掠影｜廣西日常實拍 20220907</v>
      </c>
      <c r="E6010" s="82">
        <v>44851.0</v>
      </c>
      <c r="F6010" s="80">
        <v>88.0</v>
      </c>
      <c r="G6010" s="80" t="s">
        <v>63</v>
      </c>
      <c r="I6010" s="80" t="s">
        <v>63</v>
      </c>
      <c r="J6010" s="80">
        <v>15.0</v>
      </c>
      <c r="K6010" s="80">
        <v>1.0</v>
      </c>
      <c r="L6010" s="80" t="s">
        <v>757</v>
      </c>
    </row>
    <row r="6011">
      <c r="A6011" s="80" t="s">
        <v>755</v>
      </c>
      <c r="B6011" s="81" t="str">
        <f t="shared" si="342"/>
        <v>Live in Kwangsi廣西人·情·味</v>
      </c>
      <c r="C6011" s="80" t="s">
        <v>6514</v>
      </c>
      <c r="D6011" s="81" t="str">
        <f>HYPERLINK("https://youtube.com/watch?v=vQLsNpzkvmI", "🚗由里松鎮至八步市中心行駛記錄 20221113")</f>
        <v>🚗由里松鎮至八步市中心行駛記錄 20221113</v>
      </c>
      <c r="E6011" s="82">
        <v>44878.0</v>
      </c>
      <c r="F6011" s="80">
        <v>3096.0</v>
      </c>
      <c r="G6011" s="80" t="s">
        <v>63</v>
      </c>
      <c r="I6011" s="80" t="s">
        <v>63</v>
      </c>
      <c r="J6011" s="80">
        <v>1563.0</v>
      </c>
      <c r="K6011" s="80">
        <v>0.991122384273937</v>
      </c>
      <c r="L6011" s="80" t="s">
        <v>757</v>
      </c>
    </row>
    <row r="6012">
      <c r="A6012" s="80" t="s">
        <v>2841</v>
      </c>
      <c r="B6012" s="81" t="str">
        <f>HYPERLINK("https://www.youtube.com/channel/UCBYGm7Iz6ck8jeno5AFiriw", "Seafront TV")</f>
        <v>Seafront TV</v>
      </c>
      <c r="C6012" s="80" t="s">
        <v>6515</v>
      </c>
      <c r="D6012" s="81" t="str">
        <f>HYPERLINK("https://youtube.com/watch?v=AQEJC0er4-Y", "【中文真係博大精深！連影相都關佢事？多謝原來唔係解多謝？！ 】都會大學中文榮譽文學士 | #大學Major系列 Seafront TV🌊")</f>
        <v>【中文真係博大精深！連影相都關佢事？多謝原來唔係解多謝？！ 】都會大學中文榮譽文學士 | #大學Major系列 Seafront TV🌊</v>
      </c>
      <c r="E6012" s="82">
        <v>44856.0</v>
      </c>
      <c r="F6012" s="80">
        <v>1335.0</v>
      </c>
      <c r="G6012" s="80" t="s">
        <v>63</v>
      </c>
      <c r="I6012" s="80" t="s">
        <v>63</v>
      </c>
      <c r="J6012" s="80">
        <v>5176.0</v>
      </c>
      <c r="K6012" s="80">
        <v>0.94711802378774</v>
      </c>
      <c r="L6012" s="80" t="s">
        <v>102</v>
      </c>
    </row>
    <row r="6013">
      <c r="A6013" s="80" t="s">
        <v>248</v>
      </c>
      <c r="B6013" s="81" t="str">
        <f t="shared" ref="B6013:B6014" si="343">HYPERLINK("https://www.youtube.com/channel/UCUEJok-GiWaGlv5nIPwk-GQ", "Price.com.hk 香港格價網")</f>
        <v>Price.com.hk 香港格價網</v>
      </c>
      <c r="C6013" s="80" t="s">
        <v>6516</v>
      </c>
      <c r="D6013" s="81" t="str">
        <f>HYPERLINK("https://youtube.com/watch?v=xd0eiIIIVLQ", "13年前舊Macbook仲用得返？上網、睇片、簡單文書啱用！｜Chrome OS Flex 安裝教學｜舊電腦重生方案｜免費系統升級｜廣東話【Price.com.hk 應用教學】")</f>
        <v>13年前舊Macbook仲用得返？上網、睇片、簡單文書啱用！｜Chrome OS Flex 安裝教學｜舊電腦重生方案｜免費系統升級｜廣東話【Price.com.hk 應用教學】</v>
      </c>
      <c r="E6013" s="82">
        <v>44831.0</v>
      </c>
      <c r="F6013" s="80">
        <v>454.0</v>
      </c>
      <c r="G6013" s="80" t="s">
        <v>63</v>
      </c>
      <c r="I6013" s="80" t="s">
        <v>63</v>
      </c>
      <c r="J6013" s="80">
        <v>1245.0</v>
      </c>
      <c r="K6013" s="80">
        <v>0.661881977671451</v>
      </c>
      <c r="L6013" s="80" t="s">
        <v>64</v>
      </c>
    </row>
    <row r="6014">
      <c r="A6014" s="80" t="s">
        <v>248</v>
      </c>
      <c r="B6014" s="81" t="str">
        <f t="shared" si="343"/>
        <v>Price.com.hk 香港格價網</v>
      </c>
      <c r="C6014" s="80" t="s">
        <v>6517</v>
      </c>
      <c r="D6014" s="81" t="str">
        <f>HYPERLINK("https://youtube.com/watch?v=q6NUHsK2ZlU", "3 分鐘了解 HDR｜點分 HDR10 同 10+?｜Dolby Vision 一定最好？ 入手電視前要識分｜《Price Wiki》EP5 | 廣東話")</f>
        <v>3 分鐘了解 HDR｜點分 HDR10 同 10+?｜Dolby Vision 一定最好？ 入手電視前要識分｜《Price Wiki》EP5 | 廣東話</v>
      </c>
      <c r="E6014" s="82">
        <v>44902.0</v>
      </c>
      <c r="F6014" s="80">
        <v>218.0</v>
      </c>
      <c r="G6014" s="80" t="s">
        <v>63</v>
      </c>
      <c r="I6014" s="80" t="s">
        <v>63</v>
      </c>
      <c r="J6014" s="80">
        <v>625.0</v>
      </c>
      <c r="K6014" s="80">
        <v>0.723379629629629</v>
      </c>
      <c r="L6014" s="80" t="s">
        <v>64</v>
      </c>
    </row>
    <row r="6015">
      <c r="A6015" s="80" t="s">
        <v>238</v>
      </c>
      <c r="B6015" s="81" t="str">
        <f>HYPERLINK("https://www.youtube.com/channel/UCSBkm4LwpgBmcA3MCtO8vqg", "Post76影音玩樂")</f>
        <v>Post76影音玩樂</v>
      </c>
      <c r="C6015" s="80" t="s">
        <v>6518</v>
      </c>
      <c r="D6015" s="81" t="str">
        <f>HYPERLINK("https://youtube.com/watch?v=ggK4m1CF3jM", "新技術加入經典 : Shure SE846 Gen 2 「可換式調音導管」旗艦入耳式耳機 !（附設cc字幕）| 耳機評測")</f>
        <v>新技術加入經典 : Shure SE846 Gen 2 「可換式調音導管」旗艦入耳式耳機 !（附設cc字幕）| 耳機評測</v>
      </c>
      <c r="E6015" s="82">
        <v>44879.0</v>
      </c>
      <c r="F6015" s="80">
        <v>1174.0</v>
      </c>
      <c r="G6015" s="80" t="s">
        <v>63</v>
      </c>
      <c r="I6015" s="80" t="s">
        <v>63</v>
      </c>
      <c r="J6015" s="80">
        <v>3217.0</v>
      </c>
      <c r="K6015" s="80">
        <v>0.876805669119651</v>
      </c>
      <c r="L6015" s="80" t="s">
        <v>64</v>
      </c>
    </row>
    <row r="6016">
      <c r="A6016" s="80" t="s">
        <v>217</v>
      </c>
      <c r="B6016" s="81" t="str">
        <f>HYPERLINK("https://www.youtube.com/channel/UCXKg0qPRz32bs5Z4mTGF3TQ", "Stormtrooper白兵")</f>
        <v>Stormtrooper白兵</v>
      </c>
      <c r="C6016" s="80" t="s">
        <v>6519</v>
      </c>
      <c r="D6016" s="81" t="str">
        <f>HYPERLINK("https://youtube.com/watch?v=ciM1BXjtz68", "國際足協－凌駕法律、政府、宗教的存在｜卡塔爾成功申辦世界盃有多假？｜粵語中字")</f>
        <v>國際足協－凌駕法律、政府、宗教的存在｜卡塔爾成功申辦世界盃有多假？｜粵語中字</v>
      </c>
      <c r="E6016" s="82">
        <v>44889.0</v>
      </c>
      <c r="F6016" s="80">
        <v>768.0</v>
      </c>
      <c r="G6016" s="80" t="s">
        <v>63</v>
      </c>
      <c r="I6016" s="80" t="s">
        <v>63</v>
      </c>
      <c r="J6016" s="80">
        <v>2894.0</v>
      </c>
      <c r="K6016" s="80">
        <v>0.899036968002485</v>
      </c>
      <c r="L6016" s="80" t="s">
        <v>64</v>
      </c>
    </row>
    <row r="6017">
      <c r="A6017" s="80" t="s">
        <v>6520</v>
      </c>
      <c r="B6017" s="81" t="str">
        <f>HYPERLINK("https://www.youtube.com/channel/UCXqhKkakjAddiWXXPEQbH7g", "HK E News")</f>
        <v>HK E News</v>
      </c>
      <c r="C6017" s="80" t="s">
        <v>6521</v>
      </c>
      <c r="D6017" s="81" t="str">
        <f>HYPERLINK("https://youtube.com/watch?v=jJ_PRMIHzdU", "吳君如反串美男金鴨｜姜皓文、劉浩龍大跳廁所舞 BabyJohn跳到瞓地｜思捷夾喬寶寶做馬?｜今晚睇李 李思捷  CC中文字幕")</f>
        <v>吳君如反串美男金鴨｜姜皓文、劉浩龍大跳廁所舞 BabyJohn跳到瞓地｜思捷夾喬寶寶做馬?｜今晚睇李 李思捷  CC中文字幕</v>
      </c>
      <c r="E6017" s="82">
        <v>44855.0</v>
      </c>
      <c r="F6017" s="80">
        <v>609.0</v>
      </c>
      <c r="G6017" s="80" t="s">
        <v>63</v>
      </c>
      <c r="I6017" s="80" t="s">
        <v>63</v>
      </c>
      <c r="J6017" s="80">
        <v>1628.0</v>
      </c>
      <c r="K6017" s="80">
        <v>0.954838709677419</v>
      </c>
      <c r="L6017" s="80" t="s">
        <v>2580</v>
      </c>
    </row>
    <row r="6018">
      <c r="A6018" s="80" t="s">
        <v>6063</v>
      </c>
      <c r="B6018" s="81" t="str">
        <f>HYPERLINK("https://www.youtube.com/channel/UCFhqo-h29TVyrRFcIIBwr7w", "Realistic records")</f>
        <v>Realistic records</v>
      </c>
      <c r="C6018" s="80" t="s">
        <v>6522</v>
      </c>
      <c r="D6018" s="81" t="str">
        <f>HYPERLINK("https://youtube.com/watch?v=pwD5vXKw0bA", "Drag.C - 理想世界 [Official Music Video]")</f>
        <v>Drag.C - 理想世界 [Official Music Video]</v>
      </c>
      <c r="E6018" s="82">
        <v>44842.0</v>
      </c>
      <c r="F6018" s="80">
        <v>233.0</v>
      </c>
      <c r="G6018" s="80" t="s">
        <v>63</v>
      </c>
      <c r="I6018" s="80" t="s">
        <v>63</v>
      </c>
      <c r="J6018" s="80">
        <v>702.0</v>
      </c>
      <c r="K6018" s="80">
        <v>0.715596330275229</v>
      </c>
      <c r="L6018" s="80" t="s">
        <v>64</v>
      </c>
    </row>
    <row r="6019">
      <c r="A6019" s="80" t="s">
        <v>755</v>
      </c>
      <c r="B6019" s="81" t="str">
        <f>HYPERLINK("https://www.youtube.com/channel/UCBiJDTc82IM68KVH873VeAw", "Live in Kwangsi廣西人·情·味")</f>
        <v>Live in Kwangsi廣西人·情·味</v>
      </c>
      <c r="C6019" s="80" t="s">
        <v>6523</v>
      </c>
      <c r="D6019" s="81" t="str">
        <f>HYPERLINK("https://youtube.com/watch?v=o1QIffERo-k", "今年第一次到廣東呀！我嘅廣東2小時之旅")</f>
        <v>今年第一次到廣東呀！我嘅廣東2小時之旅</v>
      </c>
      <c r="E6019" s="82">
        <v>44834.0</v>
      </c>
      <c r="F6019" s="80">
        <v>523.0</v>
      </c>
      <c r="G6019" s="80" t="s">
        <v>63</v>
      </c>
      <c r="I6019" s="80" t="s">
        <v>63</v>
      </c>
      <c r="J6019" s="80">
        <v>286.0</v>
      </c>
      <c r="K6019" s="80">
        <v>0.986206896551724</v>
      </c>
      <c r="L6019" s="80" t="s">
        <v>757</v>
      </c>
    </row>
    <row r="6020">
      <c r="A6020" s="80" t="s">
        <v>2800</v>
      </c>
      <c r="B6020" s="81" t="str">
        <f>HYPERLINK("https://www.youtube.com/channel/UCMqrlsr-AECPc6_3oDr8m9w", "Unicorn 獸哥")</f>
        <v>Unicorn 獸哥</v>
      </c>
      <c r="C6020" s="80" t="s">
        <v>6524</v>
      </c>
      <c r="D6020" s="81" t="str">
        <f>HYPERLINK("https://youtube.com/watch?v=vVpdfYOVTPs", "【戲評】魔童叔叔給悟飯的最後一課  龍珠超劇場版：超級英雄 CC字幕")</f>
        <v>【戲評】魔童叔叔給悟飯的最後一課  龍珠超劇場版：超級英雄 CC字幕</v>
      </c>
      <c r="E6020" s="82">
        <v>44862.0</v>
      </c>
      <c r="F6020" s="80">
        <v>470.0</v>
      </c>
      <c r="G6020" s="80" t="s">
        <v>63</v>
      </c>
      <c r="I6020" s="80" t="s">
        <v>63</v>
      </c>
      <c r="J6020" s="80">
        <v>2232.0</v>
      </c>
      <c r="K6020" s="80">
        <v>0.944561997460854</v>
      </c>
      <c r="L6020" s="80" t="s">
        <v>64</v>
      </c>
    </row>
    <row r="6021">
      <c r="A6021" s="80" t="s">
        <v>248</v>
      </c>
      <c r="B6021" s="81" t="str">
        <f>HYPERLINK("https://www.youtube.com/channel/UCUEJok-GiWaGlv5nIPwk-GQ", "Price.com.hk 香港格價網")</f>
        <v>Price.com.hk 香港格價網</v>
      </c>
      <c r="C6021" s="80" t="s">
        <v>6525</v>
      </c>
      <c r="D6021" s="81" t="str">
        <f>HYPERLINK("https://youtube.com/watch?v=iZ6i90n72oo", "繁中書首選！日本樂天Kobo電子書閱讀器 Kobo Clara 2E．Libra 2｜藍牙｜IPX8防水｜特約專題｜廣東話【Price.com.hk 特約專題 】")</f>
        <v>繁中書首選！日本樂天Kobo電子書閱讀器 Kobo Clara 2E．Libra 2｜藍牙｜IPX8防水｜特約專題｜廣東話【Price.com.hk 特約專題 】</v>
      </c>
      <c r="E6021" s="82">
        <v>44915.0</v>
      </c>
      <c r="F6021" s="80">
        <v>371.0</v>
      </c>
      <c r="G6021" s="80" t="s">
        <v>63</v>
      </c>
      <c r="I6021" s="80" t="s">
        <v>63</v>
      </c>
      <c r="J6021" s="80">
        <v>1428.0</v>
      </c>
      <c r="K6021" s="80">
        <v>0.852028639618138</v>
      </c>
      <c r="L6021" s="80" t="s">
        <v>64</v>
      </c>
    </row>
    <row r="6022">
      <c r="A6022" s="80" t="s">
        <v>1553</v>
      </c>
      <c r="B6022" s="81" t="str">
        <f>HYPERLINK("https://www.youtube.com/channel/UC5gQ01ai9nF2x43fYmO1vow", "Ck釣魚冒險")</f>
        <v>Ck釣魚冒險</v>
      </c>
      <c r="C6022" s="80" t="s">
        <v>6526</v>
      </c>
      <c r="D6022" s="81" t="str">
        <f>HYPERLINK("https://youtube.com/watch?v=Z-4oSVrn6JY", "【DIY】魚竿DIY維修 手工紮階簡單修復  📣CC字幕")</f>
        <v>【DIY】魚竿DIY維修 手工紮階簡單修復  📣CC字幕</v>
      </c>
      <c r="E6022" s="82">
        <v>44867.0</v>
      </c>
      <c r="F6022" s="80">
        <v>335.0</v>
      </c>
      <c r="G6022" s="80" t="s">
        <v>63</v>
      </c>
      <c r="I6022" s="80" t="s">
        <v>63</v>
      </c>
      <c r="J6022" s="80">
        <v>579.0</v>
      </c>
      <c r="K6022" s="80">
        <v>0.961794019933554</v>
      </c>
      <c r="L6022" s="80" t="s">
        <v>64</v>
      </c>
    </row>
    <row r="6023">
      <c r="A6023" s="80" t="s">
        <v>1492</v>
      </c>
      <c r="B6023" s="81" t="str">
        <f>HYPERLINK("https://www.youtube.com/channel/UCTo1EIcKtkDYqiUqs4v_NlA", "【常公子】頻道TV - 中文中史歷史哲學")</f>
        <v>【常公子】頻道TV - 中文中史歷史哲學</v>
      </c>
      <c r="C6023" s="80" t="s">
        <v>6527</v>
      </c>
      <c r="D6023" s="81" t="str">
        <f>HYPERLINK("https://youtube.com/watch?v=FczYD2gWHbg", "【常威近代史】第五百零九回政治鬥爭係沒完沒了")</f>
        <v>【常威近代史】第五百零九回政治鬥爭係沒完沒了</v>
      </c>
      <c r="E6023" s="82">
        <v>44884.0</v>
      </c>
      <c r="F6023" s="80">
        <v>688.0</v>
      </c>
      <c r="G6023" s="80" t="s">
        <v>63</v>
      </c>
      <c r="I6023" s="80" t="s">
        <v>63</v>
      </c>
      <c r="J6023" s="80">
        <v>1506.0</v>
      </c>
      <c r="K6023" s="80">
        <v>0.983028720626631</v>
      </c>
      <c r="L6023" s="80" t="s">
        <v>64</v>
      </c>
    </row>
    <row r="6024">
      <c r="A6024" s="80" t="s">
        <v>248</v>
      </c>
      <c r="B6024" s="81" t="str">
        <f>HYPERLINK("https://www.youtube.com/channel/UCUEJok-GiWaGlv5nIPwk-GQ", "Price.com.hk 香港格價網")</f>
        <v>Price.com.hk 香港格價網</v>
      </c>
      <c r="C6024" s="80" t="s">
        <v>6528</v>
      </c>
      <c r="D6024" s="81" t="str">
        <f>HYPERLINK("https://youtube.com/watch?v=HF5ctmuve_w", "兩大旗艦 攝力比較 iPhone 14 pro max · Galaxy S22 Ultra｜Apple｜Samsung｜108MP｜Action mode｜廣東話【Price.com.hk產品比較】")</f>
        <v>兩大旗艦 攝力比較 iPhone 14 pro max · Galaxy S22 Ultra｜Apple｜Samsung｜108MP｜Action mode｜廣東話【Price.com.hk產品比較】</v>
      </c>
      <c r="E6024" s="82">
        <v>44852.0</v>
      </c>
      <c r="F6024" s="80">
        <v>514.0</v>
      </c>
      <c r="G6024" s="80" t="s">
        <v>63</v>
      </c>
      <c r="I6024" s="80" t="s">
        <v>63</v>
      </c>
      <c r="J6024" s="80">
        <v>1404.0</v>
      </c>
      <c r="K6024" s="80">
        <v>0.742857142857142</v>
      </c>
      <c r="L6024" s="80" t="s">
        <v>64</v>
      </c>
    </row>
    <row r="6025">
      <c r="A6025" s="80" t="s">
        <v>6248</v>
      </c>
      <c r="B6025" s="81" t="str">
        <f>HYPERLINK("https://www.youtube.com/channel/UCmlr1is6e9bV34fgg3u0xng", "Ruby.S")</f>
        <v>Ruby.S</v>
      </c>
      <c r="C6025" s="80" t="s">
        <v>6529</v>
      </c>
      <c r="D6025" s="81" t="str">
        <f>HYPERLINK("https://youtube.com/watch?v=mqpRkL1wEH4", "@Ruby.S  玩命體驗🆘｜技能解鎖｜生命受到威脅😵‍💫 唔識游水去學潛水？| Fun die? Or Fun dive | 人生第一次｜ I believe I can hike EP 46")</f>
        <v>@Ruby.S  玩命體驗🆘｜技能解鎖｜生命受到威脅😵‍💫 唔識游水去學潛水？| Fun die? Or Fun dive | 人生第一次｜ I believe I can hike EP 46</v>
      </c>
      <c r="E6025" s="82">
        <v>44832.0</v>
      </c>
      <c r="F6025" s="80">
        <v>1213.0</v>
      </c>
      <c r="G6025" s="80" t="s">
        <v>63</v>
      </c>
      <c r="I6025" s="80" t="s">
        <v>63</v>
      </c>
      <c r="J6025" s="80">
        <v>970.0</v>
      </c>
      <c r="K6025" s="80">
        <v>0.817186183656276</v>
      </c>
      <c r="L6025" s="80" t="s">
        <v>64</v>
      </c>
    </row>
    <row r="6026">
      <c r="A6026" s="80" t="s">
        <v>140</v>
      </c>
      <c r="B6026" s="81" t="str">
        <f>HYPERLINK("https://www.youtube.com/channel/UCHK0CZf9HEXs42qIO1GUouA", "TechiCardia")</f>
        <v>TechiCardia</v>
      </c>
      <c r="C6026" s="80" t="s">
        <v>6530</v>
      </c>
      <c r="D6026" s="81" t="str">
        <f>HYPERLINK("https://youtube.com/watch?v=HajWQSb3weY", "VLOG 突擊🔥  6萬sub 科技YouTuber要擺檔教人玩 NAS？💾 @腦控   Home Studio tour | 4K 【TechiCardia】[廣東話字幕]")</f>
        <v>VLOG 突擊🔥  6萬sub 科技YouTuber要擺檔教人玩 NAS？💾 @腦控   Home Studio tour | 4K 【TechiCardia】[廣東話字幕]</v>
      </c>
      <c r="E6026" s="82">
        <v>44864.0</v>
      </c>
      <c r="F6026" s="80">
        <v>778.0</v>
      </c>
      <c r="G6026" s="80" t="s">
        <v>63</v>
      </c>
      <c r="I6026" s="80" t="s">
        <v>63</v>
      </c>
      <c r="J6026" s="80">
        <v>2083.0</v>
      </c>
      <c r="K6026" s="80">
        <v>0.774061687105165</v>
      </c>
      <c r="L6026" s="80" t="s">
        <v>102</v>
      </c>
    </row>
    <row r="6027">
      <c r="A6027" s="80" t="s">
        <v>248</v>
      </c>
      <c r="B6027" s="81" t="str">
        <f>HYPERLINK("https://www.youtube.com/channel/UCUEJok-GiWaGlv5nIPwk-GQ", "Price.com.hk 香港格價網")</f>
        <v>Price.com.hk 香港格價網</v>
      </c>
      <c r="C6027" s="80" t="s">
        <v>6531</v>
      </c>
      <c r="D6027" s="81" t="str">
        <f>HYPERLINK("https://youtube.com/watch?v=InjY3NQvwAU", "旅行攝影必備航拍機？郊外試玩 DJI Mavic 3 Classic ！｜馬草壟日落｜用後感｜廣東話【Price.com.hk 產品評測】")</f>
        <v>旅行攝影必備航拍機？郊外試玩 DJI Mavic 3 Classic ！｜馬草壟日落｜用後感｜廣東話【Price.com.hk 產品評測】</v>
      </c>
      <c r="E6027" s="82">
        <v>44867.0</v>
      </c>
      <c r="F6027" s="80">
        <v>306.0</v>
      </c>
      <c r="G6027" s="80" t="s">
        <v>63</v>
      </c>
      <c r="I6027" s="80" t="s">
        <v>63</v>
      </c>
      <c r="J6027" s="80">
        <v>727.0</v>
      </c>
      <c r="K6027" s="80">
        <v>0.814109742441209</v>
      </c>
      <c r="L6027" s="80" t="s">
        <v>64</v>
      </c>
    </row>
    <row r="6028">
      <c r="A6028" s="80" t="s">
        <v>3139</v>
      </c>
      <c r="B6028" s="81" t="str">
        <f>HYPERLINK("https://www.youtube.com/channel/UCThO2xnH7XMg6plE8OgJm_w", "choyuen草原")</f>
        <v>choyuen草原</v>
      </c>
      <c r="C6028" s="80" t="s">
        <v>6532</v>
      </c>
      <c r="D6028" s="81" t="str">
        <f>HYPERLINK("https://youtube.com/watch?v=qsJm-vg5vco", "去一轉尼斯湖至發現有冇水怪其實唔係重點 (A. 旅遊資訊|有水怪都要打壓滅聲?) Loch Ness: Texture of the Monsters (A. Suppression)")</f>
        <v>去一轉尼斯湖至發現有冇水怪其實唔係重點 (A. 旅遊資訊|有水怪都要打壓滅聲?) Loch Ness: Texture of the Monsters (A. Suppression)</v>
      </c>
      <c r="E6028" s="82">
        <v>44804.0</v>
      </c>
      <c r="F6028" s="80">
        <v>484.0</v>
      </c>
      <c r="G6028" s="80" t="s">
        <v>63</v>
      </c>
      <c r="I6028" s="80" t="s">
        <v>63</v>
      </c>
      <c r="J6028" s="80">
        <v>1564.0</v>
      </c>
      <c r="K6028" s="80">
        <v>0.857926494788809</v>
      </c>
      <c r="L6028" s="80" t="s">
        <v>64</v>
      </c>
    </row>
    <row r="6029">
      <c r="A6029" s="80" t="s">
        <v>217</v>
      </c>
      <c r="B6029" s="81" t="str">
        <f>HYPERLINK("https://www.youtube.com/channel/UCXKg0qPRz32bs5Z4mTGF3TQ", "Stormtrooper白兵")</f>
        <v>Stormtrooper白兵</v>
      </c>
      <c r="C6029" s="80" t="s">
        <v>6533</v>
      </c>
      <c r="D6029" s="81" t="str">
        <f>HYPERLINK("https://youtube.com/watch?v=VeWcLAhHOxo", "[懶人包]Elon Musk下令解封Twitter機密檔案！｜FBI及民主黨如何控制Twitter｜Trump被ban經過！Hunter手提電腦新聞如何被阻止傳播｜粵語中字")</f>
        <v>[懶人包]Elon Musk下令解封Twitter機密檔案！｜FBI及民主黨如何控制Twitter｜Trump被ban經過！Hunter手提電腦新聞如何被阻止傳播｜粵語中字</v>
      </c>
      <c r="E6029" s="82">
        <v>44910.0</v>
      </c>
      <c r="F6029" s="80">
        <v>1044.0</v>
      </c>
      <c r="G6029" s="80" t="s">
        <v>63</v>
      </c>
      <c r="I6029" s="80" t="s">
        <v>63</v>
      </c>
      <c r="J6029" s="80">
        <v>3822.0</v>
      </c>
      <c r="K6029" s="80">
        <v>0.75968992248062</v>
      </c>
      <c r="L6029" s="80" t="s">
        <v>64</v>
      </c>
    </row>
    <row r="6030">
      <c r="A6030" s="80" t="s">
        <v>96</v>
      </c>
      <c r="B6030" s="81" t="str">
        <f>HYPERLINK("https://www.youtube.com/channel/UCGtyHJ-L_4RDIHe3XaLofQQ", "Anson Cheung")</f>
        <v>Anson Cheung</v>
      </c>
      <c r="C6030" s="80" t="s">
        <v>6534</v>
      </c>
      <c r="D6030" s="81" t="str">
        <f>HYPERLINK("https://youtube.com/watch?v=77HqPlNG_DE", "根本就冇得比！Apple AirPods Pro 2 vs Google Pixel Buds Pro")</f>
        <v>根本就冇得比！Apple AirPods Pro 2 vs Google Pixel Buds Pro</v>
      </c>
      <c r="E6030" s="82">
        <v>44870.0</v>
      </c>
      <c r="F6030" s="80">
        <v>947.0</v>
      </c>
      <c r="G6030" s="80" t="s">
        <v>63</v>
      </c>
      <c r="I6030" s="80" t="s">
        <v>63</v>
      </c>
      <c r="J6030" s="80">
        <v>3420.0</v>
      </c>
      <c r="K6030" s="80">
        <v>0.613673066570967</v>
      </c>
      <c r="L6030" s="80" t="s">
        <v>64</v>
      </c>
    </row>
    <row r="6031">
      <c r="A6031" s="80" t="s">
        <v>1492</v>
      </c>
      <c r="B6031" s="81" t="str">
        <f>HYPERLINK("https://www.youtube.com/channel/UCTo1EIcKtkDYqiUqs4v_NlA", "【常公子】頻道TV - 中文中史歷史哲學")</f>
        <v>【常公子】頻道TV - 中文中史歷史哲學</v>
      </c>
      <c r="C6031" s="80" t="s">
        <v>6535</v>
      </c>
      <c r="D6031" s="81" t="str">
        <f>HYPERLINK("https://youtube.com/watch?v=x0aRzEJtw_k", "【常威近代史】第五百零七回龍潭之役")</f>
        <v>【常威近代史】第五百零七回龍潭之役</v>
      </c>
      <c r="E6031" s="82">
        <v>44870.0</v>
      </c>
      <c r="F6031" s="80">
        <v>627.0</v>
      </c>
      <c r="G6031" s="80" t="s">
        <v>63</v>
      </c>
      <c r="I6031" s="80" t="s">
        <v>63</v>
      </c>
      <c r="J6031" s="80">
        <v>1739.0</v>
      </c>
      <c r="K6031" s="80">
        <v>0.985827664399093</v>
      </c>
      <c r="L6031" s="80" t="s">
        <v>64</v>
      </c>
    </row>
    <row r="6032">
      <c r="A6032" s="80" t="s">
        <v>6236</v>
      </c>
      <c r="B6032" s="81" t="str">
        <f>HYPERLINK("https://www.youtube.com/channel/UCPMsgWJvrkEHE0OpIMtxyYQ", "Comfort鬆")</f>
        <v>Comfort鬆</v>
      </c>
      <c r="C6032" s="80" t="s">
        <v>6536</v>
      </c>
      <c r="D6032" s="81" t="str">
        <f>HYPERLINK("https://youtube.com/watch?v=_x54V8HrlGo", "【街訪】上Zoom必做清單 瞓覺打機係基本｜上PE堂睇咗當做咗？｜網課自律嘅秘密係...")</f>
        <v>【街訪】上Zoom必做清單 瞓覺打機係基本｜上PE堂睇咗當做咗？｜網課自律嘅秘密係...</v>
      </c>
      <c r="E6032" s="82">
        <v>44852.0</v>
      </c>
      <c r="F6032" s="80">
        <v>377.0</v>
      </c>
      <c r="G6032" s="80" t="s">
        <v>63</v>
      </c>
      <c r="I6032" s="80" t="s">
        <v>63</v>
      </c>
      <c r="J6032" s="80">
        <v>1354.0</v>
      </c>
      <c r="K6032" s="80">
        <v>0.79135008766803</v>
      </c>
      <c r="L6032" s="80" t="s">
        <v>64</v>
      </c>
    </row>
    <row r="6033">
      <c r="A6033" s="80" t="s">
        <v>1492</v>
      </c>
      <c r="B6033" s="81" t="str">
        <f>HYPERLINK("https://www.youtube.com/channel/UCTo1EIcKtkDYqiUqs4v_NlA", "【常公子】頻道TV - 中文中史歷史哲學")</f>
        <v>【常公子】頻道TV - 中文中史歷史哲學</v>
      </c>
      <c r="C6033" s="80" t="s">
        <v>6537</v>
      </c>
      <c r="D6033" s="81" t="str">
        <f>HYPERLINK("https://youtube.com/watch?v=ld2ZQnZc9G0", "【常威近代史】第五百零四回陳獨秀say沙唷啦啦")</f>
        <v>【常威近代史】第五百零四回陳獨秀say沙唷啦啦</v>
      </c>
      <c r="E6033" s="82">
        <v>44847.0</v>
      </c>
      <c r="F6033" s="80">
        <v>713.0</v>
      </c>
      <c r="G6033" s="80" t="s">
        <v>63</v>
      </c>
      <c r="I6033" s="80" t="s">
        <v>63</v>
      </c>
      <c r="J6033" s="80">
        <v>1694.0</v>
      </c>
      <c r="K6033" s="80">
        <v>0.983168891468369</v>
      </c>
      <c r="L6033" s="80" t="s">
        <v>64</v>
      </c>
    </row>
    <row r="6034">
      <c r="A6034" s="80" t="s">
        <v>124</v>
      </c>
      <c r="B6034" s="81" t="str">
        <f>HYPERLINK("https://www.youtube.com/channel/UCg0vuSE0fBF_NvodyYhMcWg", "Wallace Studio HK")</f>
        <v>Wallace Studio HK</v>
      </c>
      <c r="C6034" s="80" t="s">
        <v>6538</v>
      </c>
      <c r="D6034" s="81" t="str">
        <f>HYPERLINK("https://youtube.com/watch?v=3D3guj0-U2M", "生命分享系列 EP1: 如何面對來自世界的批評與指責 | 你既價值不在乎人地點睇，而係你既決定")</f>
        <v>生命分享系列 EP1: 如何面對來自世界的批評與指責 | 你既價值不在乎人地點睇，而係你既決定</v>
      </c>
      <c r="E6034" s="82">
        <v>44915.0</v>
      </c>
      <c r="F6034" s="80">
        <v>792.0</v>
      </c>
      <c r="G6034" s="80" t="s">
        <v>63</v>
      </c>
      <c r="I6034" s="80" t="s">
        <v>63</v>
      </c>
      <c r="J6034" s="80">
        <v>2829.0</v>
      </c>
      <c r="K6034" s="80">
        <v>0.938931297709923</v>
      </c>
      <c r="L6034" s="80" t="s">
        <v>64</v>
      </c>
    </row>
    <row r="6035">
      <c r="A6035" s="80" t="s">
        <v>74</v>
      </c>
      <c r="B6035" s="81" t="str">
        <f>HYPERLINK("https://www.youtube.com/channel/UCO_5XP-qd-udNxBlzzSzgvw", "Handline Fishing")</f>
        <v>Handline Fishing</v>
      </c>
      <c r="C6035" s="80" t="s">
        <v>6539</v>
      </c>
      <c r="D6035" s="81" t="str">
        <f>HYPERLINK("https://youtube.com/watch?v=Efdp3bJGYxQ", "#302 霜降鱲我嚟釣啦 | 長洲進 | 香港釣魚 | 艇釣 | 大澳 {粵語旁白+中文字幕}")</f>
        <v>#302 霜降鱲我嚟釣啦 | 長洲進 | 香港釣魚 | 艇釣 | 大澳 {粵語旁白+中文字幕}</v>
      </c>
      <c r="E6035" s="82">
        <v>44859.0</v>
      </c>
      <c r="F6035" s="80">
        <v>348.0</v>
      </c>
      <c r="G6035" s="80" t="s">
        <v>63</v>
      </c>
      <c r="I6035" s="80" t="s">
        <v>63</v>
      </c>
      <c r="J6035" s="80">
        <v>350.0</v>
      </c>
      <c r="K6035" s="80">
        <v>0.969529085872576</v>
      </c>
      <c r="L6035" s="80" t="s">
        <v>102</v>
      </c>
    </row>
    <row r="6036">
      <c r="A6036" s="80" t="s">
        <v>755</v>
      </c>
      <c r="B6036" s="81" t="str">
        <f>HYPERLINK("https://www.youtube.com/channel/UCBiJDTc82IM68KVH873VeAw", "Live in Kwangsi廣西人·情·味")</f>
        <v>Live in Kwangsi廣西人·情·味</v>
      </c>
      <c r="C6036" s="80" t="s">
        <v>6540</v>
      </c>
      <c r="D6036" s="81" t="str">
        <f>HYPERLINK("https://youtube.com/watch?v=EAHoYs3ukbw", "由欽州市欽州港濱海公路出發，行十三公里嘅海上公路往三墩島｜廣西美景 20221005")</f>
        <v>由欽州市欽州港濱海公路出發，行十三公里嘅海上公路往三墩島｜廣西美景 20221005</v>
      </c>
      <c r="E6036" s="82">
        <v>44859.0</v>
      </c>
      <c r="F6036" s="80">
        <v>364.0</v>
      </c>
      <c r="G6036" s="80" t="s">
        <v>63</v>
      </c>
      <c r="I6036" s="80" t="s">
        <v>63</v>
      </c>
      <c r="J6036" s="80">
        <v>102.0</v>
      </c>
      <c r="K6036" s="80">
        <v>1.0</v>
      </c>
      <c r="L6036" s="80" t="s">
        <v>757</v>
      </c>
    </row>
    <row r="6037">
      <c r="A6037" s="80" t="s">
        <v>6236</v>
      </c>
      <c r="B6037" s="81" t="str">
        <f>HYPERLINK("https://www.youtube.com/channel/UCPMsgWJvrkEHE0OpIMtxyYQ", "Comfort鬆")</f>
        <v>Comfort鬆</v>
      </c>
      <c r="C6037" s="80" t="s">
        <v>6541</v>
      </c>
      <c r="D6037" s="81" t="str">
        <f>HYPERLINK("https://youtube.com/watch?v=mnoct2Pdj-g", "【沙灘大對決】捉緊夏天的尾巴！綜藝竟然變成大整蠱？不值得信任的信任遊戲🥵")</f>
        <v>【沙灘大對決】捉緊夏天的尾巴！綜藝竟然變成大整蠱？不值得信任的信任遊戲🥵</v>
      </c>
      <c r="E6037" s="82">
        <v>44859.0</v>
      </c>
      <c r="F6037" s="80">
        <v>387.0</v>
      </c>
      <c r="G6037" s="80" t="s">
        <v>63</v>
      </c>
      <c r="I6037" s="80" t="s">
        <v>63</v>
      </c>
      <c r="J6037" s="80">
        <v>885.0</v>
      </c>
      <c r="K6037" s="80">
        <v>0.902140672782874</v>
      </c>
      <c r="L6037" s="80" t="s">
        <v>64</v>
      </c>
    </row>
    <row r="6038">
      <c r="A6038" s="80" t="s">
        <v>217</v>
      </c>
      <c r="B6038" s="81" t="str">
        <f>HYPERLINK("https://www.youtube.com/channel/UCXKg0qPRz32bs5Z4mTGF3TQ", "Stormtrooper白兵")</f>
        <v>Stormtrooper白兵</v>
      </c>
      <c r="C6038" s="80" t="s">
        <v>6542</v>
      </c>
      <c r="D6038" s="81" t="str">
        <f>HYPERLINK("https://youtube.com/watch?v=PvtLL4li6pA", "假新聞製作者用假帳戶踢爆用很假的假相去報道假新聞發源地的假新聞來警剔假新聞｜結果顯示假新聞即使很假仍然有效｜粵語中字")</f>
        <v>假新聞製作者用假帳戶踢爆用很假的假相去報道假新聞發源地的假新聞來警剔假新聞｜結果顯示假新聞即使很假仍然有效｜粵語中字</v>
      </c>
      <c r="E6038" s="82">
        <v>44847.0</v>
      </c>
      <c r="F6038" s="80">
        <v>876.0</v>
      </c>
      <c r="G6038" s="80" t="s">
        <v>63</v>
      </c>
      <c r="I6038" s="80" t="s">
        <v>63</v>
      </c>
      <c r="J6038" s="80">
        <v>3286.0</v>
      </c>
      <c r="K6038" s="80">
        <v>0.851957479906663</v>
      </c>
      <c r="L6038" s="80" t="s">
        <v>64</v>
      </c>
    </row>
    <row r="6039">
      <c r="A6039" s="80" t="s">
        <v>755</v>
      </c>
      <c r="B6039" s="81" t="str">
        <f>HYPERLINK("https://www.youtube.com/channel/UCBiJDTc82IM68KVH873VeAw", "Live in Kwangsi廣西人·情·味")</f>
        <v>Live in Kwangsi廣西人·情·味</v>
      </c>
      <c r="C6039" s="80" t="s">
        <v>6543</v>
      </c>
      <c r="D6039" s="81" t="str">
        <f>HYPERLINK("https://youtube.com/watch?v=ilkTlRtpJZs", "梧州市河東夜生活掠影｜廣西日常實拍 20221028")</f>
        <v>梧州市河東夜生活掠影｜廣西日常實拍 20221028</v>
      </c>
      <c r="E6039" s="82">
        <v>44872.0</v>
      </c>
      <c r="F6039" s="80">
        <v>559.0</v>
      </c>
      <c r="G6039" s="80" t="s">
        <v>63</v>
      </c>
      <c r="I6039" s="80" t="s">
        <v>63</v>
      </c>
      <c r="J6039" s="80">
        <v>57.0</v>
      </c>
      <c r="K6039" s="80">
        <v>1.0</v>
      </c>
      <c r="L6039" s="80" t="s">
        <v>757</v>
      </c>
    </row>
    <row r="6040">
      <c r="A6040" s="80" t="s">
        <v>2800</v>
      </c>
      <c r="B6040" s="81" t="str">
        <f>HYPERLINK("https://www.youtube.com/channel/UCMqrlsr-AECPc6_3oDr8m9w", "Unicorn 獸哥")</f>
        <v>Unicorn 獸哥</v>
      </c>
      <c r="C6040" s="80" t="s">
        <v>6544</v>
      </c>
      <c r="D6040" s="81" t="str">
        <f>HYPERLINK("https://youtube.com/watch?v=pna51WhiM9c", "【10月GAME推介】SWITCH冷飯真香！XBOX PASS 大作降臨 gotham knight 終於都出！CC字幕")</f>
        <v>【10月GAME推介】SWITCH冷飯真香！XBOX PASS 大作降臨 gotham knight 終於都出！CC字幕</v>
      </c>
      <c r="E6040" s="82">
        <v>44837.0</v>
      </c>
      <c r="F6040" s="80">
        <v>382.0</v>
      </c>
      <c r="G6040" s="80" t="s">
        <v>63</v>
      </c>
      <c r="I6040" s="80" t="s">
        <v>63</v>
      </c>
      <c r="J6040" s="80">
        <v>1561.0</v>
      </c>
      <c r="K6040" s="80">
        <v>0.741215574548907</v>
      </c>
      <c r="L6040" s="80" t="s">
        <v>64</v>
      </c>
    </row>
    <row r="6041">
      <c r="A6041" s="80" t="s">
        <v>414</v>
      </c>
      <c r="B6041" s="81" t="str">
        <f>HYPERLINK("https://www.youtube.com/channel/UCCVn38j5xSJZN-II-TeyomA", "Uncle Calvin Cantonese Class")</f>
        <v>Uncle Calvin Cantonese Class</v>
      </c>
      <c r="C6041" s="80" t="s">
        <v>6545</v>
      </c>
      <c r="D6041" s="81" t="str">
        <f>HYPERLINK("https://youtube.com/watch?v=cxY0qsY9aX0", "【機場遊學團】AIRPORT Tour I 幼童廣東話遊學團 Kids Cantonese Tour I 廣東話教室 I 字幕")</f>
        <v>【機場遊學團】AIRPORT Tour I 幼童廣東話遊學團 Kids Cantonese Tour I 廣東話教室 I 字幕</v>
      </c>
      <c r="E6041" s="82">
        <v>44881.0</v>
      </c>
      <c r="F6041" s="80">
        <v>438.0</v>
      </c>
      <c r="G6041" s="80" t="s">
        <v>63</v>
      </c>
      <c r="H6041" s="80" t="s">
        <v>63</v>
      </c>
      <c r="I6041" s="80" t="s">
        <v>63</v>
      </c>
      <c r="J6041" s="80">
        <v>987.0</v>
      </c>
      <c r="K6041" s="80">
        <v>0.886792452830188</v>
      </c>
      <c r="L6041" s="80" t="s">
        <v>240</v>
      </c>
    </row>
    <row r="6042">
      <c r="A6042" s="80" t="s">
        <v>96</v>
      </c>
      <c r="B6042" s="81" t="str">
        <f>HYPERLINK("https://www.youtube.com/channel/UCGtyHJ-L_4RDIHe3XaLofQQ", "Anson Cheung")</f>
        <v>Anson Cheung</v>
      </c>
      <c r="C6042" s="80" t="s">
        <v>6546</v>
      </c>
      <c r="D6042" s="81" t="str">
        <f>HYPERLINK("https://youtube.com/watch?v=k_2t1DTSp9Q", "Samsung Galaxy Z Fold4 一個月後長期使用評測：我好矛盾呀！😩")</f>
        <v>Samsung Galaxy Z Fold4 一個月後長期使用評測：我好矛盾呀！😩</v>
      </c>
      <c r="E6042" s="82">
        <v>44840.0</v>
      </c>
      <c r="F6042" s="80">
        <v>898.0</v>
      </c>
      <c r="G6042" s="80" t="s">
        <v>63</v>
      </c>
      <c r="I6042" s="80" t="s">
        <v>63</v>
      </c>
      <c r="J6042" s="80">
        <v>3428.0</v>
      </c>
      <c r="K6042" s="80">
        <v>0.634932394887942</v>
      </c>
      <c r="L6042" s="80" t="s">
        <v>102</v>
      </c>
    </row>
    <row r="6043">
      <c r="A6043" s="80" t="s">
        <v>2766</v>
      </c>
      <c r="B6043" s="81" t="str">
        <f>HYPERLINK("https://www.youtube.com/channel/UCrZG5sGryxwgSDQSlHgmZTw", "GadgetGang HK")</f>
        <v>GadgetGang HK</v>
      </c>
      <c r="C6043" s="80" t="s">
        <v>6547</v>
      </c>
      <c r="D6043" s="81" t="str">
        <f>HYPERLINK("https://youtube.com/watch?v=Th4GNb85yCY", "新 iPad 第10代 藍色〡新 iPad Pro M2 12.9吋 第6代 〡開箱實測 新舊機對比〡2部新機新功能？〡上網 跑分 快咗幾多？〡冇 Lightning 點駁 Apple Pencil?")</f>
        <v>新 iPad 第10代 藍色〡新 iPad Pro M2 12.9吋 第6代 〡開箱實測 新舊機對比〡2部新機新功能？〡上網 跑分 快咗幾多？〡冇 Lightning 點駁 Apple Pencil?</v>
      </c>
      <c r="E6043" s="82">
        <v>44858.0</v>
      </c>
      <c r="F6043" s="80">
        <v>881.0</v>
      </c>
      <c r="G6043" s="80" t="s">
        <v>63</v>
      </c>
      <c r="I6043" s="80" t="s">
        <v>63</v>
      </c>
      <c r="J6043" s="80">
        <v>30.0</v>
      </c>
      <c r="K6043" s="80">
        <v>1.0</v>
      </c>
      <c r="L6043" s="80" t="s">
        <v>64</v>
      </c>
    </row>
    <row r="6044">
      <c r="A6044" s="80" t="s">
        <v>260</v>
      </c>
      <c r="B6044" s="81" t="str">
        <f>HYPERLINK("https://www.youtube.com/channel/UC-HXOikkLx7BGEfILGIpYOg", "港短 . 英移")</f>
        <v>港短 . 英移</v>
      </c>
      <c r="C6044" s="80" t="s">
        <v>6548</v>
      </c>
      <c r="D6044" s="81" t="str">
        <f>HYPERLINK("https://youtube.com/watch?v=L3qQBtUAdH0", "[移民英國感受] 英國移民一年多 分享我對英國菜的小小睇法 | 港短.英移 #英國食物 #英國生活")</f>
        <v>[移民英國感受] 英國移民一年多 分享我對英國菜的小小睇法 | 港短.英移 #英國食物 #英國生活</v>
      </c>
      <c r="E6044" s="82">
        <v>44876.0</v>
      </c>
      <c r="F6044" s="80">
        <v>554.0</v>
      </c>
      <c r="G6044" s="80" t="s">
        <v>63</v>
      </c>
      <c r="I6044" s="80" t="s">
        <v>63</v>
      </c>
      <c r="J6044" s="80">
        <v>2508.0</v>
      </c>
      <c r="K6044" s="80">
        <v>0.903458213256484</v>
      </c>
      <c r="L6044" s="80" t="s">
        <v>102</v>
      </c>
    </row>
    <row r="6045">
      <c r="A6045" s="80" t="s">
        <v>6236</v>
      </c>
      <c r="B6045" s="81" t="str">
        <f>HYPERLINK("https://www.youtube.com/channel/UCPMsgWJvrkEHE0OpIMtxyYQ", "Comfort鬆")</f>
        <v>Comfort鬆</v>
      </c>
      <c r="C6045" s="80" t="s">
        <v>6549</v>
      </c>
      <c r="D6045" s="81" t="str">
        <f>HYPERLINK("https://youtube.com/watch?v=Ngna8MMZryQ", "【街訪】同控制狂拍拖嘅血與淚｜XX嗰陣同朋友攬同錫都唔會嬲？｜IG密碼一定要上繳！")</f>
        <v>【街訪】同控制狂拍拖嘅血與淚｜XX嗰陣同朋友攬同錫都唔會嬲？｜IG密碼一定要上繳！</v>
      </c>
      <c r="E6045" s="82">
        <v>44841.0</v>
      </c>
      <c r="F6045" s="80">
        <v>387.0</v>
      </c>
      <c r="G6045" s="80" t="s">
        <v>63</v>
      </c>
      <c r="I6045" s="80" t="s">
        <v>63</v>
      </c>
      <c r="J6045" s="80">
        <v>1266.0</v>
      </c>
      <c r="K6045" s="80">
        <v>0.901067615658363</v>
      </c>
      <c r="L6045" s="80" t="s">
        <v>64</v>
      </c>
    </row>
    <row r="6046">
      <c r="A6046" s="80" t="s">
        <v>248</v>
      </c>
      <c r="B6046" s="81" t="str">
        <f t="shared" ref="B6046:B6047" si="344">HYPERLINK("https://www.youtube.com/channel/UCUEJok-GiWaGlv5nIPwk-GQ", "Price.com.hk 香港格價網")</f>
        <v>Price.com.hk 香港格價網</v>
      </c>
      <c r="C6046" s="80" t="s">
        <v>6550</v>
      </c>
      <c r="D6046" s="81" t="str">
        <f>HYPERLINK("https://youtube.com/watch?v=uEjUeGPdA-A", "3分鐘了解 Matter 智能家居買家必睇  新標準如何給你更多選擇 | Price Wiki EP1 | 廣東話")</f>
        <v>3分鐘了解 Matter 智能家居買家必睇  新標準如何給你更多選擇 | Price Wiki EP1 | 廣東話</v>
      </c>
      <c r="E6046" s="82">
        <v>44844.0</v>
      </c>
      <c r="F6046" s="80">
        <v>196.0</v>
      </c>
      <c r="G6046" s="80" t="s">
        <v>63</v>
      </c>
      <c r="I6046" s="80" t="s">
        <v>63</v>
      </c>
      <c r="J6046" s="80">
        <v>683.0</v>
      </c>
      <c r="K6046" s="80">
        <v>0.732832618025751</v>
      </c>
      <c r="L6046" s="80" t="s">
        <v>64</v>
      </c>
    </row>
    <row r="6047">
      <c r="A6047" s="80" t="s">
        <v>248</v>
      </c>
      <c r="B6047" s="81" t="str">
        <f t="shared" si="344"/>
        <v>Price.com.hk 香港格價網</v>
      </c>
      <c r="C6047" s="80" t="s">
        <v>6551</v>
      </c>
      <c r="D6047" s="81" t="str">
        <f>HYPERLINK("https://youtube.com/watch?v=9D1_DX-otk0", "A3打印、快速列印、MAXIDRIVE專利技術！Brother MFCJ3940DW多功能噴墨打印機｜特約專題【Price.com.hk產品評測】")</f>
        <v>A3打印、快速列印、MAXIDRIVE專利技術！Brother MFCJ3940DW多功能噴墨打印機｜特約專題【Price.com.hk產品評測】</v>
      </c>
      <c r="E6047" s="82">
        <v>44851.0</v>
      </c>
      <c r="F6047" s="80">
        <v>323.0</v>
      </c>
      <c r="G6047" s="80" t="s">
        <v>63</v>
      </c>
      <c r="I6047" s="80" t="s">
        <v>63</v>
      </c>
      <c r="J6047" s="80">
        <v>1067.0</v>
      </c>
      <c r="K6047" s="80">
        <v>0.763233190271816</v>
      </c>
      <c r="L6047" s="80" t="s">
        <v>64</v>
      </c>
    </row>
    <row r="6048">
      <c r="A6048" s="80" t="s">
        <v>2766</v>
      </c>
      <c r="B6048" s="81" t="str">
        <f>HYPERLINK("https://www.youtube.com/channel/UCrZG5sGryxwgSDQSlHgmZTw", "GadgetGang HK")</f>
        <v>GadgetGang HK</v>
      </c>
      <c r="C6048" s="80" t="s">
        <v>6552</v>
      </c>
      <c r="D6048" s="81" t="str">
        <f>HYPERLINK("https://youtube.com/watch?v=jMVI3Vqqk4o", "【毒遊韓國】一個人去首爾睇BLACKPINK 去Rosé間Salon剪oppa頭│2022年首爾新景點推介：文來洞+鷺得島 (ft. 金鈴 @Ling Cheng)")</f>
        <v>【毒遊韓國】一個人去首爾睇BLACKPINK 去Rosé間Salon剪oppa頭│2022年首爾新景點推介：文來洞+鷺得島 (ft. 金鈴 @Ling Cheng)</v>
      </c>
      <c r="E6048" s="82">
        <v>44873.0</v>
      </c>
      <c r="F6048" s="80">
        <v>998.0</v>
      </c>
      <c r="G6048" s="80" t="s">
        <v>63</v>
      </c>
      <c r="I6048" s="80" t="s">
        <v>63</v>
      </c>
      <c r="J6048" s="80">
        <v>3386.0</v>
      </c>
      <c r="K6048" s="80">
        <v>0.794649143393569</v>
      </c>
      <c r="L6048" s="80" t="s">
        <v>64</v>
      </c>
    </row>
    <row r="6049">
      <c r="A6049" s="80" t="s">
        <v>274</v>
      </c>
      <c r="B6049" s="81" t="str">
        <f>HYPERLINK("https://www.youtube.com/channel/UC2oB9QCXs-RKtaKChrz4dKg", "MtzCherry")</f>
        <v>MtzCherry</v>
      </c>
      <c r="C6049" s="80" t="s">
        <v>6553</v>
      </c>
      <c r="D6049" s="81" t="str">
        <f>HYPERLINK("https://youtube.com/watch?v=okcgxL-UrEc", "[CANTO/EN sub] 🇰🇷首爾VLOG EP2: 去韓屋cafe 🍞 租韓服去昌德宮睇紅葉 🍁 1萬won嘅平民米芝蓮韓式拌飯 😋 N Seoul Tower 有得睇夜景嘅廁所！")</f>
        <v>[CANTO/EN sub] 🇰🇷首爾VLOG EP2: 去韓屋cafe 🍞 租韓服去昌德宮睇紅葉 🍁 1萬won嘅平民米芝蓮韓式拌飯 😋 N Seoul Tower 有得睇夜景嘅廁所！</v>
      </c>
      <c r="E6049" s="82">
        <v>44892.0</v>
      </c>
      <c r="F6049" s="80">
        <v>399.0</v>
      </c>
      <c r="G6049" s="80" t="s">
        <v>63</v>
      </c>
      <c r="I6049" s="80" t="s">
        <v>63</v>
      </c>
      <c r="J6049" s="80">
        <v>1147.0</v>
      </c>
      <c r="K6049" s="80">
        <v>0.868281604844814</v>
      </c>
      <c r="L6049" s="80" t="s">
        <v>439</v>
      </c>
    </row>
    <row r="6050">
      <c r="A6050" s="80" t="s">
        <v>2766</v>
      </c>
      <c r="B6050" s="81" t="str">
        <f>HYPERLINK("https://www.youtube.com/channel/UCrZG5sGryxwgSDQSlHgmZTw", "GadgetGang HK")</f>
        <v>GadgetGang HK</v>
      </c>
      <c r="C6050" s="80" t="s">
        <v>6554</v>
      </c>
      <c r="D6050" s="81" t="str">
        <f>HYPERLINK("https://youtube.com/watch?v=KmZyXfkS6aY", "科技新G〡iPhone年度最佳App係創新版ig《BeReal》你有冇玩過？〡〡實試OM5 M43仲值得買？〡一齊睇《大海賊時代！亞洲巡迴展》〡實試Breville新咖啡機〡高科技超強膠布新發明")</f>
        <v>科技新G〡iPhone年度最佳App係創新版ig《BeReal》你有冇玩過？〡〡實試OM5 M43仲值得買？〡一齊睇《大海賊時代！亞洲巡迴展》〡實試Breville新咖啡機〡高科技超強膠布新發明</v>
      </c>
      <c r="E6050" s="82">
        <v>44899.0</v>
      </c>
      <c r="F6050" s="80">
        <v>757.0</v>
      </c>
      <c r="G6050" s="80" t="s">
        <v>63</v>
      </c>
      <c r="I6050" s="80" t="s">
        <v>63</v>
      </c>
      <c r="J6050" s="80">
        <v>2817.0</v>
      </c>
      <c r="K6050" s="80">
        <v>0.865437788018433</v>
      </c>
      <c r="L6050" s="80" t="s">
        <v>64</v>
      </c>
    </row>
    <row r="6051">
      <c r="A6051" s="80" t="s">
        <v>293</v>
      </c>
      <c r="B6051" s="81" t="str">
        <f>HYPERLINK("https://www.youtube.com/channel/UCXRcbXqjORdIvl63I7MtOLQ", "趁熱 Kerry 's kitchen")</f>
        <v>趁熱 Kerry 's kitchen</v>
      </c>
      <c r="C6051" s="80" t="s">
        <v>6555</v>
      </c>
      <c r="D6051" s="81" t="str">
        <f>HYPERLINK("https://youtube.com/watch?v=PfddTWcFac4", "薑燒魚柳/急凍無骨魚柳做法/不用炸//老友記小朋友至愛/新手 入門/廣東話/中字/多種語言提供.打開cc字幕 然後右邊設定 按自動翻譯 選擇需要的語言fish fillet recipe")</f>
        <v>薑燒魚柳/急凍無骨魚柳做法/不用炸//老友記小朋友至愛/新手 入門/廣東話/中字/多種語言提供.打開cc字幕 然後右邊設定 按自動翻譯 選擇需要的語言fish fillet recipe</v>
      </c>
      <c r="E6051" s="82">
        <v>44888.0</v>
      </c>
      <c r="F6051" s="80">
        <v>579.0</v>
      </c>
      <c r="G6051" s="80" t="s">
        <v>63</v>
      </c>
      <c r="I6051" s="80" t="s">
        <v>63</v>
      </c>
      <c r="J6051" s="80">
        <v>1769.0</v>
      </c>
      <c r="K6051" s="80">
        <v>0.981142540210759</v>
      </c>
      <c r="L6051" s="80" t="s">
        <v>64</v>
      </c>
    </row>
    <row r="6052">
      <c r="A6052" s="80" t="s">
        <v>755</v>
      </c>
      <c r="B6052" s="81" t="str">
        <f>HYPERLINK("https://www.youtube.com/channel/UCBiJDTc82IM68KVH873VeAw", "Live in Kwangsi廣西人·情·味")</f>
        <v>Live in Kwangsi廣西人·情·味</v>
      </c>
      <c r="C6052" s="80" t="s">
        <v>6556</v>
      </c>
      <c r="D6052" s="81" t="str">
        <f>HYPERLINK("https://youtube.com/watch?v=cJ6Yy_b9YMA", "梧州市夏郢鎮鎮安村秋色掠影｜廣西美景 20221022")</f>
        <v>梧州市夏郢鎮鎮安村秋色掠影｜廣西美景 20221022</v>
      </c>
      <c r="E6052" s="82">
        <v>44867.0</v>
      </c>
      <c r="F6052" s="80">
        <v>440.0</v>
      </c>
      <c r="G6052" s="80" t="s">
        <v>63</v>
      </c>
      <c r="I6052" s="80" t="s">
        <v>63</v>
      </c>
      <c r="J6052" s="80">
        <v>114.0</v>
      </c>
      <c r="K6052" s="80">
        <v>1.0</v>
      </c>
      <c r="L6052" s="80" t="s">
        <v>757</v>
      </c>
    </row>
    <row r="6053">
      <c r="A6053" s="80" t="s">
        <v>6236</v>
      </c>
      <c r="B6053" s="81" t="str">
        <f>HYPERLINK("https://www.youtube.com/channel/UCPMsgWJvrkEHE0OpIMtxyYQ", "Comfort鬆")</f>
        <v>Comfort鬆</v>
      </c>
      <c r="C6053" s="80" t="s">
        <v>6557</v>
      </c>
      <c r="D6053" s="81" t="str">
        <f>HYPERLINK("https://youtube.com/watch?v=lA9FBjhDf4Q", "【偽街訪】Halloween低成本Cosplay嚇路人｜親身經歷靈異事件？｜現實上演Toy Story？！")</f>
        <v>【偽街訪】Halloween低成本Cosplay嚇路人｜親身經歷靈異事件？｜現實上演Toy Story？！</v>
      </c>
      <c r="E6053" s="82">
        <v>44855.0</v>
      </c>
      <c r="F6053" s="80">
        <v>329.0</v>
      </c>
      <c r="G6053" s="80" t="s">
        <v>63</v>
      </c>
      <c r="I6053" s="80" t="s">
        <v>63</v>
      </c>
      <c r="J6053" s="80">
        <v>1140.0</v>
      </c>
      <c r="K6053" s="80">
        <v>0.901898734177215</v>
      </c>
      <c r="L6053" s="80" t="s">
        <v>64</v>
      </c>
    </row>
    <row r="6054">
      <c r="A6054" s="80" t="s">
        <v>140</v>
      </c>
      <c r="B6054" s="81" t="str">
        <f>HYPERLINK("https://www.youtube.com/channel/UCHK0CZf9HEXs42qIO1GUouA", "TechiCardia")</f>
        <v>TechiCardia</v>
      </c>
      <c r="C6054" s="80" t="s">
        <v>6558</v>
      </c>
      <c r="D6054" s="81" t="str">
        <f>HYPERLINK("https://youtube.com/watch?v=PVnpPZG00xc", "平價 ITX 機箱簡單開箱試玩！竟然比NR200P更好？！😱 | YT 5萬訂閱都可以有牌？點得到的？//4K 【TechiCardia】[CC廣東話字幕] @PoorGuysTech")</f>
        <v>平價 ITX 機箱簡單開箱試玩！竟然比NR200P更好？！😱 | YT 5萬訂閱都可以有牌？點得到的？//4K 【TechiCardia】[CC廣東話字幕] @PoorGuysTech</v>
      </c>
      <c r="E6054" s="82">
        <v>44906.0</v>
      </c>
      <c r="F6054" s="80">
        <v>578.0</v>
      </c>
      <c r="G6054" s="80" t="s">
        <v>63</v>
      </c>
      <c r="I6054" s="80" t="s">
        <v>63</v>
      </c>
      <c r="J6054" s="80">
        <v>1801.0</v>
      </c>
      <c r="K6054" s="80">
        <v>0.774623655913978</v>
      </c>
      <c r="L6054" s="80" t="s">
        <v>102</v>
      </c>
    </row>
    <row r="6055">
      <c r="A6055" s="80" t="s">
        <v>248</v>
      </c>
      <c r="B6055" s="81" t="str">
        <f>HYPERLINK("https://www.youtube.com/channel/UCUEJok-GiWaGlv5nIPwk-GQ", "Price.com.hk 香港格價網")</f>
        <v>Price.com.hk 香港格價網</v>
      </c>
      <c r="C6055" s="80" t="s">
        <v>6559</v>
      </c>
      <c r="D6055" s="81" t="str">
        <f>HYPERLINK("https://youtube.com/watch?v=ZTPpSHSeP4Q", "「Made by Google」發佈會懶人包・ iPhone撞車偵測揭發車禍・Apple 2024 年需棄用 Lightning | 廣東話【Price Weekly #135 2022年10月 】")</f>
        <v>「Made by Google」發佈會懶人包・ iPhone撞車偵測揭發車禍・Apple 2024 年需棄用 Lightning | 廣東話【Price Weekly #135 2022年10月 】</v>
      </c>
      <c r="E6055" s="82">
        <v>44842.0</v>
      </c>
      <c r="F6055" s="80">
        <v>697.0</v>
      </c>
      <c r="G6055" s="80" t="s">
        <v>63</v>
      </c>
      <c r="I6055" s="80" t="s">
        <v>63</v>
      </c>
      <c r="J6055" s="80">
        <v>2335.0</v>
      </c>
      <c r="K6055" s="80">
        <v>0.752740167633784</v>
      </c>
      <c r="L6055" s="80" t="s">
        <v>64</v>
      </c>
    </row>
    <row r="6056">
      <c r="A6056" s="80" t="s">
        <v>1492</v>
      </c>
      <c r="B6056" s="81" t="str">
        <f>HYPERLINK("https://www.youtube.com/channel/UCTo1EIcKtkDYqiUqs4v_NlA", "【常公子】頻道TV - 中文中史歷史哲學")</f>
        <v>【常公子】頻道TV - 中文中史歷史哲學</v>
      </c>
      <c r="C6056" s="80" t="s">
        <v>6560</v>
      </c>
      <c r="D6056" s="81" t="str">
        <f>HYPERLINK("https://youtube.com/watch?v=K8Bo7wf4cB4", "【常威近代史】第五百零五回南昌暴動")</f>
        <v>【常威近代史】第五百零五回南昌暴動</v>
      </c>
      <c r="E6056" s="82">
        <v>44856.0</v>
      </c>
      <c r="F6056" s="80">
        <v>601.0</v>
      </c>
      <c r="G6056" s="80" t="s">
        <v>63</v>
      </c>
      <c r="I6056" s="80" t="s">
        <v>63</v>
      </c>
      <c r="J6056" s="80">
        <v>1473.0</v>
      </c>
      <c r="K6056" s="80">
        <v>0.986604152712659</v>
      </c>
      <c r="L6056" s="80" t="s">
        <v>64</v>
      </c>
    </row>
    <row r="6057">
      <c r="A6057" s="80" t="s">
        <v>238</v>
      </c>
      <c r="B6057" s="81" t="str">
        <f>HYPERLINK("https://www.youtube.com/channel/UCSBkm4LwpgBmcA3MCtO8vqg", "Post76影音玩樂")</f>
        <v>Post76影音玩樂</v>
      </c>
      <c r="C6057" s="80" t="s">
        <v>6561</v>
      </c>
      <c r="D6057" s="81" t="str">
        <f>HYPERLINK("https://youtube.com/watch?v=8uISwvuLwjw", "Toshiba M550LK QLED 4K TV 實試：$5,290 輕鬆入手 QLED量子點電視  注入 Dolby Vision 加持！黑位有驚喜 !? （附設cc字幕）| 電視評測")</f>
        <v>Toshiba M550LK QLED 4K TV 實試：$5,290 輕鬆入手 QLED量子點電視  注入 Dolby Vision 加持！黑位有驚喜 !? （附設cc字幕）| 電視評測</v>
      </c>
      <c r="E6057" s="82">
        <v>44881.0</v>
      </c>
      <c r="F6057" s="80">
        <v>1006.0</v>
      </c>
      <c r="G6057" s="80" t="s">
        <v>63</v>
      </c>
      <c r="I6057" s="80" t="s">
        <v>63</v>
      </c>
      <c r="J6057" s="80">
        <v>3554.0</v>
      </c>
      <c r="K6057" s="80">
        <v>0.808462238398544</v>
      </c>
      <c r="L6057" s="80" t="s">
        <v>64</v>
      </c>
    </row>
    <row r="6058">
      <c r="A6058" s="80" t="s">
        <v>74</v>
      </c>
      <c r="B6058" s="81" t="str">
        <f>HYPERLINK("https://www.youtube.com/channel/UCO_5XP-qd-udNxBlzzSzgvw", "Handline Fishing")</f>
        <v>Handline Fishing</v>
      </c>
      <c r="C6058" s="80" t="s">
        <v>6562</v>
      </c>
      <c r="D6058" s="81" t="str">
        <f>HYPERLINK("https://youtube.com/watch?v=rSQ-tE1xXJE", "#303 黃勒？！藍瓜子？！出現意想不到的驚喜！| 香港釣魚 | 艇釣 | 汀九四匹仔 {粵語旁白}")</f>
        <v>#303 黃勒？！藍瓜子？！出現意想不到的驚喜！| 香港釣魚 | 艇釣 | 汀九四匹仔 {粵語旁白}</v>
      </c>
      <c r="E6058" s="82">
        <v>44867.0</v>
      </c>
      <c r="F6058" s="80">
        <v>483.0</v>
      </c>
      <c r="G6058" s="80" t="s">
        <v>63</v>
      </c>
      <c r="I6058" s="80" t="s">
        <v>63</v>
      </c>
      <c r="J6058" s="80">
        <v>384.0</v>
      </c>
      <c r="K6058" s="80">
        <v>0.925301204819277</v>
      </c>
      <c r="L6058" s="80" t="s">
        <v>102</v>
      </c>
    </row>
    <row r="6059">
      <c r="A6059" s="80" t="s">
        <v>2761</v>
      </c>
      <c r="B6059" s="81" t="str">
        <f>HYPERLINK("https://www.youtube.com/channel/UCr_L9cZdbBU_XDsKDHBBlew", "am730")</f>
        <v>am730</v>
      </c>
      <c r="C6059" s="80" t="s">
        <v>6563</v>
      </c>
      <c r="D6059" s="81" t="str">
        <f>HYPERLINK("https://youtube.com/watch?v=VaC4jtuza1Y", "靈異丨香港02：靈靈7勇救AV女 第二集 丨小紅帽聲音專欄")</f>
        <v>靈異丨香港02：靈靈7勇救AV女 第二集 丨小紅帽聲音專欄</v>
      </c>
      <c r="E6059" s="82">
        <v>44914.0</v>
      </c>
      <c r="F6059" s="80">
        <v>286.0</v>
      </c>
      <c r="G6059" s="80" t="s">
        <v>63</v>
      </c>
      <c r="I6059" s="80" t="s">
        <v>63</v>
      </c>
      <c r="J6059" s="80">
        <v>994.0</v>
      </c>
      <c r="K6059" s="80">
        <v>0.99003984063745</v>
      </c>
      <c r="L6059" s="80" t="s">
        <v>91</v>
      </c>
    </row>
    <row r="6060">
      <c r="A6060" s="80" t="s">
        <v>74</v>
      </c>
      <c r="B6060" s="81" t="str">
        <f>HYPERLINK("https://www.youtube.com/channel/UCO_5XP-qd-udNxBlzzSzgvw", "Handline Fishing")</f>
        <v>Handline Fishing</v>
      </c>
      <c r="C6060" s="80" t="s">
        <v>6564</v>
      </c>
      <c r="D6060" s="81" t="str">
        <f>HYPERLINK("https://youtube.com/watch?v=rIO1PUu1oJM", "#301 今日再去阿Roy 主場 | 香港釣魚 | 艇釣 | 汀九四匹仔 {粵語旁白}")</f>
        <v>#301 今日再去阿Roy 主場 | 香港釣魚 | 艇釣 | 汀九四匹仔 {粵語旁白}</v>
      </c>
      <c r="E6060" s="82">
        <v>44843.0</v>
      </c>
      <c r="F6060" s="80">
        <v>344.0</v>
      </c>
      <c r="G6060" s="80" t="s">
        <v>63</v>
      </c>
      <c r="I6060" s="80" t="s">
        <v>63</v>
      </c>
      <c r="J6060" s="80">
        <v>232.0</v>
      </c>
      <c r="K6060" s="80">
        <v>0.872180451127819</v>
      </c>
      <c r="L6060" s="80" t="s">
        <v>102</v>
      </c>
    </row>
    <row r="6061">
      <c r="A6061" s="80" t="s">
        <v>1390</v>
      </c>
      <c r="B6061" s="81" t="str">
        <f>HYPERLINK("https://www.youtube.com/channel/UCgwEJflQi4WnZ8PU0xdibZQ", "Kinson Ho")</f>
        <v>Kinson Ho</v>
      </c>
      <c r="C6061" s="80" t="s">
        <v>6565</v>
      </c>
      <c r="D6061" s="81" t="str">
        <f>HYPERLINK("https://youtube.com/watch?v=6o7rhLhr3mM", "K神任我行 -  [CC字幕4K]  牛尾洲｜獨木舟環島｜牛頭排｜大王灣｜幽廊秘洞｜西牛眼洞｜牛鼻㝫｜牛肚洞｜浮潛睇珊瑚")</f>
        <v>K神任我行 -  [CC字幕4K]  牛尾洲｜獨木舟環島｜牛頭排｜大王灣｜幽廊秘洞｜西牛眼洞｜牛鼻㝫｜牛肚洞｜浮潛睇珊瑚</v>
      </c>
      <c r="E6061" s="82">
        <v>44829.0</v>
      </c>
      <c r="F6061" s="80">
        <v>805.0</v>
      </c>
      <c r="G6061" s="80" t="s">
        <v>63</v>
      </c>
      <c r="I6061" s="80" t="s">
        <v>63</v>
      </c>
      <c r="J6061" s="80">
        <v>611.0</v>
      </c>
      <c r="K6061" s="80">
        <v>0.991883116883116</v>
      </c>
      <c r="L6061" s="80" t="s">
        <v>64</v>
      </c>
    </row>
    <row r="6062">
      <c r="A6062" s="80" t="s">
        <v>124</v>
      </c>
      <c r="B6062" s="81" t="str">
        <f>HYPERLINK("https://www.youtube.com/channel/UCg0vuSE0fBF_NvodyYhMcWg", "Wallace Studio HK")</f>
        <v>Wallace Studio HK</v>
      </c>
      <c r="C6062" s="80" t="s">
        <v>6566</v>
      </c>
      <c r="D6062" s="81" t="str">
        <f>HYPERLINK("https://youtube.com/watch?v=7w92y0ImP9s", "iPad Air 5 2022 鍵盤橫評! Magic Keyboard vs Smart Keyboard vs Logitech Folio Touch vs 副廠副芽鍵盤!")</f>
        <v>iPad Air 5 2022 鍵盤橫評! Magic Keyboard vs Smart Keyboard vs Logitech Folio Touch vs 副廠副芽鍵盤!</v>
      </c>
      <c r="E6062" s="82">
        <v>44906.0</v>
      </c>
      <c r="F6062" s="80">
        <v>519.0</v>
      </c>
      <c r="G6062" s="80" t="s">
        <v>63</v>
      </c>
      <c r="H6062" s="80" t="s">
        <v>63</v>
      </c>
      <c r="I6062" s="80" t="s">
        <v>63</v>
      </c>
      <c r="J6062" s="80">
        <v>2204.0</v>
      </c>
      <c r="K6062" s="80">
        <v>0.762442640310624</v>
      </c>
      <c r="L6062" s="80" t="s">
        <v>86</v>
      </c>
    </row>
    <row r="6063">
      <c r="A6063" s="80" t="s">
        <v>217</v>
      </c>
      <c r="B6063" s="81" t="str">
        <f>HYPERLINK("https://www.youtube.com/channel/UCXKg0qPRz32bs5Z4mTGF3TQ", "Stormtrooper白兵")</f>
        <v>Stormtrooper白兵</v>
      </c>
      <c r="C6063" s="80" t="s">
        <v>6567</v>
      </c>
      <c r="D6063" s="81" t="str">
        <f>HYPERLINK("https://youtube.com/watch?v=lFvTm0KEu8w", "[懶人包]收稅的哲學｜收煙稅能否減少煙民數量？｜人有傷害自己的權利嗎？")</f>
        <v>[懶人包]收稅的哲學｜收煙稅能否減少煙民數量？｜人有傷害自己的權利嗎？</v>
      </c>
      <c r="E6063" s="82">
        <v>44859.0</v>
      </c>
      <c r="F6063" s="80">
        <v>752.0</v>
      </c>
      <c r="G6063" s="80" t="s">
        <v>63</v>
      </c>
      <c r="I6063" s="80" t="s">
        <v>63</v>
      </c>
      <c r="J6063" s="80">
        <v>3177.0</v>
      </c>
      <c r="K6063" s="80">
        <v>0.977237772992925</v>
      </c>
      <c r="L6063" s="80" t="s">
        <v>64</v>
      </c>
    </row>
    <row r="6064">
      <c r="A6064" s="80" t="s">
        <v>755</v>
      </c>
      <c r="B6064" s="81" t="str">
        <f>HYPERLINK("https://www.youtube.com/channel/UCBiJDTc82IM68KVH873VeAw", "Live in Kwangsi廣西人·情·味")</f>
        <v>Live in Kwangsi廣西人·情·味</v>
      </c>
      <c r="C6064" s="80" t="s">
        <v>6568</v>
      </c>
      <c r="D6064" s="81" t="str">
        <f>HYPERLINK("https://youtube.com/watch?v=la_Jo7Su1yY", "喺梧州揸車🚗記錄下 龍魚大轉盤→梅西→市政廣場→西餐廳 20221030")</f>
        <v>喺梧州揸車🚗記錄下 龍魚大轉盤→梅西→市政廣場→西餐廳 20221030</v>
      </c>
      <c r="E6064" s="82">
        <v>44865.0</v>
      </c>
      <c r="F6064" s="80">
        <v>542.0</v>
      </c>
      <c r="G6064" s="80" t="s">
        <v>63</v>
      </c>
      <c r="I6064" s="80" t="s">
        <v>63</v>
      </c>
      <c r="J6064" s="80">
        <v>123.0</v>
      </c>
      <c r="K6064" s="80">
        <v>0.946153846153846</v>
      </c>
      <c r="L6064" s="80" t="s">
        <v>757</v>
      </c>
    </row>
    <row r="6065">
      <c r="A6065" s="80" t="s">
        <v>124</v>
      </c>
      <c r="B6065" s="81" t="str">
        <f>HYPERLINK("https://www.youtube.com/channel/UCg0vuSE0fBF_NvodyYhMcWg", "Wallace Studio HK")</f>
        <v>Wallace Studio HK</v>
      </c>
      <c r="C6065" s="80" t="s">
        <v>6569</v>
      </c>
      <c r="D6065" s="81" t="str">
        <f>HYPERLINK("https://youtube.com/watch?v=9kWYPiIsThw", "Microsoft Surface 2022 發佈會! 失望! Microsoft 幾時先生性? ｜ Surface Pro ９，Surface Laptop 5，Surface Studio 2 +")</f>
        <v>Microsoft Surface 2022 發佈會! 失望! Microsoft 幾時先生性? ｜ Surface Pro ９，Surface Laptop 5，Surface Studio 2 +</v>
      </c>
      <c r="E6065" s="82">
        <v>44871.0</v>
      </c>
      <c r="F6065" s="80">
        <v>455.0</v>
      </c>
      <c r="G6065" s="80" t="s">
        <v>63</v>
      </c>
      <c r="H6065" s="80" t="s">
        <v>63</v>
      </c>
      <c r="I6065" s="80" t="s">
        <v>63</v>
      </c>
      <c r="J6065" s="80">
        <v>1585.0</v>
      </c>
      <c r="K6065" s="80">
        <v>0.714801444043321</v>
      </c>
      <c r="L6065" s="80" t="s">
        <v>86</v>
      </c>
    </row>
    <row r="6066">
      <c r="A6066" s="80" t="s">
        <v>248</v>
      </c>
      <c r="B6066" s="81" t="str">
        <f>HYPERLINK("https://www.youtube.com/channel/UCUEJok-GiWaGlv5nIPwk-GQ", "Price.com.hk 香港格價網")</f>
        <v>Price.com.hk 香港格價網</v>
      </c>
      <c r="C6066" s="80" t="s">
        <v>6570</v>
      </c>
      <c r="D6066" s="81" t="str">
        <f>HYPERLINK("https://youtube.com/watch?v=nlzPyjjnZPI", "ASUS ROG Phone 6D Ultimate 實測降溫效能、 全新天璣9000+處理器表現｜電競手機｜廣東話｜手機評測 | 中文字幕【Price.com.hk產品開箱】")</f>
        <v>ASUS ROG Phone 6D Ultimate 實測降溫效能、 全新天璣9000+處理器表現｜電競手機｜廣東話｜手機評測 | 中文字幕【Price.com.hk產品開箱】</v>
      </c>
      <c r="E6066" s="82">
        <v>44869.0</v>
      </c>
      <c r="F6066" s="80">
        <v>422.0</v>
      </c>
      <c r="G6066" s="80" t="s">
        <v>63</v>
      </c>
      <c r="I6066" s="80" t="s">
        <v>63</v>
      </c>
      <c r="J6066" s="80">
        <v>1240.0</v>
      </c>
      <c r="K6066" s="80">
        <v>0.764488286066584</v>
      </c>
      <c r="L6066" s="80" t="s">
        <v>64</v>
      </c>
    </row>
    <row r="6067">
      <c r="A6067" s="80" t="s">
        <v>217</v>
      </c>
      <c r="B6067" s="81" t="str">
        <f>HYPERLINK("https://www.youtube.com/channel/UCXKg0qPRz32bs5Z4mTGF3TQ", "Stormtrooper白兵")</f>
        <v>Stormtrooper白兵</v>
      </c>
      <c r="C6067" s="80" t="s">
        <v>6571</v>
      </c>
      <c r="D6067" s="81" t="str">
        <f>HYPERLINK("https://youtube.com/watch?v=Uxl0KUKyq_I", "[政治隱喻]擊敗銀河帝國的說明書｜帝國不惜震動整個銀河系，只為得到你手上的一樣野？｜粵語中字")</f>
        <v>[政治隱喻]擊敗銀河帝國的說明書｜帝國不惜震動整個銀河系，只為得到你手上的一樣野？｜粵語中字</v>
      </c>
      <c r="E6067" s="82">
        <v>44896.0</v>
      </c>
      <c r="F6067" s="80">
        <v>846.0</v>
      </c>
      <c r="G6067" s="80" t="s">
        <v>63</v>
      </c>
      <c r="I6067" s="80" t="s">
        <v>63</v>
      </c>
      <c r="J6067" s="80">
        <v>3129.0</v>
      </c>
      <c r="K6067" s="80">
        <v>0.950197388399635</v>
      </c>
      <c r="L6067" s="80" t="s">
        <v>64</v>
      </c>
    </row>
    <row r="6068">
      <c r="A6068" s="80" t="s">
        <v>1594</v>
      </c>
      <c r="B6068" s="81" t="str">
        <f>HYPERLINK("https://www.youtube.com/channel/UCUtm1awT2EO9D7uJ2OlMcTQ", "黐住這一家 Sticky Love Family")</f>
        <v>黐住這一家 Sticky Love Family</v>
      </c>
      <c r="C6068" s="80" t="s">
        <v>6572</v>
      </c>
      <c r="D6068" s="81" t="str">
        <f>HYPERLINK("https://youtube.com/watch?v=laf6K8U5zNY", "【黐住玩，一齊學👦🏻🧒🏻】如何沈浸式學英文？一齊開箱試玩❝迪士尼美語世界學習系統❞！[粵繁簡字幕 ]")</f>
        <v>【黐住玩，一齊學👦🏻🧒🏻】如何沈浸式學英文？一齊開箱試玩❝迪士尼美語世界學習系統❞！[粵繁簡字幕 ]</v>
      </c>
      <c r="E6068" s="82">
        <v>44852.0</v>
      </c>
      <c r="F6068" s="80">
        <v>351.0</v>
      </c>
      <c r="G6068" s="80" t="s">
        <v>63</v>
      </c>
      <c r="H6068" s="80" t="s">
        <v>63</v>
      </c>
      <c r="I6068" s="80" t="s">
        <v>63</v>
      </c>
      <c r="J6068" s="80">
        <v>849.0</v>
      </c>
      <c r="K6068" s="80">
        <v>0.800817160367722</v>
      </c>
      <c r="L6068" s="80" t="s">
        <v>6573</v>
      </c>
    </row>
    <row r="6069">
      <c r="A6069" s="80" t="s">
        <v>755</v>
      </c>
      <c r="B6069" s="81" t="str">
        <f>HYPERLINK("https://www.youtube.com/channel/UCBiJDTc82IM68KVH873VeAw", "Live in Kwangsi廣西人·情·味")</f>
        <v>Live in Kwangsi廣西人·情·味</v>
      </c>
      <c r="C6069" s="80" t="s">
        <v>6574</v>
      </c>
      <c r="D6069" s="81" t="str">
        <f>HYPERLINK("https://youtube.com/watch?v=yTXCvHD_rgs", "欽州老街掠影｜廣西日常實拍 20221002")</f>
        <v>欽州老街掠影｜廣西日常實拍 20221002</v>
      </c>
      <c r="E6069" s="82">
        <v>44850.0</v>
      </c>
      <c r="F6069" s="80">
        <v>753.0</v>
      </c>
      <c r="G6069" s="80" t="s">
        <v>63</v>
      </c>
      <c r="I6069" s="80" t="s">
        <v>63</v>
      </c>
      <c r="J6069" s="80">
        <v>397.0</v>
      </c>
      <c r="K6069" s="80">
        <v>0.997487437185929</v>
      </c>
      <c r="L6069" s="80" t="s">
        <v>757</v>
      </c>
    </row>
    <row r="6070">
      <c r="A6070" s="80" t="s">
        <v>588</v>
      </c>
      <c r="B6070" s="81" t="str">
        <f>HYPERLINK("https://www.youtube.com/channel/UCaJ77iWZ8galtePlS_BtEKw", "西DorSi偽中產生活態度")</f>
        <v>西DorSi偽中產生活態度</v>
      </c>
      <c r="C6070" s="80" t="s">
        <v>6575</v>
      </c>
      <c r="D6070" s="81" t="str">
        <f>HYPERLINK("https://youtube.com/watch?v=VuoUrE0JQ2I", "[偽中產遊杭州] 誤入個名好得意嘅餐廳🙈 好有驚喜嘅乾炒牛河味湯麵😍 「武林」博物館有乜睇？")</f>
        <v>[偽中產遊杭州] 誤入個名好得意嘅餐廳🙈 好有驚喜嘅乾炒牛河味湯麵😍 「武林」博物館有乜睇？</v>
      </c>
      <c r="E6070" s="82">
        <v>44849.0</v>
      </c>
      <c r="F6070" s="80">
        <v>543.0</v>
      </c>
      <c r="G6070" s="80" t="s">
        <v>63</v>
      </c>
      <c r="I6070" s="80" t="s">
        <v>63</v>
      </c>
      <c r="J6070" s="80">
        <v>1829.0</v>
      </c>
      <c r="K6070" s="80">
        <v>0.978598180845371</v>
      </c>
      <c r="L6070" s="80" t="s">
        <v>64</v>
      </c>
    </row>
    <row r="6071">
      <c r="A6071" s="80" t="s">
        <v>2841</v>
      </c>
      <c r="B6071" s="81" t="str">
        <f>HYPERLINK("https://www.youtube.com/channel/UCBYGm7Iz6ck8jeno5AFiriw", "Seafront TV")</f>
        <v>Seafront TV</v>
      </c>
      <c r="C6071" s="80" t="s">
        <v>6576</v>
      </c>
      <c r="D6071" s="81" t="str">
        <f>HYPERLINK("https://youtube.com/watch?v=MpUpwkaFhhU", "【輕鬆過3  每年仲有5萬獎學金？FG月薪竟然可以高過Banker？】中大文學士（英國語文研究）及教育學士（英國語文教育） CUHK Eng Edu| #大學Major系列 Seafront TV🌊")</f>
        <v>【輕鬆過3  每年仲有5萬獎學金？FG月薪竟然可以高過Banker？】中大文學士（英國語文研究）及教育學士（英國語文教育） CUHK Eng Edu| #大學Major系列 Seafront TV🌊</v>
      </c>
      <c r="E6071" s="82">
        <v>44835.0</v>
      </c>
      <c r="F6071" s="80">
        <v>1062.0</v>
      </c>
      <c r="G6071" s="80" t="s">
        <v>63</v>
      </c>
      <c r="I6071" s="80" t="s">
        <v>63</v>
      </c>
      <c r="J6071" s="80">
        <v>3747.0</v>
      </c>
      <c r="K6071" s="80">
        <v>0.695692536204975</v>
      </c>
      <c r="L6071" s="80" t="s">
        <v>102</v>
      </c>
    </row>
    <row r="6072">
      <c r="A6072" s="80" t="s">
        <v>3139</v>
      </c>
      <c r="B6072" s="81" t="str">
        <f>HYPERLINK("https://www.youtube.com/channel/UCThO2xnH7XMg6plE8OgJm_w", "choyuen草原")</f>
        <v>choyuen草原</v>
      </c>
      <c r="C6072" s="80" t="s">
        <v>6577</v>
      </c>
      <c r="D6072" s="81" t="str">
        <f>HYPERLINK("https://youtube.com/watch?v=XvkhFAxxqwY", "奧克尼島: 睇完巨石, 凍到頭赤 (A. 旅遊資訊 | 不正常歷史觀) Orkney reveals the Coldest Lost civilization (A. History)")</f>
        <v>奧克尼島: 睇完巨石, 凍到頭赤 (A. 旅遊資訊 | 不正常歷史觀) Orkney reveals the Coldest Lost civilization (A. History)</v>
      </c>
      <c r="E6072" s="82">
        <v>44846.0</v>
      </c>
      <c r="F6072" s="80">
        <v>474.0</v>
      </c>
      <c r="G6072" s="80" t="s">
        <v>63</v>
      </c>
      <c r="I6072" s="80" t="s">
        <v>63</v>
      </c>
      <c r="J6072" s="80">
        <v>1302.0</v>
      </c>
      <c r="K6072" s="80">
        <v>0.790528233151183</v>
      </c>
      <c r="L6072" s="80" t="s">
        <v>64</v>
      </c>
    </row>
    <row r="6073">
      <c r="A6073" s="80" t="s">
        <v>755</v>
      </c>
      <c r="B6073" s="81" t="str">
        <f t="shared" ref="B6073:B6074" si="345">HYPERLINK("https://www.youtube.com/channel/UCBiJDTc82IM68KVH873VeAw", "Live in Kwangsi廣西人·情·味")</f>
        <v>Live in Kwangsi廣西人·情·味</v>
      </c>
      <c r="C6073" s="80" t="s">
        <v>6578</v>
      </c>
      <c r="D6073" s="81" t="str">
        <f>HYPERLINK("https://youtube.com/watch?v=VjjVk9d1mpI", "睇睇疫情後嘅梧州 20220925")</f>
        <v>睇睇疫情後嘅梧州 20220925</v>
      </c>
      <c r="E6073" s="82">
        <v>44829.0</v>
      </c>
      <c r="F6073" s="80">
        <v>152.0</v>
      </c>
      <c r="G6073" s="80" t="s">
        <v>63</v>
      </c>
      <c r="I6073" s="80" t="s">
        <v>63</v>
      </c>
      <c r="J6073" s="80">
        <v>313.0</v>
      </c>
      <c r="K6073" s="80">
        <v>1.0</v>
      </c>
      <c r="L6073" s="80" t="s">
        <v>757</v>
      </c>
    </row>
    <row r="6074">
      <c r="A6074" s="80" t="s">
        <v>755</v>
      </c>
      <c r="B6074" s="81" t="str">
        <f t="shared" si="345"/>
        <v>Live in Kwangsi廣西人·情·味</v>
      </c>
      <c r="C6074" s="80" t="s">
        <v>6579</v>
      </c>
      <c r="D6074" s="81" t="str">
        <f>HYPERLINK("https://youtube.com/watch?v=oZ-HHAIHixY", "［🚗記錄］賀州市區至足球小鎮足球訓練基地 20221127")</f>
        <v>［🚗記錄］賀州市區至足球小鎮足球訓練基地 20221127</v>
      </c>
      <c r="E6074" s="82">
        <v>44892.0</v>
      </c>
      <c r="F6074" s="80">
        <v>2472.0</v>
      </c>
      <c r="G6074" s="80" t="s">
        <v>63</v>
      </c>
      <c r="I6074" s="80" t="s">
        <v>63</v>
      </c>
      <c r="J6074" s="80">
        <v>272.0</v>
      </c>
      <c r="K6074" s="80">
        <v>1.0</v>
      </c>
      <c r="L6074" s="80" t="s">
        <v>757</v>
      </c>
    </row>
    <row r="6075">
      <c r="A6075" s="80" t="s">
        <v>6169</v>
      </c>
      <c r="B6075" s="81" t="str">
        <f>HYPERLINK("https://www.youtube.com/channel/UC8UAj9wPCBdyd709kD0eEFQ", "P3NTATON1C MUSIC")</f>
        <v>P3NTATON1C MUSIC</v>
      </c>
      <c r="C6075" s="80" t="s">
        <v>6580</v>
      </c>
      <c r="D6075" s="81" t="str">
        <f>HYPERLINK("https://youtube.com/watch?v=OItIDqtTjk8", "Z - Nothing Last 沒續 (Official Video)")</f>
        <v>Z - Nothing Last 沒續 (Official Video)</v>
      </c>
      <c r="E6075" s="82">
        <v>44877.0</v>
      </c>
      <c r="F6075" s="80">
        <v>195.0</v>
      </c>
      <c r="G6075" s="80" t="s">
        <v>63</v>
      </c>
      <c r="I6075" s="80" t="s">
        <v>63</v>
      </c>
      <c r="J6075" s="80">
        <v>339.0</v>
      </c>
      <c r="K6075" s="80">
        <v>0.342424242424242</v>
      </c>
      <c r="L6075" s="80" t="s">
        <v>64</v>
      </c>
    </row>
    <row r="6076">
      <c r="A6076" s="80" t="s">
        <v>588</v>
      </c>
      <c r="B6076" s="81" t="str">
        <f>HYPERLINK("https://www.youtube.com/channel/UCaJ77iWZ8galtePlS_BtEKw", "西DorSi偽中產生活態度")</f>
        <v>西DorSi偽中產生活態度</v>
      </c>
      <c r="C6076" s="80" t="s">
        <v>6581</v>
      </c>
      <c r="D6076" s="81" t="str">
        <f>HYPERLINK("https://youtube.com/watch?v=jcpV8us543Y", "北上通關現曙光？大陸防疫大放寬！唔駛再日日做核酸 「封城」成為歷史?!")</f>
        <v>北上通關現曙光？大陸防疫大放寬！唔駛再日日做核酸 「封城」成為歷史?!</v>
      </c>
      <c r="E6076" s="82">
        <v>44899.0</v>
      </c>
      <c r="F6076" s="80">
        <v>539.0</v>
      </c>
      <c r="G6076" s="80" t="s">
        <v>63</v>
      </c>
      <c r="I6076" s="80" t="s">
        <v>63</v>
      </c>
      <c r="J6076" s="80">
        <v>1968.0</v>
      </c>
      <c r="K6076" s="80">
        <v>0.982035928143712</v>
      </c>
      <c r="L6076" s="80" t="s">
        <v>64</v>
      </c>
    </row>
    <row r="6077">
      <c r="A6077" s="80" t="s">
        <v>3139</v>
      </c>
      <c r="B6077" s="81" t="str">
        <f>HYPERLINK("https://www.youtube.com/channel/UCThO2xnH7XMg6plE8OgJm_w", "choyuen草原")</f>
        <v>choyuen草原</v>
      </c>
      <c r="C6077" s="80" t="s">
        <v>6582</v>
      </c>
      <c r="D6077" s="81" t="str">
        <f>HYPERLINK("https://youtube.com/watch?v=uRzf9aDhJU0", "防疫事, 無止境, 想返鄉下, 應該要有耐性 the Truth behind Forever Quarantine")</f>
        <v>防疫事, 無止境, 想返鄉下, 應該要有耐性 the Truth behind Forever Quarantine</v>
      </c>
      <c r="E6077" s="82">
        <v>44834.0</v>
      </c>
      <c r="F6077" s="80">
        <v>450.0</v>
      </c>
      <c r="G6077" s="80" t="s">
        <v>63</v>
      </c>
      <c r="I6077" s="80" t="s">
        <v>63</v>
      </c>
      <c r="J6077" s="80">
        <v>1532.0</v>
      </c>
      <c r="K6077" s="80">
        <v>0.970234325522482</v>
      </c>
      <c r="L6077" s="80" t="s">
        <v>64</v>
      </c>
    </row>
    <row r="6078">
      <c r="A6078" s="80" t="s">
        <v>755</v>
      </c>
      <c r="B6078" s="81" t="str">
        <f>HYPERLINK("https://www.youtube.com/channel/UCBiJDTc82IM68KVH873VeAw", "Live in Kwangsi廣西人·情·味")</f>
        <v>Live in Kwangsi廣西人·情·味</v>
      </c>
      <c r="C6078" s="80" t="s">
        <v>6583</v>
      </c>
      <c r="D6078" s="81" t="str">
        <f>HYPERLINK("https://youtube.com/watch?v=xFxwlUeCG9o", "欽州市三娘灣景區掠影｜廣西美景 20221006")</f>
        <v>欽州市三娘灣景區掠影｜廣西美景 20221006</v>
      </c>
      <c r="E6078" s="82">
        <v>44865.0</v>
      </c>
      <c r="F6078" s="80">
        <v>653.0</v>
      </c>
      <c r="G6078" s="80" t="s">
        <v>63</v>
      </c>
      <c r="I6078" s="80" t="s">
        <v>63</v>
      </c>
      <c r="J6078" s="80">
        <v>358.0</v>
      </c>
      <c r="K6078" s="80">
        <v>0.964959568733153</v>
      </c>
      <c r="L6078" s="80" t="s">
        <v>757</v>
      </c>
    </row>
    <row r="6079">
      <c r="A6079" s="80" t="s">
        <v>238</v>
      </c>
      <c r="B6079" s="81" t="str">
        <f>HYPERLINK("https://www.youtube.com/channel/UCSBkm4LwpgBmcA3MCtO8vqg", "Post76影音玩樂")</f>
        <v>Post76影音玩樂</v>
      </c>
      <c r="C6079" s="80" t="s">
        <v>6584</v>
      </c>
      <c r="D6079" s="81" t="str">
        <f>HYPERLINK("https://youtube.com/watch?v=durvmFnRMSw", "LG S80QR 5.1.3 聲道Soundbar自己講🙋 : 我細細隻玩哂✨Dolby Atmos、dts:X、IMAX Enhanced✨三大音效 ! 🥰仲有AI校聲功能架！ft.AV Life")</f>
        <v>LG S80QR 5.1.3 聲道Soundbar自己講🙋 : 我細細隻玩哂✨Dolby Atmos、dts:X、IMAX Enhanced✨三大音效 ! 🥰仲有AI校聲功能架！ft.AV Life</v>
      </c>
      <c r="E6079" s="82">
        <v>44911.0</v>
      </c>
      <c r="F6079" s="80">
        <v>477.0</v>
      </c>
      <c r="G6079" s="80" t="s">
        <v>63</v>
      </c>
      <c r="I6079" s="80" t="s">
        <v>63</v>
      </c>
      <c r="J6079" s="80">
        <v>1673.0</v>
      </c>
      <c r="K6079" s="80">
        <v>0.729930191972076</v>
      </c>
      <c r="L6079" s="80" t="s">
        <v>64</v>
      </c>
    </row>
    <row r="6080">
      <c r="A6080" s="80" t="s">
        <v>3139</v>
      </c>
      <c r="B6080" s="81" t="str">
        <f>HYPERLINK("https://www.youtube.com/channel/UCThO2xnH7XMg6plE8OgJm_w", "choyuen草原")</f>
        <v>choyuen草原</v>
      </c>
      <c r="C6080" s="80" t="s">
        <v>6585</v>
      </c>
      <c r="D6080" s="81" t="str">
        <f>HYPERLINK("https://youtube.com/watch?v=UfWpPeVbVRU", "奧克尼島: 睇完巨石, 凍到頭赤 (B. 5大景點| 超水平建築物)  Orkney reveals the Coldest Lost civilization (B.  Architecture)")</f>
        <v>奧克尼島: 睇完巨石, 凍到頭赤 (B. 5大景點| 超水平建築物)  Orkney reveals the Coldest Lost civilization (B.  Architecture)</v>
      </c>
      <c r="E6080" s="82">
        <v>44915.0</v>
      </c>
      <c r="F6080" s="80">
        <v>543.0</v>
      </c>
      <c r="G6080" s="80" t="s">
        <v>63</v>
      </c>
      <c r="I6080" s="80" t="s">
        <v>63</v>
      </c>
      <c r="J6080" s="80">
        <v>1378.0</v>
      </c>
      <c r="K6080" s="80">
        <v>0.828125</v>
      </c>
      <c r="L6080" s="80" t="s">
        <v>64</v>
      </c>
    </row>
    <row r="6081">
      <c r="A6081" s="80" t="s">
        <v>248</v>
      </c>
      <c r="B6081" s="81" t="str">
        <f t="shared" ref="B6081:B6082" si="346">HYPERLINK("https://www.youtube.com/channel/UCUEJok-GiWaGlv5nIPwk-GQ", "Price.com.hk 香港格價網")</f>
        <v>Price.com.hk 香港格價網</v>
      </c>
      <c r="C6081" s="80" t="s">
        <v>6586</v>
      </c>
      <c r="D6081" s="81" t="str">
        <f>HYPERLINK("https://youtube.com/watch?v=WMivcOBJ_xw", "AirPods Pro 2工程師 企硬唔撐「無損音質」、港產GoodNotes 5成年度iPad App、世界盃足球 證C朗髮絲攻門無效 |廣東話【PriceWeekly #143 2022年12月】")</f>
        <v>AirPods Pro 2工程師 企硬唔撐「無損音質」、港產GoodNotes 5成年度iPad App、世界盃足球 證C朗髮絲攻門無效 |廣東話【PriceWeekly #143 2022年12月】</v>
      </c>
      <c r="E6081" s="82">
        <v>44898.0</v>
      </c>
      <c r="F6081" s="80">
        <v>714.0</v>
      </c>
      <c r="G6081" s="80" t="s">
        <v>63</v>
      </c>
      <c r="I6081" s="80" t="s">
        <v>63</v>
      </c>
      <c r="J6081" s="80">
        <v>2237.0</v>
      </c>
      <c r="K6081" s="80">
        <v>0.737796833773087</v>
      </c>
      <c r="L6081" s="80" t="s">
        <v>64</v>
      </c>
    </row>
    <row r="6082">
      <c r="A6082" s="80" t="s">
        <v>248</v>
      </c>
      <c r="B6082" s="81" t="str">
        <f t="shared" si="346"/>
        <v>Price.com.hk 香港格價網</v>
      </c>
      <c r="C6082" s="80" t="s">
        <v>6587</v>
      </c>
      <c r="D6082" s="81" t="str">
        <f>HYPERLINK("https://youtube.com/watch?v=MS4XIX-HoKM", "先吸塵後拖地至夠乾淨！iRobot® Roomba® j7+ 吸塵機械人&amp; Braava jet® m6 拖地機械人 ｜避障功能｜自動集塵｜廣東話【Price.com.hk產品介紹】")</f>
        <v>先吸塵後拖地至夠乾淨！iRobot® Roomba® j7+ 吸塵機械人&amp; Braava jet® m6 拖地機械人 ｜避障功能｜自動集塵｜廣東話【Price.com.hk產品介紹】</v>
      </c>
      <c r="E6082" s="82">
        <v>44911.0</v>
      </c>
      <c r="F6082" s="80">
        <v>330.0</v>
      </c>
      <c r="G6082" s="80" t="s">
        <v>63</v>
      </c>
      <c r="I6082" s="80" t="s">
        <v>63</v>
      </c>
      <c r="J6082" s="80">
        <v>1185.0</v>
      </c>
      <c r="K6082" s="80">
        <v>0.844618674269422</v>
      </c>
      <c r="L6082" s="80" t="s">
        <v>64</v>
      </c>
    </row>
    <row r="6083">
      <c r="A6083" s="80" t="s">
        <v>293</v>
      </c>
      <c r="B6083" s="81" t="str">
        <f>HYPERLINK("https://www.youtube.com/channel/UCXRcbXqjORdIvl63I7MtOLQ", "趁熱 Kerry 's kitchen")</f>
        <v>趁熱 Kerry 's kitchen</v>
      </c>
      <c r="C6083" s="80" t="s">
        <v>6588</v>
      </c>
      <c r="D6083" s="81" t="str">
        <f>HYPERLINK("https://youtube.com/watch?v=BrYJjpyZVFk", "煎封羅非魚,非洲鰂,褔壽魚/不黐鑊竅門/簡單家常菜/惹味/新手都得到/廣東話/中字")</f>
        <v>煎封羅非魚,非洲鰂,褔壽魚/不黐鑊竅門/簡單家常菜/惹味/新手都得到/廣東話/中字</v>
      </c>
      <c r="E6083" s="82">
        <v>44841.0</v>
      </c>
      <c r="F6083" s="80">
        <v>523.0</v>
      </c>
      <c r="G6083" s="80" t="s">
        <v>63</v>
      </c>
      <c r="I6083" s="80" t="s">
        <v>63</v>
      </c>
      <c r="J6083" s="80">
        <v>1415.0</v>
      </c>
      <c r="K6083" s="80">
        <v>0.975862068965517</v>
      </c>
      <c r="L6083" s="80" t="s">
        <v>64</v>
      </c>
    </row>
    <row r="6084">
      <c r="A6084" s="80" t="s">
        <v>248</v>
      </c>
      <c r="B6084" s="81" t="str">
        <f>HYPERLINK("https://www.youtube.com/channel/UCUEJok-GiWaGlv5nIPwk-GQ", "Price.com.hk 香港格價網")</f>
        <v>Price.com.hk 香港格價網</v>
      </c>
      <c r="C6084" s="80" t="s">
        <v>6589</v>
      </c>
      <c r="D6084" s="81" t="str">
        <f>HYPERLINK("https://youtube.com/watch?v=83Jdh3p3_CA", "3分鐘了解 LiDAR 光學雷達  太空科技落入凡間 影相吸塵都幫到手 | 無人駕駛 LiDAR技術  Price Wiki EP2 | 廣東話")</f>
        <v>3分鐘了解 LiDAR 光學雷達  太空科技落入凡間 影相吸塵都幫到手 | 無人駕駛 LiDAR技術  Price Wiki EP2 | 廣東話</v>
      </c>
      <c r="E6084" s="82">
        <v>44860.0</v>
      </c>
      <c r="F6084" s="80">
        <v>219.0</v>
      </c>
      <c r="G6084" s="80" t="s">
        <v>63</v>
      </c>
      <c r="I6084" s="80" t="s">
        <v>63</v>
      </c>
      <c r="J6084" s="80">
        <v>747.0</v>
      </c>
      <c r="K6084" s="80">
        <v>0.789640591966173</v>
      </c>
      <c r="L6084" s="80" t="s">
        <v>64</v>
      </c>
    </row>
    <row r="6085">
      <c r="A6085" s="80" t="s">
        <v>74</v>
      </c>
      <c r="B6085" s="81" t="str">
        <f>HYPERLINK("https://www.youtube.com/channel/UCO_5XP-qd-udNxBlzzSzgvw", "Handline Fishing")</f>
        <v>Handline Fishing</v>
      </c>
      <c r="C6085" s="80" t="s">
        <v>6590</v>
      </c>
      <c r="D6085" s="81" t="str">
        <f>HYPERLINK("https://youtube.com/watch?v=XyCrFfvsN7o", "#304 抽定唔抽好呀?! | 基哥 | 香港釣魚 | 艇釣 | 維港 {粵語旁白}")</f>
        <v>#304 抽定唔抽好呀?! | 基哥 | 香港釣魚 | 艇釣 | 維港 {粵語旁白}</v>
      </c>
      <c r="E6085" s="82">
        <v>44880.0</v>
      </c>
      <c r="F6085" s="80">
        <v>239.0</v>
      </c>
      <c r="G6085" s="80" t="s">
        <v>63</v>
      </c>
      <c r="I6085" s="80" t="s">
        <v>63</v>
      </c>
      <c r="J6085" s="80">
        <v>284.0</v>
      </c>
      <c r="K6085" s="80">
        <v>0.949832775919732</v>
      </c>
      <c r="L6085" s="80" t="s">
        <v>102</v>
      </c>
    </row>
    <row r="6086">
      <c r="A6086" s="80" t="s">
        <v>6591</v>
      </c>
      <c r="B6086" s="81" t="str">
        <f>HYPERLINK("https://www.youtube.com/channel/UC0DpBgpq_gR7TaNDIvJYZag", "TalkFood")</f>
        <v>TalkFood</v>
      </c>
      <c r="C6086" s="80" t="s">
        <v>6592</v>
      </c>
      <c r="D6086" s="81" t="str">
        <f>HYPERLINK("https://youtube.com/watch?v=ZnKTIeArFfc", "【一年容易又聖誕之銅鑼灣3間Y比登Pizza店】")</f>
        <v>【一年容易又聖誕之銅鑼灣3間Y比登Pizza店】</v>
      </c>
      <c r="E6086" s="82">
        <v>44910.0</v>
      </c>
      <c r="F6086" s="80">
        <v>768.0</v>
      </c>
      <c r="G6086" s="80" t="s">
        <v>63</v>
      </c>
      <c r="I6086" s="80" t="s">
        <v>63</v>
      </c>
      <c r="J6086" s="80">
        <v>2339.0</v>
      </c>
      <c r="K6086" s="80">
        <v>0.878332707472775</v>
      </c>
      <c r="L6086" s="80" t="s">
        <v>91</v>
      </c>
    </row>
    <row r="6087">
      <c r="A6087" s="80" t="s">
        <v>260</v>
      </c>
      <c r="B6087" s="81" t="str">
        <f>HYPERLINK("https://www.youtube.com/channel/UC-HXOikkLx7BGEfILGIpYOg", "港短 . 英移")</f>
        <v>港短 . 英移</v>
      </c>
      <c r="C6087" s="80" t="s">
        <v>6593</v>
      </c>
      <c r="D6087" s="81" t="str">
        <f>HYPERLINK("https://youtube.com/watch?v=C-AvJDMmP_4", "[英國移民生活] 英國一杯港式奶茶好貴.. | 分享如何屋企""10分鐘零工具""沖出港式奶茶 |  #港短英移")</f>
        <v>[英國移民生活] 英國一杯港式奶茶好貴.. | 分享如何屋企"10分鐘零工具"沖出港式奶茶 |  #港短英移</v>
      </c>
      <c r="E6087" s="82">
        <v>44862.0</v>
      </c>
      <c r="F6087" s="80">
        <v>211.0</v>
      </c>
      <c r="G6087" s="80" t="s">
        <v>63</v>
      </c>
      <c r="I6087" s="80" t="s">
        <v>63</v>
      </c>
      <c r="J6087" s="80">
        <v>924.0</v>
      </c>
      <c r="K6087" s="80">
        <v>0.955532574974146</v>
      </c>
      <c r="L6087" s="80" t="s">
        <v>1297</v>
      </c>
    </row>
    <row r="6088">
      <c r="A6088" s="80" t="s">
        <v>124</v>
      </c>
      <c r="B6088" s="81" t="str">
        <f>HYPERLINK("https://www.youtube.com/channel/UCg0vuSE0fBF_NvodyYhMcWg", "Wallace Studio HK")</f>
        <v>Wallace Studio HK</v>
      </c>
      <c r="C6088" s="80" t="s">
        <v>6594</v>
      </c>
      <c r="D6088" s="81" t="str">
        <f>HYPERLINK("https://youtube.com/watch?v=CatrtYnLlhw", "Razer Blade 15 ! 240Hz QHD OLED 輕薄電競筆電！ 同Razer Blade 14 相比，邊部更適合你?")</f>
        <v>Razer Blade 15 ! 240Hz QHD OLED 輕薄電競筆電！ 同Razer Blade 14 相比，邊部更適合你?</v>
      </c>
      <c r="E6088" s="82">
        <v>44850.0</v>
      </c>
      <c r="F6088" s="80">
        <v>705.0</v>
      </c>
      <c r="G6088" s="80" t="s">
        <v>63</v>
      </c>
      <c r="H6088" s="80" t="s">
        <v>63</v>
      </c>
      <c r="I6088" s="80" t="s">
        <v>63</v>
      </c>
      <c r="J6088" s="80">
        <v>2484.0</v>
      </c>
      <c r="K6088" s="80">
        <v>0.703483432455395</v>
      </c>
      <c r="L6088" s="80" t="s">
        <v>86</v>
      </c>
    </row>
    <row r="6089">
      <c r="A6089" s="80" t="s">
        <v>217</v>
      </c>
      <c r="B6089" s="81" t="str">
        <f>HYPERLINK("https://www.youtube.com/channel/UCXKg0qPRz32bs5Z4mTGF3TQ", "Stormtrooper白兵")</f>
        <v>Stormtrooper白兵</v>
      </c>
      <c r="C6089" s="80" t="s">
        <v>6595</v>
      </c>
      <c r="D6089" s="81" t="str">
        <f>HYPERLINK("https://youtube.com/watch?v=dIY44PlKotI", "[世界經濟論壇：武廢只係測試｜下一個危機會係咩…？]氣候變化---＞ESG評分---＞個人碳足跡---＞社會信用系統---＞第四次工業革命｜粵語中字")</f>
        <v>[世界經濟論壇：武廢只係測試｜下一個危機會係咩…？]氣候變化---＞ESG評分---＞個人碳足跡---＞社會信用系統---＞第四次工業革命｜粵語中字</v>
      </c>
      <c r="E6089" s="82">
        <v>44833.0</v>
      </c>
      <c r="F6089" s="80">
        <v>874.0</v>
      </c>
      <c r="G6089" s="80" t="s">
        <v>63</v>
      </c>
      <c r="I6089" s="80" t="s">
        <v>63</v>
      </c>
      <c r="J6089" s="80">
        <v>3549.0</v>
      </c>
      <c r="K6089" s="80">
        <v>0.886806596701649</v>
      </c>
      <c r="L6089" s="80" t="s">
        <v>64</v>
      </c>
    </row>
    <row r="6090">
      <c r="A6090" s="80" t="s">
        <v>2800</v>
      </c>
      <c r="B6090" s="81" t="str">
        <f>HYPERLINK("https://www.youtube.com/channel/UCMqrlsr-AECPc6_3oDr8m9w", "Unicorn 獸哥")</f>
        <v>Unicorn 獸哥</v>
      </c>
      <c r="C6090" s="80" t="s">
        <v>6596</v>
      </c>
      <c r="D6090" s="81" t="str">
        <f>HYPERLINK("https://youtube.com/watch?v=jJJN8gzqyOw", "【實測】switch版表現好到爆！強推！CRISIS CORE -FINAL FANTASY VII- REUNION CC字幕")</f>
        <v>【實測】switch版表現好到爆！強推！CRISIS CORE -FINAL FANTASY VII- REUNION CC字幕</v>
      </c>
      <c r="E6090" s="82">
        <v>44912.0</v>
      </c>
      <c r="F6090" s="80">
        <v>254.0</v>
      </c>
      <c r="G6090" s="80" t="s">
        <v>63</v>
      </c>
      <c r="I6090" s="80" t="s">
        <v>63</v>
      </c>
      <c r="J6090" s="80">
        <v>951.0</v>
      </c>
      <c r="K6090" s="80">
        <v>0.744714173844949</v>
      </c>
      <c r="L6090" s="80" t="s">
        <v>64</v>
      </c>
    </row>
    <row r="6091">
      <c r="A6091" s="80" t="s">
        <v>6248</v>
      </c>
      <c r="B6091" s="81" t="str">
        <f>HYPERLINK("https://www.youtube.com/channel/UCmlr1is6e9bV34fgg3u0xng", "Ruby.S")</f>
        <v>Ruby.S</v>
      </c>
      <c r="C6091" s="80" t="s">
        <v>6597</v>
      </c>
      <c r="D6091" s="81" t="str">
        <f>HYPERLINK("https://youtube.com/watch?v=K3mu3nz3dvA", "@RubyS426  [離島好去處］南丫島隱世海岸村推介｜新北角碼頭+必去南丫島北邊｜北角咀+132 燈塔+風車+南丫市集｜I believe I can hike EP51")</f>
        <v>@RubyS426  [離島好去處］南丫島隱世海岸村推介｜新北角碼頭+必去南丫島北邊｜北角咀+132 燈塔+風車+南丫市集｜I believe I can hike EP51</v>
      </c>
      <c r="E6091" s="82">
        <v>44895.0</v>
      </c>
      <c r="F6091" s="80">
        <v>1921.0</v>
      </c>
      <c r="G6091" s="80" t="s">
        <v>63</v>
      </c>
      <c r="I6091" s="80" t="s">
        <v>63</v>
      </c>
      <c r="J6091" s="80">
        <v>2726.0</v>
      </c>
      <c r="K6091" s="80">
        <v>0.970106761565836</v>
      </c>
      <c r="L6091" s="80" t="s">
        <v>64</v>
      </c>
    </row>
    <row r="6092">
      <c r="A6092" s="80" t="s">
        <v>293</v>
      </c>
      <c r="B6092" s="81" t="str">
        <f>HYPERLINK("https://www.youtube.com/channel/UCXRcbXqjORdIvl63I7MtOLQ", "趁熱 Kerry 's kitchen")</f>
        <v>趁熱 Kerry 's kitchen</v>
      </c>
      <c r="C6092" s="80" t="s">
        <v>6598</v>
      </c>
      <c r="D6092" s="81" t="str">
        <f>HYPERLINK("https://youtube.com/watch?v=4l8w3IoC-a4", "午餐肉炒馬鈴薯/簡單家常菜/入口即化/味道有驚喜/低 成本/新手 入門/廣東話/中字")</f>
        <v>午餐肉炒馬鈴薯/簡單家常菜/入口即化/味道有驚喜/低 成本/新手 入門/廣東話/中字</v>
      </c>
      <c r="E6092" s="82">
        <v>44848.0</v>
      </c>
      <c r="F6092" s="80">
        <v>540.0</v>
      </c>
      <c r="G6092" s="80" t="s">
        <v>63</v>
      </c>
      <c r="I6092" s="80" t="s">
        <v>63</v>
      </c>
      <c r="J6092" s="80">
        <v>1697.0</v>
      </c>
      <c r="K6092" s="80">
        <v>0.975287356321839</v>
      </c>
      <c r="L6092" s="80" t="s">
        <v>64</v>
      </c>
    </row>
    <row r="6093">
      <c r="A6093" s="80" t="s">
        <v>755</v>
      </c>
      <c r="B6093" s="81" t="str">
        <f>HYPERLINK("https://www.youtube.com/channel/UCBiJDTc82IM68KVH873VeAw", "Live in Kwangsi廣西人·情·味")</f>
        <v>Live in Kwangsi廣西人·情·味</v>
      </c>
      <c r="C6093" s="80" t="s">
        <v>6599</v>
      </c>
      <c r="D6093" s="81" t="str">
        <f>HYPERLINK("https://youtube.com/watch?v=DuvpHSi_6WQ", "欽州市月亮灣（犀利灣、犀麗灣）掠影｜廣西美景 20221004")</f>
        <v>欽州市月亮灣（犀利灣、犀麗灣）掠影｜廣西美景 20221004</v>
      </c>
      <c r="E6093" s="82">
        <v>44858.0</v>
      </c>
      <c r="F6093" s="80">
        <v>595.0</v>
      </c>
      <c r="G6093" s="80" t="s">
        <v>63</v>
      </c>
      <c r="I6093" s="80" t="s">
        <v>63</v>
      </c>
      <c r="J6093" s="80">
        <v>30.0</v>
      </c>
      <c r="K6093" s="80">
        <v>1.0</v>
      </c>
      <c r="L6093" s="80" t="s">
        <v>757</v>
      </c>
    </row>
    <row r="6094">
      <c r="A6094" s="80" t="s">
        <v>3587</v>
      </c>
      <c r="B6094" s="81" t="str">
        <f>HYPERLINK("https://www.youtube.com/channel/UCLYDpGywwns7EhzIgxSKqDw", "宅大大")</f>
        <v>宅大大</v>
      </c>
      <c r="C6094" s="80" t="s">
        <v>6600</v>
      </c>
      <c r="D6094" s="81" t="str">
        <f>HYPERLINK("https://youtube.com/watch?v=yk3z-K_20Mk", "2022利是股第二回(含字幕）: 香港小輪")</f>
        <v>2022利是股第二回(含字幕）: 香港小輪</v>
      </c>
      <c r="E6094" s="82">
        <v>44911.0</v>
      </c>
      <c r="F6094" s="80">
        <v>1048.0</v>
      </c>
      <c r="G6094" s="80" t="s">
        <v>63</v>
      </c>
      <c r="I6094" s="80" t="s">
        <v>63</v>
      </c>
      <c r="J6094" s="80">
        <v>2533.0</v>
      </c>
      <c r="K6094" s="80">
        <v>0.984071484071484</v>
      </c>
      <c r="L6094" s="80" t="s">
        <v>3589</v>
      </c>
    </row>
    <row r="6095">
      <c r="A6095" s="80" t="s">
        <v>121</v>
      </c>
      <c r="B6095" s="81" t="str">
        <f>HYPERLINK("https://www.youtube.com/channel/UC-2hWXRgCg-o5Waz36Yt7BA", "Arm Channel TV")</f>
        <v>Arm Channel TV</v>
      </c>
      <c r="C6095" s="80" t="s">
        <v>6601</v>
      </c>
      <c r="D6095" s="81" t="str">
        <f>HYPERLINK("https://youtube.com/watch?v=xxfUzVMJpsk", "【搞作短劇】身邊總有幾個咩都講求方便嘅人")</f>
        <v>【搞作短劇】身邊總有幾個咩都講求方便嘅人</v>
      </c>
      <c r="E6095" s="82">
        <v>44845.0</v>
      </c>
      <c r="F6095" s="80">
        <v>58.0</v>
      </c>
      <c r="G6095" s="80" t="s">
        <v>63</v>
      </c>
      <c r="I6095" s="80" t="s">
        <v>63</v>
      </c>
      <c r="J6095" s="80">
        <v>136.0</v>
      </c>
      <c r="K6095" s="80">
        <v>0.931506849315068</v>
      </c>
      <c r="L6095" s="80" t="s">
        <v>64</v>
      </c>
    </row>
    <row r="6096">
      <c r="A6096" s="80" t="s">
        <v>755</v>
      </c>
      <c r="B6096" s="81" t="str">
        <f>HYPERLINK("https://www.youtube.com/channel/UCBiJDTc82IM68KVH873VeAw", "Live in Kwangsi廣西人·情·味")</f>
        <v>Live in Kwangsi廣西人·情·味</v>
      </c>
      <c r="C6096" s="80" t="s">
        <v>6602</v>
      </c>
      <c r="D6096" s="81" t="str">
        <f>HYPERLINK("https://youtube.com/watch?v=-XiJGRL9314", "賀州市路花村大嶺腳、觀音岩一帶掠影｜廣西日常實拍 20221019")</f>
        <v>賀州市路花村大嶺腳、觀音岩一帶掠影｜廣西日常實拍 20221019</v>
      </c>
      <c r="E6096" s="82">
        <v>44854.0</v>
      </c>
      <c r="F6096" s="80">
        <v>266.0</v>
      </c>
      <c r="G6096" s="80" t="s">
        <v>63</v>
      </c>
      <c r="I6096" s="80" t="s">
        <v>63</v>
      </c>
      <c r="J6096" s="80">
        <v>64.0</v>
      </c>
      <c r="K6096" s="80">
        <v>1.0</v>
      </c>
      <c r="L6096" s="80" t="s">
        <v>757</v>
      </c>
    </row>
    <row r="6097">
      <c r="A6097" s="80" t="s">
        <v>2761</v>
      </c>
      <c r="B6097" s="81" t="str">
        <f>HYPERLINK("https://www.youtube.com/channel/UCr_L9cZdbBU_XDsKDHBBlew", "am730")</f>
        <v>am730</v>
      </c>
      <c r="C6097" s="80" t="s">
        <v>6603</v>
      </c>
      <c r="D6097" s="81" t="str">
        <f>HYPERLINK("https://youtube.com/watch?v=EnoRierOKU4", "靈異丨香港02：「執到寶」上集 丨小紅帽聲音專欄 #靈異  #鬼故事  #podcast")</f>
        <v>靈異丨香港02：「執到寶」上集 丨小紅帽聲音專欄 #靈異  #鬼故事  #podcast</v>
      </c>
      <c r="E6097" s="82">
        <v>44860.0</v>
      </c>
      <c r="F6097" s="80">
        <v>286.0</v>
      </c>
      <c r="G6097" s="80" t="s">
        <v>63</v>
      </c>
      <c r="I6097" s="80" t="s">
        <v>63</v>
      </c>
      <c r="J6097" s="80">
        <v>814.0</v>
      </c>
      <c r="K6097" s="80">
        <v>0.969047619047619</v>
      </c>
      <c r="L6097" s="80" t="s">
        <v>91</v>
      </c>
    </row>
    <row r="6098">
      <c r="A6098" s="80" t="s">
        <v>293</v>
      </c>
      <c r="B6098" s="81" t="str">
        <f>HYPERLINK("https://www.youtube.com/channel/UCXRcbXqjORdIvl63I7MtOLQ", "趁熱 Kerry 's kitchen")</f>
        <v>趁熱 Kerry 's kitchen</v>
      </c>
      <c r="C6098" s="80" t="s">
        <v>6604</v>
      </c>
      <c r="D6098" s="81" t="str">
        <f>HYPERLINK("https://youtube.com/watch?v=KFidoK0cO1M", "平底鑊pizza/無須焗爐,機械/一隻鑊攪掂/香脆竅門/唔駛叫外賣/廣東話/中字/no oven pizza/panfried pizza /")</f>
        <v>平底鑊pizza/無須焗爐,機械/一隻鑊攪掂/香脆竅門/唔駛叫外賣/廣東話/中字/no oven pizza/panfried pizza /</v>
      </c>
      <c r="E6098" s="82">
        <v>44853.0</v>
      </c>
      <c r="F6098" s="80">
        <v>780.0</v>
      </c>
      <c r="G6098" s="80" t="s">
        <v>63</v>
      </c>
      <c r="I6098" s="80" t="s">
        <v>63</v>
      </c>
      <c r="J6098" s="80">
        <v>2463.0</v>
      </c>
      <c r="K6098" s="80">
        <v>0.962109375</v>
      </c>
      <c r="L6098" s="80" t="s">
        <v>64</v>
      </c>
    </row>
    <row r="6099">
      <c r="A6099" s="80" t="s">
        <v>755</v>
      </c>
      <c r="B6099" s="81" t="str">
        <f>HYPERLINK("https://www.youtube.com/channel/UCBiJDTc82IM68KVH873VeAw", "Live in Kwangsi廣西人·情·味")</f>
        <v>Live in Kwangsi廣西人·情·味</v>
      </c>
      <c r="C6099" s="80" t="s">
        <v>6605</v>
      </c>
      <c r="D6099" s="81" t="str">
        <f>HYPERLINK("https://youtube.com/watch?v=yGorKXGPGpw", "賀州市賀街鎮文廟、文筆塔掠影｜廣西美景 20220925")</f>
        <v>賀州市賀街鎮文廟、文筆塔掠影｜廣西美景 20220925</v>
      </c>
      <c r="E6099" s="82">
        <v>44832.0</v>
      </c>
      <c r="F6099" s="80">
        <v>182.0</v>
      </c>
      <c r="G6099" s="80" t="s">
        <v>63</v>
      </c>
      <c r="I6099" s="80" t="s">
        <v>63</v>
      </c>
      <c r="J6099" s="80">
        <v>30.0</v>
      </c>
      <c r="K6099" s="80">
        <v>1.0</v>
      </c>
      <c r="L6099" s="80" t="s">
        <v>757</v>
      </c>
    </row>
    <row r="6100">
      <c r="A6100" s="80" t="s">
        <v>6054</v>
      </c>
      <c r="B6100" s="81" t="str">
        <f>HYPERLINK("https://www.youtube.com/channel/UCZc-RwRZUYVuwu3A9pVBISg", "ToNick")</f>
        <v>ToNick</v>
      </c>
      <c r="C6100" s="80" t="s">
        <v>6606</v>
      </c>
      <c r="D6100" s="81" t="str">
        <f>HYPERLINK("https://youtube.com/watch?v=VwTZ2_wFqPw", "ToNick ft. KOLOR - Last Christmas [Harbour The Sonic - ToNicKOLOR “Stay Awake” LIVE 2022] 17/12/2022")</f>
        <v>ToNick ft. KOLOR - Last Christmas [Harbour The Sonic - ToNicKOLOR “Stay Awake” LIVE 2022] 17/12/2022</v>
      </c>
      <c r="E6100" s="82">
        <v>44912.0</v>
      </c>
      <c r="F6100" s="80">
        <v>278.0</v>
      </c>
      <c r="G6100" s="80" t="s">
        <v>63</v>
      </c>
      <c r="I6100" s="80" t="s">
        <v>63</v>
      </c>
      <c r="J6100" s="80">
        <v>429.0</v>
      </c>
      <c r="K6100" s="80">
        <v>0.806390977443609</v>
      </c>
      <c r="L6100" s="80" t="s">
        <v>64</v>
      </c>
    </row>
    <row r="6101">
      <c r="A6101" s="80" t="s">
        <v>260</v>
      </c>
      <c r="B6101" s="81" t="str">
        <f>HYPERLINK("https://www.youtube.com/channel/UC-HXOikkLx7BGEfILGIpYOg", "港短 . 英移")</f>
        <v>港短 . 英移</v>
      </c>
      <c r="C6101" s="80" t="s">
        <v>6607</v>
      </c>
      <c r="D6101" s="81" t="str">
        <f>HYPERLINK("https://youtube.com/watch?v=bZ24dITmX5g", "每個人內心深處，都隱藏著一份童真 Paddington Bear | 港短.英移  #英國生活 #港短英移")</f>
        <v>每個人內心深處，都隱藏著一份童真 Paddington Bear | 港短.英移  #英國生活 #港短英移</v>
      </c>
      <c r="E6101" s="82">
        <v>44869.0</v>
      </c>
      <c r="F6101" s="80">
        <v>324.0</v>
      </c>
      <c r="G6101" s="80" t="s">
        <v>63</v>
      </c>
      <c r="I6101" s="80" t="s">
        <v>63</v>
      </c>
      <c r="J6101" s="80">
        <v>1402.0</v>
      </c>
      <c r="K6101" s="80">
        <v>0.782802903405918</v>
      </c>
      <c r="L6101" s="80" t="s">
        <v>287</v>
      </c>
    </row>
    <row r="6102">
      <c r="A6102" s="80" t="s">
        <v>1260</v>
      </c>
      <c r="B6102" s="81" t="str">
        <f>HYPERLINK("https://www.youtube.com/channel/UCh1k4i86BpiXEO3nzJIYynw", "The Wave")</f>
        <v>The Wave</v>
      </c>
      <c r="C6102" s="80" t="s">
        <v>6608</v>
      </c>
      <c r="D6102" s="81" t="str">
        <f>HYPERLINK("https://youtube.com/watch?v=hMHI2SkvK0k", "Xperia Stream攝影模式？😂😂😂")</f>
        <v>Xperia Stream攝影模式？😂😂😂</v>
      </c>
      <c r="E6102" s="82">
        <v>44841.0</v>
      </c>
      <c r="F6102" s="80">
        <v>11.0</v>
      </c>
      <c r="G6102" s="80" t="s">
        <v>63</v>
      </c>
      <c r="H6102" s="80" t="s">
        <v>63</v>
      </c>
      <c r="I6102" s="80" t="s">
        <v>63</v>
      </c>
      <c r="J6102" s="80">
        <v>26.0</v>
      </c>
      <c r="K6102" s="80">
        <v>0.675675675675675</v>
      </c>
      <c r="L6102" s="80" t="s">
        <v>1634</v>
      </c>
    </row>
    <row r="6103">
      <c r="A6103" s="80" t="s">
        <v>2761</v>
      </c>
      <c r="B6103" s="81" t="str">
        <f>HYPERLINK("https://www.youtube.com/channel/UCr_L9cZdbBU_XDsKDHBBlew", "am730")</f>
        <v>am730</v>
      </c>
      <c r="C6103" s="80" t="s">
        <v>6609</v>
      </c>
      <c r="D6103" s="81" t="str">
        <f>HYPERLINK("https://youtube.com/watch?v=UQcm4sZcnC0", "靈異丨香港02：靈靈7勇救AV女 第一集 丨小紅帽聲音專欄")</f>
        <v>靈異丨香港02：靈靈7勇救AV女 第一集 丨小紅帽聲音專欄</v>
      </c>
      <c r="E6103" s="82">
        <v>44903.0</v>
      </c>
      <c r="F6103" s="80">
        <v>262.0</v>
      </c>
      <c r="G6103" s="80" t="s">
        <v>63</v>
      </c>
      <c r="I6103" s="80" t="s">
        <v>63</v>
      </c>
      <c r="J6103" s="80">
        <v>878.0</v>
      </c>
      <c r="K6103" s="80">
        <v>0.976640711902113</v>
      </c>
      <c r="L6103" s="80" t="s">
        <v>91</v>
      </c>
    </row>
    <row r="6104">
      <c r="A6104" s="80" t="s">
        <v>2804</v>
      </c>
      <c r="B6104" s="81" t="str">
        <f>HYPERLINK("https://www.youtube.com/channel/UCrFrg50t0JqgqV2dkIrH5Hg", "投智財女 GirlbossInvest 創業投資智慧")</f>
        <v>投智財女 GirlbossInvest 創業投資智慧</v>
      </c>
      <c r="C6104" s="80" t="s">
        <v>6610</v>
      </c>
      <c r="D6104" s="81" t="str">
        <f>HYPERLINK("https://youtube.com/watch?v=yBMCSx7-vKE", "港元定存收息攻略 (二)✌教你破解最高息、最少本金、最短期銀行定期存款！cc 中字 #被動收入 #港元定存")</f>
        <v>港元定存收息攻略 (二)✌教你破解最高息、最少本金、最短期銀行定期存款！cc 中字 #被動收入 #港元定存</v>
      </c>
      <c r="E6104" s="82">
        <v>44854.0</v>
      </c>
      <c r="F6104" s="80">
        <v>526.0</v>
      </c>
      <c r="G6104" s="80" t="s">
        <v>63</v>
      </c>
      <c r="I6104" s="80" t="s">
        <v>63</v>
      </c>
      <c r="J6104" s="80">
        <v>1765.0</v>
      </c>
      <c r="K6104" s="80">
        <v>0.979467258601553</v>
      </c>
      <c r="L6104" s="80" t="s">
        <v>102</v>
      </c>
    </row>
    <row r="6105">
      <c r="A6105" s="80" t="s">
        <v>238</v>
      </c>
      <c r="B6105" s="81" t="str">
        <f>HYPERLINK("https://www.youtube.com/channel/UCSBkm4LwpgBmcA3MCtO8vqg", "Post76影音玩樂")</f>
        <v>Post76影音玩樂</v>
      </c>
      <c r="C6105" s="80" t="s">
        <v>6611</v>
      </c>
      <c r="D6105" s="81" t="str">
        <f>HYPERLINK("https://youtube.com/watch?v=oI_B9g8vfjc", "$1,198可玩最強規格 !? 台灣XROUND Voca旗艦真無線降噪耳機｜LDAC高清音效、藍牙5.3、自適應ANC降噪、多場景通透模式、AI語音降噪多功能加持 !（附設cc字幕）| 耳機評測")</f>
        <v>$1,198可玩最強規格 !? 台灣XROUND Voca旗艦真無線降噪耳機｜LDAC高清音效、藍牙5.3、自適應ANC降噪、多場景通透模式、AI語音降噪多功能加持 !（附設cc字幕）| 耳機評測</v>
      </c>
      <c r="E6105" s="82">
        <v>44880.0</v>
      </c>
      <c r="F6105" s="80">
        <v>1112.0</v>
      </c>
      <c r="G6105" s="80" t="s">
        <v>63</v>
      </c>
      <c r="I6105" s="80" t="s">
        <v>63</v>
      </c>
      <c r="J6105" s="80">
        <v>2876.0</v>
      </c>
      <c r="K6105" s="80">
        <v>0.817509948834565</v>
      </c>
      <c r="L6105" s="80" t="s">
        <v>64</v>
      </c>
    </row>
    <row r="6106">
      <c r="A6106" s="80" t="s">
        <v>1492</v>
      </c>
      <c r="B6106" s="81" t="str">
        <f>HYPERLINK("https://www.youtube.com/channel/UCTo1EIcKtkDYqiUqs4v_NlA", "【常公子】頻道TV - 中文中史歷史哲學")</f>
        <v>【常公子】頻道TV - 中文中史歷史哲學</v>
      </c>
      <c r="C6106" s="80" t="s">
        <v>6612</v>
      </c>
      <c r="D6106" s="81" t="str">
        <f>HYPERLINK("https://youtube.com/watch?v=7rfXGSNYrE4", "【常威近代史】第五百零六回文人瞿秋白")</f>
        <v>【常威近代史】第五百零六回文人瞿秋白</v>
      </c>
      <c r="E6106" s="82">
        <v>44863.0</v>
      </c>
      <c r="F6106" s="80">
        <v>647.0</v>
      </c>
      <c r="G6106" s="80" t="s">
        <v>63</v>
      </c>
      <c r="I6106" s="80" t="s">
        <v>63</v>
      </c>
      <c r="J6106" s="80">
        <v>1739.0</v>
      </c>
      <c r="K6106" s="80">
        <v>0.985827664399093</v>
      </c>
      <c r="L6106" s="80" t="s">
        <v>64</v>
      </c>
    </row>
    <row r="6107">
      <c r="A6107" s="80" t="s">
        <v>5702</v>
      </c>
      <c r="B6107" s="81" t="str">
        <f>HYPERLINK("https://www.youtube.com/channel/UC249m2fxYzK-NnfH06YNP3A", "Siu Mei小美")</f>
        <v>Siu Mei小美</v>
      </c>
      <c r="C6107" s="80" t="s">
        <v>6613</v>
      </c>
      <c r="D6107" s="81" t="str">
        <f>HYPERLINK("https://youtube.com/watch?v=8v2LNPTUccg", "🗓️每月Review♡ 居家不壓胸內衣👙最近經常化的玫瑰木眼妝🌹瘦身配方益生菌🪄懶人必備五秒敷完既神奇面膜💨")</f>
        <v>🗓️每月Review♡ 居家不壓胸內衣👙最近經常化的玫瑰木眼妝🌹瘦身配方益生菌🪄懶人必備五秒敷完既神奇面膜💨</v>
      </c>
      <c r="E6107" s="82">
        <v>44896.0</v>
      </c>
      <c r="F6107" s="80">
        <v>816.0</v>
      </c>
      <c r="G6107" s="80" t="s">
        <v>63</v>
      </c>
      <c r="I6107" s="80" t="s">
        <v>63</v>
      </c>
      <c r="J6107" s="80">
        <v>4081.0</v>
      </c>
      <c r="K6107" s="80">
        <v>0.889882250327082</v>
      </c>
      <c r="L6107" s="80" t="s">
        <v>64</v>
      </c>
    </row>
    <row r="6108">
      <c r="A6108" s="80" t="s">
        <v>124</v>
      </c>
      <c r="B6108" s="81" t="str">
        <f>HYPERLINK("https://www.youtube.com/channel/UCg0vuSE0fBF_NvodyYhMcWg", "Wallace Studio HK")</f>
        <v>Wallace Studio HK</v>
      </c>
      <c r="C6108" s="80" t="s">
        <v>6614</v>
      </c>
      <c r="D6108" s="81" t="str">
        <f>HYPERLINK("https://youtube.com/watch?v=NOUM_0Wlrqo", "iPhone 14 / 14 Pro 電量測試 ! VS iPhone 13 , 13 Pro , 13 Pro Max , ROG Phone 6！Always on Display 勁食電!!")</f>
        <v>iPhone 14 / 14 Pro 電量測試 ! VS iPhone 13 , 13 Pro , 13 Pro Max , ROG Phone 6！Always on Display 勁食電!!</v>
      </c>
      <c r="E6108" s="82">
        <v>44858.0</v>
      </c>
      <c r="F6108" s="80">
        <v>502.0</v>
      </c>
      <c r="G6108" s="80" t="s">
        <v>63</v>
      </c>
      <c r="I6108" s="80" t="s">
        <v>63</v>
      </c>
      <c r="J6108" s="80">
        <v>1667.0</v>
      </c>
      <c r="K6108" s="80">
        <v>0.630961392884178</v>
      </c>
      <c r="L6108" s="80" t="s">
        <v>64</v>
      </c>
    </row>
    <row r="6109">
      <c r="A6109" s="80" t="s">
        <v>2804</v>
      </c>
      <c r="B6109" s="81" t="str">
        <f>HYPERLINK("https://www.youtube.com/channel/UCrFrg50t0JqgqV2dkIrH5Hg", "投智財女 GirlbossInvest 創業投資智慧")</f>
        <v>投智財女 GirlbossInvest 創業投資智慧</v>
      </c>
      <c r="C6109" s="80" t="s">
        <v>6615</v>
      </c>
      <c r="D6109" s="81" t="str">
        <f>HYPERLINK("https://youtube.com/watch?v=OHi0eeid59M", "提升高息定期存款回報🤑的3大【銀行加息秘技】 | 如何賺最優惠利率🤭 #定期存款 #高息存款 (cc中字幕)")</f>
        <v>提升高息定期存款回報🤑的3大【銀行加息秘技】 | 如何賺最優惠利率🤭 #定期存款 #高息存款 (cc中字幕)</v>
      </c>
      <c r="E6109" s="82">
        <v>44837.0</v>
      </c>
      <c r="F6109" s="80">
        <v>503.0</v>
      </c>
      <c r="G6109" s="80" t="s">
        <v>63</v>
      </c>
      <c r="I6109" s="80" t="s">
        <v>63</v>
      </c>
      <c r="J6109" s="80">
        <v>1531.0</v>
      </c>
      <c r="K6109" s="80">
        <v>0.968928344958782</v>
      </c>
      <c r="L6109" s="80" t="s">
        <v>1153</v>
      </c>
    </row>
    <row r="6110">
      <c r="A6110" s="80" t="s">
        <v>248</v>
      </c>
      <c r="B6110" s="81" t="str">
        <f>HYPERLINK("https://www.youtube.com/channel/UCUEJok-GiWaGlv5nIPwk-GQ", "Price.com.hk 香港格價網")</f>
        <v>Price.com.hk 香港格價網</v>
      </c>
      <c r="C6110" s="80" t="s">
        <v>6616</v>
      </c>
      <c r="D6110" s="81" t="str">
        <f>HYPERLINK("https://youtube.com/watch?v=mtLxDukioCs", "新店開箱｜蘇寧沙田近 5000 呎旗艦新店｜特設 Samsung 體驗區｜最新量子點 （QD）OLED 電視｜自訂專屬 Bespoke 雪櫃｜廣東話｜【Price.com.hk 特約專題】")</f>
        <v>新店開箱｜蘇寧沙田近 5000 呎旗艦新店｜特設 Samsung 體驗區｜最新量子點 （QD）OLED 電視｜自訂專屬 Bespoke 雪櫃｜廣東話｜【Price.com.hk 特約專題】</v>
      </c>
      <c r="E6110" s="82">
        <v>44908.0</v>
      </c>
      <c r="F6110" s="80">
        <v>353.0</v>
      </c>
      <c r="G6110" s="80" t="s">
        <v>63</v>
      </c>
      <c r="I6110" s="80" t="s">
        <v>63</v>
      </c>
      <c r="J6110" s="80">
        <v>1178.0</v>
      </c>
      <c r="K6110" s="80">
        <v>0.771447282252783</v>
      </c>
      <c r="L6110" s="80" t="s">
        <v>64</v>
      </c>
    </row>
    <row r="6111">
      <c r="A6111" s="80" t="s">
        <v>755</v>
      </c>
      <c r="B6111" s="81" t="str">
        <f>HYPERLINK("https://www.youtube.com/channel/UCBiJDTc82IM68KVH873VeAw", "Live in Kwangsi廣西人·情·味")</f>
        <v>Live in Kwangsi廣西人·情·味</v>
      </c>
      <c r="C6111" s="80" t="s">
        <v>6617</v>
      </c>
      <c r="D6111" s="81" t="str">
        <f>HYPERLINK("https://youtube.com/watch?v=sNJ7lPrSUFo", "欽州市嘅海之濱海公園日頭掠影｜廣西美景 20221003")</f>
        <v>欽州市嘅海之濱海公園日頭掠影｜廣西美景 20221003</v>
      </c>
      <c r="E6111" s="82">
        <v>44853.0</v>
      </c>
      <c r="F6111" s="80">
        <v>462.0</v>
      </c>
      <c r="G6111" s="80" t="s">
        <v>63</v>
      </c>
      <c r="I6111" s="80" t="s">
        <v>63</v>
      </c>
      <c r="J6111" s="80">
        <v>517.0</v>
      </c>
      <c r="K6111" s="80">
        <v>0.988527724665392</v>
      </c>
      <c r="L6111" s="80" t="s">
        <v>757</v>
      </c>
    </row>
    <row r="6112">
      <c r="A6112" s="80" t="s">
        <v>124</v>
      </c>
      <c r="B6112" s="81" t="str">
        <f>HYPERLINK("https://www.youtube.com/channel/UCg0vuSE0fBF_NvodyYhMcWg", "Wallace Studio HK")</f>
        <v>Wallace Studio HK</v>
      </c>
      <c r="C6112" s="80" t="s">
        <v>6618</v>
      </c>
      <c r="D6112" s="81" t="str">
        <f>HYPERLINK("https://youtube.com/watch?v=qszWnrEU9o8", "Samsung Galaxy Z Fold 4 完整評測 ! 小升級，但好用左唔少! (VS S22 Ultra 拍攝，效能，螢幕比較)")</f>
        <v>Samsung Galaxy Z Fold 4 完整評測 ! 小升級，但好用左唔少! (VS S22 Ultra 拍攝，效能，螢幕比較)</v>
      </c>
      <c r="E6112" s="82">
        <v>44829.0</v>
      </c>
      <c r="F6112" s="80">
        <v>947.0</v>
      </c>
      <c r="G6112" s="80" t="s">
        <v>63</v>
      </c>
      <c r="I6112" s="80" t="s">
        <v>63</v>
      </c>
      <c r="J6112" s="80">
        <v>3633.0</v>
      </c>
      <c r="K6112" s="80">
        <v>0.821016949152542</v>
      </c>
      <c r="L6112" s="80" t="s">
        <v>64</v>
      </c>
    </row>
    <row r="6113">
      <c r="A6113" s="80" t="s">
        <v>5912</v>
      </c>
      <c r="B6113" s="81" t="str">
        <f>HYPERLINK("https://www.youtube.com/channel/UCSJCx6i6QI2MFN0mDJnnTCw", "慢半拍製作")</f>
        <v>慢半拍製作</v>
      </c>
      <c r="C6113" s="80" t="s">
        <v>6619</v>
      </c>
      <c r="D6113" s="81" t="str">
        <f>HYPERLINK("https://youtube.com/watch?v=YFnzDKb3kx0", "學界男神女神大搜查 Ep.4 ：女校女生的海濱散步日常（下）🧃｜慢半拍")</f>
        <v>學界男神女神大搜查 Ep.4 ：女校女生的海濱散步日常（下）🧃｜慢半拍</v>
      </c>
      <c r="E6113" s="82">
        <v>44861.0</v>
      </c>
      <c r="F6113" s="80">
        <v>1229.0</v>
      </c>
      <c r="G6113" s="80" t="s">
        <v>63</v>
      </c>
      <c r="I6113" s="80" t="s">
        <v>63</v>
      </c>
      <c r="J6113" s="80">
        <v>2017.0</v>
      </c>
      <c r="K6113" s="80">
        <v>0.887764084507042</v>
      </c>
      <c r="L6113" s="80" t="s">
        <v>64</v>
      </c>
    </row>
    <row r="6114">
      <c r="A6114" s="80" t="s">
        <v>1492</v>
      </c>
      <c r="B6114" s="81" t="str">
        <f>HYPERLINK("https://www.youtube.com/channel/UCTo1EIcKtkDYqiUqs4v_NlA", "【常公子】頻道TV - 中文中史歷史哲學")</f>
        <v>【常公子】頻道TV - 中文中史歷史哲學</v>
      </c>
      <c r="C6114" s="80" t="s">
        <v>6620</v>
      </c>
      <c r="D6114" s="81" t="str">
        <f>HYPERLINK("https://youtube.com/watch?v=ltTtO4uFfxU", "【常威近代史】第五百一拾回蔣宋之戀")</f>
        <v>【常威近代史】第五百一拾回蔣宋之戀</v>
      </c>
      <c r="E6114" s="82">
        <v>44891.0</v>
      </c>
      <c r="F6114" s="80">
        <v>708.0</v>
      </c>
      <c r="G6114" s="80" t="s">
        <v>63</v>
      </c>
      <c r="I6114" s="80" t="s">
        <v>63</v>
      </c>
      <c r="J6114" s="80">
        <v>1681.0</v>
      </c>
      <c r="K6114" s="80">
        <v>0.96553704767375</v>
      </c>
      <c r="L6114" s="80" t="s">
        <v>64</v>
      </c>
    </row>
    <row r="6115">
      <c r="A6115" s="80" t="s">
        <v>3139</v>
      </c>
      <c r="B6115" s="81" t="str">
        <f>HYPERLINK("https://www.youtube.com/channel/UCThO2xnH7XMg6plE8OgJm_w", "choyuen草原")</f>
        <v>choyuen草原</v>
      </c>
      <c r="C6115" s="80" t="s">
        <v>6621</v>
      </c>
      <c r="D6115" s="81" t="str">
        <f>HYPERLINK("https://youtube.com/watch?v=uR0xoyeTblE", "去一轉尼斯湖至發現有冇水怪其實唔係重點 (B.湖邊鬼屋|地球都有經脈穴位?) Loch Ness: Texture of the Monsters (B. Energy grid)")</f>
        <v>去一轉尼斯湖至發現有冇水怪其實唔係重點 (B.湖邊鬼屋|地球都有經脈穴位?) Loch Ness: Texture of the Monsters (B. Energy grid)</v>
      </c>
      <c r="E6115" s="82">
        <v>44818.0</v>
      </c>
      <c r="F6115" s="80">
        <v>313.0</v>
      </c>
      <c r="G6115" s="80" t="s">
        <v>63</v>
      </c>
      <c r="I6115" s="80" t="s">
        <v>63</v>
      </c>
      <c r="J6115" s="80">
        <v>980.0</v>
      </c>
      <c r="K6115" s="80">
        <v>0.928030303030303</v>
      </c>
      <c r="L6115" s="80" t="s">
        <v>64</v>
      </c>
    </row>
    <row r="6116">
      <c r="A6116" s="80" t="s">
        <v>2800</v>
      </c>
      <c r="B6116" s="81" t="str">
        <f>HYPERLINK("https://www.youtube.com/channel/UCMqrlsr-AECPc6_3oDr8m9w", "Unicorn 獸哥")</f>
        <v>Unicorn 獸哥</v>
      </c>
      <c r="C6116" s="80" t="s">
        <v>6622</v>
      </c>
      <c r="D6116" s="81" t="str">
        <f>HYPERLINK("https://youtube.com/watch?v=rfCYQtto0Q0", "【game評】 遊戲界最動人的父子情 god of war ragnarok CC字幕")</f>
        <v>【game評】 遊戲界最動人的父子情 god of war ragnarok CC字幕</v>
      </c>
      <c r="E6116" s="82">
        <v>44904.0</v>
      </c>
      <c r="F6116" s="80">
        <v>529.0</v>
      </c>
      <c r="G6116" s="80" t="s">
        <v>63</v>
      </c>
      <c r="I6116" s="80" t="s">
        <v>63</v>
      </c>
      <c r="J6116" s="80">
        <v>2207.0</v>
      </c>
      <c r="K6116" s="80">
        <v>0.916147779161477</v>
      </c>
      <c r="L6116" s="80" t="s">
        <v>64</v>
      </c>
    </row>
    <row r="6117">
      <c r="A6117" s="80" t="s">
        <v>2804</v>
      </c>
      <c r="B6117" s="81" t="str">
        <f>HYPERLINK("https://www.youtube.com/channel/UCrFrg50t0JqgqV2dkIrH5Hg", "投智財女 GirlbossInvest 創業投資智慧")</f>
        <v>投智財女 GirlbossInvest 創業投資智慧</v>
      </c>
      <c r="C6117" s="80" t="s">
        <v>6623</v>
      </c>
      <c r="D6117" s="81" t="str">
        <f>HYPERLINK("https://youtube.com/watch?v=6jahYX13R9E", "港元定存0本金賺2萬定期利息？3個方法教用銀行高息定期和稅貸賺息差😎😎 #港元定存 #稅貸 #收息 #限時送MacBookAir")</f>
        <v>港元定存0本金賺2萬定期利息？3個方法教用銀行高息定期和稅貸賺息差😎😎 #港元定存 #稅貸 #收息 #限時送MacBookAir</v>
      </c>
      <c r="E6117" s="82">
        <v>44873.0</v>
      </c>
      <c r="F6117" s="80">
        <v>494.0</v>
      </c>
      <c r="G6117" s="80" t="s">
        <v>63</v>
      </c>
      <c r="I6117" s="80" t="s">
        <v>63</v>
      </c>
      <c r="J6117" s="80">
        <v>1650.0</v>
      </c>
      <c r="K6117" s="80">
        <v>0.97980997624703</v>
      </c>
      <c r="L6117" s="80" t="s">
        <v>1153</v>
      </c>
    </row>
    <row r="6118">
      <c r="A6118" s="80" t="s">
        <v>248</v>
      </c>
      <c r="B6118" s="81" t="str">
        <f>HYPERLINK("https://www.youtube.com/channel/UCUEJok-GiWaGlv5nIPwk-GQ", "Price.com.hk 香港格價網")</f>
        <v>Price.com.hk 香港格價網</v>
      </c>
      <c r="C6118" s="80" t="s">
        <v>6624</v>
      </c>
      <c r="D6118" s="81" t="str">
        <f>HYPERLINK("https://youtube.com/watch?v=Eh-qnqXB2ss", "Intel第13代Core處理器全面曝光． Amazon首部手寫筆電子書．Apple Watch及Ultra疑現Bug | 廣東話【Price Weekly #134 2022年10月 】")</f>
        <v>Intel第13代Core處理器全面曝光． Amazon首部手寫筆電子書．Apple Watch及Ultra疑現Bug | 廣東話【Price Weekly #134 2022年10月 】</v>
      </c>
      <c r="E6118" s="82">
        <v>44835.0</v>
      </c>
      <c r="F6118" s="80">
        <v>609.0</v>
      </c>
      <c r="G6118" s="80" t="s">
        <v>63</v>
      </c>
      <c r="I6118" s="80" t="s">
        <v>63</v>
      </c>
      <c r="J6118" s="80">
        <v>2217.0</v>
      </c>
      <c r="K6118" s="80">
        <v>0.766067726330338</v>
      </c>
      <c r="L6118" s="80" t="s">
        <v>64</v>
      </c>
    </row>
    <row r="6119">
      <c r="A6119" s="80" t="s">
        <v>124</v>
      </c>
      <c r="B6119" s="81" t="str">
        <f>HYPERLINK("https://www.youtube.com/channel/UCg0vuSE0fBF_NvodyYhMcWg", "Wallace Studio HK")</f>
        <v>Wallace Studio HK</v>
      </c>
      <c r="C6119" s="80" t="s">
        <v>6625</v>
      </c>
      <c r="D6119" s="81" t="str">
        <f>HYPERLINK("https://youtube.com/watch?v=KDHDeSkaaCI", "ASUS ROG Phone 6 詳細評測! 2022最強遊戲手機")</f>
        <v>ASUS ROG Phone 6 詳細評測! 2022最強遊戲手機</v>
      </c>
      <c r="E6119" s="82">
        <v>44899.0</v>
      </c>
      <c r="F6119" s="80">
        <v>715.0</v>
      </c>
      <c r="G6119" s="80" t="s">
        <v>63</v>
      </c>
      <c r="I6119" s="80" t="s">
        <v>63</v>
      </c>
      <c r="J6119" s="80">
        <v>2906.0</v>
      </c>
      <c r="K6119" s="80">
        <v>0.786894124018413</v>
      </c>
      <c r="L6119" s="80" t="s">
        <v>86</v>
      </c>
    </row>
    <row r="6120">
      <c r="A6120" s="80" t="s">
        <v>2585</v>
      </c>
      <c r="B6120" s="81" t="str">
        <f>HYPERLINK("https://www.youtube.com/channel/UCyyruuN0VecuYxPNR4un88Q", "混血肥仔")</f>
        <v>混血肥仔</v>
      </c>
      <c r="C6120" s="80" t="s">
        <v>6626</v>
      </c>
      <c r="D6120" s="81" t="str">
        <f>HYPERLINK("https://youtube.com/watch?v=JNqUOl6pvg4", "🥺 放棄記者夢的一個香港女生 | 一路向北識女仔 #07")</f>
        <v>🥺 放棄記者夢的一個香港女生 | 一路向北識女仔 #07</v>
      </c>
      <c r="E6120" s="82">
        <v>44910.0</v>
      </c>
      <c r="F6120" s="80">
        <v>937.0</v>
      </c>
      <c r="G6120" s="80" t="s">
        <v>63</v>
      </c>
      <c r="I6120" s="80" t="s">
        <v>63</v>
      </c>
      <c r="J6120" s="80">
        <v>2970.0</v>
      </c>
      <c r="K6120" s="80">
        <v>0.968373002934463</v>
      </c>
      <c r="L6120" s="80" t="s">
        <v>64</v>
      </c>
    </row>
    <row r="6121">
      <c r="A6121" s="80" t="s">
        <v>121</v>
      </c>
      <c r="B6121" s="81" t="str">
        <f>HYPERLINK("https://www.youtube.com/channel/UC-2hWXRgCg-o5Waz36Yt7BA", "Arm Channel TV")</f>
        <v>Arm Channel TV</v>
      </c>
      <c r="C6121" s="80" t="s">
        <v>6627</v>
      </c>
      <c r="D6121" s="81" t="str">
        <f>HYPERLINK("https://youtube.com/watch?v=jyw6jTr7IAM", "【搞怪短劇】公我贏 字你輸")</f>
        <v>【搞怪短劇】公我贏 字你輸</v>
      </c>
      <c r="E6121" s="82">
        <v>44887.0</v>
      </c>
      <c r="F6121" s="80">
        <v>87.0</v>
      </c>
      <c r="G6121" s="80" t="s">
        <v>63</v>
      </c>
      <c r="I6121" s="80" t="s">
        <v>63</v>
      </c>
      <c r="J6121" s="80">
        <v>228.0</v>
      </c>
      <c r="K6121" s="80">
        <v>0.982758620689655</v>
      </c>
      <c r="L6121" s="80" t="s">
        <v>64</v>
      </c>
    </row>
    <row r="6122">
      <c r="A6122" s="80" t="s">
        <v>6628</v>
      </c>
      <c r="B6122" s="81" t="str">
        <f>HYPERLINK("https://www.youtube.com/channel/UC4cXjLVUR7YxxoNYpOy8gTg", "輝Sir電單車Fai Sir Motorbike")</f>
        <v>輝Sir電單車Fai Sir Motorbike</v>
      </c>
      <c r="C6122" s="80" t="s">
        <v>6629</v>
      </c>
      <c r="D6122" s="81" t="str">
        <f>HYPERLINK("https://youtube.com/watch?v=x39xRYSeqF8", "學電單車成日做漏動作？一招 😮 #指差確認 幫你解決！#學電單車 #電單車課程 #電單車報名")</f>
        <v>學電單車成日做漏動作？一招 😮 #指差確認 幫你解決！#學電單車 #電單車課程 #電單車報名</v>
      </c>
      <c r="E6122" s="82">
        <v>44571.0</v>
      </c>
      <c r="F6122" s="80">
        <v>313.0</v>
      </c>
      <c r="G6122" s="80" t="s">
        <v>63</v>
      </c>
      <c r="I6122" s="80" t="s">
        <v>63</v>
      </c>
      <c r="J6122" s="80">
        <v>1057.0</v>
      </c>
      <c r="K6122" s="80">
        <v>0.97329650092081</v>
      </c>
      <c r="L6122" s="80" t="s">
        <v>102</v>
      </c>
    </row>
    <row r="6123">
      <c r="A6123" s="80" t="s">
        <v>755</v>
      </c>
      <c r="B6123" s="81" t="str">
        <f>HYPERLINK("https://www.youtube.com/channel/UCBiJDTc82IM68KVH873VeAw", "Live in Kwangsi廣西人·情·味")</f>
        <v>Live in Kwangsi廣西人·情·味</v>
      </c>
      <c r="C6123" s="80" t="s">
        <v>6630</v>
      </c>
      <c r="D6123" s="81" t="str">
        <f>HYPERLINK("https://youtube.com/watch?v=yeA1t-gwiEo", "農曆十五喺賀州市蓮塘鎮天台山（秀峰寺） 20221108")</f>
        <v>農曆十五喺賀州市蓮塘鎮天台山（秀峰寺） 20221108</v>
      </c>
      <c r="E6123" s="82">
        <v>44873.0</v>
      </c>
      <c r="F6123" s="80">
        <v>359.0</v>
      </c>
      <c r="G6123" s="80" t="s">
        <v>63</v>
      </c>
      <c r="I6123" s="80" t="s">
        <v>63</v>
      </c>
      <c r="J6123" s="80">
        <v>34.0</v>
      </c>
      <c r="K6123" s="80">
        <v>1.0</v>
      </c>
      <c r="L6123" s="80" t="s">
        <v>757</v>
      </c>
    </row>
    <row r="6124">
      <c r="A6124" s="80" t="s">
        <v>217</v>
      </c>
      <c r="B6124" s="81" t="str">
        <f>HYPERLINK("https://www.youtube.com/channel/UCXKg0qPRz32bs5Z4mTGF3TQ", "Stormtrooper白兵")</f>
        <v>Stormtrooper白兵</v>
      </c>
      <c r="C6124" s="80" t="s">
        <v>6631</v>
      </c>
      <c r="D6124" s="81" t="str">
        <f>HYPERLINK("https://youtube.com/watch?v=VhNh07m-v-w", "[懶人包]新加坡12年前已超越香港｜金融峰會只是照妖鏡｜加密貨幣市場輸到影都冇｜香港輸係邊度？｜有冇機會反敗為勝？｜粵語中字")</f>
        <v>[懶人包]新加坡12年前已超越香港｜金融峰會只是照妖鏡｜加密貨幣市場輸到影都冇｜香港輸係邊度？｜有冇機會反敗為勝？｜粵語中字</v>
      </c>
      <c r="E6124" s="82">
        <v>44875.0</v>
      </c>
      <c r="F6124" s="80">
        <v>874.0</v>
      </c>
      <c r="G6124" s="80" t="s">
        <v>63</v>
      </c>
      <c r="I6124" s="80" t="s">
        <v>63</v>
      </c>
      <c r="J6124" s="80">
        <v>3556.0</v>
      </c>
      <c r="K6124" s="80">
        <v>0.938258575197889</v>
      </c>
      <c r="L6124" s="80" t="s">
        <v>64</v>
      </c>
    </row>
    <row r="6125">
      <c r="A6125" s="80" t="s">
        <v>755</v>
      </c>
      <c r="B6125" s="81" t="str">
        <f>HYPERLINK("https://www.youtube.com/channel/UCBiJDTc82IM68KVH873VeAw", "Live in Kwangsi廣西人·情·味")</f>
        <v>Live in Kwangsi廣西人·情·味</v>
      </c>
      <c r="C6125" s="80" t="s">
        <v>6632</v>
      </c>
      <c r="D6125" s="81" t="str">
        <f>HYPERLINK("https://youtube.com/watch?v=mI9K_4zRCek", "喺欽州三娘灣使咗¥50蚊搭咗超過半個鐘快艇出海睇海豚｜廣西日常實拍 20221006")</f>
        <v>喺欽州三娘灣使咗¥50蚊搭咗超過半個鐘快艇出海睇海豚｜廣西日常實拍 20221006</v>
      </c>
      <c r="E6125" s="82">
        <v>44866.0</v>
      </c>
      <c r="F6125" s="80">
        <v>960.0</v>
      </c>
      <c r="G6125" s="80" t="s">
        <v>63</v>
      </c>
      <c r="I6125" s="80" t="s">
        <v>63</v>
      </c>
      <c r="J6125" s="80">
        <v>284.0</v>
      </c>
      <c r="K6125" s="80">
        <v>0.982698961937716</v>
      </c>
      <c r="L6125" s="80" t="s">
        <v>757</v>
      </c>
    </row>
    <row r="6126">
      <c r="A6126" s="80" t="s">
        <v>5546</v>
      </c>
      <c r="B6126" s="81" t="str">
        <f>HYPERLINK("https://www.youtube.com/channel/UCpE6V9kRImKY0HX3THRgYpw", "InspirLang")</f>
        <v>InspirLang</v>
      </c>
      <c r="C6126" s="80" t="s">
        <v>6633</v>
      </c>
      <c r="D6126" s="81" t="str">
        <f>HYPERLINK("https://youtube.com/watch?v=Kyj19YZIjrw", "My First Vlog! | Snowboarding in Upstate New York, Falling, and Laughing")</f>
        <v>My First Vlog! | Snowboarding in Upstate New York, Falling, and Laughing</v>
      </c>
      <c r="E6126" s="82">
        <v>44834.0</v>
      </c>
      <c r="F6126" s="80">
        <v>480.0</v>
      </c>
      <c r="G6126" s="80" t="s">
        <v>63</v>
      </c>
      <c r="I6126" s="80" t="s">
        <v>63</v>
      </c>
      <c r="J6126" s="80">
        <v>828.0</v>
      </c>
      <c r="K6126" s="80">
        <v>0.91289966923925</v>
      </c>
      <c r="L6126" s="80" t="s">
        <v>2029</v>
      </c>
    </row>
    <row r="6127">
      <c r="A6127" s="80" t="s">
        <v>1492</v>
      </c>
      <c r="B6127" s="81" t="str">
        <f>HYPERLINK("https://www.youtube.com/channel/UCTo1EIcKtkDYqiUqs4v_NlA", "【常公子】頻道TV - 中文中史歷史哲學")</f>
        <v>【常公子】頻道TV - 中文中史歷史哲學</v>
      </c>
      <c r="C6127" s="80" t="s">
        <v>6634</v>
      </c>
      <c r="D6127" s="81" t="str">
        <f>HYPERLINK("https://youtube.com/watch?v=Rn_xUoOSPlc", "【常威近代史】第五百零八回秋收暴動")</f>
        <v>【常威近代史】第五百零八回秋收暴動</v>
      </c>
      <c r="E6127" s="82">
        <v>44877.0</v>
      </c>
      <c r="F6127" s="80">
        <v>718.0</v>
      </c>
      <c r="G6127" s="80" t="s">
        <v>63</v>
      </c>
      <c r="I6127" s="80" t="s">
        <v>63</v>
      </c>
      <c r="J6127" s="80">
        <v>1595.0</v>
      </c>
      <c r="K6127" s="80">
        <v>0.983960518198642</v>
      </c>
      <c r="L6127" s="80" t="s">
        <v>64</v>
      </c>
    </row>
    <row r="6128">
      <c r="A6128" s="80" t="s">
        <v>293</v>
      </c>
      <c r="B6128" s="81" t="str">
        <f>HYPERLINK("https://www.youtube.com/channel/UCXRcbXqjORdIvl63I7MtOLQ", "趁熱 Kerry 's kitchen")</f>
        <v>趁熱 Kerry 's kitchen</v>
      </c>
      <c r="C6128" s="80" t="s">
        <v>6635</v>
      </c>
      <c r="D6128" s="81" t="str">
        <f>HYPERLINK("https://youtube.com/watch?v=bGWSqN91TVM", "梅菜蒸菜心/簡單住家菜/勁好餸飯/新手 入門/當造食材/廣東話/中字")</f>
        <v>梅菜蒸菜心/簡單住家菜/勁好餸飯/新手 入門/當造食材/廣東話/中字</v>
      </c>
      <c r="E6128" s="82">
        <v>44860.0</v>
      </c>
      <c r="F6128" s="80">
        <v>542.0</v>
      </c>
      <c r="G6128" s="80" t="s">
        <v>63</v>
      </c>
      <c r="I6128" s="80" t="s">
        <v>63</v>
      </c>
      <c r="J6128" s="80">
        <v>1419.0</v>
      </c>
      <c r="K6128" s="80">
        <v>0.972583961617546</v>
      </c>
      <c r="L6128" s="80" t="s">
        <v>64</v>
      </c>
    </row>
    <row r="6129">
      <c r="A6129" s="80" t="s">
        <v>6236</v>
      </c>
      <c r="B6129" s="81" t="str">
        <f>HYPERLINK("https://www.youtube.com/channel/UCPMsgWJvrkEHE0OpIMtxyYQ", "Comfort鬆")</f>
        <v>Comfort鬆</v>
      </c>
      <c r="C6129" s="80" t="s">
        <v>6636</v>
      </c>
      <c r="D6129" s="81" t="str">
        <f>HYPERLINK("https://youtube.com/watch?v=oeD8qesavpY", "【街訪】幾多cm先係完美身高差？｜女仔畫眉嘅加分位係...?｜長腿女神vs可愛妹妹｜")</f>
        <v>【街訪】幾多cm先係完美身高差？｜女仔畫眉嘅加分位係...?｜長腿女神vs可愛妹妹｜</v>
      </c>
      <c r="E6129" s="82">
        <v>44873.0</v>
      </c>
      <c r="F6129" s="80">
        <v>239.0</v>
      </c>
      <c r="G6129" s="80" t="s">
        <v>63</v>
      </c>
      <c r="I6129" s="80" t="s">
        <v>63</v>
      </c>
      <c r="J6129" s="80">
        <v>539.0</v>
      </c>
      <c r="K6129" s="80">
        <v>0.847484276729559</v>
      </c>
      <c r="L6129" s="80" t="s">
        <v>64</v>
      </c>
    </row>
    <row r="6130">
      <c r="A6130" s="80" t="s">
        <v>217</v>
      </c>
      <c r="B6130" s="81" t="str">
        <f>HYPERLINK("https://www.youtube.com/channel/UCXKg0qPRz32bs5Z4mTGF3TQ", "Stormtrooper白兵")</f>
        <v>Stormtrooper白兵</v>
      </c>
      <c r="C6130" s="80" t="s">
        <v>6637</v>
      </c>
      <c r="D6130" s="81" t="str">
        <f>HYPERLINK("https://youtube.com/watch?v=j3VsdKcFmro", "[唔識財經都睇得明]散戶一定輸？如何夾爆金融大鱷？｜Elon Musk及大賣空原形如何發功協助小股民？｜粵語中字")</f>
        <v>[唔識財經都睇得明]散戶一定輸？如何夾爆金融大鱷？｜Elon Musk及大賣空原形如何發功協助小股民？｜粵語中字</v>
      </c>
      <c r="E6130" s="82">
        <v>44868.0</v>
      </c>
      <c r="F6130" s="80">
        <v>800.0</v>
      </c>
      <c r="G6130" s="80" t="s">
        <v>63</v>
      </c>
      <c r="I6130" s="80" t="s">
        <v>63</v>
      </c>
      <c r="J6130" s="80">
        <v>3109.0</v>
      </c>
      <c r="K6130" s="80">
        <v>0.75006031363088</v>
      </c>
      <c r="L6130" s="80" t="s">
        <v>64</v>
      </c>
    </row>
    <row r="6131">
      <c r="A6131" s="80" t="s">
        <v>293</v>
      </c>
      <c r="B6131" s="81" t="str">
        <f>HYPERLINK("https://www.youtube.com/channel/UCXRcbXqjORdIvl63I7MtOLQ", "趁熱 Kerry 's kitchen")</f>
        <v>趁熱 Kerry 's kitchen</v>
      </c>
      <c r="C6131" s="80" t="s">
        <v>6638</v>
      </c>
      <c r="D6131" s="81" t="str">
        <f>HYPERLINK("https://youtube.com/watch?v=v2SDC1scNlg", "港式雲吞/雲吞湯做法/清湯 竅門/新手都做到/夠你開間小店/重點 講解/廣東話/中字")</f>
        <v>港式雲吞/雲吞湯做法/清湯 竅門/新手都做到/夠你開間小店/重點 講解/廣東話/中字</v>
      </c>
      <c r="E6131" s="82">
        <v>44858.0</v>
      </c>
      <c r="F6131" s="80">
        <v>661.0</v>
      </c>
      <c r="G6131" s="80" t="s">
        <v>63</v>
      </c>
      <c r="I6131" s="80" t="s">
        <v>63</v>
      </c>
      <c r="J6131" s="80">
        <v>1965.0</v>
      </c>
      <c r="K6131" s="80">
        <v>0.972290945076694</v>
      </c>
      <c r="L6131" s="80" t="s">
        <v>64</v>
      </c>
    </row>
    <row r="6132">
      <c r="A6132" s="80" t="s">
        <v>755</v>
      </c>
      <c r="B6132" s="81" t="str">
        <f>HYPERLINK("https://www.youtube.com/channel/UCBiJDTc82IM68KVH873VeAw", "Live in Kwangsi廣西人·情·味")</f>
        <v>Live in Kwangsi廣西人·情·味</v>
      </c>
      <c r="C6132" s="80" t="s">
        <v>6639</v>
      </c>
      <c r="D6132" s="81" t="str">
        <f>HYPERLINK("https://youtube.com/watch?v=FCAqDyXx3Fg", "北海市地角鎮鹹水街西海堤挨晚至夜晚掠影｜廣西日常實拍 20220708")</f>
        <v>北海市地角鎮鹹水街西海堤挨晚至夜晚掠影｜廣西日常實拍 20220708</v>
      </c>
      <c r="E6132" s="82">
        <v>44887.0</v>
      </c>
      <c r="F6132" s="80">
        <v>152.0</v>
      </c>
      <c r="G6132" s="80" t="s">
        <v>63</v>
      </c>
      <c r="I6132" s="80" t="s">
        <v>63</v>
      </c>
      <c r="J6132" s="80">
        <v>187.0</v>
      </c>
      <c r="K6132" s="80">
        <v>0.963917525773195</v>
      </c>
      <c r="L6132" s="80" t="s">
        <v>757</v>
      </c>
    </row>
    <row r="6133">
      <c r="A6133" s="80" t="s">
        <v>2800</v>
      </c>
      <c r="B6133" s="81" t="str">
        <f>HYPERLINK("https://www.youtube.com/channel/UCMqrlsr-AECPc6_3oDr8m9w", "Unicorn 獸哥")</f>
        <v>Unicorn 獸哥</v>
      </c>
      <c r="C6133" s="80" t="s">
        <v>6640</v>
      </c>
      <c r="D6133" s="81" t="str">
        <f>HYPERLINK("https://youtube.com/watch?v=eghSIKBLezQ", "【速食新聞】PS5唔洗再抽機？PS5 2023年出新型號？PS VR2竟然唔向下兼容")</f>
        <v>【速食新聞】PS5唔洗再抽機？PS5 2023年出新型號？PS VR2竟然唔向下兼容</v>
      </c>
      <c r="E6133" s="82">
        <v>44830.0</v>
      </c>
      <c r="F6133" s="80">
        <v>181.0</v>
      </c>
      <c r="G6133" s="80" t="s">
        <v>63</v>
      </c>
      <c r="I6133" s="80" t="s">
        <v>63</v>
      </c>
      <c r="J6133" s="80">
        <v>678.0</v>
      </c>
      <c r="K6133" s="80">
        <v>0.823815309842041</v>
      </c>
      <c r="L6133" s="80" t="s">
        <v>64</v>
      </c>
    </row>
    <row r="6134">
      <c r="A6134" s="80" t="s">
        <v>124</v>
      </c>
      <c r="B6134" s="81" t="str">
        <f>HYPERLINK("https://www.youtube.com/channel/UCg0vuSE0fBF_NvodyYhMcWg", "Wallace Studio HK")</f>
        <v>Wallace Studio HK</v>
      </c>
      <c r="C6134" s="80" t="s">
        <v>6641</v>
      </c>
      <c r="D6134" s="81" t="str">
        <f>HYPERLINK("https://youtube.com/watch?v=oHhg_yr1YIU", "iPhone 14 Pro 開箱實測 (vs iPhone 13 Pro) ! Dynamic Island , Apple A16, Always on Display, 夜拍表現")</f>
        <v>iPhone 14 Pro 開箱實測 (vs iPhone 13 Pro) ! Dynamic Island , Apple A16, Always on Display, 夜拍表現</v>
      </c>
      <c r="E6134" s="82">
        <v>44835.0</v>
      </c>
      <c r="F6134" s="80">
        <v>1027.0</v>
      </c>
      <c r="G6134" s="80" t="s">
        <v>63</v>
      </c>
      <c r="H6134" s="80" t="s">
        <v>63</v>
      </c>
      <c r="I6134" s="80" t="s">
        <v>63</v>
      </c>
      <c r="J6134" s="80">
        <v>3537.0</v>
      </c>
      <c r="K6134" s="80">
        <v>0.7544795221843</v>
      </c>
      <c r="L6134" s="80" t="s">
        <v>86</v>
      </c>
    </row>
    <row r="6135">
      <c r="A6135" s="80" t="s">
        <v>2804</v>
      </c>
      <c r="B6135" s="81" t="str">
        <f>HYPERLINK("https://www.youtube.com/channel/UCrFrg50t0JqgqV2dkIrH5Hg", "投智財女 GirlbossInvest 創業投資智慧")</f>
        <v>投智財女 GirlbossInvest 創業投資智慧</v>
      </c>
      <c r="C6135" s="80" t="s">
        <v>6642</v>
      </c>
      <c r="D6135" s="81" t="str">
        <f>HYPERLINK("https://youtube.com/watch?v=XWM0nKB2M5w", "30萬粉KOL""推""派息基金賺硬, 定期存款係騙局！bob叔連登都大鬧! 人稱youtube寄生蟲教人做「定期」... #伍仔 #派息基金 #定期存款 【滅聲按cc字幕】")</f>
        <v>30萬粉KOL"推"派息基金賺硬, 定期存款係騙局！bob叔連登都大鬧! 人稱youtube寄生蟲教人做「定期」... #伍仔 #派息基金 #定期存款 【滅聲按cc字幕】</v>
      </c>
      <c r="E6135" s="82">
        <v>44880.0</v>
      </c>
      <c r="F6135" s="80">
        <v>756.0</v>
      </c>
      <c r="G6135" s="80" t="s">
        <v>63</v>
      </c>
      <c r="I6135" s="80" t="s">
        <v>63</v>
      </c>
      <c r="J6135" s="80">
        <v>3270.0</v>
      </c>
      <c r="K6135" s="80">
        <v>0.793304221251819</v>
      </c>
      <c r="L6135" s="80" t="s">
        <v>102</v>
      </c>
    </row>
    <row r="6136">
      <c r="A6136" s="80" t="s">
        <v>5702</v>
      </c>
      <c r="B6136" s="81" t="str">
        <f>HYPERLINK("https://www.youtube.com/channel/UC249m2fxYzK-NnfH06YNP3A", "Siu Mei小美")</f>
        <v>Siu Mei小美</v>
      </c>
      <c r="C6136" s="80" t="s">
        <v>6643</v>
      </c>
      <c r="D6136" s="81" t="str">
        <f>HYPERLINK("https://youtube.com/watch?v=GrCnDzMvCBQ", "Staycation Vlog 🌸 兩日一夜去美利酒店度假🏖 HKD3XXX包三餐抵唔抵住？📸人氣打卡Cafe Pondside超好食😍 自家貴婦級頭髮保養🧖‍♀️")</f>
        <v>Staycation Vlog 🌸 兩日一夜去美利酒店度假🏖 HKD3XXX包三餐抵唔抵住？📸人氣打卡Cafe Pondside超好食😍 自家貴婦級頭髮保養🧖‍♀️</v>
      </c>
      <c r="E6136" s="82">
        <v>44913.0</v>
      </c>
      <c r="F6136" s="80">
        <v>1091.0</v>
      </c>
      <c r="G6136" s="80" t="s">
        <v>63</v>
      </c>
      <c r="I6136" s="80" t="s">
        <v>63</v>
      </c>
      <c r="J6136" s="80">
        <v>4809.0</v>
      </c>
      <c r="K6136" s="80">
        <v>0.896699608428118</v>
      </c>
      <c r="L6136" s="80" t="s">
        <v>64</v>
      </c>
    </row>
    <row r="6137">
      <c r="A6137" s="80" t="s">
        <v>248</v>
      </c>
      <c r="B6137" s="81" t="str">
        <f>HYPERLINK("https://www.youtube.com/channel/UCUEJok-GiWaGlv5nIPwk-GQ", "Price.com.hk 香港格價網")</f>
        <v>Price.com.hk 香港格價網</v>
      </c>
      <c r="C6137" s="80" t="s">
        <v>6644</v>
      </c>
      <c r="D6137" s="81" t="str">
        <f>HYPERLINK("https://youtube.com/watch?v=YLG8RcrpxcA", "一機兼顧工作＋娛樂需要！HP Spectre x360 14 可轉換式 Notebook｜四大使用模式｜3:2熒幕｜B&amp;O音效｜特約專題廣東話【Price.com.hk產品評測】")</f>
        <v>一機兼顧工作＋娛樂需要！HP Spectre x360 14 可轉換式 Notebook｜四大使用模式｜3:2熒幕｜B&amp;O音效｜特約專題廣東話【Price.com.hk產品評測】</v>
      </c>
      <c r="E6137" s="82">
        <v>44857.0</v>
      </c>
      <c r="F6137" s="80">
        <v>312.0</v>
      </c>
      <c r="G6137" s="80" t="s">
        <v>63</v>
      </c>
      <c r="I6137" s="80" t="s">
        <v>63</v>
      </c>
      <c r="J6137" s="80">
        <v>1023.0</v>
      </c>
      <c r="K6137" s="80">
        <v>0.764002987303958</v>
      </c>
      <c r="L6137" s="80" t="s">
        <v>64</v>
      </c>
    </row>
    <row r="6138">
      <c r="A6138" s="80" t="s">
        <v>5027</v>
      </c>
      <c r="B6138" s="81" t="str">
        <f>HYPERLINK("https://www.youtube.com/channel/UCZgs3pLaFisZ-TKVOwFEe8Q", "嘉芙姐姐 - 兒歌童謠 - 故事動畫 - Miss Ka Foo Kids Channel")</f>
        <v>嘉芙姐姐 - 兒歌童謠 - 故事動畫 - Miss Ka Foo Kids Channel</v>
      </c>
      <c r="C6138" s="80" t="s">
        <v>6645</v>
      </c>
      <c r="D6138" s="81" t="str">
        <f>HYPERLINK("https://youtube.com/watch?v=4PXC9uQkjEQ", "我長大了 | 中文兒歌學習自理 Self Care Ability | 香港粵語廣東話歌曲 | 幼稚園教材音樂 | 嘉芙姐姐兒歌")</f>
        <v>我長大了 | 中文兒歌學習自理 Self Care Ability | 香港粵語廣東話歌曲 | 幼稚園教材音樂 | 嘉芙姐姐兒歌</v>
      </c>
      <c r="E6138" s="82">
        <v>44831.0</v>
      </c>
      <c r="F6138" s="80">
        <v>126.0</v>
      </c>
      <c r="G6138" s="80" t="s">
        <v>63</v>
      </c>
      <c r="I6138" s="80" t="s">
        <v>63</v>
      </c>
      <c r="J6138" s="80">
        <v>122.0</v>
      </c>
      <c r="K6138" s="80">
        <v>1.0</v>
      </c>
      <c r="L6138" s="80" t="s">
        <v>91</v>
      </c>
    </row>
    <row r="6139">
      <c r="A6139" s="80" t="s">
        <v>6248</v>
      </c>
      <c r="B6139" s="81" t="str">
        <f>HYPERLINK("https://www.youtube.com/channel/UCmlr1is6e9bV34fgg3u0xng", "Ruby.S")</f>
        <v>Ruby.S</v>
      </c>
      <c r="C6139" s="80" t="s">
        <v>6646</v>
      </c>
      <c r="D6139" s="81" t="str">
        <f>HYPERLINK("https://youtube.com/watch?v=unOM7ItNHzM", "@Ruby.S  ［豪華露營］開季首選嘅營地紅花嶺⛺️｜今日簡直係嘆世界｜一家大細+狗狗🐶｜Glamping原來咁舒服｜ I believe I can hike EP48")</f>
        <v>@Ruby.S  ［豪華露營］開季首選嘅營地紅花嶺⛺️｜今日簡直係嘆世界｜一家大細+狗狗🐶｜Glamping原來咁舒服｜ I believe I can hike EP48</v>
      </c>
      <c r="E6139" s="82">
        <v>44848.0</v>
      </c>
      <c r="F6139" s="80">
        <v>1696.0</v>
      </c>
      <c r="G6139" s="80" t="s">
        <v>63</v>
      </c>
      <c r="I6139" s="80" t="s">
        <v>63</v>
      </c>
      <c r="J6139" s="80">
        <v>2086.0</v>
      </c>
      <c r="K6139" s="80">
        <v>0.902639549978364</v>
      </c>
      <c r="L6139" s="80" t="s">
        <v>64</v>
      </c>
    </row>
    <row r="6140">
      <c r="A6140" s="80" t="s">
        <v>6591</v>
      </c>
      <c r="B6140" s="81" t="str">
        <f>HYPERLINK("https://www.youtube.com/channel/UC0DpBgpq_gR7TaNDIvJYZag", "TalkFood")</f>
        <v>TalkFood</v>
      </c>
      <c r="C6140" s="80" t="s">
        <v>6647</v>
      </c>
      <c r="D6140" s="81" t="str">
        <f>HYPERLINK("https://youtube.com/watch?v=n3dzBWp9UDM", "【荃灣家姐黃溢濠帶路之路德圍掃街＋尋找全港最後一個麥當勞叔叔】")</f>
        <v>【荃灣家姐黃溢濠帶路之路德圍掃街＋尋找全港最後一個麥當勞叔叔】</v>
      </c>
      <c r="E6140" s="82">
        <v>44896.0</v>
      </c>
      <c r="F6140" s="80">
        <v>1692.0</v>
      </c>
      <c r="G6140" s="80" t="s">
        <v>63</v>
      </c>
      <c r="I6140" s="80" t="s">
        <v>63</v>
      </c>
      <c r="J6140" s="80">
        <v>5091.0</v>
      </c>
      <c r="K6140" s="80">
        <v>0.957855126999059</v>
      </c>
      <c r="L6140" s="80" t="s">
        <v>91</v>
      </c>
    </row>
    <row r="6141">
      <c r="A6141" s="80" t="s">
        <v>248</v>
      </c>
      <c r="B6141" s="81" t="str">
        <f t="shared" ref="B6141:B6143" si="347">HYPERLINK("https://www.youtube.com/channel/UCUEJok-GiWaGlv5nIPwk-GQ", "Price.com.hk 香港格價網")</f>
        <v>Price.com.hk 香港格價網</v>
      </c>
      <c r="C6141" s="80" t="s">
        <v>6648</v>
      </c>
      <c r="D6141" s="81" t="str">
        <f>HYPERLINK("https://youtube.com/watch?v=R5puc4I-Co4", "3 分鐘了解 SBTM｜HDMI 2.1a 全新功能｜提升 HDR 影像質素｜《Price Wiki》 EP4 | 廣東話")</f>
        <v>3 分鐘了解 SBTM｜HDMI 2.1a 全新功能｜提升 HDR 影像質素｜《Price Wiki》 EP4 | 廣東話</v>
      </c>
      <c r="E6141" s="82">
        <v>44888.0</v>
      </c>
      <c r="F6141" s="80">
        <v>194.0</v>
      </c>
      <c r="G6141" s="80" t="s">
        <v>63</v>
      </c>
      <c r="I6141" s="80" t="s">
        <v>63</v>
      </c>
      <c r="J6141" s="80">
        <v>570.0</v>
      </c>
      <c r="K6141" s="80">
        <v>0.718789407313997</v>
      </c>
      <c r="L6141" s="80" t="s">
        <v>64</v>
      </c>
    </row>
    <row r="6142">
      <c r="A6142" s="80" t="s">
        <v>248</v>
      </c>
      <c r="B6142" s="81" t="str">
        <f t="shared" si="347"/>
        <v>Price.com.hk 香港格價網</v>
      </c>
      <c r="C6142" s="80" t="s">
        <v>6649</v>
      </c>
      <c r="D6142" s="81" t="str">
        <f>HYPERLINK("https://youtube.com/watch?v=1U7eQZc5rm0", "Office必備 靈活多變會議環境 實測Shure STEM ECOSYSTEM｜可擴展方案｜提升音質｜特約專題｜廣東話【Price.com.hk 產品介紹 】")</f>
        <v>Office必備 靈活多變會議環境 實測Shure STEM ECOSYSTEM｜可擴展方案｜提升音質｜特約專題｜廣東話【Price.com.hk 產品介紹 】</v>
      </c>
      <c r="E6142" s="82">
        <v>44894.0</v>
      </c>
      <c r="F6142" s="80">
        <v>344.0</v>
      </c>
      <c r="G6142" s="80" t="s">
        <v>63</v>
      </c>
      <c r="I6142" s="80" t="s">
        <v>63</v>
      </c>
      <c r="J6142" s="80">
        <v>1272.0</v>
      </c>
      <c r="K6142" s="80">
        <v>0.728522336769759</v>
      </c>
      <c r="L6142" s="80" t="s">
        <v>64</v>
      </c>
    </row>
    <row r="6143">
      <c r="A6143" s="80" t="s">
        <v>248</v>
      </c>
      <c r="B6143" s="81" t="str">
        <f t="shared" si="347"/>
        <v>Price.com.hk 香港格價網</v>
      </c>
      <c r="C6143" s="80" t="s">
        <v>6650</v>
      </c>
      <c r="D6143" s="81" t="str">
        <f>HYPERLINK("https://youtube.com/watch?v=LF_ImKSiEoQ", "節日狂歡！5款JBL PartyBox喇叭 Busking、Party、唱K用！實試JBL PartyBox Encore｜特約專題｜廣東話【Price.com.hk產品評測】")</f>
        <v>節日狂歡！5款JBL PartyBox喇叭 Busking、Party、唱K用！實試JBL PartyBox Encore｜特約專題｜廣東話【Price.com.hk產品評測】</v>
      </c>
      <c r="E6143" s="82">
        <v>44887.0</v>
      </c>
      <c r="F6143" s="80">
        <v>640.0</v>
      </c>
      <c r="G6143" s="80" t="s">
        <v>63</v>
      </c>
      <c r="I6143" s="80" t="s">
        <v>63</v>
      </c>
      <c r="J6143" s="80">
        <v>2210.0</v>
      </c>
      <c r="K6143" s="80">
        <v>0.785638108780661</v>
      </c>
      <c r="L6143" s="80" t="s">
        <v>64</v>
      </c>
    </row>
    <row r="6144">
      <c r="A6144" s="80" t="s">
        <v>217</v>
      </c>
      <c r="B6144" s="81" t="str">
        <f>HYPERLINK("https://www.youtube.com/channel/UCXKg0qPRz32bs5Z4mTGF3TQ", "Stormtrooper白兵")</f>
        <v>Stormtrooper白兵</v>
      </c>
      <c r="C6144" s="80" t="s">
        <v>6651</v>
      </c>
      <c r="D6144" s="81" t="str">
        <f>HYPERLINK("https://youtube.com/watch?v=U2tvtxu9kUU", "[你嘅錢可以過期？]將在全球執行的變種社會信用系統｜配合碳足跡追蹤，實現數碼集中營｜中央銀行數碼貨幣｜數字人民幣｜數字港元｜粵語中字")</f>
        <v>[你嘅錢可以過期？]將在全球執行的變種社會信用系統｜配合碳足跡追蹤，實現數碼集中營｜中央銀行數碼貨幣｜數字人民幣｜數字港元｜粵語中字</v>
      </c>
      <c r="E6144" s="82">
        <v>44840.0</v>
      </c>
      <c r="F6144" s="80">
        <v>872.0</v>
      </c>
      <c r="G6144" s="80" t="s">
        <v>63</v>
      </c>
      <c r="I6144" s="80" t="s">
        <v>63</v>
      </c>
      <c r="J6144" s="80">
        <v>3083.0</v>
      </c>
      <c r="K6144" s="80">
        <v>0.866985376827896</v>
      </c>
      <c r="L6144" s="80" t="s">
        <v>64</v>
      </c>
    </row>
    <row r="6145">
      <c r="A6145" s="80" t="s">
        <v>5912</v>
      </c>
      <c r="B6145" s="81" t="str">
        <f>HYPERLINK("https://www.youtube.com/channel/UCSJCx6i6QI2MFN0mDJnnTCw", "慢半拍製作")</f>
        <v>慢半拍製作</v>
      </c>
      <c r="C6145" s="80" t="s">
        <v>6652</v>
      </c>
      <c r="D6145" s="81" t="str">
        <f>HYPERLINK("https://youtube.com/watch?v=iglO2XcvjTY", "學界男神女神大搜查 Ep.4 ：女校女生的海濱散步日常（上）🥂｜慢半拍")</f>
        <v>學界男神女神大搜查 Ep.4 ：女校女生的海濱散步日常（上）🥂｜慢半拍</v>
      </c>
      <c r="E6145" s="82">
        <v>44860.0</v>
      </c>
      <c r="F6145" s="80">
        <v>988.0</v>
      </c>
      <c r="G6145" s="80" t="s">
        <v>63</v>
      </c>
      <c r="I6145" s="80" t="s">
        <v>63</v>
      </c>
      <c r="J6145" s="80">
        <v>1605.0</v>
      </c>
      <c r="K6145" s="80">
        <v>0.888212506917542</v>
      </c>
      <c r="L6145" s="80" t="s">
        <v>64</v>
      </c>
    </row>
    <row r="6146">
      <c r="A6146" s="80" t="s">
        <v>5027</v>
      </c>
      <c r="B6146" s="81" t="str">
        <f>HYPERLINK("https://www.youtube.com/channel/UCZgs3pLaFisZ-TKVOwFEe8Q", "嘉芙姐姐 - 兒歌童謠 - 故事動畫 - Miss Ka Foo Kids Channel")</f>
        <v>嘉芙姐姐 - 兒歌童謠 - 故事動畫 - Miss Ka Foo Kids Channel</v>
      </c>
      <c r="C6146" s="80" t="s">
        <v>6653</v>
      </c>
      <c r="D6146" s="81" t="str">
        <f>HYPERLINK("https://youtube.com/watch?v=vAeTZlPxiT4", "梁龍Diplodocus| 恐龍中文兒歌 | 嘉芙姐姐粵語廣東話兒歌")</f>
        <v>梁龍Diplodocus| 恐龍中文兒歌 | 嘉芙姐姐粵語廣東話兒歌</v>
      </c>
      <c r="E6146" s="82">
        <v>44907.0</v>
      </c>
      <c r="F6146" s="80">
        <v>105.0</v>
      </c>
      <c r="G6146" s="80" t="s">
        <v>63</v>
      </c>
      <c r="I6146" s="80" t="s">
        <v>63</v>
      </c>
      <c r="J6146" s="80">
        <v>102.0</v>
      </c>
      <c r="K6146" s="80">
        <v>1.0</v>
      </c>
      <c r="L6146" s="80" t="s">
        <v>91</v>
      </c>
    </row>
    <row r="6147">
      <c r="A6147" s="80" t="s">
        <v>6236</v>
      </c>
      <c r="B6147" s="81" t="str">
        <f>HYPERLINK("https://www.youtube.com/channel/UCPMsgWJvrkEHE0OpIMtxyYQ", "Comfort鬆")</f>
        <v>Comfort鬆</v>
      </c>
      <c r="C6147" s="80" t="s">
        <v>6654</v>
      </c>
      <c r="D6147" s="81" t="str">
        <f>HYPERLINK("https://youtube.com/watch?v=3RcACLVmeco", "【尋找香港之旅】最打卡able嘅浸沉式體驗😋 人稱港版 teamLab嘅展覽到底有幾震撼？")</f>
        <v>【尋找香港之旅】最打卡able嘅浸沉式體驗😋 人稱港版 teamLab嘅展覽到底有幾震撼？</v>
      </c>
      <c r="E6147" s="82">
        <v>44838.0</v>
      </c>
      <c r="F6147" s="80">
        <v>257.0</v>
      </c>
      <c r="G6147" s="80" t="s">
        <v>63</v>
      </c>
      <c r="I6147" s="80" t="s">
        <v>63</v>
      </c>
      <c r="J6147" s="80">
        <v>982.0</v>
      </c>
      <c r="K6147" s="80">
        <v>0.976143141153081</v>
      </c>
      <c r="L6147" s="80" t="s">
        <v>64</v>
      </c>
    </row>
    <row r="6148">
      <c r="A6148" s="80" t="s">
        <v>248</v>
      </c>
      <c r="B6148" s="81" t="str">
        <f>HYPERLINK("https://www.youtube.com/channel/UCUEJok-GiWaGlv5nIPwk-GQ", "Price.com.hk 香港格價網")</f>
        <v>Price.com.hk 香港格價網</v>
      </c>
      <c r="C6148" s="80" t="s">
        <v>6655</v>
      </c>
      <c r="D6148" s="81" t="str">
        <f>HYPERLINK("https://youtube.com/watch?v=PSY-tiwKSiI", "最新潮耳機？唇膏式設計 Nothing Ear (stick)｜對比AirPods 3｜音色、通話、佩戴感｜廣東話 |【Price.com.hk產品評測】")</f>
        <v>最新潮耳機？唇膏式設計 Nothing Ear (stick)｜對比AirPods 3｜音色、通話、佩戴感｜廣東話 |【Price.com.hk產品評測】</v>
      </c>
      <c r="E6148" s="82">
        <v>44879.0</v>
      </c>
      <c r="F6148" s="80">
        <v>324.0</v>
      </c>
      <c r="G6148" s="80" t="s">
        <v>63</v>
      </c>
      <c r="I6148" s="80" t="s">
        <v>63</v>
      </c>
      <c r="J6148" s="80">
        <v>1039.0</v>
      </c>
      <c r="K6148" s="80">
        <v>0.741613133476088</v>
      </c>
      <c r="L6148" s="80" t="s">
        <v>64</v>
      </c>
    </row>
    <row r="6149">
      <c r="A6149" s="80" t="s">
        <v>124</v>
      </c>
      <c r="B6149" s="81" t="str">
        <f>HYPERLINK("https://www.youtube.com/channel/UCg0vuSE0fBF_NvodyYhMcWg", "Wallace Studio HK")</f>
        <v>Wallace Studio HK</v>
      </c>
      <c r="C6149" s="80" t="s">
        <v>6656</v>
      </c>
      <c r="D6149" s="81" t="str">
        <f>HYPERLINK("https://youtube.com/watch?v=cOPNEXOA9KY", "Dell G15 5520，平價Alienware?  表現不俗! 不過中大伏，差啲要退貨 !")</f>
        <v>Dell G15 5520，平價Alienware?  表現不俗! 不過中大伏，差啲要退貨 !</v>
      </c>
      <c r="E6149" s="82">
        <v>44849.0</v>
      </c>
      <c r="F6149" s="80">
        <v>665.0</v>
      </c>
      <c r="G6149" s="80" t="s">
        <v>63</v>
      </c>
      <c r="H6149" s="80" t="s">
        <v>63</v>
      </c>
      <c r="I6149" s="80" t="s">
        <v>63</v>
      </c>
      <c r="J6149" s="80">
        <v>2617.0</v>
      </c>
      <c r="K6149" s="80">
        <v>0.750286697247706</v>
      </c>
      <c r="L6149" s="80" t="s">
        <v>86</v>
      </c>
    </row>
    <row r="6150">
      <c r="A6150" s="80" t="s">
        <v>1492</v>
      </c>
      <c r="B6150" s="81" t="str">
        <f>HYPERLINK("https://www.youtube.com/channel/UCTo1EIcKtkDYqiUqs4v_NlA", "【常公子】頻道TV - 中文中史歷史哲學")</f>
        <v>【常公子】頻道TV - 中文中史歷史哲學</v>
      </c>
      <c r="C6150" s="80" t="s">
        <v>6657</v>
      </c>
      <c r="D6150" s="81" t="str">
        <f>HYPERLINK("https://youtube.com/watch?v=OuGgLGqOjcc", "【常威近代史】第五百一拾一回省籍問題籍貫問題非常重要")</f>
        <v>【常威近代史】第五百一拾一回省籍問題籍貫問題非常重要</v>
      </c>
      <c r="E6150" s="82">
        <v>44891.0</v>
      </c>
      <c r="F6150" s="80">
        <v>698.0</v>
      </c>
      <c r="G6150" s="80" t="s">
        <v>63</v>
      </c>
      <c r="I6150" s="80" t="s">
        <v>63</v>
      </c>
      <c r="J6150" s="80">
        <v>1683.0</v>
      </c>
      <c r="K6150" s="80">
        <v>0.990582695703354</v>
      </c>
      <c r="L6150" s="80" t="s">
        <v>64</v>
      </c>
    </row>
    <row r="6151">
      <c r="A6151" s="80" t="s">
        <v>121</v>
      </c>
      <c r="B6151" s="81" t="str">
        <f>HYPERLINK("https://www.youtube.com/channel/UC-2hWXRgCg-o5Waz36Yt7BA", "Arm Channel TV")</f>
        <v>Arm Channel TV</v>
      </c>
      <c r="C6151" s="80" t="s">
        <v>6658</v>
      </c>
      <c r="D6151" s="81" t="str">
        <f>HYPERLINK("https://youtube.com/watch?v=YcYxk0L5wA0", "【唔啱問吓你】姐姐鍾意邊個男星做AV男優？")</f>
        <v>【唔啱問吓你】姐姐鍾意邊個男星做AV男優？</v>
      </c>
      <c r="E6151" s="82">
        <v>44844.0</v>
      </c>
      <c r="F6151" s="80">
        <v>257.0</v>
      </c>
      <c r="G6151" s="80" t="s">
        <v>63</v>
      </c>
      <c r="I6151" s="80" t="s">
        <v>63</v>
      </c>
      <c r="J6151" s="80">
        <v>698.0</v>
      </c>
      <c r="K6151" s="80">
        <v>0.984485190409026</v>
      </c>
      <c r="L6151" s="80" t="s">
        <v>64</v>
      </c>
    </row>
    <row r="6152">
      <c r="A6152" s="80" t="s">
        <v>5301</v>
      </c>
      <c r="B6152" s="81" t="str">
        <f>HYPERLINK("https://www.youtube.com/channel/UCTH_IecfGTuKdew5dTb_D6A", "BOYS' CHOIR")</f>
        <v>BOYS' CHOIR</v>
      </c>
      <c r="C6152" s="80" t="s">
        <v>6659</v>
      </c>
      <c r="D6152" s="81" t="str">
        <f>HYPERLINK("https://youtube.com/watch?v=2NOvweOKelU", "Yung Raise - CEDRIC FREESTYLE (Audio)")</f>
        <v>Yung Raise - CEDRIC FREESTYLE (Audio)</v>
      </c>
      <c r="E6152" s="82">
        <v>44862.0</v>
      </c>
      <c r="F6152" s="80">
        <v>129.0</v>
      </c>
      <c r="G6152" s="80" t="s">
        <v>63</v>
      </c>
      <c r="I6152" s="80" t="s">
        <v>63</v>
      </c>
      <c r="J6152" s="80">
        <v>47.0</v>
      </c>
      <c r="K6152" s="80">
        <v>0.0406222990492653</v>
      </c>
      <c r="L6152" s="80" t="s">
        <v>64</v>
      </c>
    </row>
    <row r="6153">
      <c r="A6153" s="80" t="s">
        <v>82</v>
      </c>
      <c r="B6153" s="81" t="str">
        <f>HYPERLINK("https://www.youtube.com/channel/UC6C2hkbggXIgapf5jn_V2Dw", "SpongeMob 852")</f>
        <v>SpongeMob 852</v>
      </c>
      <c r="C6153" s="80" t="s">
        <v>6660</v>
      </c>
      <c r="D6153" s="81" t="str">
        <f>HYPERLINK("https://youtube.com/watch?v=5uAJAT7Ld5s", "Teddy Beer - Red Signal (Prod. by 卓峰整嘅)")</f>
        <v>Teddy Beer - Red Signal (Prod. by 卓峰整嘅)</v>
      </c>
      <c r="E6153" s="82">
        <v>44842.0</v>
      </c>
      <c r="F6153" s="80">
        <v>151.0</v>
      </c>
      <c r="G6153" s="80" t="s">
        <v>63</v>
      </c>
      <c r="I6153" s="80" t="s">
        <v>63</v>
      </c>
      <c r="J6153" s="80">
        <v>352.0</v>
      </c>
      <c r="K6153" s="80">
        <v>0.246498599439775</v>
      </c>
      <c r="L6153" s="80" t="s">
        <v>64</v>
      </c>
    </row>
    <row r="6154">
      <c r="A6154" s="80" t="s">
        <v>2761</v>
      </c>
      <c r="B6154" s="81" t="str">
        <f>HYPERLINK("https://www.youtube.com/channel/UCr_L9cZdbBU_XDsKDHBBlew", "am730")</f>
        <v>am730</v>
      </c>
      <c r="C6154" s="80" t="s">
        <v>6661</v>
      </c>
      <c r="D6154" s="81" t="str">
        <f>HYPERLINK("https://youtube.com/watch?v=BCmVZMky7aE", "靈異丨香港02：「執到寶」中集 丨小紅帽聲音專欄 #靈異 #鬼故事 #podcast")</f>
        <v>靈異丨香港02：「執到寶」中集 丨小紅帽聲音專欄 #靈異 #鬼故事 #podcast</v>
      </c>
      <c r="E6154" s="82">
        <v>44867.0</v>
      </c>
      <c r="F6154" s="80">
        <v>307.0</v>
      </c>
      <c r="G6154" s="80" t="s">
        <v>63</v>
      </c>
      <c r="I6154" s="80" t="s">
        <v>63</v>
      </c>
      <c r="J6154" s="80">
        <v>994.0</v>
      </c>
      <c r="K6154" s="80">
        <v>0.987090367428003</v>
      </c>
      <c r="L6154" s="80" t="s">
        <v>91</v>
      </c>
    </row>
    <row r="6155">
      <c r="A6155" s="80" t="s">
        <v>2585</v>
      </c>
      <c r="B6155" s="81" t="str">
        <f>HYPERLINK("https://www.youtube.com/channel/UCyyruuN0VecuYxPNR4un88Q", "混血肥仔")</f>
        <v>混血肥仔</v>
      </c>
      <c r="C6155" s="80" t="s">
        <v>6662</v>
      </c>
      <c r="D6155" s="81" t="str">
        <f>HYPERLINK("https://youtube.com/watch?v=rJQB39Mamag", "應徵成功！做古天樂一日司機｜成日黑面? 見到外星人?  拍攝途中遇到突發事情 ?!")</f>
        <v>應徵成功！做古天樂一日司機｜成日黑面? 見到外星人?  拍攝途中遇到突發事情 ?!</v>
      </c>
      <c r="E6155" s="82">
        <v>44866.0</v>
      </c>
      <c r="F6155" s="80">
        <v>894.0</v>
      </c>
      <c r="G6155" s="80" t="s">
        <v>63</v>
      </c>
      <c r="I6155" s="80" t="s">
        <v>63</v>
      </c>
      <c r="J6155" s="80">
        <v>2621.0</v>
      </c>
      <c r="K6155" s="80">
        <v>0.958318098720292</v>
      </c>
      <c r="L6155" s="80" t="s">
        <v>64</v>
      </c>
    </row>
    <row r="6156">
      <c r="A6156" s="80" t="s">
        <v>5702</v>
      </c>
      <c r="B6156" s="81" t="str">
        <f>HYPERLINK("https://www.youtube.com/channel/UC249m2fxYzK-NnfH06YNP3A", "Siu Mei小美")</f>
        <v>Siu Mei小美</v>
      </c>
      <c r="C6156" s="80" t="s">
        <v>6663</v>
      </c>
      <c r="D6156" s="81" t="str">
        <f>HYPERLINK("https://youtube.com/watch?v=N8PPwrfMhgg", "[清邁VLOG]到埗清邁後的生活日常🇹🇭濕疹嚴重到要入醫院🥺解鎖泰國學車🚗陪我返大學學泰文📖")</f>
        <v>[清邁VLOG]到埗清邁後的生活日常🇹🇭濕疹嚴重到要入醫院🥺解鎖泰國學車🚗陪我返大學學泰文📖</v>
      </c>
      <c r="E6156" s="82">
        <v>44777.0</v>
      </c>
      <c r="F6156" s="80">
        <v>607.0</v>
      </c>
      <c r="G6156" s="80" t="s">
        <v>63</v>
      </c>
      <c r="I6156" s="80" t="s">
        <v>63</v>
      </c>
      <c r="J6156" s="80">
        <v>1720.0</v>
      </c>
      <c r="K6156" s="80">
        <v>0.866062437059415</v>
      </c>
      <c r="L6156" s="80" t="s">
        <v>64</v>
      </c>
    </row>
    <row r="6157">
      <c r="A6157" s="80" t="s">
        <v>6236</v>
      </c>
      <c r="B6157" s="81" t="str">
        <f>HYPERLINK("https://www.youtube.com/channel/UCPMsgWJvrkEHE0OpIMtxyYQ", "Comfort鬆")</f>
        <v>Comfort鬆</v>
      </c>
      <c r="C6157" s="80" t="s">
        <v>6664</v>
      </c>
      <c r="D6157" s="81" t="str">
        <f>HYPERLINK("https://youtube.com/watch?v=Gb88lipBNcU", "【街訪】男仔180一定溝死女？｜原來女仔覺得男仔煮XX好sweet？｜性格定外表重要啲？")</f>
        <v>【街訪】男仔180一定溝死女？｜原來女仔覺得男仔煮XX好sweet？｜性格定外表重要啲？</v>
      </c>
      <c r="E6157" s="82">
        <v>44848.0</v>
      </c>
      <c r="F6157" s="80">
        <v>341.0</v>
      </c>
      <c r="G6157" s="80" t="s">
        <v>63</v>
      </c>
      <c r="I6157" s="80" t="s">
        <v>63</v>
      </c>
      <c r="J6157" s="80">
        <v>912.0</v>
      </c>
      <c r="K6157" s="80">
        <v>0.892367906066536</v>
      </c>
      <c r="L6157" s="80" t="s">
        <v>64</v>
      </c>
    </row>
    <row r="6158">
      <c r="A6158" s="80" t="s">
        <v>217</v>
      </c>
      <c r="B6158" s="81" t="str">
        <f t="shared" ref="B6158:B6159" si="348">HYPERLINK("https://www.youtube.com/channel/UCXKg0qPRz32bs5Z4mTGF3TQ", "Stormtrooper白兵")</f>
        <v>Stormtrooper白兵</v>
      </c>
      <c r="C6158" s="80" t="s">
        <v>6665</v>
      </c>
      <c r="D6158" s="81" t="str">
        <f>HYPERLINK("https://youtube.com/watch?v=E28t_c8eCeE", "突發！卓慧思辭職！英國政治史上最短命首相 ｜10分鐘解構卓慧思如何一招KO英國經濟！｜粵語中字")</f>
        <v>突發！卓慧思辭職！英國政治史上最短命首相 ｜10分鐘解構卓慧思如何一招KO英國經濟！｜粵語中字</v>
      </c>
      <c r="E6158" s="82">
        <v>44854.0</v>
      </c>
      <c r="F6158" s="80">
        <v>742.0</v>
      </c>
      <c r="G6158" s="80" t="s">
        <v>63</v>
      </c>
      <c r="I6158" s="80" t="s">
        <v>63</v>
      </c>
      <c r="J6158" s="80">
        <v>2802.0</v>
      </c>
      <c r="K6158" s="80">
        <v>0.942799461641991</v>
      </c>
      <c r="L6158" s="80" t="s">
        <v>64</v>
      </c>
    </row>
    <row r="6159">
      <c r="A6159" s="80" t="s">
        <v>217</v>
      </c>
      <c r="B6159" s="81" t="str">
        <f t="shared" si="348"/>
        <v>Stormtrooper白兵</v>
      </c>
      <c r="C6159" s="80" t="s">
        <v>6666</v>
      </c>
      <c r="D6159" s="81" t="str">
        <f>HYPERLINK("https://youtube.com/watch?v=5TPGHFqJCpo", "[世界大戰]20大重現國內晶片權鬥，胡錦濤早已被割韭菜！？｜台積電如何成為台灣護國神山？｜張忠謀如何保住台積電，免被中美瓜分！？｜粵語中字")</f>
        <v>[世界大戰]20大重現國內晶片權鬥，胡錦濤早已被割韭菜！？｜台積電如何成為台灣護國神山？｜張忠謀如何保住台積電，免被中美瓜分！？｜粵語中字</v>
      </c>
      <c r="E6159" s="82">
        <v>44861.0</v>
      </c>
      <c r="F6159" s="80">
        <v>787.0</v>
      </c>
      <c r="G6159" s="80" t="s">
        <v>63</v>
      </c>
      <c r="I6159" s="80" t="s">
        <v>63</v>
      </c>
      <c r="J6159" s="80">
        <v>3524.0</v>
      </c>
      <c r="K6159" s="80">
        <v>0.978073827366083</v>
      </c>
      <c r="L6159" s="80" t="s">
        <v>64</v>
      </c>
    </row>
    <row r="6160">
      <c r="A6160" s="80" t="s">
        <v>3869</v>
      </c>
      <c r="B6160" s="81" t="str">
        <f>HYPERLINK("https://www.youtube.com/channel/UCxG_Sl8LTqDJyzurpOSKW0Q", "papa")</f>
        <v>papa</v>
      </c>
      <c r="C6160" s="80" t="s">
        <v>6667</v>
      </c>
      <c r="D6160" s="81" t="str">
        <f>HYPERLINK("https://youtube.com/watch?v=UdNSGeKkSiY", "［粵語］一代背景——幻象前瞻")</f>
        <v>［粵語］一代背景——幻象前瞻</v>
      </c>
      <c r="E6160" s="82">
        <v>44906.0</v>
      </c>
      <c r="F6160" s="80">
        <v>188.0</v>
      </c>
      <c r="G6160" s="80" t="s">
        <v>63</v>
      </c>
      <c r="I6160" s="80" t="s">
        <v>63</v>
      </c>
      <c r="J6160" s="80">
        <v>761.0</v>
      </c>
      <c r="K6160" s="80">
        <v>0.968193384223918</v>
      </c>
      <c r="L6160" s="80" t="s">
        <v>64</v>
      </c>
    </row>
    <row r="6161">
      <c r="A6161" s="80" t="s">
        <v>248</v>
      </c>
      <c r="B6161" s="81" t="str">
        <f t="shared" ref="B6161:B6163" si="349">HYPERLINK("https://www.youtube.com/channel/UCUEJok-GiWaGlv5nIPwk-GQ", "Price.com.hk 香港格價網")</f>
        <v>Price.com.hk 香港格價網</v>
      </c>
      <c r="C6161" s="80" t="s">
        <v>6668</v>
      </c>
      <c r="D6161" s="81" t="str">
        <f>HYPERLINK("https://youtube.com/watch?v=cIhglB3aGco", "全新舒適音質體驗+心率監測功能！Anker Soundcore Liberty 4真無線耳機｜ ACAA｜ANC｜LDAC｜特約專題｜用後感【price.com.hk產品評測】")</f>
        <v>全新舒適音質體驗+心率監測功能！Anker Soundcore Liberty 4真無線耳機｜ ACAA｜ANC｜LDAC｜特約專題｜用後感【price.com.hk產品評測】</v>
      </c>
      <c r="E6161" s="82">
        <v>44847.0</v>
      </c>
      <c r="F6161" s="80">
        <v>405.0</v>
      </c>
      <c r="G6161" s="80" t="s">
        <v>63</v>
      </c>
      <c r="I6161" s="80" t="s">
        <v>63</v>
      </c>
      <c r="J6161" s="80">
        <v>1493.0</v>
      </c>
      <c r="K6161" s="80">
        <v>0.850227790432801</v>
      </c>
      <c r="L6161" s="80" t="s">
        <v>64</v>
      </c>
    </row>
    <row r="6162">
      <c r="A6162" s="80" t="s">
        <v>248</v>
      </c>
      <c r="B6162" s="81" t="str">
        <f t="shared" si="349"/>
        <v>Price.com.hk 香港格價網</v>
      </c>
      <c r="C6162" s="80" t="s">
        <v>6669</v>
      </c>
      <c r="D6162" s="81" t="str">
        <f>HYPERLINK("https://youtube.com/watch?v=YY3Pzt2CvZs", "意大利 INDESIT Push &amp; Go 洗衣乾衣機 兩秒啟動洗連乾 運動鞋都洗得到｜超強性價比｜GIVEAWAY｜廣東話｜家庭電器 | 中文字幕【Price.com.hk 產品開箱】")</f>
        <v>意大利 INDESIT Push &amp; Go 洗衣乾衣機 兩秒啟動洗連乾 運動鞋都洗得到｜超強性價比｜GIVEAWAY｜廣東話｜家庭電器 | 中文字幕【Price.com.hk 產品開箱】</v>
      </c>
      <c r="E6162" s="82">
        <v>44854.0</v>
      </c>
      <c r="F6162" s="80">
        <v>386.0</v>
      </c>
      <c r="G6162" s="80" t="s">
        <v>63</v>
      </c>
      <c r="I6162" s="80" t="s">
        <v>63</v>
      </c>
      <c r="J6162" s="80">
        <v>1396.0</v>
      </c>
      <c r="K6162" s="80">
        <v>0.877987421383647</v>
      </c>
      <c r="L6162" s="80" t="s">
        <v>64</v>
      </c>
    </row>
    <row r="6163">
      <c r="A6163" s="80" t="s">
        <v>248</v>
      </c>
      <c r="B6163" s="81" t="str">
        <f t="shared" si="349"/>
        <v>Price.com.hk 香港格價網</v>
      </c>
      <c r="C6163" s="80" t="s">
        <v>6670</v>
      </c>
      <c r="D6163" s="81" t="str">
        <f>HYPERLINK("https://youtube.com/watch?v=DoUQV_TAxIc", "RTX 4090 開箱實試！4K Gaming 特效全開無難度？｜40系旗艦卡皇｜規格・跑分・遊戲測試｜廣東話【Price.com.hk 產品評測】")</f>
        <v>RTX 4090 開箱實試！4K Gaming 特效全開無難度？｜40系旗艦卡皇｜規格・跑分・遊戲測試｜廣東話【Price.com.hk 產品評測】</v>
      </c>
      <c r="E6163" s="82">
        <v>44846.0</v>
      </c>
      <c r="F6163" s="80">
        <v>456.0</v>
      </c>
      <c r="G6163" s="80" t="s">
        <v>63</v>
      </c>
      <c r="I6163" s="80" t="s">
        <v>63</v>
      </c>
      <c r="J6163" s="80">
        <v>911.0</v>
      </c>
      <c r="K6163" s="80">
        <v>0.7241653418124</v>
      </c>
      <c r="L6163" s="80" t="s">
        <v>64</v>
      </c>
    </row>
    <row r="6164">
      <c r="A6164" s="80" t="s">
        <v>755</v>
      </c>
      <c r="B6164" s="81" t="str">
        <f>HYPERLINK("https://www.youtube.com/channel/UCBiJDTc82IM68KVH873VeAw", "Live in Kwangsi廣西人·情·味")</f>
        <v>Live in Kwangsi廣西人·情·味</v>
      </c>
      <c r="C6164" s="80" t="s">
        <v>6671</v>
      </c>
      <c r="D6164" s="81" t="str">
        <f>HYPERLINK("https://youtube.com/watch?v=d4KXdndKFEg", "挨晚到北海銀灘行下 現場原聲記錄｜廣西日常實拍 20220709")</f>
        <v>挨晚到北海銀灘行下 現場原聲記錄｜廣西日常實拍 20220709</v>
      </c>
      <c r="E6164" s="82">
        <v>44904.0</v>
      </c>
      <c r="F6164" s="80">
        <v>395.0</v>
      </c>
      <c r="G6164" s="80" t="s">
        <v>63</v>
      </c>
      <c r="I6164" s="80" t="s">
        <v>63</v>
      </c>
      <c r="J6164" s="80">
        <v>43.0</v>
      </c>
      <c r="K6164" s="80">
        <v>1.0</v>
      </c>
      <c r="L6164" s="80" t="s">
        <v>757</v>
      </c>
    </row>
    <row r="6165">
      <c r="A6165" s="80" t="s">
        <v>5702</v>
      </c>
      <c r="B6165" s="81" t="str">
        <f>HYPERLINK("https://www.youtube.com/channel/UC249m2fxYzK-NnfH06YNP3A", "Siu Mei小美")</f>
        <v>Siu Mei小美</v>
      </c>
      <c r="C6165" s="80" t="s">
        <v>6672</v>
      </c>
      <c r="D6165" s="81" t="str">
        <f>HYPERLINK("https://youtube.com/watch?v=_MPqi1VuS9w", "精挑細選🏆夏天必備好物通通告訴你🙊大胸不掉無肩帶內衣👙抵著涼鞋👡著左5年的不敗牛仔短褲🩳當底妝用的美肌防曬🕶｜Siu Mei 小美｜")</f>
        <v>精挑細選🏆夏天必備好物通通告訴你🙊大胸不掉無肩帶內衣👙抵著涼鞋👡著左5年的不敗牛仔短褲🩳當底妝用的美肌防曬🕶｜Siu Mei 小美｜</v>
      </c>
      <c r="E6165" s="82">
        <v>44772.0</v>
      </c>
      <c r="F6165" s="80">
        <v>726.0</v>
      </c>
      <c r="G6165" s="80" t="s">
        <v>63</v>
      </c>
      <c r="I6165" s="80" t="s">
        <v>63</v>
      </c>
      <c r="J6165" s="80">
        <v>3534.0</v>
      </c>
      <c r="K6165" s="80">
        <v>0.877140729709605</v>
      </c>
      <c r="L6165" s="80" t="s">
        <v>64</v>
      </c>
    </row>
    <row r="6166">
      <c r="A6166" s="80" t="s">
        <v>6236</v>
      </c>
      <c r="B6166" s="81" t="str">
        <f>HYPERLINK("https://www.youtube.com/channel/UCPMsgWJvrkEHE0OpIMtxyYQ", "Comfort鬆")</f>
        <v>Comfort鬆</v>
      </c>
      <c r="C6166" s="80" t="s">
        <v>6673</v>
      </c>
      <c r="D6166" s="81" t="str">
        <f>HYPERLINK("https://youtube.com/watch?v=_SBn8R5ybQk", "【街訪】90後唱k金曲已失傳？｜Twins 容祖兒冇人識唱｜時下最hit新歌你又識幾多首？")</f>
        <v>【街訪】90後唱k金曲已失傳？｜Twins 容祖兒冇人識唱｜時下最hit新歌你又識幾多首？</v>
      </c>
      <c r="E6166" s="82">
        <v>44845.0</v>
      </c>
      <c r="F6166" s="80">
        <v>347.0</v>
      </c>
      <c r="G6166" s="80" t="s">
        <v>63</v>
      </c>
      <c r="I6166" s="80" t="s">
        <v>63</v>
      </c>
      <c r="J6166" s="80">
        <v>309.0</v>
      </c>
      <c r="K6166" s="80">
        <v>0.865546218487395</v>
      </c>
      <c r="L6166" s="80" t="s">
        <v>64</v>
      </c>
    </row>
    <row r="6167">
      <c r="A6167" s="80" t="s">
        <v>140</v>
      </c>
      <c r="B6167" s="81" t="str">
        <f>HYPERLINK("https://www.youtube.com/channel/UCHK0CZf9HEXs42qIO1GUouA", "TechiCardia")</f>
        <v>TechiCardia</v>
      </c>
      <c r="C6167" s="80" t="s">
        <v>6674</v>
      </c>
      <c r="D6167" s="81" t="str">
        <f>HYPERLINK("https://youtube.com/watch?v=HsypSyTzhBo", "旅行必備相機！📸 激發創意玩法🎥 | Insta360 ONE RS 1-INCH 360 Leica 實試優缺點 雙1吋感光 超強低光表現？ |【TechiCardia】[cc廣東話字幕]")</f>
        <v>旅行必備相機！📸 激發創意玩法🎥 | Insta360 ONE RS 1-INCH 360 Leica 實試優缺點 雙1吋感光 超強低光表現？ |【TechiCardia】[cc廣東話字幕]</v>
      </c>
      <c r="E6167" s="82">
        <v>44838.0</v>
      </c>
      <c r="F6167" s="80">
        <v>1004.0</v>
      </c>
      <c r="G6167" s="80" t="s">
        <v>63</v>
      </c>
      <c r="I6167" s="80" t="s">
        <v>63</v>
      </c>
      <c r="J6167" s="80">
        <v>2748.0</v>
      </c>
      <c r="K6167" s="80">
        <v>0.74856987196949</v>
      </c>
      <c r="L6167" s="80" t="s">
        <v>102</v>
      </c>
    </row>
    <row r="6168">
      <c r="A6168" s="80" t="s">
        <v>248</v>
      </c>
      <c r="B6168" s="81" t="str">
        <f t="shared" ref="B6168:B6170" si="350">HYPERLINK("https://www.youtube.com/channel/UCUEJok-GiWaGlv5nIPwk-GQ", "Price.com.hk 香港格價網")</f>
        <v>Price.com.hk 香港格價網</v>
      </c>
      <c r="C6168" s="80" t="s">
        <v>6675</v>
      </c>
      <c r="D6168" s="81" t="str">
        <f>HYPERLINK("https://youtube.com/watch?v=DwN0NYXbWEY", "4K打機之選 ROG STRIX RTX3080顯示卡｜解構Ray Tracing、DLSS兩大功能｜ROG PG42UQ同場示範｜廣東話｜特約專題【Price.com.hk產品評測】")</f>
        <v>4K打機之選 ROG STRIX RTX3080顯示卡｜解構Ray Tracing、DLSS兩大功能｜ROG PG42UQ同場示範｜廣東話｜特約專題【Price.com.hk產品評測】</v>
      </c>
      <c r="E6168" s="82">
        <v>44848.0</v>
      </c>
      <c r="F6168" s="80">
        <v>330.0</v>
      </c>
      <c r="G6168" s="80" t="s">
        <v>63</v>
      </c>
      <c r="I6168" s="80" t="s">
        <v>63</v>
      </c>
      <c r="J6168" s="80">
        <v>947.0</v>
      </c>
      <c r="K6168" s="80">
        <v>0.63514419852448</v>
      </c>
      <c r="L6168" s="80" t="s">
        <v>64</v>
      </c>
    </row>
    <row r="6169">
      <c r="A6169" s="80" t="s">
        <v>248</v>
      </c>
      <c r="B6169" s="81" t="str">
        <f t="shared" si="350"/>
        <v>Price.com.hk 香港格價網</v>
      </c>
      <c r="C6169" s="80" t="s">
        <v>6676</v>
      </c>
      <c r="D6169" s="81" t="str">
        <f>HYPERLINK("https://youtube.com/watch?v=9O0GcyBfn1Q", "挑戰主播科技知識！30萬訂閱之「我答中 你有獎 問答遊戲」| Giveaway | 感謝祭 | 廣東話【Price.com.hk】")</f>
        <v>挑戰主播科技知識！30萬訂閱之「我答中 你有獎 問答遊戲」| Giveaway | 感謝祭 | 廣東話【Price.com.hk】</v>
      </c>
      <c r="E6169" s="82">
        <v>44890.0</v>
      </c>
      <c r="F6169" s="80">
        <v>766.0</v>
      </c>
      <c r="G6169" s="80" t="s">
        <v>63</v>
      </c>
      <c r="I6169" s="80" t="s">
        <v>63</v>
      </c>
      <c r="J6169" s="80">
        <v>1913.0</v>
      </c>
      <c r="K6169" s="80">
        <v>0.715675271230826</v>
      </c>
      <c r="L6169" s="80" t="s">
        <v>64</v>
      </c>
    </row>
    <row r="6170">
      <c r="A6170" s="80" t="s">
        <v>248</v>
      </c>
      <c r="B6170" s="81" t="str">
        <f t="shared" si="350"/>
        <v>Price.com.hk 香港格價網</v>
      </c>
      <c r="C6170" s="80" t="s">
        <v>6677</v>
      </c>
      <c r="D6170" s="81" t="str">
        <f>HYPERLINK("https://youtube.com/watch?v=GIDbsRbVidc", "家居清潔神器 Dyson Gen5Detect ｜捕捉及鎖住 99.9％ 病毒｜第 5 代 Hyperdymium 摩打｜特約專題｜廣東話【Price.com.hk 產品介紹 】")</f>
        <v>家居清潔神器 Dyson Gen5Detect ｜捕捉及鎖住 99.9％ 病毒｜第 5 代 Hyperdymium 摩打｜特約專題｜廣東話【Price.com.hk 產品介紹 】</v>
      </c>
      <c r="E6170" s="82">
        <v>44907.0</v>
      </c>
      <c r="F6170" s="80">
        <v>354.0</v>
      </c>
      <c r="G6170" s="80" t="s">
        <v>63</v>
      </c>
      <c r="I6170" s="80" t="s">
        <v>63</v>
      </c>
      <c r="J6170" s="80">
        <v>1244.0</v>
      </c>
      <c r="K6170" s="80">
        <v>0.847989093387866</v>
      </c>
      <c r="L6170" s="80" t="s">
        <v>64</v>
      </c>
    </row>
    <row r="6171">
      <c r="A6171" s="80" t="s">
        <v>755</v>
      </c>
      <c r="B6171" s="81" t="str">
        <f>HYPERLINK("https://www.youtube.com/channel/UCBiJDTc82IM68KVH873VeAw", "Live in Kwangsi廣西人·情·味")</f>
        <v>Live in Kwangsi廣西人·情·味</v>
      </c>
      <c r="C6171" s="80" t="s">
        <v>6678</v>
      </c>
      <c r="D6171" s="81" t="str">
        <f>HYPERLINK("https://youtube.com/watch?v=9FeYeRvB5I0", "［🚗記錄］足球小鎮足球訓練基地至賀州市區 途中仲見到啲🐏過馬路 20221127")</f>
        <v>［🚗記錄］足球小鎮足球訓練基地至賀州市區 途中仲見到啲🐏過馬路 20221127</v>
      </c>
      <c r="E6171" s="82">
        <v>44904.0</v>
      </c>
      <c r="F6171" s="80">
        <v>2470.0</v>
      </c>
      <c r="G6171" s="80" t="s">
        <v>63</v>
      </c>
      <c r="I6171" s="80" t="s">
        <v>63</v>
      </c>
      <c r="J6171" s="80">
        <v>147.0</v>
      </c>
      <c r="K6171" s="80">
        <v>1.0</v>
      </c>
      <c r="L6171" s="80" t="s">
        <v>757</v>
      </c>
    </row>
    <row r="6172">
      <c r="A6172" s="80" t="s">
        <v>6248</v>
      </c>
      <c r="B6172" s="81" t="str">
        <f>HYPERLINK("https://www.youtube.com/channel/UCmlr1is6e9bV34fgg3u0xng", "Ruby.S")</f>
        <v>Ruby.S</v>
      </c>
      <c r="C6172" s="80" t="s">
        <v>6679</v>
      </c>
      <c r="D6172" s="81" t="str">
        <f>HYPERLINK("https://youtube.com/watch?v=JlP9e33kFoE", "@Ruby.S   ［露營系列］10分鐘到達營地⛺️｜夜晚set營有難度｜無敵日出全景🌅| 夜晚超級凍🥶| I believe I can hike EP49")</f>
        <v>@Ruby.S   ［露營系列］10分鐘到達營地⛺️｜夜晚set營有難度｜無敵日出全景🌅| 夜晚超級凍🥶| I believe I can hike EP49</v>
      </c>
      <c r="E6172" s="82">
        <v>44865.0</v>
      </c>
      <c r="F6172" s="80">
        <v>1620.0</v>
      </c>
      <c r="G6172" s="80" t="s">
        <v>63</v>
      </c>
      <c r="I6172" s="80" t="s">
        <v>63</v>
      </c>
      <c r="J6172" s="80">
        <v>1127.0</v>
      </c>
      <c r="K6172" s="80">
        <v>0.939949958298582</v>
      </c>
      <c r="L6172" s="80" t="s">
        <v>64</v>
      </c>
    </row>
    <row r="6173">
      <c r="A6173" s="80" t="s">
        <v>74</v>
      </c>
      <c r="B6173" s="81" t="str">
        <f t="shared" ref="B6173:B6174" si="351">HYPERLINK("https://www.youtube.com/channel/UCO_5XP-qd-udNxBlzzSzgvw", "Handline Fishing")</f>
        <v>Handline Fishing</v>
      </c>
      <c r="C6173" s="80" t="s">
        <v>6680</v>
      </c>
      <c r="D6173" s="81" t="str">
        <f>HYPERLINK("https://youtube.com/watch?v=43_82DP8O80", "#298 原來維港啲魚返曬嚟 | 基哥 | 香港釣魚 | 艇釣 | 維港 {粵語旁白}")</f>
        <v>#298 原來維港啲魚返曬嚟 | 基哥 | 香港釣魚 | 艇釣 | 維港 {粵語旁白}</v>
      </c>
      <c r="E6173" s="82">
        <v>44830.0</v>
      </c>
      <c r="F6173" s="80">
        <v>356.0</v>
      </c>
      <c r="G6173" s="80" t="s">
        <v>63</v>
      </c>
      <c r="I6173" s="80" t="s">
        <v>63</v>
      </c>
      <c r="J6173" s="80">
        <v>308.0</v>
      </c>
      <c r="K6173" s="80">
        <v>0.947692307692307</v>
      </c>
      <c r="L6173" s="80" t="s">
        <v>102</v>
      </c>
    </row>
    <row r="6174">
      <c r="A6174" s="80" t="s">
        <v>74</v>
      </c>
      <c r="B6174" s="81" t="str">
        <f t="shared" si="351"/>
        <v>Handline Fishing</v>
      </c>
      <c r="C6174" s="80" t="s">
        <v>6681</v>
      </c>
      <c r="D6174" s="81" t="str">
        <f>HYPERLINK("https://youtube.com/watch?v=92w_7b8IoRE", "#300 大風加上大流日，好彩執返身彩  | 香港釣魚 | 艇釣 | 青衣 {粵語旁白}")</f>
        <v>#300 大風加上大流日，好彩執返身彩  | 香港釣魚 | 艇釣 | 青衣 {粵語旁白}</v>
      </c>
      <c r="E6174" s="82">
        <v>44839.0</v>
      </c>
      <c r="F6174" s="80">
        <v>167.0</v>
      </c>
      <c r="G6174" s="80" t="s">
        <v>63</v>
      </c>
      <c r="I6174" s="80" t="s">
        <v>63</v>
      </c>
      <c r="J6174" s="80">
        <v>268.0</v>
      </c>
      <c r="K6174" s="80">
        <v>0.95373665480427</v>
      </c>
      <c r="L6174" s="80" t="s">
        <v>102</v>
      </c>
    </row>
    <row r="6175">
      <c r="A6175" s="80" t="s">
        <v>96</v>
      </c>
      <c r="B6175" s="81" t="str">
        <f>HYPERLINK("https://www.youtube.com/channel/UCGtyHJ-L_4RDIHe3XaLofQQ", "Anson Cheung")</f>
        <v>Anson Cheung</v>
      </c>
      <c r="C6175" s="80" t="s">
        <v>6682</v>
      </c>
      <c r="D6175" s="81" t="str">
        <f>HYPERLINK("https://youtube.com/watch?v=L6_x7_Wz5kE", "開心啦？Apple 肯轉 USB-C 啦！｜OTA Update v1.5｜Apple 新產品 10th gen iPad, M2 iPad Pro整合、iPhone SE 4 設計曝光")</f>
        <v>開心啦？Apple 肯轉 USB-C 啦！｜OTA Update v1.5｜Apple 新產品 10th gen iPad, M2 iPad Pro整合、iPhone SE 4 設計曝光</v>
      </c>
      <c r="E6175" s="82">
        <v>44854.0</v>
      </c>
      <c r="F6175" s="80">
        <v>791.0</v>
      </c>
      <c r="G6175" s="80" t="s">
        <v>63</v>
      </c>
      <c r="I6175" s="80" t="s">
        <v>63</v>
      </c>
      <c r="J6175" s="80">
        <v>2653.0</v>
      </c>
      <c r="K6175" s="80">
        <v>0.510781671159029</v>
      </c>
      <c r="L6175" s="80" t="s">
        <v>64</v>
      </c>
    </row>
    <row r="6176">
      <c r="A6176" s="80" t="s">
        <v>1492</v>
      </c>
      <c r="B6176" s="81" t="str">
        <f>HYPERLINK("https://www.youtube.com/channel/UCTo1EIcKtkDYqiUqs4v_NlA", "【常公子】頻道TV - 中文中史歷史哲學")</f>
        <v>【常公子】頻道TV - 中文中史歷史哲學</v>
      </c>
      <c r="C6176" s="80" t="s">
        <v>6683</v>
      </c>
      <c r="D6176" s="81" t="str">
        <f>HYPERLINK("https://youtube.com/watch?v=Y0AYt9cS-Co", "【常威近代史】第五百零三回做實事等如有錢返")</f>
        <v>【常威近代史】第五百零三回做實事等如有錢返</v>
      </c>
      <c r="E6176" s="82">
        <v>44840.0</v>
      </c>
      <c r="F6176" s="80">
        <v>624.0</v>
      </c>
      <c r="G6176" s="80" t="s">
        <v>63</v>
      </c>
      <c r="I6176" s="80" t="s">
        <v>63</v>
      </c>
      <c r="J6176" s="80">
        <v>1616.0</v>
      </c>
      <c r="K6176" s="80">
        <v>0.97643504531722</v>
      </c>
      <c r="L6176" s="80" t="s">
        <v>64</v>
      </c>
    </row>
    <row r="6177">
      <c r="A6177" s="80" t="s">
        <v>5702</v>
      </c>
      <c r="B6177" s="81" t="str">
        <f>HYPERLINK("https://www.youtube.com/channel/UC249m2fxYzK-NnfH06YNP3A", "Siu Mei小美")</f>
        <v>Siu Mei小美</v>
      </c>
      <c r="C6177" s="80" t="s">
        <v>6684</v>
      </c>
      <c r="D6177" s="81" t="str">
        <f>HYPERLINK("https://youtube.com/watch?v=vTZaFrZniQw", "[🍂GU+UNIQLO大型開箱!] 13件單品即場試穿👚👖自製御姐套裝🇰🇷學園風VS無印風？原來男裝女穿更吸睛👀")</f>
        <v>[🍂GU+UNIQLO大型開箱!] 13件單品即場試穿👚👖自製御姐套裝🇰🇷學園風VS無印風？原來男裝女穿更吸睛👀</v>
      </c>
      <c r="E6177" s="82">
        <v>44877.0</v>
      </c>
      <c r="F6177" s="80">
        <v>890.0</v>
      </c>
      <c r="G6177" s="80" t="s">
        <v>63</v>
      </c>
      <c r="I6177" s="80" t="s">
        <v>63</v>
      </c>
      <c r="J6177" s="80">
        <v>4519.0</v>
      </c>
      <c r="K6177" s="80">
        <v>0.904342605563338</v>
      </c>
      <c r="L6177" s="80" t="s">
        <v>64</v>
      </c>
    </row>
    <row r="6178">
      <c r="A6178" s="80" t="s">
        <v>588</v>
      </c>
      <c r="B6178" s="81" t="str">
        <f>HYPERLINK("https://www.youtube.com/channel/UCaJ77iWZ8galtePlS_BtEKw", "西DorSi偽中產生活態度")</f>
        <v>西DorSi偽中產生活態度</v>
      </c>
      <c r="C6178" s="80" t="s">
        <v>6685</v>
      </c>
      <c r="D6178" s="81" t="str">
        <f>HYPERLINK("https://youtube.com/watch?v=qAwMzgq158I", "大陸躺平 唔再清零?! 19號通關?!")</f>
        <v>大陸躺平 唔再清零?! 19號通關?!</v>
      </c>
      <c r="E6178" s="82">
        <v>44903.0</v>
      </c>
      <c r="F6178" s="80">
        <v>507.0</v>
      </c>
      <c r="G6178" s="80" t="s">
        <v>63</v>
      </c>
      <c r="I6178" s="80" t="s">
        <v>63</v>
      </c>
      <c r="J6178" s="80">
        <v>1991.0</v>
      </c>
      <c r="K6178" s="80">
        <v>0.981271562345983</v>
      </c>
      <c r="L6178" s="80" t="s">
        <v>64</v>
      </c>
    </row>
    <row r="6179">
      <c r="A6179" s="80" t="s">
        <v>2800</v>
      </c>
      <c r="B6179" s="81" t="str">
        <f>HYPERLINK("https://www.youtube.com/channel/UCMqrlsr-AECPc6_3oDr8m9w", "Unicorn 獸哥")</f>
        <v>Unicorn 獸哥</v>
      </c>
      <c r="C6179" s="80" t="s">
        <v>6686</v>
      </c>
      <c r="D6179" s="81" t="str">
        <f>HYPERLINK("https://youtube.com/watch?v=4Ps-gR7fkxY", "【戲評】新。超人 屬於庵野秀明的咸蛋超人 CC字幕")</f>
        <v>【戲評】新。超人 屬於庵野秀明的咸蛋超人 CC字幕</v>
      </c>
      <c r="E6179" s="82">
        <v>44851.0</v>
      </c>
      <c r="F6179" s="80">
        <v>532.0</v>
      </c>
      <c r="G6179" s="80" t="s">
        <v>63</v>
      </c>
      <c r="I6179" s="80" t="s">
        <v>63</v>
      </c>
      <c r="J6179" s="80">
        <v>2446.0</v>
      </c>
      <c r="K6179" s="80">
        <v>0.966416436191228</v>
      </c>
      <c r="L6179" s="80" t="s">
        <v>64</v>
      </c>
    </row>
    <row r="6180">
      <c r="A6180" s="80" t="s">
        <v>1492</v>
      </c>
      <c r="B6180" s="81" t="str">
        <f>HYPERLINK("https://www.youtube.com/channel/UCTo1EIcKtkDYqiUqs4v_NlA", "【常公子】頻道TV - 中文中史歷史哲學")</f>
        <v>【常公子】頻道TV - 中文中史歷史哲學</v>
      </c>
      <c r="C6180" s="80" t="s">
        <v>6687</v>
      </c>
      <c r="D6180" s="81" t="str">
        <f>HYPERLINK("https://youtube.com/watch?v=AVL_svKMirk", "【常威近代史】第五百零二回汪精衛分共")</f>
        <v>【常威近代史】第五百零二回汪精衛分共</v>
      </c>
      <c r="E6180" s="82">
        <v>44833.0</v>
      </c>
      <c r="F6180" s="80">
        <v>643.0</v>
      </c>
      <c r="G6180" s="80" t="s">
        <v>63</v>
      </c>
      <c r="I6180" s="80" t="s">
        <v>63</v>
      </c>
      <c r="J6180" s="80">
        <v>1753.0</v>
      </c>
      <c r="K6180" s="80">
        <v>0.9859392575928</v>
      </c>
      <c r="L6180" s="80" t="s">
        <v>64</v>
      </c>
    </row>
    <row r="6181">
      <c r="A6181" s="80" t="s">
        <v>6248</v>
      </c>
      <c r="B6181" s="81" t="str">
        <f>HYPERLINK("https://www.youtube.com/channel/UCmlr1is6e9bV34fgg3u0xng", "Ruby.S")</f>
        <v>Ruby.S</v>
      </c>
      <c r="C6181" s="80" t="s">
        <v>6688</v>
      </c>
      <c r="D6181" s="81" t="str">
        <f>HYPERLINK("https://youtube.com/watch?v=omPbCWUW-BY", "@Ruby.S  ［露營系列］遲嚟嘅Halloween 🎃真係可以著到咁行山？ 黐線露營+野炊🔥|西米桃膠超好味| feat @野外露jay | believe I can hike EP50")</f>
        <v>@Ruby.S  ［露營系列］遲嚟嘅Halloween 🎃真係可以著到咁行山？ 黐線露營+野炊🔥|西米桃膠超好味| feat @野外露jay | believe I can hike EP50</v>
      </c>
      <c r="E6181" s="82">
        <v>44875.0</v>
      </c>
      <c r="F6181" s="80">
        <v>886.0</v>
      </c>
      <c r="G6181" s="80" t="s">
        <v>63</v>
      </c>
      <c r="I6181" s="80" t="s">
        <v>63</v>
      </c>
      <c r="J6181" s="80">
        <v>719.0</v>
      </c>
      <c r="K6181" s="80">
        <v>0.826436781609195</v>
      </c>
      <c r="L6181" s="80" t="s">
        <v>64</v>
      </c>
    </row>
    <row r="6182">
      <c r="A6182" s="80" t="s">
        <v>755</v>
      </c>
      <c r="B6182" s="81" t="str">
        <f t="shared" ref="B6182:B6183" si="352">HYPERLINK("https://www.youtube.com/channel/UCBiJDTc82IM68KVH873VeAw", "Live in Kwangsi廣西人·情·味")</f>
        <v>Live in Kwangsi廣西人·情·味</v>
      </c>
      <c r="C6182" s="80" t="s">
        <v>6689</v>
      </c>
      <c r="D6182" s="81" t="str">
        <f>HYPERLINK("https://youtube.com/watch?v=-hoajYUiK5w", "夜遊富川古明城｜廣西日常實拍 20220907")</f>
        <v>夜遊富川古明城｜廣西日常實拍 20220907</v>
      </c>
      <c r="E6182" s="82">
        <v>44851.0</v>
      </c>
      <c r="F6182" s="80">
        <v>135.0</v>
      </c>
      <c r="G6182" s="80" t="s">
        <v>63</v>
      </c>
      <c r="I6182" s="80" t="s">
        <v>63</v>
      </c>
      <c r="J6182" s="80">
        <v>14.0</v>
      </c>
      <c r="K6182" s="80">
        <v>1.0</v>
      </c>
      <c r="L6182" s="80" t="s">
        <v>757</v>
      </c>
    </row>
    <row r="6183">
      <c r="A6183" s="80" t="s">
        <v>755</v>
      </c>
      <c r="B6183" s="81" t="str">
        <f t="shared" si="352"/>
        <v>Live in Kwangsi廣西人·情·味</v>
      </c>
      <c r="C6183" s="80" t="s">
        <v>6690</v>
      </c>
      <c r="D6183" s="81" t="str">
        <f>HYPERLINK("https://youtube.com/watch?v=1VemCkiXQr4", "欽州市犀牛角鎮烏雷村一帶海邊掠影 呢度有間小學喺正海邊仲有座燈塔｜廣西美景 20221005")</f>
        <v>欽州市犀牛角鎮烏雷村一帶海邊掠影 呢度有間小學喺正海邊仲有座燈塔｜廣西美景 20221005</v>
      </c>
      <c r="E6183" s="82">
        <v>44860.0</v>
      </c>
      <c r="F6183" s="80">
        <v>325.0</v>
      </c>
      <c r="G6183" s="80" t="s">
        <v>63</v>
      </c>
      <c r="I6183" s="80" t="s">
        <v>63</v>
      </c>
      <c r="J6183" s="80">
        <v>87.0</v>
      </c>
      <c r="K6183" s="80">
        <v>0.956043956043956</v>
      </c>
      <c r="L6183" s="80" t="s">
        <v>757</v>
      </c>
    </row>
    <row r="6184">
      <c r="A6184" s="80" t="s">
        <v>248</v>
      </c>
      <c r="B6184" s="81" t="str">
        <f>HYPERLINK("https://www.youtube.com/channel/UCUEJok-GiWaGlv5nIPwk-GQ", "Price.com.hk 香港格價網")</f>
        <v>Price.com.hk 香港格價網</v>
      </c>
      <c r="C6184" s="80" t="s">
        <v>6691</v>
      </c>
      <c r="D6184" s="81" t="str">
        <f>HYPERLINK("https://youtube.com/watch?v=qLAr12Bdlx8", "廚房必備 Electrolux嵌入式蒸焗爐 精準烹調模式 智能蒸氣量輸出｜UltimateTaste SteamBoost 蒸焗爐 ｜伊萊克斯｜特約專題【Price.com.hk產品評測】")</f>
        <v>廚房必備 Electrolux嵌入式蒸焗爐 精準烹調模式 智能蒸氣量輸出｜UltimateTaste SteamBoost 蒸焗爐 ｜伊萊克斯｜特約專題【Price.com.hk產品評測】</v>
      </c>
      <c r="E6184" s="82">
        <v>44829.0</v>
      </c>
      <c r="F6184" s="80">
        <v>304.0</v>
      </c>
      <c r="G6184" s="80" t="s">
        <v>63</v>
      </c>
      <c r="I6184" s="80" t="s">
        <v>63</v>
      </c>
      <c r="J6184" s="80">
        <v>1088.0</v>
      </c>
      <c r="K6184" s="80">
        <v>0.850664581704456</v>
      </c>
      <c r="L6184" s="80" t="s">
        <v>64</v>
      </c>
    </row>
    <row r="6185">
      <c r="A6185" s="80" t="s">
        <v>242</v>
      </c>
      <c r="B6185" s="81" t="str">
        <f>HYPERLINK("https://www.youtube.com/channel/UCZGVB6g74LXWtkR3fX50ykg", "Edwin H.")</f>
        <v>Edwin H.</v>
      </c>
      <c r="C6185" s="80" t="s">
        <v>6692</v>
      </c>
      <c r="D6185" s="81" t="str">
        <f>HYPERLINK("https://youtube.com/watch?v=_G7QWyPrTUE", "LG DualUp Monitor 16:18 比例 Mon最得意嘅地方就係估你唔到咁好用！？用開打直mon必入手！")</f>
        <v>LG DualUp Monitor 16:18 比例 Mon最得意嘅地方就係估你唔到咁好用！？用開打直mon必入手！</v>
      </c>
      <c r="E6185" s="82">
        <v>44846.0</v>
      </c>
      <c r="F6185" s="80">
        <v>945.0</v>
      </c>
      <c r="G6185" s="80" t="s">
        <v>63</v>
      </c>
      <c r="I6185" s="80" t="s">
        <v>63</v>
      </c>
      <c r="J6185" s="80">
        <v>5.0</v>
      </c>
      <c r="K6185" s="80">
        <v>0.555555555555555</v>
      </c>
      <c r="L6185" s="80" t="s">
        <v>64</v>
      </c>
    </row>
    <row r="6186">
      <c r="A6186" s="80" t="s">
        <v>755</v>
      </c>
      <c r="B6186" s="81" t="str">
        <f>HYPERLINK("https://www.youtube.com/channel/UCBiJDTc82IM68KVH873VeAw", "Live in Kwangsi廣西人·情·味")</f>
        <v>Live in Kwangsi廣西人·情·味</v>
      </c>
      <c r="C6186" s="80" t="s">
        <v>6693</v>
      </c>
      <c r="D6186" s="81" t="str">
        <f>HYPERLINK("https://youtube.com/watch?v=7ZsK12D7tn4", "往望高鎮川岩嘅山路｜廣西日常實拍 20221113")</f>
        <v>往望高鎮川岩嘅山路｜廣西日常實拍 20221113</v>
      </c>
      <c r="E6186" s="82">
        <v>44883.0</v>
      </c>
      <c r="F6186" s="80">
        <v>136.0</v>
      </c>
      <c r="G6186" s="80" t="s">
        <v>63</v>
      </c>
      <c r="I6186" s="80" t="s">
        <v>63</v>
      </c>
      <c r="J6186" s="80">
        <v>37.0</v>
      </c>
      <c r="K6186" s="80">
        <v>1.0</v>
      </c>
      <c r="L6186" s="80" t="s">
        <v>757</v>
      </c>
    </row>
    <row r="6187">
      <c r="A6187" s="80" t="s">
        <v>248</v>
      </c>
      <c r="B6187" s="81" t="str">
        <f t="shared" ref="B6187:B6189" si="353">HYPERLINK("https://www.youtube.com/channel/UCUEJok-GiWaGlv5nIPwk-GQ", "Price.com.hk 香港格價網")</f>
        <v>Price.com.hk 香港格價網</v>
      </c>
      <c r="C6187" s="80" t="s">
        <v>6694</v>
      </c>
      <c r="D6187" s="81" t="str">
        <f>HYPERLINK("https://youtube.com/watch?v=w-31PRteYc4", "Bowers &amp; Wilkins Px7 S2 頭戴式降噪無線耳機 外形、音質、降噪評價︳Bowers &amp; Wilkins特約【Price.com.hk產品開箱】")</f>
        <v>Bowers &amp; Wilkins Px7 S2 頭戴式降噪無線耳機 外形、音質、降噪評價︳Bowers &amp; Wilkins特約【Price.com.hk產品開箱】</v>
      </c>
      <c r="E6187" s="82">
        <v>44859.0</v>
      </c>
      <c r="F6187" s="80">
        <v>386.0</v>
      </c>
      <c r="G6187" s="80" t="s">
        <v>63</v>
      </c>
      <c r="I6187" s="80" t="s">
        <v>63</v>
      </c>
      <c r="J6187" s="80">
        <v>1233.0</v>
      </c>
      <c r="K6187" s="80">
        <v>0.876332622601279</v>
      </c>
      <c r="L6187" s="80" t="s">
        <v>64</v>
      </c>
    </row>
    <row r="6188">
      <c r="A6188" s="80" t="s">
        <v>248</v>
      </c>
      <c r="B6188" s="81" t="str">
        <f t="shared" si="353"/>
        <v>Price.com.hk 香港格價網</v>
      </c>
      <c r="C6188" s="80" t="s">
        <v>6695</v>
      </c>
      <c r="D6188" s="81" t="str">
        <f>HYPERLINK("https://youtube.com/watch?v=oY_xFC06dO8", "隨時隨地歎盡大畫面！BENQ 便攜投影機推介｜露營必備｜GV 10．GV 11．GV 30｜廣東話｜特約專題【Price.com.hk產品介紹】")</f>
        <v>隨時隨地歎盡大畫面！BENQ 便攜投影機推介｜露營必備｜GV 10．GV 11．GV 30｜廣東話｜特約專題【Price.com.hk產品介紹】</v>
      </c>
      <c r="E6188" s="82">
        <v>44889.0</v>
      </c>
      <c r="F6188" s="80">
        <v>291.0</v>
      </c>
      <c r="G6188" s="80" t="s">
        <v>63</v>
      </c>
      <c r="I6188" s="80" t="s">
        <v>63</v>
      </c>
      <c r="J6188" s="80">
        <v>950.0</v>
      </c>
      <c r="K6188" s="80">
        <v>0.849731663685152</v>
      </c>
      <c r="L6188" s="80" t="s">
        <v>64</v>
      </c>
    </row>
    <row r="6189">
      <c r="A6189" s="80" t="s">
        <v>248</v>
      </c>
      <c r="B6189" s="81" t="str">
        <f t="shared" si="353"/>
        <v>Price.com.hk 香港格價網</v>
      </c>
      <c r="C6189" s="80" t="s">
        <v>6696</v>
      </c>
      <c r="D6189" s="81" t="str">
        <f>HYPERLINK("https://youtube.com/watch?v=L9xVC4qf3C8", "3分鐘了解 CP 認證｜係 Price 買電器最平？節能、性價比高電器的新標籤｜能源效益 中電CP  《Price Wiki》 EP3 | 廣東話")</f>
        <v>3分鐘了解 CP 認證｜係 Price 買電器最平？節能、性價比高電器的新標籤｜能源效益 中電CP  《Price Wiki》 EP3 | 廣東話</v>
      </c>
      <c r="E6189" s="82">
        <v>44874.0</v>
      </c>
      <c r="F6189" s="80">
        <v>203.0</v>
      </c>
      <c r="G6189" s="80" t="s">
        <v>63</v>
      </c>
      <c r="I6189" s="80" t="s">
        <v>63</v>
      </c>
      <c r="J6189" s="80">
        <v>800.0</v>
      </c>
      <c r="K6189" s="80">
        <v>0.89086859688196</v>
      </c>
      <c r="L6189" s="80" t="s">
        <v>64</v>
      </c>
    </row>
    <row r="6190">
      <c r="A6190" s="80" t="s">
        <v>3139</v>
      </c>
      <c r="B6190" s="81" t="str">
        <f>HYPERLINK("https://www.youtube.com/channel/UCThO2xnH7XMg6plE8OgJm_w", "choyuen草原")</f>
        <v>choyuen草原</v>
      </c>
      <c r="C6190" s="80" t="s">
        <v>6697</v>
      </c>
      <c r="D6190" s="81" t="str">
        <f>HYPERLINK("https://youtube.com/watch?v=kQ6_UpSELgA", "誰創造神? 在卡巴拉尋找解答  Creator of the Gods? -- Kabbalah Creation theory 【故作神秘學】")</f>
        <v>誰創造神? 在卡巴拉尋找解答  Creator of the Gods? -- Kabbalah Creation theory 【故作神秘學】</v>
      </c>
      <c r="E6190" s="82">
        <v>44884.0</v>
      </c>
      <c r="F6190" s="80">
        <v>634.0</v>
      </c>
      <c r="G6190" s="80" t="s">
        <v>63</v>
      </c>
      <c r="I6190" s="80" t="s">
        <v>63</v>
      </c>
      <c r="J6190" s="80">
        <v>1915.0</v>
      </c>
      <c r="K6190" s="80">
        <v>0.865732368896925</v>
      </c>
      <c r="L6190" s="80" t="s">
        <v>64</v>
      </c>
    </row>
    <row r="6191">
      <c r="A6191" s="80" t="s">
        <v>248</v>
      </c>
      <c r="B6191" s="81" t="str">
        <f>HYPERLINK("https://www.youtube.com/channel/UCUEJok-GiWaGlv5nIPwk-GQ", "Price.com.hk 香港格價網")</f>
        <v>Price.com.hk 香港格價網</v>
      </c>
      <c r="C6191" s="80" t="s">
        <v>6698</v>
      </c>
      <c r="D6191" s="81" t="str">
        <f>HYPERLINK("https://youtube.com/watch?v=9hChAI1eVrg", "【Price網購 Chill級聖誕折#3】每日12:30必搶貨品｜Shure耳機 咪、MOMAX插座 暖風機、Lego燈塔 梵高星夜、BaByliss風筒、VS沙宣捲髮器、MORAL休閒及軍用風背囊")</f>
        <v>【Price網購 Chill級聖誕折#3】每日12:30必搶貨品｜Shure耳機 咪、MOMAX插座 暖風機、Lego燈塔 梵高星夜、BaByliss風筒、VS沙宣捲髮器、MORAL休閒及軍用風背囊</v>
      </c>
      <c r="E6191" s="82">
        <v>44913.0</v>
      </c>
      <c r="F6191" s="80">
        <v>362.0</v>
      </c>
      <c r="G6191" s="80" t="s">
        <v>63</v>
      </c>
      <c r="I6191" s="80" t="s">
        <v>63</v>
      </c>
      <c r="J6191" s="80">
        <v>1194.0</v>
      </c>
      <c r="K6191" s="80">
        <v>0.82061855670103</v>
      </c>
      <c r="L6191" s="80" t="s">
        <v>64</v>
      </c>
    </row>
    <row r="6192">
      <c r="A6192" s="80" t="s">
        <v>755</v>
      </c>
      <c r="B6192" s="81" t="str">
        <f>HYPERLINK("https://www.youtube.com/channel/UCBiJDTc82IM68KVH873VeAw", "Live in Kwangsi廣西人·情·味")</f>
        <v>Live in Kwangsi廣西人·情·味</v>
      </c>
      <c r="C6192" s="80" t="s">
        <v>6699</v>
      </c>
      <c r="D6192" s="81" t="str">
        <f>HYPERLINK("https://youtube.com/watch?v=We8nrSfG-H8", "欽州市掠影及簡介｜廣西自由行 20221002~07")</f>
        <v>欽州市掠影及簡介｜廣西自由行 20221002~07</v>
      </c>
      <c r="E6192" s="82">
        <v>44847.0</v>
      </c>
      <c r="F6192" s="80">
        <v>171.0</v>
      </c>
      <c r="G6192" s="80" t="s">
        <v>63</v>
      </c>
      <c r="I6192" s="80" t="s">
        <v>63</v>
      </c>
      <c r="J6192" s="80">
        <v>448.0</v>
      </c>
      <c r="K6192" s="80">
        <v>0.991150442477876</v>
      </c>
      <c r="L6192" s="80" t="s">
        <v>757</v>
      </c>
    </row>
    <row r="6193">
      <c r="A6193" s="80" t="s">
        <v>293</v>
      </c>
      <c r="B6193" s="81" t="str">
        <f t="shared" ref="B6193:B6194" si="354">HYPERLINK("https://www.youtube.com/channel/UCXRcbXqjORdIvl63I7MtOLQ", "趁熱 Kerry 's kitchen")</f>
        <v>趁熱 Kerry 's kitchen</v>
      </c>
      <c r="C6193" s="80" t="s">
        <v>6700</v>
      </c>
      <c r="D6193" s="81" t="str">
        <f>HYPERLINK("https://youtube.com/watch?v=9HpySKM4fUQ", "炸菜炒牛肉/天然醃料醃腍牛肉竅門/其實很簡單/新手入門/緊惹味/廣東話/中字")</f>
        <v>炸菜炒牛肉/天然醃料醃腍牛肉竅門/其實很簡單/新手入門/緊惹味/廣東話/中字</v>
      </c>
      <c r="E6193" s="82">
        <v>44844.0</v>
      </c>
      <c r="F6193" s="80">
        <v>498.0</v>
      </c>
      <c r="G6193" s="80" t="s">
        <v>63</v>
      </c>
      <c r="I6193" s="80" t="s">
        <v>63</v>
      </c>
      <c r="J6193" s="80">
        <v>1431.0</v>
      </c>
      <c r="K6193" s="80">
        <v>0.974132062627637</v>
      </c>
      <c r="L6193" s="80" t="s">
        <v>64</v>
      </c>
    </row>
    <row r="6194">
      <c r="A6194" s="80" t="s">
        <v>293</v>
      </c>
      <c r="B6194" s="81" t="str">
        <f t="shared" si="354"/>
        <v>趁熱 Kerry 's kitchen</v>
      </c>
      <c r="C6194" s="80" t="s">
        <v>6701</v>
      </c>
      <c r="D6194" s="81" t="str">
        <f>HYPERLINK("https://youtube.com/watch?v=5HcCnd4lahQ", "炒米粉/香辣鹹魚炒米粉/新手都做到/堅香/隨時都做到/簡單食材/廣東話/中字")</f>
        <v>炒米粉/香辣鹹魚炒米粉/新手都做到/堅香/隨時都做到/簡單食材/廣東話/中字</v>
      </c>
      <c r="E6194" s="82">
        <v>44839.0</v>
      </c>
      <c r="F6194" s="80">
        <v>554.0</v>
      </c>
      <c r="G6194" s="80" t="s">
        <v>63</v>
      </c>
      <c r="I6194" s="80" t="s">
        <v>63</v>
      </c>
      <c r="J6194" s="80">
        <v>1488.0</v>
      </c>
      <c r="K6194" s="80">
        <v>0.96875</v>
      </c>
      <c r="L6194" s="80" t="s">
        <v>64</v>
      </c>
    </row>
    <row r="6195">
      <c r="A6195" s="80" t="s">
        <v>124</v>
      </c>
      <c r="B6195" s="81" t="str">
        <f>HYPERLINK("https://www.youtube.com/channel/UCg0vuSE0fBF_NvodyYhMcWg", "Wallace Studio HK")</f>
        <v>Wallace Studio HK</v>
      </c>
      <c r="C6195" s="80" t="s">
        <v>6702</v>
      </c>
      <c r="D6195" s="81" t="str">
        <f>HYPERLINK("https://youtube.com/watch?v=PxfHEhwZYt8", "Asus ROG Strix Scar 17 詳細評測! 或者係2022 最抵用既17既Gaming Laptop!")</f>
        <v>Asus ROG Strix Scar 17 詳細評測! 或者係2022 最抵用既17既Gaming Laptop!</v>
      </c>
      <c r="E6195" s="82">
        <v>44855.0</v>
      </c>
      <c r="F6195" s="80">
        <v>533.0</v>
      </c>
      <c r="G6195" s="80" t="s">
        <v>63</v>
      </c>
      <c r="I6195" s="80" t="s">
        <v>63</v>
      </c>
      <c r="J6195" s="80">
        <v>1865.0</v>
      </c>
      <c r="K6195" s="80">
        <v>0.777731442869057</v>
      </c>
      <c r="L6195" s="80" t="s">
        <v>64</v>
      </c>
    </row>
    <row r="6196">
      <c r="A6196" s="80" t="s">
        <v>2800</v>
      </c>
      <c r="B6196" s="81" t="str">
        <f>HYPERLINK("https://www.youtube.com/channel/UCMqrlsr-AECPc6_3oDr8m9w", "Unicorn 獸哥")</f>
        <v>Unicorn 獸哥</v>
      </c>
      <c r="C6196" s="80" t="s">
        <v>6703</v>
      </c>
      <c r="D6196" s="81" t="str">
        <f>HYPERLINK("https://youtube.com/watch?v=d8smhYemg0I", "【公告】因為版權警告嘅關係 我決定露出我的樣子 cc字幕")</f>
        <v>【公告】因為版權警告嘅關係 我決定露出我的樣子 cc字幕</v>
      </c>
      <c r="E6196" s="82">
        <v>44885.0</v>
      </c>
      <c r="F6196" s="80">
        <v>89.0</v>
      </c>
      <c r="G6196" s="80" t="s">
        <v>63</v>
      </c>
      <c r="I6196" s="80" t="s">
        <v>63</v>
      </c>
      <c r="J6196" s="80">
        <v>325.0</v>
      </c>
      <c r="K6196" s="80">
        <v>0.871313672922252</v>
      </c>
      <c r="L6196" s="80" t="s">
        <v>64</v>
      </c>
    </row>
    <row r="6197">
      <c r="A6197" s="80" t="s">
        <v>274</v>
      </c>
      <c r="B6197" s="81" t="str">
        <f>HYPERLINK("https://www.youtube.com/channel/UC2oB9QCXs-RKtaKChrz4dKg", "MtzCherry")</f>
        <v>MtzCherry</v>
      </c>
      <c r="C6197" s="80" t="s">
        <v>6704</v>
      </c>
      <c r="D6197" s="81" t="str">
        <f>HYPERLINK("https://youtube.com/watch?v=BKgxzx5cm-4", "[CANTO/EN Sub] 麻浦洞漢江view嘅cafe | 仁寺洞食韓式烤牛肉 | 益善洞文青區睇展覽同Cafe | 東大門DDP睇下建築同文具控手信")</f>
        <v>[CANTO/EN Sub] 麻浦洞漢江view嘅cafe | 仁寺洞食韓式烤牛肉 | 益善洞文青區睇展覽同Cafe | 東大門DDP睇下建築同文具控手信</v>
      </c>
      <c r="E6197" s="82">
        <v>44902.0</v>
      </c>
      <c r="F6197" s="80">
        <v>500.0</v>
      </c>
      <c r="G6197" s="80" t="s">
        <v>63</v>
      </c>
      <c r="I6197" s="80" t="s">
        <v>63</v>
      </c>
      <c r="J6197" s="80">
        <v>1554.0</v>
      </c>
      <c r="K6197" s="80">
        <v>0.85104052573932</v>
      </c>
      <c r="L6197" s="80" t="s">
        <v>439</v>
      </c>
    </row>
    <row r="6198">
      <c r="A6198" s="80" t="s">
        <v>124</v>
      </c>
      <c r="B6198" s="81" t="str">
        <f>HYPERLINK("https://www.youtube.com/channel/UCg0vuSE0fBF_NvodyYhMcWg", "Wallace Studio HK")</f>
        <v>Wallace Studio HK</v>
      </c>
      <c r="C6198" s="80" t="s">
        <v>6705</v>
      </c>
      <c r="D6198" s="81" t="str">
        <f>HYPERLINK("https://youtube.com/watch?v=RcrJz65b4TA", "Asus Tuf Dash F15 靚料入門電競機！但係有致命弱點！")</f>
        <v>Asus Tuf Dash F15 靚料入門電競機！但係有致命弱點！</v>
      </c>
      <c r="E6198" s="82">
        <v>44847.0</v>
      </c>
      <c r="F6198" s="80">
        <v>622.0</v>
      </c>
      <c r="G6198" s="80" t="s">
        <v>63</v>
      </c>
      <c r="H6198" s="80" t="s">
        <v>63</v>
      </c>
      <c r="I6198" s="80" t="s">
        <v>63</v>
      </c>
      <c r="J6198" s="80">
        <v>2330.0</v>
      </c>
      <c r="K6198" s="80">
        <v>0.799313893653516</v>
      </c>
      <c r="L6198" s="80" t="s">
        <v>86</v>
      </c>
    </row>
    <row r="6199">
      <c r="A6199" s="80" t="s">
        <v>6248</v>
      </c>
      <c r="B6199" s="81" t="str">
        <f>HYPERLINK("https://www.youtube.com/channel/UCmlr1is6e9bV34fgg3u0xng", "Ruby.S")</f>
        <v>Ruby.S</v>
      </c>
      <c r="C6199" s="80" t="s">
        <v>6706</v>
      </c>
      <c r="D6199" s="81" t="str">
        <f>HYPERLINK("https://youtube.com/watch?v=rc2oqjkhgIM", "@Ruby.S  另一寧靜世界🏖️｜馬頭環| 沙橋頭｜露營行山好去處｜露營開季首選｜季尾前必去浮潛地方｜靚絕日落｜ I believe I can hike EP 47")</f>
        <v>@Ruby.S  另一寧靜世界🏖️｜馬頭環| 沙橋頭｜露營行山好去處｜露營開季首選｜季尾前必去浮潛地方｜靚絕日落｜ I believe I can hike EP 47</v>
      </c>
      <c r="E6199" s="82">
        <v>44840.0</v>
      </c>
      <c r="F6199" s="80">
        <v>1095.0</v>
      </c>
      <c r="G6199" s="80" t="s">
        <v>63</v>
      </c>
      <c r="I6199" s="80" t="s">
        <v>63</v>
      </c>
      <c r="J6199" s="80">
        <v>1221.0</v>
      </c>
      <c r="K6199" s="80">
        <v>0.8368745716244</v>
      </c>
      <c r="L6199" s="80" t="s">
        <v>64</v>
      </c>
    </row>
    <row r="6200">
      <c r="A6200" s="80" t="s">
        <v>755</v>
      </c>
      <c r="B6200" s="81" t="str">
        <f>HYPERLINK("https://www.youtube.com/channel/UCBiJDTc82IM68KVH873VeAw", "Live in Kwangsi廣西人·情·味")</f>
        <v>Live in Kwangsi廣西人·情·味</v>
      </c>
      <c r="C6200" s="80" t="s">
        <v>6707</v>
      </c>
      <c r="D6200" s="81" t="str">
        <f>HYPERLINK("https://youtube.com/watch?v=HtCbvICCF2U", "藤縣游泳碼頭、英台廟掠影｜廣西美景 20221023")</f>
        <v>藤縣游泳碼頭、英台廟掠影｜廣西美景 20221023</v>
      </c>
      <c r="E6200" s="82">
        <v>44873.0</v>
      </c>
      <c r="F6200" s="80">
        <v>350.0</v>
      </c>
      <c r="G6200" s="80" t="s">
        <v>63</v>
      </c>
      <c r="I6200" s="80" t="s">
        <v>63</v>
      </c>
      <c r="J6200" s="80">
        <v>176.0</v>
      </c>
      <c r="K6200" s="80">
        <v>1.0</v>
      </c>
      <c r="L6200" s="80" t="s">
        <v>757</v>
      </c>
    </row>
    <row r="6201">
      <c r="A6201" s="80" t="s">
        <v>6236</v>
      </c>
      <c r="B6201" s="81" t="str">
        <f>HYPERLINK("https://www.youtube.com/channel/UCPMsgWJvrkEHE0OpIMtxyYQ", "Comfort鬆")</f>
        <v>Comfort鬆</v>
      </c>
      <c r="C6201" s="80" t="s">
        <v>6708</v>
      </c>
      <c r="D6201" s="81" t="str">
        <f>HYPERLINK("https://youtube.com/watch?v=wHalF7IJwKo", "【A day with me ❤️】Monna點解消失咗咁耐？跟我一齊過一日❤️ 帶大家一齊去英國遊樂場玩😍")</f>
        <v>【A day with me ❤️】Monna點解消失咗咁耐？跟我一齊過一日❤️ 帶大家一齊去英國遊樂場玩😍</v>
      </c>
      <c r="E6201" s="82">
        <v>44862.0</v>
      </c>
      <c r="F6201" s="80">
        <v>430.0</v>
      </c>
      <c r="G6201" s="80" t="s">
        <v>63</v>
      </c>
      <c r="I6201" s="80" t="s">
        <v>63</v>
      </c>
      <c r="J6201" s="80">
        <v>833.0</v>
      </c>
      <c r="K6201" s="80">
        <v>0.887113951011714</v>
      </c>
      <c r="L6201" s="80" t="s">
        <v>64</v>
      </c>
    </row>
    <row r="6202">
      <c r="A6202" s="80" t="s">
        <v>6040</v>
      </c>
      <c r="B6202" s="81" t="str">
        <f>HYPERLINK("https://www.youtube.com/channel/UCOaPA9dplBmTRdkugUnn17g", "光頭幫 TomFatKi")</f>
        <v>光頭幫 TomFatKi</v>
      </c>
      <c r="C6202" s="80" t="s">
        <v>6709</v>
      </c>
      <c r="D6202" s="81" t="str">
        <f>HYPERLINK("https://youtube.com/watch?v=DyhO32ADQCY", "《MV》光頭幫TomFatKi - 冰島 ICELAND【 Official Music Video 】")</f>
        <v>《MV》光頭幫TomFatKi - 冰島 ICELAND【 Official Music Video 】</v>
      </c>
      <c r="E6202" s="82">
        <v>44871.0</v>
      </c>
      <c r="F6202" s="80">
        <v>198.0</v>
      </c>
      <c r="G6202" s="80" t="s">
        <v>63</v>
      </c>
      <c r="I6202" s="80" t="s">
        <v>63</v>
      </c>
      <c r="J6202" s="80">
        <v>384.0</v>
      </c>
      <c r="K6202" s="80">
        <v>0.452830188679245</v>
      </c>
      <c r="L6202" s="80" t="s">
        <v>64</v>
      </c>
    </row>
    <row r="6203">
      <c r="A6203" s="80" t="s">
        <v>755</v>
      </c>
      <c r="B6203" s="81" t="str">
        <f>HYPERLINK("https://www.youtube.com/channel/UCBiJDTc82IM68KVH873VeAw", "Live in Kwangsi廣西人·情·味")</f>
        <v>Live in Kwangsi廣西人·情·味</v>
      </c>
      <c r="C6203" s="80" t="s">
        <v>6710</v>
      </c>
      <c r="D6203" s="81" t="str">
        <f>HYPERLINK("https://youtube.com/watch?v=A7w6av0Wnt0", "欽州市茅尾海黃金海岸海滨浴場｜廣西美景 20221003")</f>
        <v>欽州市茅尾海黃金海岸海滨浴場｜廣西美景 20221003</v>
      </c>
      <c r="E6203" s="82">
        <v>44856.0</v>
      </c>
      <c r="F6203" s="80">
        <v>465.0</v>
      </c>
      <c r="G6203" s="80" t="s">
        <v>63</v>
      </c>
      <c r="I6203" s="80" t="s">
        <v>63</v>
      </c>
      <c r="J6203" s="80">
        <v>211.0</v>
      </c>
      <c r="K6203" s="80">
        <v>1.0</v>
      </c>
      <c r="L6203" s="80" t="s">
        <v>757</v>
      </c>
    </row>
    <row r="6204">
      <c r="A6204" s="80" t="s">
        <v>6711</v>
      </c>
      <c r="B6204" s="81" t="str">
        <f>HYPERLINK("https://www.youtube.com/channel/UCwAPo1PxfhC-CSSjsRtlY3A", "喜歡電影的人都有病 Movie Psychopath")</f>
        <v>喜歡電影的人都有病 Movie Psychopath</v>
      </c>
      <c r="C6204" s="80" t="s">
        <v>6712</v>
      </c>
      <c r="D6204" s="81" t="str">
        <f>HYPERLINK("https://youtube.com/watch?v=2uz7Hx05FXs", "《I SWIM》為甚麼這個劇作品會不合格？｜呂爵安｜Edan｜魏浚笙｜Jeffery｜粵語｜廣東話｜CC字幕｜劇評｜阿影")</f>
        <v>《I SWIM》為甚麼這個劇作品會不合格？｜呂爵安｜Edan｜魏浚笙｜Jeffery｜粵語｜廣東話｜CC字幕｜劇評｜阿影</v>
      </c>
      <c r="E6204" s="82">
        <v>44768.0</v>
      </c>
      <c r="F6204" s="80">
        <v>624.0</v>
      </c>
      <c r="G6204" s="80" t="s">
        <v>63</v>
      </c>
      <c r="I6204" s="80" t="s">
        <v>63</v>
      </c>
      <c r="J6204" s="80">
        <v>2653.0</v>
      </c>
      <c r="K6204" s="80">
        <v>0.915774939592682</v>
      </c>
      <c r="L6204" s="80" t="s">
        <v>64</v>
      </c>
    </row>
    <row r="6205">
      <c r="A6205" s="80" t="s">
        <v>293</v>
      </c>
      <c r="B6205" s="81" t="str">
        <f>HYPERLINK("https://www.youtube.com/channel/UCXRcbXqjORdIvl63I7MtOLQ", "趁熱 Kerry 's kitchen")</f>
        <v>趁熱 Kerry 's kitchen</v>
      </c>
      <c r="C6205" s="80" t="s">
        <v>6713</v>
      </c>
      <c r="D6205" s="81" t="str">
        <f>HYPERLINK("https://youtube.com/watch?v=i9KWel9AwVY", "粥/菜乾排骨粥/ 煲粥米和水的黃金比例/下火治牙痛/老人都食得/新手 入門/廣東話/中字/多種語言提供.打開cc字幕 然後右邊設定 按自動翻譯 選擇需要的語言")</f>
        <v>粥/菜乾排骨粥/ 煲粥米和水的黃金比例/下火治牙痛/老人都食得/新手 入門/廣東話/中字/多種語言提供.打開cc字幕 然後右邊設定 按自動翻譯 選擇需要的語言</v>
      </c>
      <c r="E6205" s="82">
        <v>44879.0</v>
      </c>
      <c r="F6205" s="80">
        <v>499.0</v>
      </c>
      <c r="G6205" s="80" t="s">
        <v>63</v>
      </c>
      <c r="I6205" s="80" t="s">
        <v>63</v>
      </c>
      <c r="J6205" s="80">
        <v>1323.0</v>
      </c>
      <c r="K6205" s="80">
        <v>0.988789237668161</v>
      </c>
      <c r="L6205" s="80" t="s">
        <v>64</v>
      </c>
    </row>
    <row r="6206">
      <c r="A6206" s="80" t="s">
        <v>140</v>
      </c>
      <c r="B6206" s="81" t="str">
        <f>HYPERLINK("https://www.youtube.com/channel/UCHK0CZf9HEXs42qIO1GUouA", "TechiCardia")</f>
        <v>TechiCardia</v>
      </c>
      <c r="C6206" s="80" t="s">
        <v>6714</v>
      </c>
      <c r="D6206" s="81" t="str">
        <f>HYPERLINK("https://youtube.com/watch?v=EMP-Wu4AyYo", "一日放假VLOG📚咩係番茄工作法？🕕 RTX 4090 效能有冇驚喜？上手勁重！｜4K【TechiCardia】[廣東話字幕］")</f>
        <v>一日放假VLOG📚咩係番茄工作法？🕕 RTX 4090 效能有冇驚喜？上手勁重！｜4K【TechiCardia】[廣東話字幕］</v>
      </c>
      <c r="E6206" s="82">
        <v>44853.0</v>
      </c>
      <c r="F6206" s="80">
        <v>662.0</v>
      </c>
      <c r="G6206" s="80" t="s">
        <v>63</v>
      </c>
      <c r="I6206" s="80" t="s">
        <v>63</v>
      </c>
      <c r="J6206" s="80">
        <v>1795.0</v>
      </c>
      <c r="K6206" s="80">
        <v>0.77005577005577</v>
      </c>
      <c r="L6206" s="80" t="s">
        <v>102</v>
      </c>
    </row>
    <row r="6207">
      <c r="A6207" s="80" t="s">
        <v>588</v>
      </c>
      <c r="B6207" s="81" t="str">
        <f>HYPERLINK("https://www.youtube.com/channel/UCaJ77iWZ8galtePlS_BtEKw", "西DorSi偽中產生活態度")</f>
        <v>西DorSi偽中產生活態度</v>
      </c>
      <c r="C6207" s="80" t="s">
        <v>6715</v>
      </c>
      <c r="D6207" s="81" t="str">
        <f>HYPERLINK("https://youtube.com/watch?v=-U4LVOnfbl0", "大陸即將通關?! 福田口岸夜晚亮燈 / 高鐵試車 / 官媒報導1月9日0+3?!")</f>
        <v>大陸即將通關?! 福田口岸夜晚亮燈 / 高鐵試車 / 官媒報導1月9日0+3?!</v>
      </c>
      <c r="E6207" s="82">
        <v>44913.0</v>
      </c>
      <c r="F6207" s="80">
        <v>632.0</v>
      </c>
      <c r="G6207" s="80" t="s">
        <v>63</v>
      </c>
      <c r="I6207" s="80" t="s">
        <v>63</v>
      </c>
      <c r="J6207" s="80">
        <v>2379.0</v>
      </c>
      <c r="K6207" s="80">
        <v>0.985909656029838</v>
      </c>
      <c r="L6207" s="80" t="s">
        <v>64</v>
      </c>
    </row>
    <row r="6208">
      <c r="A6208" s="80" t="s">
        <v>248</v>
      </c>
      <c r="B6208" s="81" t="str">
        <f>HYPERLINK("https://www.youtube.com/channel/UCUEJok-GiWaGlv5nIPwk-GQ", "Price.com.hk 香港格價網")</f>
        <v>Price.com.hk 香港格價網</v>
      </c>
      <c r="C6208" s="80" t="s">
        <v>6716</v>
      </c>
      <c r="D6208" s="81" t="str">
        <f>HYPERLINK("https://youtube.com/watch?v=eqobjyL3vUk", "Dyson Zone聽歌兼淨化空氣 香港 3月開賣、  iOS 16.2 新功能玩唱 K、神人花兩年用40部手機實測 快充定慢充最傷電 |廣東話【Price Weekly #144 2022年12月】")</f>
        <v>Dyson Zone聽歌兼淨化空氣 香港 3月開賣、  iOS 16.2 新功能玩唱 K、神人花兩年用40部手機實測 快充定慢充最傷電 |廣東話【Price Weekly #144 2022年12月】</v>
      </c>
      <c r="E6208" s="82">
        <v>44905.0</v>
      </c>
      <c r="F6208" s="80">
        <v>803.0</v>
      </c>
      <c r="G6208" s="80" t="s">
        <v>63</v>
      </c>
      <c r="I6208" s="80" t="s">
        <v>63</v>
      </c>
      <c r="J6208" s="80">
        <v>2580.0</v>
      </c>
      <c r="K6208" s="80">
        <v>0.746527777777777</v>
      </c>
      <c r="L6208" s="80" t="s">
        <v>64</v>
      </c>
    </row>
    <row r="6209">
      <c r="A6209" s="80" t="s">
        <v>124</v>
      </c>
      <c r="B6209" s="81" t="str">
        <f>HYPERLINK("https://www.youtube.com/channel/UCg0vuSE0fBF_NvodyYhMcWg", "Wallace Studio HK")</f>
        <v>Wallace Studio HK</v>
      </c>
      <c r="C6209" s="80" t="s">
        <v>6717</v>
      </c>
      <c r="D6209" s="81" t="str">
        <f>HYPERLINK("https://youtube.com/watch?v=-K9Kg-bPoz0", "Honor 70 上手實試! 178g 中價輕身手機! 5400萬 IMX800 主鏡頭，Snapdragon 778G+")</f>
        <v>Honor 70 上手實試! 178g 中價輕身手機! 5400萬 IMX800 主鏡頭，Snapdragon 778G+</v>
      </c>
      <c r="E6209" s="82">
        <v>44836.0</v>
      </c>
      <c r="F6209" s="80">
        <v>565.0</v>
      </c>
      <c r="G6209" s="80" t="s">
        <v>63</v>
      </c>
      <c r="I6209" s="80" t="s">
        <v>63</v>
      </c>
      <c r="J6209" s="80">
        <v>1694.0</v>
      </c>
      <c r="K6209" s="80">
        <v>0.870951156812339</v>
      </c>
      <c r="L6209" s="80" t="s">
        <v>64</v>
      </c>
    </row>
    <row r="6210">
      <c r="A6210" s="80" t="s">
        <v>1139</v>
      </c>
      <c r="B6210" s="81" t="str">
        <f>HYPERLINK("https://www.youtube.com/channel/UCw51gVFijIewmXH4tIR0ufw", "Crystal Zen")</f>
        <v>Crystal Zen</v>
      </c>
      <c r="C6210" s="80" t="s">
        <v>6718</v>
      </c>
      <c r="D6210" s="81" t="str">
        <f>HYPERLINK("https://youtube.com/watch?v=VOg5Rpn37fo", "[VLOG] 開水晶舖到底有咩要做?! 唔止Serve客睇五行咁簡單! - Angus的 a day in my life #4K 中文字幕")</f>
        <v>[VLOG] 開水晶舖到底有咩要做?! 唔止Serve客睇五行咁簡單! - Angus的 a day in my life #4K 中文字幕</v>
      </c>
      <c r="E6210" s="82">
        <v>44841.0</v>
      </c>
      <c r="F6210" s="80">
        <v>915.0</v>
      </c>
      <c r="G6210" s="80" t="s">
        <v>63</v>
      </c>
      <c r="I6210" s="80" t="s">
        <v>63</v>
      </c>
      <c r="J6210" s="80">
        <v>3060.0</v>
      </c>
      <c r="K6210" s="80">
        <v>0.94038106945298</v>
      </c>
      <c r="L6210" s="80" t="s">
        <v>64</v>
      </c>
    </row>
    <row r="6211">
      <c r="A6211" s="80" t="s">
        <v>755</v>
      </c>
      <c r="B6211" s="81" t="str">
        <f t="shared" ref="B6211:B6212" si="355">HYPERLINK("https://www.youtube.com/channel/UCBiJDTc82IM68KVH873VeAw", "Live in Kwangsi廣西人·情·味")</f>
        <v>Live in Kwangsi廣西人·情·味</v>
      </c>
      <c r="C6211" s="80" t="s">
        <v>6719</v>
      </c>
      <c r="D6211" s="81" t="str">
        <f>HYPERLINK("https://youtube.com/watch?v=zwS4Vw2zT_A", "貴港市大東碼頭掠影及簡介｜廣西美景 20221001")</f>
        <v>貴港市大東碼頭掠影及簡介｜廣西美景 20221001</v>
      </c>
      <c r="E6211" s="82">
        <v>44843.0</v>
      </c>
      <c r="F6211" s="80">
        <v>269.0</v>
      </c>
      <c r="G6211" s="80" t="s">
        <v>63</v>
      </c>
      <c r="I6211" s="80" t="s">
        <v>63</v>
      </c>
      <c r="J6211" s="80">
        <v>313.0</v>
      </c>
      <c r="K6211" s="80">
        <v>1.0</v>
      </c>
      <c r="L6211" s="80" t="s">
        <v>757</v>
      </c>
    </row>
    <row r="6212">
      <c r="A6212" s="80" t="s">
        <v>755</v>
      </c>
      <c r="B6212" s="81" t="str">
        <f t="shared" si="355"/>
        <v>Live in Kwangsi廣西人·情·味</v>
      </c>
      <c r="C6212" s="80" t="s">
        <v>6720</v>
      </c>
      <c r="D6212" s="81" t="str">
        <f>HYPERLINK("https://youtube.com/watch?v=HwrRLWLKpR8", "行街🚶🏻記錄 喺賀州市中心嘅遠東商圈 街市、遠東網紅市集 20221106")</f>
        <v>行街🚶🏻記錄 喺賀州市中心嘅遠東商圈 街市、遠東網紅市集 20221106</v>
      </c>
      <c r="E6212" s="82">
        <v>44871.0</v>
      </c>
      <c r="F6212" s="80">
        <v>596.0</v>
      </c>
      <c r="G6212" s="80" t="s">
        <v>63</v>
      </c>
      <c r="I6212" s="80" t="s">
        <v>63</v>
      </c>
      <c r="J6212" s="80">
        <v>97.0</v>
      </c>
      <c r="K6212" s="80">
        <v>1.0</v>
      </c>
      <c r="L6212" s="80" t="s">
        <v>757</v>
      </c>
    </row>
    <row r="6213">
      <c r="A6213" s="80" t="s">
        <v>140</v>
      </c>
      <c r="B6213" s="81" t="str">
        <f>HYPERLINK("https://www.youtube.com/channel/UCHK0CZf9HEXs42qIO1GUouA", "TechiCardia")</f>
        <v>TechiCardia</v>
      </c>
      <c r="C6213" s="80" t="s">
        <v>6721</v>
      </c>
      <c r="D6213" s="81" t="str">
        <f>HYPERLINK("https://youtube.com/watch?v=l00SHty9Yk8", "終極版華碩 TUF 全家桶！我知道勁, 但用過先知咁勁😱 i9-13900K、RTX 4090、GT502 打機電腦 | 遊戲、工作性能實測🔥4K【TechiCardia】[cc 廣東話字幕]")</f>
        <v>終極版華碩 TUF 全家桶！我知道勁, 但用過先知咁勁😱 i9-13900K、RTX 4090、GT502 打機電腦 | 遊戲、工作性能實測🔥4K【TechiCardia】[cc 廣東話字幕]</v>
      </c>
      <c r="E6213" s="82">
        <v>44892.0</v>
      </c>
      <c r="F6213" s="80">
        <v>1350.0</v>
      </c>
      <c r="G6213" s="80" t="s">
        <v>63</v>
      </c>
      <c r="I6213" s="80" t="s">
        <v>63</v>
      </c>
      <c r="J6213" s="80">
        <v>3854.0</v>
      </c>
      <c r="K6213" s="80">
        <v>0.685155555555555</v>
      </c>
      <c r="L6213" s="80" t="s">
        <v>102</v>
      </c>
    </row>
    <row r="6214">
      <c r="A6214" s="80" t="s">
        <v>588</v>
      </c>
      <c r="B6214" s="81" t="str">
        <f>HYPERLINK("https://www.youtube.com/channel/UCaJ77iWZ8galtePlS_BtEKw", "西DorSi偽中產生活態度")</f>
        <v>西DorSi偽中產生活態度</v>
      </c>
      <c r="C6214" s="80" t="s">
        <v>6722</v>
      </c>
      <c r="D6214" s="81" t="str">
        <f>HYPERLINK("https://youtube.com/watch?v=yjPb1PACX9o", "醫學奇蹟？大陸大放寬後 點解確診個案數不升反跌?!")</f>
        <v>醫學奇蹟？大陸大放寬後 點解確診個案數不升反跌?!</v>
      </c>
      <c r="E6214" s="82">
        <v>44907.0</v>
      </c>
      <c r="F6214" s="80">
        <v>609.0</v>
      </c>
      <c r="G6214" s="80" t="s">
        <v>63</v>
      </c>
      <c r="I6214" s="80" t="s">
        <v>63</v>
      </c>
      <c r="J6214" s="80">
        <v>2378.0</v>
      </c>
      <c r="K6214" s="80">
        <v>0.985903814262023</v>
      </c>
      <c r="L6214" s="80" t="s">
        <v>64</v>
      </c>
    </row>
    <row r="6215">
      <c r="A6215" s="80" t="s">
        <v>248</v>
      </c>
      <c r="B6215" s="81" t="str">
        <f>HYPERLINK("https://www.youtube.com/channel/UCUEJok-GiWaGlv5nIPwk-GQ", "Price.com.hk 香港格價網")</f>
        <v>Price.com.hk 香港格價網</v>
      </c>
      <c r="C6215" s="80" t="s">
        <v>6723</v>
      </c>
      <c r="D6215" s="81" t="str">
        <f>HYPERLINK("https://youtube.com/watch?v=CyAcIORKeeE", "天璣9200 強勢登場！ IOS更新 內地 AirDrop 設時間限制、iPhone 摺機面世？| 廣東話【Price Weekly #140 2022 年 11 月 】")</f>
        <v>天璣9200 強勢登場！ IOS更新 內地 AirDrop 設時間限制、iPhone 摺機面世？| 廣東話【Price Weekly #140 2022 年 11 月 】</v>
      </c>
      <c r="E6215" s="82">
        <v>44877.0</v>
      </c>
      <c r="F6215" s="80">
        <v>503.0</v>
      </c>
      <c r="G6215" s="80" t="s">
        <v>63</v>
      </c>
      <c r="I6215" s="80" t="s">
        <v>63</v>
      </c>
      <c r="J6215" s="80">
        <v>1838.0</v>
      </c>
      <c r="K6215" s="80">
        <v>0.750510412413229</v>
      </c>
      <c r="L6215" s="80" t="s">
        <v>64</v>
      </c>
    </row>
    <row r="6216">
      <c r="A6216" s="80" t="s">
        <v>1492</v>
      </c>
      <c r="B6216" s="81" t="str">
        <f>HYPERLINK("https://www.youtube.com/channel/UCTo1EIcKtkDYqiUqs4v_NlA", "【常公子】頻道TV - 中文中史歷史哲學")</f>
        <v>【常公子】頻道TV - 中文中史歷史哲學</v>
      </c>
      <c r="C6216" s="80" t="s">
        <v>6724</v>
      </c>
      <c r="D6216" s="81" t="str">
        <f>HYPERLINK("https://youtube.com/watch?v=JUj60C5j5NM", "【常威近代史】第第五百一拾二回誰人打開了潘朵拉盒子")</f>
        <v>【常威近代史】第第五百一拾二回誰人打開了潘朵拉盒子</v>
      </c>
      <c r="E6216" s="82">
        <v>44912.0</v>
      </c>
      <c r="F6216" s="80">
        <v>724.0</v>
      </c>
      <c r="G6216" s="80" t="s">
        <v>63</v>
      </c>
      <c r="I6216" s="80" t="s">
        <v>63</v>
      </c>
      <c r="J6216" s="80">
        <v>1688.0</v>
      </c>
      <c r="K6216" s="80">
        <v>0.992357436801881</v>
      </c>
      <c r="L6216" s="80" t="s">
        <v>64</v>
      </c>
    </row>
    <row r="6217">
      <c r="A6217" s="80" t="s">
        <v>2800</v>
      </c>
      <c r="B6217" s="81" t="str">
        <f>HYPERLINK("https://www.youtube.com/channel/UCMqrlsr-AECPc6_3oDr8m9w", "Unicorn 獸哥")</f>
        <v>Unicorn 獸哥</v>
      </c>
      <c r="C6217" s="80" t="s">
        <v>6725</v>
      </c>
      <c r="D6217" s="81" t="str">
        <f>HYPERLINK("https://youtube.com/watch?v=YIhS7yT5Zpo", "【game評】適當地捉緊你的恐懼感 Resident evil village shadows of rose CC字幕")</f>
        <v>【game評】適當地捉緊你的恐懼感 Resident evil village shadows of rose CC字幕</v>
      </c>
      <c r="E6217" s="82">
        <v>44871.0</v>
      </c>
      <c r="F6217" s="80">
        <v>512.0</v>
      </c>
      <c r="G6217" s="80" t="s">
        <v>63</v>
      </c>
      <c r="I6217" s="80" t="s">
        <v>63</v>
      </c>
      <c r="J6217" s="80">
        <v>2105.0</v>
      </c>
      <c r="K6217" s="80">
        <v>0.87019429516329</v>
      </c>
      <c r="L6217" s="80" t="s">
        <v>64</v>
      </c>
    </row>
    <row r="6218">
      <c r="A6218" s="80" t="s">
        <v>248</v>
      </c>
      <c r="B6218" s="81" t="str">
        <f t="shared" ref="B6218:B6219" si="356">HYPERLINK("https://www.youtube.com/channel/UCUEJok-GiWaGlv5nIPwk-GQ", "Price.com.hk 香港格價網")</f>
        <v>Price.com.hk 香港格價網</v>
      </c>
      <c r="C6218" s="80" t="s">
        <v>6726</v>
      </c>
      <c r="D6218" s="81" t="str">
        <f>HYPERLINK("https://youtube.com/watch?v=dX3OBf-Bj8Y", "開箱實試 $699 1MORE SonoFlow．Aero 揀頭戴式定真無線 ？ ｜空間音頻｜ Hi-Res 音質傳輸｜ANC｜LDAC｜ 特約專題｜用後感｜【price.com.hk產品評測】")</f>
        <v>開箱實試 $699 1MORE SonoFlow．Aero 揀頭戴式定真無線 ？ ｜空間音頻｜ Hi-Res 音質傳輸｜ANC｜LDAC｜ 特約專題｜用後感｜【price.com.hk產品評測】</v>
      </c>
      <c r="E6218" s="82">
        <v>44875.0</v>
      </c>
      <c r="F6218" s="80">
        <v>296.0</v>
      </c>
      <c r="G6218" s="80" t="s">
        <v>63</v>
      </c>
      <c r="I6218" s="80" t="s">
        <v>63</v>
      </c>
      <c r="J6218" s="80">
        <v>955.0</v>
      </c>
      <c r="K6218" s="80">
        <v>0.821858864027538</v>
      </c>
      <c r="L6218" s="80" t="s">
        <v>64</v>
      </c>
    </row>
    <row r="6219">
      <c r="A6219" s="80" t="s">
        <v>248</v>
      </c>
      <c r="B6219" s="81" t="str">
        <f t="shared" si="356"/>
        <v>Price.com.hk 香港格價網</v>
      </c>
      <c r="C6219" s="80" t="s">
        <v>6727</v>
      </c>
      <c r="D6219" s="81" t="str">
        <f>HYPERLINK("https://youtube.com/watch?v=Uqd1iNK9Lm4", "$500 Budget 聖誕交換禮物推介 | Gadgets、家品、玩具、電競用品、美妝產品 | 男女合用｜中文字幕 | 廣東話  |【Price.com.hk產品比較】")</f>
        <v>$500 Budget 聖誕交換禮物推介 | Gadgets、家品、玩具、電競用品、美妝產品 | 男女合用｜中文字幕 | 廣東話  |【Price.com.hk產品比較】</v>
      </c>
      <c r="E6219" s="82">
        <v>44897.0</v>
      </c>
      <c r="F6219" s="80">
        <v>364.0</v>
      </c>
      <c r="G6219" s="80" t="s">
        <v>63</v>
      </c>
      <c r="I6219" s="80" t="s">
        <v>63</v>
      </c>
      <c r="J6219" s="80">
        <v>1283.0</v>
      </c>
      <c r="K6219" s="80">
        <v>0.746364165212332</v>
      </c>
      <c r="L6219" s="80" t="s">
        <v>64</v>
      </c>
    </row>
    <row r="6220">
      <c r="A6220" s="80" t="s">
        <v>755</v>
      </c>
      <c r="B6220" s="81" t="str">
        <f>HYPERLINK("https://www.youtube.com/channel/UCBiJDTc82IM68KVH873VeAw", "Live in Kwangsi廣西人·情·味")</f>
        <v>Live in Kwangsi廣西人·情·味</v>
      </c>
      <c r="C6220" s="80" t="s">
        <v>6728</v>
      </c>
      <c r="D6220" s="81" t="str">
        <f>HYPERLINK("https://youtube.com/watch?v=UN0WnsSZMHk", "梧州市高旺大橋夜晚燈光騷｜廣西日常實拍 20221023")</f>
        <v>梧州市高旺大橋夜晚燈光騷｜廣西日常實拍 20221023</v>
      </c>
      <c r="E6220" s="82">
        <v>44874.0</v>
      </c>
      <c r="F6220" s="80">
        <v>280.0</v>
      </c>
      <c r="G6220" s="80" t="s">
        <v>63</v>
      </c>
      <c r="I6220" s="80" t="s">
        <v>63</v>
      </c>
      <c r="J6220" s="80">
        <v>70.0</v>
      </c>
      <c r="K6220" s="80">
        <v>1.0</v>
      </c>
      <c r="L6220" s="80" t="s">
        <v>757</v>
      </c>
    </row>
    <row r="6221">
      <c r="A6221" s="80" t="s">
        <v>2785</v>
      </c>
      <c r="B6221" s="81" t="str">
        <f>HYPERLINK("https://www.youtube.com/channel/UC_w7pV_Xz9XO0ChNFxMtV0w", "MPWeekly明周")</f>
        <v>MPWeekly明周</v>
      </c>
      <c r="C6221" s="80" t="s">
        <v>6729</v>
      </c>
      <c r="D6221" s="81" t="str">
        <f>HYPERLINK("https://youtube.com/watch?v=n1TittmQemg", "邊個最好戲？新生代演員KUKU SO、SHIN CHEUNG、MAYA TSANG、MATTHEW HAN和NANCY KWAI即場做戲")</f>
        <v>邊個最好戲？新生代演員KUKU SO、SHIN CHEUNG、MAYA TSANG、MATTHEW HAN和NANCY KWAI即場做戲</v>
      </c>
      <c r="E6221" s="82">
        <v>44841.0</v>
      </c>
      <c r="F6221" s="80">
        <v>190.0</v>
      </c>
      <c r="G6221" s="80" t="s">
        <v>63</v>
      </c>
      <c r="I6221" s="80" t="s">
        <v>63</v>
      </c>
      <c r="J6221" s="80">
        <v>218.0</v>
      </c>
      <c r="K6221" s="80">
        <v>0.447638603696098</v>
      </c>
      <c r="L6221" s="80" t="s">
        <v>64</v>
      </c>
    </row>
    <row r="6222">
      <c r="A6222" s="80" t="s">
        <v>293</v>
      </c>
      <c r="B6222" s="81" t="str">
        <f>HYPERLINK("https://www.youtube.com/channel/UCXRcbXqjORdIvl63I7MtOLQ", "趁熱 Kerry 's kitchen")</f>
        <v>趁熱 Kerry 's kitchen</v>
      </c>
      <c r="C6222" s="80" t="s">
        <v>6730</v>
      </c>
      <c r="D6222" s="81" t="str">
        <f>HYPERLINK("https://youtube.com/watch?v=VoCn_f32-q0", "瑤柱蝦米煎腸粉/黃金腸粉/低 成本/請客唔失禮/冇明火都得/簡單 家做/廣東話/中字")</f>
        <v>瑤柱蝦米煎腸粉/黃金腸粉/低 成本/請客唔失禮/冇明火都得/簡單 家做/廣東話/中字</v>
      </c>
      <c r="E6222" s="82">
        <v>44830.0</v>
      </c>
      <c r="F6222" s="80">
        <v>546.0</v>
      </c>
      <c r="G6222" s="80" t="s">
        <v>63</v>
      </c>
      <c r="I6222" s="80" t="s">
        <v>63</v>
      </c>
      <c r="J6222" s="80">
        <v>1502.0</v>
      </c>
      <c r="K6222" s="80">
        <v>0.977228366948601</v>
      </c>
      <c r="L6222" s="80" t="s">
        <v>64</v>
      </c>
    </row>
    <row r="6223">
      <c r="A6223" s="80" t="s">
        <v>6236</v>
      </c>
      <c r="B6223" s="81" t="str">
        <f>HYPERLINK("https://www.youtube.com/channel/UCPMsgWJvrkEHE0OpIMtxyYQ", "Comfort鬆")</f>
        <v>Comfort鬆</v>
      </c>
      <c r="C6223" s="80" t="s">
        <v>6731</v>
      </c>
      <c r="D6223" s="81" t="str">
        <f>HYPERLINK("https://youtube.com/watch?v=sSeyMJelby0", "【街訪】瘋狂嘅中學生涯｜最鍾意聽老師講粗口｜變態跟蹤狂同學｜頂唔順隔離位啲頭皮...")</f>
        <v>【街訪】瘋狂嘅中學生涯｜最鍾意聽老師講粗口｜變態跟蹤狂同學｜頂唔順隔離位啲頭皮...</v>
      </c>
      <c r="E6223" s="82">
        <v>44831.0</v>
      </c>
      <c r="F6223" s="80">
        <v>385.0</v>
      </c>
      <c r="G6223" s="80" t="s">
        <v>63</v>
      </c>
      <c r="I6223" s="80" t="s">
        <v>63</v>
      </c>
      <c r="J6223" s="80">
        <v>1438.0</v>
      </c>
      <c r="K6223" s="80">
        <v>0.939869281045751</v>
      </c>
      <c r="L6223" s="80" t="s">
        <v>64</v>
      </c>
    </row>
    <row r="6224">
      <c r="A6224" s="80" t="s">
        <v>274</v>
      </c>
      <c r="B6224" s="81" t="str">
        <f>HYPERLINK("https://www.youtube.com/channel/UC2oB9QCXs-RKtaKChrz4dKg", "MtzCherry")</f>
        <v>MtzCherry</v>
      </c>
      <c r="C6224" s="80" t="s">
        <v>6732</v>
      </c>
      <c r="D6224" s="81" t="str">
        <f>HYPERLINK("https://youtube.com/watch?v=cXRvVwjD5A0", "[VLOG] 🌟 First-ever Market Design Collab! | Ricebowlhead | Central Market | Living in HONG KONG")</f>
        <v>[VLOG] 🌟 First-ever Market Design Collab! | Ricebowlhead | Central Market | Living in HONG KONG</v>
      </c>
      <c r="E6224" s="82">
        <v>44836.0</v>
      </c>
      <c r="F6224" s="80">
        <v>366.0</v>
      </c>
      <c r="G6224" s="80" t="s">
        <v>63</v>
      </c>
      <c r="I6224" s="80" t="s">
        <v>63</v>
      </c>
      <c r="J6224" s="80">
        <v>1122.0</v>
      </c>
      <c r="K6224" s="80">
        <v>0.889064976228209</v>
      </c>
      <c r="L6224" s="80" t="s">
        <v>439</v>
      </c>
    </row>
    <row r="6225">
      <c r="A6225" s="80" t="s">
        <v>217</v>
      </c>
      <c r="B6225" s="81" t="str">
        <f>HYPERLINK("https://www.youtube.com/channel/UCXKg0qPRz32bs5Z4mTGF3TQ", "Stormtrooper白兵")</f>
        <v>Stormtrooper白兵</v>
      </c>
      <c r="C6225" s="80" t="s">
        <v>6733</v>
      </c>
      <c r="D6225" s="81" t="str">
        <f>HYPERLINK("https://youtube.com/watch?v=EOI8ENP4sG4", "[不是陰謀論]只從科學角度出發，分析全王求暖化／氣侯變化 是否又是一個騙局？｜粵語中字")</f>
        <v>[不是陰謀論]只從科學角度出發，分析全王求暖化／氣侯變化 是否又是一個騙局？｜粵語中字</v>
      </c>
      <c r="E6225" s="82">
        <v>44903.0</v>
      </c>
      <c r="F6225" s="80">
        <v>818.0</v>
      </c>
      <c r="G6225" s="80" t="s">
        <v>63</v>
      </c>
      <c r="I6225" s="80" t="s">
        <v>63</v>
      </c>
      <c r="J6225" s="80">
        <v>3203.0</v>
      </c>
      <c r="K6225" s="80">
        <v>0.93110465116279</v>
      </c>
      <c r="L6225" s="80" t="s">
        <v>64</v>
      </c>
    </row>
    <row r="6226">
      <c r="A6226" s="80" t="s">
        <v>140</v>
      </c>
      <c r="B6226" s="81" t="str">
        <f>HYPERLINK("https://www.youtube.com/channel/UCHK0CZf9HEXs42qIO1GUouA", "TechiCardia")</f>
        <v>TechiCardia</v>
      </c>
      <c r="C6226" s="80" t="s">
        <v>6734</v>
      </c>
      <c r="D6226" s="81" t="str">
        <f>HYPERLINK("https://youtube.com/watch?v=q4VuWtstzS4", "2022 砌機 長顯示卡、360水冷輕鬆塞入M-ATX 機箱？🔥想砌好耐嘅中高階電腦！| ASUS AP201、Valkyrie GL360 重點砌機 |【TechiCardia】[cc廣東話字幕]")</f>
        <v>2022 砌機 長顯示卡、360水冷輕鬆塞入M-ATX 機箱？🔥想砌好耐嘅中高階電腦！| ASUS AP201、Valkyrie GL360 重點砌機 |【TechiCardia】[cc廣東話字幕]</v>
      </c>
      <c r="E6226" s="82">
        <v>44829.0</v>
      </c>
      <c r="F6226" s="80">
        <v>1019.0</v>
      </c>
      <c r="G6226" s="80" t="s">
        <v>63</v>
      </c>
      <c r="I6226" s="80" t="s">
        <v>63</v>
      </c>
      <c r="J6226" s="80">
        <v>3307.0</v>
      </c>
      <c r="K6226" s="80">
        <v>0.771761960326721</v>
      </c>
      <c r="L6226" s="80" t="s">
        <v>102</v>
      </c>
    </row>
    <row r="6227">
      <c r="A6227" s="80" t="s">
        <v>2800</v>
      </c>
      <c r="B6227" s="81" t="str">
        <f>HYPERLINK("https://www.youtube.com/channel/UCMqrlsr-AECPc6_3oDr8m9w", "Unicorn 獸哥")</f>
        <v>Unicorn 獸哥</v>
      </c>
      <c r="C6227" s="80" t="s">
        <v>6735</v>
      </c>
      <c r="D6227" s="81" t="str">
        <f>HYPERLINK("https://youtube.com/watch?v=fuk---z0Wmg", "【劇評】Marvel大暴走！She-Hulk: Attorney at Law 變形女俠：律政英雌 CC字幕")</f>
        <v>【劇評】Marvel大暴走！She-Hulk: Attorney at Law 變形女俠：律政英雌 CC字幕</v>
      </c>
      <c r="E6227" s="82">
        <v>44854.0</v>
      </c>
      <c r="F6227" s="80">
        <v>408.0</v>
      </c>
      <c r="G6227" s="80" t="s">
        <v>63</v>
      </c>
      <c r="I6227" s="80" t="s">
        <v>63</v>
      </c>
      <c r="J6227" s="80">
        <v>1833.0</v>
      </c>
      <c r="K6227" s="80">
        <v>0.875776397515527</v>
      </c>
      <c r="L6227" s="80" t="s">
        <v>64</v>
      </c>
    </row>
    <row r="6228">
      <c r="A6228" s="80" t="s">
        <v>238</v>
      </c>
      <c r="B6228" s="81" t="str">
        <f>HYPERLINK("https://www.youtube.com/channel/UCSBkm4LwpgBmcA3MCtO8vqg", "Post76影音玩樂")</f>
        <v>Post76影音玩樂</v>
      </c>
      <c r="C6228" s="80" t="s">
        <v>6736</v>
      </c>
      <c r="D6228" s="81" t="str">
        <f>HYPERLINK("https://youtube.com/watch?v=RP0pRC4mIss", "MAGNETAR UDP800 4K UHD Blu-ray 藍光宇宙盤 : 力戰二大4K UHD影碟機 | 外掛字幕實體碟方案 !（附加cc字幕）| 藍光機評測")</f>
        <v>MAGNETAR UDP800 4K UHD Blu-ray 藍光宇宙盤 : 力戰二大4K UHD影碟機 | 外掛字幕實體碟方案 !（附加cc字幕）| 藍光機評測</v>
      </c>
      <c r="E6228" s="82">
        <v>44902.0</v>
      </c>
      <c r="F6228" s="80">
        <v>1325.0</v>
      </c>
      <c r="G6228" s="80" t="s">
        <v>63</v>
      </c>
      <c r="I6228" s="80" t="s">
        <v>63</v>
      </c>
      <c r="J6228" s="80">
        <v>5528.0</v>
      </c>
      <c r="K6228" s="80">
        <v>0.812105185838107</v>
      </c>
      <c r="L6228" s="80" t="s">
        <v>64</v>
      </c>
    </row>
    <row r="6229">
      <c r="A6229" s="80" t="s">
        <v>755</v>
      </c>
      <c r="B6229" s="81" t="str">
        <f>HYPERLINK("https://www.youtube.com/channel/UCBiJDTc82IM68KVH873VeAw", "Live in Kwangsi廣西人·情·味")</f>
        <v>Live in Kwangsi廣西人·情·味</v>
      </c>
      <c r="C6229" s="80" t="s">
        <v>6737</v>
      </c>
      <c r="D6229" s="81" t="str">
        <f>HYPERLINK("https://youtube.com/watch?v=sxvJvpCt1Fc", "賀州市里松鎮大同沖掠影｜廣西美景 20220922")</f>
        <v>賀州市里松鎮大同沖掠影｜廣西美景 20220922</v>
      </c>
      <c r="E6229" s="82">
        <v>44831.0</v>
      </c>
      <c r="F6229" s="80">
        <v>322.0</v>
      </c>
      <c r="G6229" s="80" t="s">
        <v>63</v>
      </c>
      <c r="I6229" s="80" t="s">
        <v>63</v>
      </c>
      <c r="J6229" s="80">
        <v>72.0</v>
      </c>
      <c r="K6229" s="80">
        <v>1.0</v>
      </c>
      <c r="L6229" s="80" t="s">
        <v>757</v>
      </c>
    </row>
    <row r="6230">
      <c r="A6230" s="80" t="s">
        <v>121</v>
      </c>
      <c r="B6230" s="81" t="str">
        <f>HYPERLINK("https://www.youtube.com/channel/UC-2hWXRgCg-o5Waz36Yt7BA", "Arm Channel TV")</f>
        <v>Arm Channel TV</v>
      </c>
      <c r="C6230" s="80" t="s">
        <v>6738</v>
      </c>
      <c r="D6230" s="81" t="str">
        <f>HYPERLINK("https://youtube.com/watch?v=gaHJ5o8Pp6c", "【搞作短劇】對付late show朋友")</f>
        <v>【搞作短劇】對付late show朋友</v>
      </c>
      <c r="E6230" s="82">
        <v>44880.0</v>
      </c>
      <c r="F6230" s="80">
        <v>49.0</v>
      </c>
      <c r="G6230" s="80" t="s">
        <v>63</v>
      </c>
      <c r="I6230" s="80" t="s">
        <v>63</v>
      </c>
      <c r="J6230" s="80">
        <v>198.0</v>
      </c>
      <c r="K6230" s="80">
        <v>0.933962264150943</v>
      </c>
      <c r="L6230" s="80" t="s">
        <v>64</v>
      </c>
    </row>
    <row r="6231">
      <c r="A6231" s="80" t="s">
        <v>755</v>
      </c>
      <c r="B6231" s="81" t="str">
        <f>HYPERLINK("https://www.youtube.com/channel/UCBiJDTc82IM68KVH873VeAw", "Live in Kwangsi廣西人·情·味")</f>
        <v>Live in Kwangsi廣西人·情·味</v>
      </c>
      <c r="C6231" s="80" t="s">
        <v>6739</v>
      </c>
      <c r="D6231" s="81" t="str">
        <f>HYPERLINK("https://youtube.com/watch?v=h7JTVnXduaU", "賀州市平桂區黃金珠寶產業園側邊嘅公園仔｜廣西美景 20221103")</f>
        <v>賀州市平桂區黃金珠寶產業園側邊嘅公園仔｜廣西美景 20221103</v>
      </c>
      <c r="E6231" s="82">
        <v>44884.0</v>
      </c>
      <c r="F6231" s="80">
        <v>189.0</v>
      </c>
      <c r="G6231" s="80" t="s">
        <v>63</v>
      </c>
      <c r="I6231" s="80" t="s">
        <v>63</v>
      </c>
      <c r="J6231" s="80">
        <v>60.0</v>
      </c>
      <c r="K6231" s="80">
        <v>1.0</v>
      </c>
      <c r="L6231" s="80" t="s">
        <v>757</v>
      </c>
    </row>
    <row r="6232">
      <c r="A6232" s="80" t="s">
        <v>293</v>
      </c>
      <c r="B6232" s="81" t="str">
        <f t="shared" ref="B6232:B6233" si="357">HYPERLINK("https://www.youtube.com/channel/UCXRcbXqjORdIvl63I7MtOLQ", "趁熱 Kerry 's kitchen")</f>
        <v>趁熱 Kerry 's kitchen</v>
      </c>
      <c r="C6232" s="80" t="s">
        <v>6740</v>
      </c>
      <c r="D6232" s="81" t="str">
        <f>HYPERLINK("https://youtube.com/watch?v=RqgaeBZ_JVI", "磨刀/如果用最簡單的方法磨刀/適合一般家用刀具的方法/新手 入門/廣東話/中字")</f>
        <v>磨刀/如果用最簡單的方法磨刀/適合一般家用刀具的方法/新手 入門/廣東話/中字</v>
      </c>
      <c r="E6232" s="82">
        <v>44846.0</v>
      </c>
      <c r="F6232" s="80">
        <v>646.0</v>
      </c>
      <c r="G6232" s="80" t="s">
        <v>63</v>
      </c>
      <c r="I6232" s="80" t="s">
        <v>63</v>
      </c>
      <c r="J6232" s="80">
        <v>2079.0</v>
      </c>
      <c r="K6232" s="80">
        <v>0.975598310652276</v>
      </c>
      <c r="L6232" s="80" t="s">
        <v>64</v>
      </c>
    </row>
    <row r="6233">
      <c r="A6233" s="80" t="s">
        <v>293</v>
      </c>
      <c r="B6233" s="81" t="str">
        <f t="shared" si="357"/>
        <v>趁熱 Kerry 's kitchen</v>
      </c>
      <c r="C6233" s="80" t="s">
        <v>6741</v>
      </c>
      <c r="D6233" s="81" t="str">
        <f>HYPERLINK("https://youtube.com/watch?v=QeM_cbH4SOY", "瑤柱蝦滑豆腐煲/新手都得/自已打蝦滑好簡單//急凍蝦仁做法/彈牙 惹味/低 成本/廣東話/中字")</f>
        <v>瑤柱蝦滑豆腐煲/新手都得/自已打蝦滑好簡單//急凍蝦仁做法/彈牙 惹味/低 成本/廣東話/中字</v>
      </c>
      <c r="E6233" s="82">
        <v>44837.0</v>
      </c>
      <c r="F6233" s="80">
        <v>539.0</v>
      </c>
      <c r="G6233" s="80" t="s">
        <v>63</v>
      </c>
      <c r="I6233" s="80" t="s">
        <v>63</v>
      </c>
      <c r="J6233" s="80">
        <v>1556.0</v>
      </c>
      <c r="K6233" s="80">
        <v>0.977386934673366</v>
      </c>
      <c r="L6233" s="80" t="s">
        <v>64</v>
      </c>
    </row>
    <row r="6234">
      <c r="A6234" s="80" t="s">
        <v>124</v>
      </c>
      <c r="B6234" s="81" t="str">
        <f>HYPERLINK("https://www.youtube.com/channel/UCg0vuSE0fBF_NvodyYhMcWg", "Wallace Studio HK")</f>
        <v>Wallace Studio HK</v>
      </c>
      <c r="C6234" s="80" t="s">
        <v>6742</v>
      </c>
      <c r="D6234" s="81" t="str">
        <f>HYPERLINK("https://youtube.com/watch?v=lrR-nLTLmbg", "13000蚊唔洗有RTX3070 Gaming Laptop ! AORUS 5 SE4 評測")</f>
        <v>13000蚊唔洗有RTX3070 Gaming Laptop ! AORUS 5 SE4 評測</v>
      </c>
      <c r="E6234" s="82">
        <v>44840.0</v>
      </c>
      <c r="F6234" s="80">
        <v>570.0</v>
      </c>
      <c r="G6234" s="80" t="s">
        <v>63</v>
      </c>
      <c r="H6234" s="80" t="s">
        <v>63</v>
      </c>
      <c r="I6234" s="80" t="s">
        <v>63</v>
      </c>
      <c r="J6234" s="80">
        <v>1943.0</v>
      </c>
      <c r="K6234" s="80">
        <v>0.684637068357998</v>
      </c>
      <c r="L6234" s="80" t="s">
        <v>86</v>
      </c>
    </row>
    <row r="6235">
      <c r="A6235" s="80" t="s">
        <v>6236</v>
      </c>
      <c r="B6235" s="81" t="str">
        <f>HYPERLINK("https://www.youtube.com/channel/UCPMsgWJvrkEHE0OpIMtxyYQ", "Comfort鬆")</f>
        <v>Comfort鬆</v>
      </c>
      <c r="C6235" s="80" t="s">
        <v>6743</v>
      </c>
      <c r="D6235" s="81" t="str">
        <f>HYPERLINK("https://youtube.com/watch?v=TtmHvny3ank", "【街訪】Player值唔值得有第二次機會？｜我鍾意嘅人vs鍾意我嘅人｜Kenny究竟點解唔拍拖？")</f>
        <v>【街訪】Player值唔值得有第二次機會？｜我鍾意嘅人vs鍾意我嘅人｜Kenny究竟點解唔拍拖？</v>
      </c>
      <c r="E6235" s="82">
        <v>44866.0</v>
      </c>
      <c r="F6235" s="80">
        <v>308.0</v>
      </c>
      <c r="G6235" s="80" t="s">
        <v>63</v>
      </c>
      <c r="I6235" s="80" t="s">
        <v>63</v>
      </c>
      <c r="J6235" s="80">
        <v>1236.0</v>
      </c>
      <c r="K6235" s="80">
        <v>0.93565480696442</v>
      </c>
      <c r="L6235" s="80" t="s">
        <v>64</v>
      </c>
    </row>
    <row r="6236">
      <c r="A6236" s="80" t="s">
        <v>124</v>
      </c>
      <c r="B6236" s="81" t="str">
        <f>HYPERLINK("https://www.youtube.com/channel/UCg0vuSE0fBF_NvodyYhMcWg", "Wallace Studio HK")</f>
        <v>Wallace Studio HK</v>
      </c>
      <c r="C6236" s="80" t="s">
        <v>6744</v>
      </c>
      <c r="D6236" s="81" t="str">
        <f>HYPERLINK("https://youtube.com/watch?v=SRy9QiwBIAA", "iPad Pro 2022 , iPad 10 上場! M2 iPad Pro 推唔過，iPad 10 太奇怪")</f>
        <v>iPad Pro 2022 , iPad 10 上場! M2 iPad Pro 推唔過，iPad 10 太奇怪</v>
      </c>
      <c r="E6236" s="82">
        <v>44866.0</v>
      </c>
      <c r="F6236" s="80">
        <v>543.0</v>
      </c>
      <c r="G6236" s="80" t="s">
        <v>63</v>
      </c>
      <c r="H6236" s="80" t="s">
        <v>63</v>
      </c>
      <c r="I6236" s="80" t="s">
        <v>63</v>
      </c>
      <c r="J6236" s="80">
        <v>2001.0</v>
      </c>
      <c r="K6236" s="80">
        <v>0.723688969258589</v>
      </c>
      <c r="L6236" s="80" t="s">
        <v>86</v>
      </c>
    </row>
    <row r="6237">
      <c r="A6237" s="80" t="s">
        <v>293</v>
      </c>
      <c r="B6237" s="81" t="str">
        <f>HYPERLINK("https://www.youtube.com/channel/UCXRcbXqjORdIvl63I7MtOLQ", "趁熱 Kerry 's kitchen")</f>
        <v>趁熱 Kerry 's kitchen</v>
      </c>
      <c r="C6237" s="80" t="s">
        <v>6745</v>
      </c>
      <c r="D6237" s="81" t="str">
        <f>HYPERLINK("https://youtube.com/watch?v=9Z-SYEQ6o28", "沙茶醬雞腿/低 成本/簡單住家菜//堅惹味/超滑/新手 入門/簡單 家做/廣東話/中字")</f>
        <v>沙茶醬雞腿/低 成本/簡單住家菜//堅惹味/超滑/新手 入門/簡單 家做/廣東話/中字</v>
      </c>
      <c r="E6237" s="82">
        <v>44855.0</v>
      </c>
      <c r="F6237" s="80">
        <v>516.0</v>
      </c>
      <c r="G6237" s="80" t="s">
        <v>63</v>
      </c>
      <c r="I6237" s="80" t="s">
        <v>63</v>
      </c>
      <c r="J6237" s="80">
        <v>1450.0</v>
      </c>
      <c r="K6237" s="80">
        <v>0.964095744680851</v>
      </c>
      <c r="L6237" s="80" t="s">
        <v>64</v>
      </c>
    </row>
    <row r="6238">
      <c r="A6238" s="80" t="s">
        <v>755</v>
      </c>
      <c r="B6238" s="81" t="str">
        <f>HYPERLINK("https://www.youtube.com/channel/UCBiJDTc82IM68KVH873VeAw", "Live in Kwangsi廣西人·情·味")</f>
        <v>Live in Kwangsi廣西人·情·味</v>
      </c>
      <c r="C6238" s="80" t="s">
        <v>6746</v>
      </c>
      <c r="D6238" s="81" t="str">
        <f>HYPERLINK("https://youtube.com/watch?v=B8tIScDAt9s", "賀州市小涼河一帶（石咀角、獅山、便寨）鄉村秋色掠影｜廣西美景 20221106")</f>
        <v>賀州市小涼河一帶（石咀角、獅山、便寨）鄉村秋色掠影｜廣西美景 20221106</v>
      </c>
      <c r="E6238" s="82">
        <v>44883.0</v>
      </c>
      <c r="F6238" s="80">
        <v>1389.0</v>
      </c>
      <c r="G6238" s="80" t="s">
        <v>63</v>
      </c>
      <c r="I6238" s="80" t="s">
        <v>63</v>
      </c>
      <c r="J6238" s="80">
        <v>283.0</v>
      </c>
      <c r="K6238" s="80">
        <v>0.996478873239436</v>
      </c>
      <c r="L6238" s="80" t="s">
        <v>757</v>
      </c>
    </row>
    <row r="6239">
      <c r="A6239" s="80" t="s">
        <v>588</v>
      </c>
      <c r="B6239" s="81" t="str">
        <f>HYPERLINK("https://www.youtube.com/channel/UCaJ77iWZ8galtePlS_BtEKw", "西DorSi偽中產生活態度")</f>
        <v>西DorSi偽中產生活態度</v>
      </c>
      <c r="C6239" s="80" t="s">
        <v>6747</v>
      </c>
      <c r="D6239" s="81" t="str">
        <f>HYPERLINK("https://youtube.com/watch?v=yjrlVNucMB8", "【偽中產遊上海】上海最紅茶餐廳 竟然食到好多香港食唔到嘅嘢🙈?!")</f>
        <v>【偽中產遊上海】上海最紅茶餐廳 竟然食到好多香港食唔到嘅嘢🙈?!</v>
      </c>
      <c r="E6239" s="82">
        <v>44912.0</v>
      </c>
      <c r="F6239" s="80">
        <v>964.0</v>
      </c>
      <c r="G6239" s="80" t="s">
        <v>63</v>
      </c>
      <c r="I6239" s="80" t="s">
        <v>63</v>
      </c>
      <c r="J6239" s="80">
        <v>3110.0</v>
      </c>
      <c r="K6239" s="80">
        <v>0.989185750636132</v>
      </c>
      <c r="L6239" s="80" t="s">
        <v>64</v>
      </c>
    </row>
    <row r="6240">
      <c r="A6240" s="80" t="s">
        <v>6236</v>
      </c>
      <c r="B6240" s="81" t="str">
        <f>HYPERLINK("https://www.youtube.com/channel/UCPMsgWJvrkEHE0OpIMtxyYQ", "Comfort鬆")</f>
        <v>Comfort鬆</v>
      </c>
      <c r="C6240" s="80" t="s">
        <v>6748</v>
      </c>
      <c r="D6240" s="81" t="str">
        <f>HYPERLINK("https://youtube.com/watch?v=ZZtOTKk5Gkk", "Kong U版以物易物🚩 到底用腸仔可唔可以換到 Kong U名物🥵 竟然有人提出用電話交換❓")</f>
        <v>Kong U版以物易物🚩 到底用腸仔可唔可以換到 Kong U名物🥵 竟然有人提出用電話交換❓</v>
      </c>
      <c r="E6240" s="82">
        <v>44834.0</v>
      </c>
      <c r="F6240" s="80">
        <v>432.0</v>
      </c>
      <c r="G6240" s="80" t="s">
        <v>63</v>
      </c>
      <c r="I6240" s="80" t="s">
        <v>63</v>
      </c>
      <c r="J6240" s="80">
        <v>543.0</v>
      </c>
      <c r="K6240" s="80">
        <v>0.406133133881825</v>
      </c>
      <c r="L6240" s="80" t="s">
        <v>64</v>
      </c>
    </row>
    <row r="6241">
      <c r="A6241" s="80" t="s">
        <v>248</v>
      </c>
      <c r="B6241" s="81" t="str">
        <f t="shared" ref="B6241:B6244" si="358">HYPERLINK("https://www.youtube.com/channel/UCUEJok-GiWaGlv5nIPwk-GQ", "Price.com.hk 香港格價網")</f>
        <v>Price.com.hk 香港格價網</v>
      </c>
      <c r="C6241" s="80" t="s">
        <v>6749</v>
      </c>
      <c r="D6241" s="81" t="str">
        <f>HYPERLINK("https://youtube.com/watch?v=KQSlAso9pY0", "LG 首創支援 Dolby Atmos及頭部追蹤功能耳機、Tesla加入 Apple Music、傳Apple 准第三方 踩入 iOS｜廣東話【Price Weekly #145 2022年12月 】")</f>
        <v>LG 首創支援 Dolby Atmos及頭部追蹤功能耳機、Tesla加入 Apple Music、傳Apple 准第三方 踩入 iOS｜廣東話【Price Weekly #145 2022年12月 】</v>
      </c>
      <c r="E6241" s="82">
        <v>44912.0</v>
      </c>
      <c r="F6241" s="80">
        <v>589.0</v>
      </c>
      <c r="G6241" s="80" t="s">
        <v>63</v>
      </c>
      <c r="I6241" s="80" t="s">
        <v>63</v>
      </c>
      <c r="J6241" s="80">
        <v>1909.0</v>
      </c>
      <c r="K6241" s="80">
        <v>0.715249156987635</v>
      </c>
      <c r="L6241" s="80" t="s">
        <v>64</v>
      </c>
    </row>
    <row r="6242">
      <c r="A6242" s="80" t="s">
        <v>248</v>
      </c>
      <c r="B6242" s="81" t="str">
        <f t="shared" si="358"/>
        <v>Price.com.hk 香港格價網</v>
      </c>
      <c r="C6242" s="80" t="s">
        <v>6750</v>
      </c>
      <c r="D6242" s="81" t="str">
        <f>HYPERLINK("https://youtube.com/watch?v=bGJpe3sOOGM", "Meta Quest Pro登場．Steam Deck新底座支援Display Port．Microsoft Surface添新成員｜廣東話【Price Weekly #136  2022年10月 】")</f>
        <v>Meta Quest Pro登場．Steam Deck新底座支援Display Port．Microsoft Surface添新成員｜廣東話【Price Weekly #136  2022年10月 】</v>
      </c>
      <c r="E6242" s="82">
        <v>44849.0</v>
      </c>
      <c r="F6242" s="80">
        <v>689.0</v>
      </c>
      <c r="G6242" s="80" t="s">
        <v>63</v>
      </c>
      <c r="I6242" s="80" t="s">
        <v>63</v>
      </c>
      <c r="J6242" s="80">
        <v>2283.0</v>
      </c>
      <c r="K6242" s="80">
        <v>0.665597667638483</v>
      </c>
      <c r="L6242" s="80" t="s">
        <v>64</v>
      </c>
    </row>
    <row r="6243">
      <c r="A6243" s="80" t="s">
        <v>248</v>
      </c>
      <c r="B6243" s="81" t="str">
        <f t="shared" si="358"/>
        <v>Price.com.hk 香港格價網</v>
      </c>
      <c r="C6243" s="80" t="s">
        <v>6751</v>
      </c>
      <c r="D6243" s="81" t="str">
        <f>HYPERLINK("https://youtube.com/watch?v=NaMyRThL_Pc", "Sony電動車整合 PS5平台 打機睇戲又聽歌、 iPhone 八達通卡面免費換、24年前Nokia 3210沖上海灘仍能正常開機 | 廣東話【Price Weekly #142 2022年11月 】")</f>
        <v>Sony電動車整合 PS5平台 打機睇戲又聽歌、 iPhone 八達通卡面免費換、24年前Nokia 3210沖上海灘仍能正常開機 | 廣東話【Price Weekly #142 2022年11月 】</v>
      </c>
      <c r="E6243" s="82">
        <v>44891.0</v>
      </c>
      <c r="F6243" s="80">
        <v>433.0</v>
      </c>
      <c r="G6243" s="80" t="s">
        <v>63</v>
      </c>
      <c r="I6243" s="80" t="s">
        <v>63</v>
      </c>
      <c r="J6243" s="80">
        <v>1557.0</v>
      </c>
      <c r="K6243" s="80">
        <v>0.801750772399588</v>
      </c>
      <c r="L6243" s="80" t="s">
        <v>64</v>
      </c>
    </row>
    <row r="6244">
      <c r="A6244" s="80" t="s">
        <v>248</v>
      </c>
      <c r="B6244" s="81" t="str">
        <f t="shared" si="358"/>
        <v>Price.com.hk 香港格價網</v>
      </c>
      <c r="C6244" s="80" t="s">
        <v>6752</v>
      </c>
      <c r="D6244" s="81" t="str">
        <f>HYPERLINK("https://youtube.com/watch?v=IP9WE-nM7vc", "入手前必睇！ M2晶片 iPad pro未準備好？．iPad第10代 成為iPad air代替品？ | 開箱 | Apple Pencil | 廣東話  |【Price.com.hk產品比較】")</f>
        <v>入手前必睇！ M2晶片 iPad pro未準備好？．iPad第10代 成為iPad air代替品？ | 開箱 | Apple Pencil | 廣東話  |【Price.com.hk產品比較】</v>
      </c>
      <c r="E6244" s="82">
        <v>44865.0</v>
      </c>
      <c r="F6244" s="80">
        <v>445.0</v>
      </c>
      <c r="G6244" s="80" t="s">
        <v>63</v>
      </c>
      <c r="I6244" s="80" t="s">
        <v>63</v>
      </c>
      <c r="J6244" s="80">
        <v>1434.0</v>
      </c>
      <c r="K6244" s="80">
        <v>0.646528403967538</v>
      </c>
      <c r="L6244" s="80" t="s">
        <v>64</v>
      </c>
    </row>
    <row r="6245">
      <c r="A6245" s="80" t="s">
        <v>755</v>
      </c>
      <c r="B6245" s="81" t="str">
        <f>HYPERLINK("https://www.youtube.com/channel/UCBiJDTc82IM68KVH873VeAw", "Live in Kwangsi廣西人·情·味")</f>
        <v>Live in Kwangsi廣西人·情·味</v>
      </c>
      <c r="C6245" s="80" t="s">
        <v>6753</v>
      </c>
      <c r="D6245" s="81" t="str">
        <f>HYPERLINK("https://youtube.com/watch?v=iXKiXT7hJdk", "賀州市南鄉鎮掠影及黑鹿山徒步、賞千年桂花樹、浸溫泉｜廣西美景 20220911")</f>
        <v>賀州市南鄉鎮掠影及黑鹿山徒步、賞千年桂花樹、浸溫泉｜廣西美景 20220911</v>
      </c>
      <c r="E6245" s="82">
        <v>44829.0</v>
      </c>
      <c r="F6245" s="80">
        <v>503.0</v>
      </c>
      <c r="G6245" s="80" t="s">
        <v>63</v>
      </c>
      <c r="I6245" s="80" t="s">
        <v>63</v>
      </c>
      <c r="J6245" s="80">
        <v>229.0</v>
      </c>
      <c r="K6245" s="80">
        <v>0.995652173913043</v>
      </c>
      <c r="L6245" s="80" t="s">
        <v>757</v>
      </c>
    </row>
    <row r="6246">
      <c r="A6246" s="80" t="s">
        <v>5039</v>
      </c>
      <c r="B6246" s="81" t="str">
        <f>HYPERLINK("https://www.youtube.com/channel/UC7fISB1mlKcudvvKIszN_nw", "Healthy Brains")</f>
        <v>Healthy Brains</v>
      </c>
      <c r="C6246" s="80" t="s">
        <v>6754</v>
      </c>
      <c r="D6246" s="81" t="str">
        <f>HYPERLINK("https://youtube.com/watch?v=yQ8Sr5SlaXE", "Dark Twins -《豉汁豬扒荷包蛋》Official Music Video")</f>
        <v>Dark Twins -《豉汁豬扒荷包蛋》Official Music Video</v>
      </c>
      <c r="E6246" s="82">
        <v>44871.0</v>
      </c>
      <c r="F6246" s="80">
        <v>236.0</v>
      </c>
      <c r="G6246" s="80" t="s">
        <v>63</v>
      </c>
      <c r="I6246" s="80" t="s">
        <v>63</v>
      </c>
      <c r="J6246" s="80">
        <v>425.0</v>
      </c>
      <c r="K6246" s="80">
        <v>0.62225475841874</v>
      </c>
      <c r="L6246" s="80" t="s">
        <v>1997</v>
      </c>
    </row>
    <row r="6247">
      <c r="A6247" s="80" t="s">
        <v>1016</v>
      </c>
      <c r="B6247" s="81" t="str">
        <f>HYPERLINK("https://www.youtube.com/channel/UCSbiR1l-cfzk44iTJVSAZVQ", "Rhapsody in Lingo")</f>
        <v>Rhapsody in Lingo</v>
      </c>
      <c r="C6247" s="80" t="s">
        <v>6755</v>
      </c>
      <c r="D6247" s="81" t="str">
        <f>HYPERLINK("https://youtube.com/watch?v=loT_PDypmHE", "How I Won Polyglot Gathering 2022 [en sub] Warsaw, Poland Day 3–4")</f>
        <v>How I Won Polyglot Gathering 2022 [en sub] Warsaw, Poland Day 3–4</v>
      </c>
      <c r="E6247" s="82">
        <v>44871.0</v>
      </c>
      <c r="F6247" s="80">
        <v>474.0</v>
      </c>
      <c r="G6247" s="80" t="s">
        <v>63</v>
      </c>
      <c r="I6247" s="80" t="s">
        <v>63</v>
      </c>
      <c r="J6247" s="80">
        <v>668.0</v>
      </c>
      <c r="K6247" s="80">
        <v>0.33550979407333</v>
      </c>
      <c r="L6247" s="80" t="s">
        <v>5830</v>
      </c>
    </row>
    <row r="6248">
      <c r="A6248" s="80" t="s">
        <v>96</v>
      </c>
      <c r="B6248" s="81" t="str">
        <f>HYPERLINK("https://www.youtube.com/channel/UCGtyHJ-L_4RDIHe3XaLofQQ", "Anson Cheung")</f>
        <v>Anson Cheung</v>
      </c>
      <c r="C6248" s="80" t="s">
        <v>6756</v>
      </c>
      <c r="D6248" s="81" t="str">
        <f>HYPERLINK("https://youtube.com/watch?v=U3dFSYlclDg", "如果你覺得 iPhone 14 Pro 冇新意，請你睇哂呢條片！｜iPhone 14 Pro 一個月後評測")</f>
        <v>如果你覺得 iPhone 14 Pro 冇新意，請你睇哂呢條片！｜iPhone 14 Pro 一個月後評測</v>
      </c>
      <c r="E6248" s="82">
        <v>44861.0</v>
      </c>
      <c r="F6248" s="80">
        <v>1145.0</v>
      </c>
      <c r="G6248" s="80" t="s">
        <v>63</v>
      </c>
      <c r="I6248" s="80" t="s">
        <v>63</v>
      </c>
      <c r="J6248" s="80">
        <v>4044.0</v>
      </c>
      <c r="K6248" s="80">
        <v>0.604393962038559</v>
      </c>
      <c r="L6248" s="80" t="s">
        <v>64</v>
      </c>
    </row>
    <row r="6249">
      <c r="A6249" s="80" t="s">
        <v>248</v>
      </c>
      <c r="B6249" s="81" t="str">
        <f t="shared" ref="B6249:B6250" si="359">HYPERLINK("https://www.youtube.com/channel/UCUEJok-GiWaGlv5nIPwk-GQ", "Price.com.hk 香港格價網")</f>
        <v>Price.com.hk 香港格價網</v>
      </c>
      <c r="C6249" s="80" t="s">
        <v>6757</v>
      </c>
      <c r="D6249" s="81" t="str">
        <f>HYPERLINK("https://youtube.com/watch?v=og4HaPz98xA", "Sony PS VR2 入場費 $4,580預計明年2月派貨｜WhatsApp社群功能登港 ｜《新世紀福音戰士》改編舞台劇 | 廣東話【Price Weekly #139 2022 年 11 月 】")</f>
        <v>Sony PS VR2 入場費 $4,580預計明年2月派貨｜WhatsApp社群功能登港 ｜《新世紀福音戰士》改編舞台劇 | 廣東話【Price Weekly #139 2022 年 11 月 】</v>
      </c>
      <c r="E6249" s="82">
        <v>44870.0</v>
      </c>
      <c r="F6249" s="80">
        <v>499.0</v>
      </c>
      <c r="G6249" s="80" t="s">
        <v>63</v>
      </c>
      <c r="I6249" s="80" t="s">
        <v>63</v>
      </c>
      <c r="J6249" s="80">
        <v>1740.0</v>
      </c>
      <c r="K6249" s="80">
        <v>0.747743876235496</v>
      </c>
      <c r="L6249" s="80" t="s">
        <v>64</v>
      </c>
    </row>
    <row r="6250">
      <c r="A6250" s="80" t="s">
        <v>248</v>
      </c>
      <c r="B6250" s="81" t="str">
        <f t="shared" si="359"/>
        <v>Price.com.hk 香港格價網</v>
      </c>
      <c r="C6250" s="80" t="s">
        <v>6758</v>
      </c>
      <c r="D6250" s="81" t="str">
        <f>HYPERLINK("https://youtube.com/watch?v=r_69UCHimVY", "Zenox電競椅系列｜Mercury、Saturn、Jupiter、Spectre Mk2有咩分別？｜特約專題【Price.com.hk產品介紹】")</f>
        <v>Zenox電競椅系列｜Mercury、Saturn、Jupiter、Spectre Mk2有咩分別？｜特約專題【Price.com.hk產品介紹】</v>
      </c>
      <c r="E6250" s="82">
        <v>44904.0</v>
      </c>
      <c r="F6250" s="80">
        <v>324.0</v>
      </c>
      <c r="G6250" s="80" t="s">
        <v>63</v>
      </c>
      <c r="I6250" s="80" t="s">
        <v>63</v>
      </c>
      <c r="J6250" s="80">
        <v>1176.0</v>
      </c>
      <c r="K6250" s="80">
        <v>0.803827751196172</v>
      </c>
      <c r="L6250" s="80" t="s">
        <v>64</v>
      </c>
    </row>
    <row r="6251">
      <c r="A6251" s="80" t="s">
        <v>1553</v>
      </c>
      <c r="B6251" s="81" t="str">
        <f>HYPERLINK("https://www.youtube.com/channel/UC5gQ01ai9nF2x43fYmO1vow", "Ck釣魚冒險")</f>
        <v>Ck釣魚冒險</v>
      </c>
      <c r="C6251" s="80" t="s">
        <v>6759</v>
      </c>
      <c r="D6251" s="81" t="str">
        <f>HYPERLINK("https://youtube.com/watch?v=aSbP73smRqo", "【JIG】 西水獨木舟釣行 尋找GT好朋友 可唔可以唔好再斷  SLJ鐵板/船釣/JIG/Kayak fishing/香港釣魚/香港のカヤック ジギング 📣CC字幕")</f>
        <v>【JIG】 西水獨木舟釣行 尋找GT好朋友 可唔可以唔好再斷  SLJ鐵板/船釣/JIG/Kayak fishing/香港釣魚/香港のカヤック ジギング 📣CC字幕</v>
      </c>
      <c r="E6251" s="82">
        <v>44847.0</v>
      </c>
      <c r="F6251" s="80">
        <v>614.0</v>
      </c>
      <c r="G6251" s="80" t="s">
        <v>63</v>
      </c>
      <c r="I6251" s="80" t="s">
        <v>63</v>
      </c>
      <c r="J6251" s="80">
        <v>1051.0</v>
      </c>
      <c r="K6251" s="80">
        <v>0.942600896860986</v>
      </c>
      <c r="L6251" s="80" t="s">
        <v>64</v>
      </c>
    </row>
    <row r="6252">
      <c r="A6252" s="80" t="s">
        <v>248</v>
      </c>
      <c r="B6252" s="81" t="str">
        <f t="shared" ref="B6252:B6253" si="360">HYPERLINK("https://www.youtube.com/channel/UCUEJok-GiWaGlv5nIPwk-GQ", "Price.com.hk 香港格價網")</f>
        <v>Price.com.hk 香港格價網</v>
      </c>
      <c r="C6252" s="80" t="s">
        <v>6760</v>
      </c>
      <c r="D6252" s="81" t="str">
        <f>HYPERLINK("https://youtube.com/watch?v=YD1uMgx4hY0", "世界盃首引入實時追蹤技術偵測越位、Snapdragon8 Gen2效能提升逾3成、 Google Pixel Fold流出兩色明年發表 | 廣東話【Price Weekly#141 2022年11月】")</f>
        <v>世界盃首引入實時追蹤技術偵測越位、Snapdragon8 Gen2效能提升逾3成、 Google Pixel Fold流出兩色明年發表 | 廣東話【Price Weekly#141 2022年11月】</v>
      </c>
      <c r="E6252" s="82">
        <v>44884.0</v>
      </c>
      <c r="F6252" s="80">
        <v>622.0</v>
      </c>
      <c r="G6252" s="80" t="s">
        <v>63</v>
      </c>
      <c r="I6252" s="80" t="s">
        <v>63</v>
      </c>
      <c r="J6252" s="80">
        <v>2134.0</v>
      </c>
      <c r="K6252" s="80">
        <v>0.733333333333333</v>
      </c>
      <c r="L6252" s="80" t="s">
        <v>64</v>
      </c>
    </row>
    <row r="6253">
      <c r="A6253" s="80" t="s">
        <v>248</v>
      </c>
      <c r="B6253" s="81" t="str">
        <f t="shared" si="360"/>
        <v>Price.com.hk 香港格價網</v>
      </c>
      <c r="C6253" s="80" t="s">
        <v>6761</v>
      </c>
      <c r="D6253" s="81" t="str">
        <f>HYPERLINK("https://youtube.com/watch?v=D02Q08Mc-7k", "全新iPad 登場、iPad Pro 處理器升級、Pixel Watch 爆芒、GeForce RTX 4080 12GB 難產| 廣東話【Price Weekly #137 2022年10月 】")</f>
        <v>全新iPad 登場、iPad Pro 處理器升級、Pixel Watch 爆芒、GeForce RTX 4080 12GB 難產| 廣東話【Price Weekly #137 2022年10月 】</v>
      </c>
      <c r="E6253" s="82">
        <v>44856.0</v>
      </c>
      <c r="F6253" s="80">
        <v>585.0</v>
      </c>
      <c r="G6253" s="80" t="s">
        <v>63</v>
      </c>
      <c r="I6253" s="80" t="s">
        <v>63</v>
      </c>
      <c r="J6253" s="80">
        <v>1878.0</v>
      </c>
      <c r="K6253" s="80">
        <v>0.747016706443914</v>
      </c>
      <c r="L6253" s="80" t="s">
        <v>64</v>
      </c>
    </row>
    <row r="6254">
      <c r="A6254" s="80" t="s">
        <v>293</v>
      </c>
      <c r="B6254" s="81" t="str">
        <f>HYPERLINK("https://www.youtube.com/channel/UCXRcbXqjORdIvl63I7MtOLQ", "趁熱 Kerry 's kitchen")</f>
        <v>趁熱 Kerry 's kitchen</v>
      </c>
      <c r="C6254" s="80" t="s">
        <v>6762</v>
      </c>
      <c r="D6254" s="81" t="str">
        <f>HYPERLINK("https://youtube.com/watch?v=4SmwQ_MfEtM", "白咖哩豬扒/學生餐/白咖哩香茅豬扒/簡單 家做/廣東話/中字")</f>
        <v>白咖哩豬扒/學生餐/白咖哩香茅豬扒/簡單 家做/廣東話/中字</v>
      </c>
      <c r="E6254" s="82">
        <v>44832.0</v>
      </c>
      <c r="F6254" s="80">
        <v>622.0</v>
      </c>
      <c r="G6254" s="80" t="s">
        <v>63</v>
      </c>
      <c r="I6254" s="80" t="s">
        <v>63</v>
      </c>
      <c r="J6254" s="80">
        <v>1665.0</v>
      </c>
      <c r="K6254" s="80">
        <v>0.971978984238178</v>
      </c>
      <c r="L6254" s="80" t="s">
        <v>64</v>
      </c>
    </row>
    <row r="6255">
      <c r="A6255" s="80" t="s">
        <v>217</v>
      </c>
      <c r="B6255" s="81" t="str">
        <f>HYPERLINK("https://www.youtube.com/channel/UCXKg0qPRz32bs5Z4mTGF3TQ", "Stormtrooper白兵")</f>
        <v>Stormtrooper白兵</v>
      </c>
      <c r="C6255" s="80" t="s">
        <v>6763</v>
      </c>
      <c r="D6255" s="81" t="str">
        <f>HYPERLINK("https://youtube.com/watch?v=H6gN2Z097_M", "[揭秘]全球第二大交易所破產，揭穿民主黨世家如何洗黑錢，再從俄烏戰爭呃錢！？｜粵語中字")</f>
        <v>[揭秘]全球第二大交易所破產，揭穿民主黨世家如何洗黑錢，再從俄烏戰爭呃錢！？｜粵語中字</v>
      </c>
      <c r="E6255" s="82">
        <v>44882.0</v>
      </c>
      <c r="F6255" s="80">
        <v>802.0</v>
      </c>
      <c r="G6255" s="80" t="s">
        <v>63</v>
      </c>
      <c r="I6255" s="80" t="s">
        <v>63</v>
      </c>
      <c r="J6255" s="80">
        <v>3068.0</v>
      </c>
      <c r="K6255" s="80">
        <v>0.804615788093364</v>
      </c>
      <c r="L6255" s="80" t="s">
        <v>64</v>
      </c>
    </row>
    <row r="6256">
      <c r="A6256" s="80" t="s">
        <v>755</v>
      </c>
      <c r="B6256" s="81" t="str">
        <f>HYPERLINK("https://www.youtube.com/channel/UCBiJDTc82IM68KVH873VeAw", "Live in Kwangsi廣西人·情·味")</f>
        <v>Live in Kwangsi廣西人·情·味</v>
      </c>
      <c r="C6256" s="80" t="s">
        <v>6764</v>
      </c>
      <c r="D6256" s="81" t="str">
        <f>HYPERLINK("https://youtube.com/watch?v=Z5OFCm5u9o0", "貴港市園博園夜間掠影｜廣西日常實拍 20221001")</f>
        <v>貴港市園博園夜間掠影｜廣西日常實拍 20221001</v>
      </c>
      <c r="E6256" s="82">
        <v>44844.0</v>
      </c>
      <c r="F6256" s="80">
        <v>410.0</v>
      </c>
      <c r="G6256" s="80" t="s">
        <v>63</v>
      </c>
      <c r="I6256" s="80" t="s">
        <v>63</v>
      </c>
      <c r="J6256" s="80">
        <v>76.0</v>
      </c>
      <c r="K6256" s="80">
        <v>1.0</v>
      </c>
      <c r="L6256" s="80" t="s">
        <v>757</v>
      </c>
    </row>
    <row r="6257">
      <c r="A6257" s="80" t="s">
        <v>3139</v>
      </c>
      <c r="B6257" s="81" t="str">
        <f>HYPERLINK("https://www.youtube.com/channel/UCThO2xnH7XMg6plE8OgJm_w", "choyuen草原")</f>
        <v>choyuen草原</v>
      </c>
      <c r="C6257" s="80" t="s">
        <v>6765</v>
      </c>
      <c r="D6257" s="81" t="str">
        <f>HYPERLINK("https://youtube.com/watch?v=q9SxH7b4cU0", "熱到融化仲有得反全球暖化?水位上升要睇埋呢樣嘢先得架! The making of Global warming Hoax")</f>
        <v>熱到融化仲有得反全球暖化?水位上升要睇埋呢樣嘢先得架! The making of Global warming Hoax</v>
      </c>
      <c r="E6257" s="82">
        <v>44778.0</v>
      </c>
      <c r="F6257" s="80">
        <v>501.0</v>
      </c>
      <c r="G6257" s="80" t="s">
        <v>63</v>
      </c>
      <c r="I6257" s="80" t="s">
        <v>63</v>
      </c>
      <c r="J6257" s="80">
        <v>1655.0</v>
      </c>
      <c r="K6257" s="80">
        <v>0.86922268907563</v>
      </c>
      <c r="L6257" s="80" t="s">
        <v>64</v>
      </c>
    </row>
    <row r="6258">
      <c r="A6258" s="80" t="s">
        <v>274</v>
      </c>
      <c r="B6258" s="81" t="str">
        <f>HYPERLINK("https://www.youtube.com/channel/UC2oB9QCXs-RKtaKChrz4dKg", "MtzCherry")</f>
        <v>MtzCherry</v>
      </c>
      <c r="C6258" s="80" t="s">
        <v>6766</v>
      </c>
      <c r="D6258" s="81" t="str">
        <f>HYPERLINK("https://youtube.com/watch?v=bWkrlfmuHBc", "[CANTO/ENG sub] 拜訪Kakao store試食春植同款蕃薯麵包🍠 ｜廣藏市場食粥同餃子🥟 | 弘大買男裝西褲同文創精品手信 🧸 🎀")</f>
        <v>[CANTO/ENG sub] 拜訪Kakao store試食春植同款蕃薯麵包🍠 ｜廣藏市場食粥同餃子🥟 | 弘大買男裝西褲同文創精品手信 🧸 🎀</v>
      </c>
      <c r="E6258" s="82">
        <v>44909.0</v>
      </c>
      <c r="F6258" s="80">
        <v>392.0</v>
      </c>
      <c r="G6258" s="80" t="s">
        <v>63</v>
      </c>
      <c r="H6258" s="80" t="s">
        <v>63</v>
      </c>
      <c r="I6258" s="80" t="s">
        <v>63</v>
      </c>
      <c r="J6258" s="80">
        <v>1240.0</v>
      </c>
      <c r="K6258" s="80">
        <v>0.872011251758087</v>
      </c>
      <c r="L6258" s="80" t="s">
        <v>439</v>
      </c>
    </row>
    <row r="6259">
      <c r="A6259" s="80" t="s">
        <v>124</v>
      </c>
      <c r="B6259" s="81" t="str">
        <f t="shared" ref="B6259:B6260" si="361">HYPERLINK("https://www.youtube.com/channel/UCg0vuSE0fBF_NvodyYhMcWg", "Wallace Studio HK")</f>
        <v>Wallace Studio HK</v>
      </c>
      <c r="C6259" s="80" t="s">
        <v>6767</v>
      </c>
      <c r="D6259" s="81" t="str">
        <f>HYPERLINK("https://youtube.com/watch?v=2QG0oFckr_A", "Predator Helios 300 SpatialLabs Edition 詳細評測! 高效能裸眼3D Gaming Laptop !")</f>
        <v>Predator Helios 300 SpatialLabs Edition 詳細評測! 高效能裸眼3D Gaming Laptop !</v>
      </c>
      <c r="E6259" s="82">
        <v>44865.0</v>
      </c>
      <c r="F6259" s="80">
        <v>903.0</v>
      </c>
      <c r="G6259" s="80" t="s">
        <v>63</v>
      </c>
      <c r="H6259" s="80" t="s">
        <v>63</v>
      </c>
      <c r="I6259" s="80" t="s">
        <v>63</v>
      </c>
      <c r="J6259" s="80">
        <v>3095.0</v>
      </c>
      <c r="K6259" s="80">
        <v>0.701023890784983</v>
      </c>
      <c r="L6259" s="80" t="s">
        <v>86</v>
      </c>
    </row>
    <row r="6260">
      <c r="A6260" s="80" t="s">
        <v>124</v>
      </c>
      <c r="B6260" s="81" t="str">
        <f t="shared" si="361"/>
        <v>Wallace Studio HK</v>
      </c>
      <c r="C6260" s="80" t="s">
        <v>6768</v>
      </c>
      <c r="D6260" s="81" t="str">
        <f>HYPERLINK("https://youtube.com/watch?v=leFubTAfvtE", "Google Pixel 7 Pro 詳細評測！｜旗艦機大對決 2022 VS iPhone 14 Pro , Galaxy S22 Ultra｜Google Tensor G2 效能表現詳細測試")</f>
        <v>Google Pixel 7 Pro 詳細評測！｜旗艦機大對決 2022 VS iPhone 14 Pro , Galaxy S22 Ultra｜Google Tensor G2 效能表現詳細測試</v>
      </c>
      <c r="E6260" s="82">
        <v>44880.0</v>
      </c>
      <c r="F6260" s="80">
        <v>925.0</v>
      </c>
      <c r="G6260" s="80" t="s">
        <v>63</v>
      </c>
      <c r="H6260" s="80" t="s">
        <v>63</v>
      </c>
      <c r="I6260" s="80" t="s">
        <v>63</v>
      </c>
      <c r="J6260" s="80">
        <v>3350.0</v>
      </c>
      <c r="K6260" s="80">
        <v>0.770646422820335</v>
      </c>
      <c r="L6260" s="80" t="s">
        <v>4980</v>
      </c>
    </row>
    <row r="6261">
      <c r="A6261" s="80" t="s">
        <v>6505</v>
      </c>
      <c r="B6261" s="81" t="str">
        <f>HYPERLINK("https://www.youtube.com/channel/UCU-sdeH9IMsk_IBOtIFGYFg", "Tasty Money 港股直播室")</f>
        <v>Tasty Money 港股直播室</v>
      </c>
      <c r="C6261" s="80" t="s">
        <v>6769</v>
      </c>
      <c r="D6261" s="81" t="str">
        <f>HYPERLINK("https://youtube.com/watch?v=1YSBbXh4fYw", "港股單日跌1000點  股海浮生十戒歌 做人真理│TASTY MONEY")</f>
        <v>港股單日跌1000點  股海浮生十戒歌 做人真理│TASTY MONEY</v>
      </c>
      <c r="E6261" s="82">
        <v>44858.0</v>
      </c>
      <c r="F6261" s="80">
        <v>58.0</v>
      </c>
      <c r="G6261" s="80" t="s">
        <v>63</v>
      </c>
      <c r="I6261" s="80" t="s">
        <v>63</v>
      </c>
      <c r="J6261" s="80">
        <v>63.0</v>
      </c>
      <c r="K6261" s="80">
        <v>1.0</v>
      </c>
      <c r="L6261" s="80" t="s">
        <v>91</v>
      </c>
    </row>
    <row r="6262">
      <c r="A6262" s="80" t="s">
        <v>248</v>
      </c>
      <c r="B6262" s="81" t="str">
        <f>HYPERLINK("https://www.youtube.com/channel/UCUEJok-GiWaGlv5nIPwk-GQ", "Price.com.hk 香港格價網")</f>
        <v>Price.com.hk 香港格價網</v>
      </c>
      <c r="C6262" s="80" t="s">
        <v>6770</v>
      </c>
      <c r="D6262" s="81" t="str">
        <f>HYPERLINK("https://youtube.com/watch?v=coeq1NL5HM0", "5G寬頻取代光纖上網？TP-Link Deco X80-5G｜5G/寬頻兩用高階 WiFi Mesh Router｜2.5G Port｜GIVEAWAY｜特約專題【Price.com.hk產品評測】")</f>
        <v>5G寬頻取代光纖上網？TP-Link Deco X80-5G｜5G/寬頻兩用高階 WiFi Mesh Router｜2.5G Port｜GIVEAWAY｜特約專題【Price.com.hk產品評測】</v>
      </c>
      <c r="E6262" s="82">
        <v>44840.0</v>
      </c>
      <c r="F6262" s="80">
        <v>372.0</v>
      </c>
      <c r="G6262" s="80" t="s">
        <v>63</v>
      </c>
      <c r="I6262" s="80" t="s">
        <v>63</v>
      </c>
      <c r="J6262" s="80">
        <v>1068.0</v>
      </c>
      <c r="K6262" s="80">
        <v>0.657635467980295</v>
      </c>
      <c r="L6262" s="80" t="s">
        <v>64</v>
      </c>
    </row>
    <row r="6263">
      <c r="A6263" s="80" t="s">
        <v>6591</v>
      </c>
      <c r="B6263" s="81" t="str">
        <f>HYPERLINK("https://www.youtube.com/channel/UC0DpBgpq_gR7TaNDIvJYZag", "TalkFood")</f>
        <v>TalkFood</v>
      </c>
      <c r="C6263" s="80" t="s">
        <v>6771</v>
      </c>
      <c r="D6263" s="81" t="str">
        <f>HYPERLINK("https://youtube.com/watch?v=ozKiJiaVDjo", "【18區搵食-大角咀3.0之食極唔完 點解咁多好嘢食！】")</f>
        <v>【18區搵食-大角咀3.0之食極唔完 點解咁多好嘢食！】</v>
      </c>
      <c r="E6263" s="82">
        <v>44903.0</v>
      </c>
      <c r="F6263" s="80">
        <v>838.0</v>
      </c>
      <c r="G6263" s="80" t="s">
        <v>63</v>
      </c>
      <c r="I6263" s="80" t="s">
        <v>63</v>
      </c>
      <c r="J6263" s="80">
        <v>2457.0</v>
      </c>
      <c r="K6263" s="80">
        <v>0.970379146919431</v>
      </c>
      <c r="L6263" s="80" t="s">
        <v>91</v>
      </c>
    </row>
    <row r="6264">
      <c r="A6264" s="80" t="s">
        <v>2800</v>
      </c>
      <c r="B6264" s="81" t="str">
        <f>HYPERLINK("https://www.youtube.com/channel/UCMqrlsr-AECPc6_3oDr8m9w", "Unicorn 獸哥")</f>
        <v>Unicorn 獸哥</v>
      </c>
      <c r="C6264" s="80" t="s">
        <v>6772</v>
      </c>
      <c r="D6264" s="81" t="str">
        <f>HYPERLINK("https://youtube.com/watch?v=N52Awa5wkus", "【速食新聞】PS5慘遭破解！用PS5睇Disney+ 有4k  9月最暢銷主機係？任天堂影業正式啟動 CC字幕")</f>
        <v>【速食新聞】PS5慘遭破解！用PS5睇Disney+ 有4k  9月最暢銷主機係？任天堂影業正式啟動 CC字幕</v>
      </c>
      <c r="E6264" s="82">
        <v>44843.0</v>
      </c>
      <c r="F6264" s="80">
        <v>293.0</v>
      </c>
      <c r="G6264" s="80" t="s">
        <v>63</v>
      </c>
      <c r="I6264" s="80" t="s">
        <v>63</v>
      </c>
      <c r="J6264" s="80">
        <v>1072.0</v>
      </c>
      <c r="K6264" s="80">
        <v>0.781911013858497</v>
      </c>
      <c r="L6264" s="80" t="s">
        <v>64</v>
      </c>
    </row>
    <row r="6265">
      <c r="A6265" s="80" t="s">
        <v>1260</v>
      </c>
      <c r="B6265" s="81" t="str">
        <f>HYPERLINK("https://www.youtube.com/channel/UCh1k4i86BpiXEO3nzJIYynw", "The Wave")</f>
        <v>The Wave</v>
      </c>
      <c r="C6265" s="80" t="s">
        <v>6773</v>
      </c>
      <c r="D6265" s="81" t="str">
        <f>HYPERLINK("https://youtube.com/watch?v=LPe1bs3hXeo", "TheWave | Sony Xperia Stream 簡單開箱 + 簡單測試")</f>
        <v>TheWave | Sony Xperia Stream 簡單開箱 + 簡單測試</v>
      </c>
      <c r="E6265" s="82">
        <v>44835.0</v>
      </c>
      <c r="F6265" s="80">
        <v>144.0</v>
      </c>
      <c r="G6265" s="80" t="s">
        <v>63</v>
      </c>
      <c r="H6265" s="80" t="s">
        <v>63</v>
      </c>
      <c r="I6265" s="80" t="s">
        <v>63</v>
      </c>
      <c r="J6265" s="80">
        <v>302.0</v>
      </c>
      <c r="K6265" s="80">
        <v>0.691075514874141</v>
      </c>
      <c r="L6265" s="80" t="s">
        <v>1634</v>
      </c>
    </row>
    <row r="6266">
      <c r="A6266" s="80" t="s">
        <v>248</v>
      </c>
      <c r="B6266" s="81" t="str">
        <f>HYPERLINK("https://www.youtube.com/channel/UCUEJok-GiWaGlv5nIPwk-GQ", "Price.com.hk 香港格價網")</f>
        <v>Price.com.hk 香港格價網</v>
      </c>
      <c r="C6266" s="80" t="s">
        <v>6774</v>
      </c>
      <c r="D6266" s="81" t="str">
        <f>HYPERLINK("https://youtube.com/watch?v=cCEo3z50owo", "美斯捧盃相吸逾七千萬 Like、  Tesla 推出賣電力計劃、Elon Musk 願辭任 Twitter CEO｜廣東話【Price Weekly #146 2022年12月 】")</f>
        <v>美斯捧盃相吸逾七千萬 Like、  Tesla 推出賣電力計劃、Elon Musk 願辭任 Twitter CEO｜廣東話【Price Weekly #146 2022年12月 】</v>
      </c>
      <c r="E6266" s="82">
        <v>44919.0</v>
      </c>
      <c r="F6266" s="80">
        <v>517.0</v>
      </c>
      <c r="G6266" s="80" t="s">
        <v>63</v>
      </c>
      <c r="I6266" s="80" t="s">
        <v>63</v>
      </c>
      <c r="J6266" s="80">
        <v>1905.0</v>
      </c>
      <c r="K6266" s="80">
        <v>0.717784476262245</v>
      </c>
      <c r="L6266" s="80" t="s">
        <v>64</v>
      </c>
    </row>
    <row r="6267">
      <c r="A6267" s="80" t="s">
        <v>124</v>
      </c>
      <c r="B6267" s="81" t="str">
        <f>HYPERLINK("https://www.youtube.com/channel/UCg0vuSE0fBF_NvodyYhMcWg", "Wallace Studio HK")</f>
        <v>Wallace Studio HK</v>
      </c>
      <c r="C6267" s="80" t="s">
        <v>6775</v>
      </c>
      <c r="D6267" s="81" t="str">
        <f>HYPERLINK("https://youtube.com/watch?v=O8IqcYIborw", "LG Stand by ME 真用家評測，移動螢幕的代價，一件未完成的作品....")</f>
        <v>LG Stand by ME 真用家評測，移動螢幕的代價，一件未完成的作品....</v>
      </c>
      <c r="E6267" s="82">
        <v>44916.0</v>
      </c>
      <c r="F6267" s="80">
        <v>690.0</v>
      </c>
      <c r="G6267" s="80" t="s">
        <v>63</v>
      </c>
      <c r="H6267" s="80" t="s">
        <v>63</v>
      </c>
      <c r="I6267" s="80" t="s">
        <v>63</v>
      </c>
      <c r="J6267" s="80">
        <v>2909.0</v>
      </c>
      <c r="K6267" s="80">
        <v>0.777838131450298</v>
      </c>
      <c r="L6267" s="80" t="s">
        <v>86</v>
      </c>
    </row>
    <row r="6268">
      <c r="A6268" s="80" t="s">
        <v>2761</v>
      </c>
      <c r="B6268" s="81" t="str">
        <f>HYPERLINK("https://www.youtube.com/channel/UCr_L9cZdbBU_XDsKDHBBlew", "am730")</f>
        <v>am730</v>
      </c>
      <c r="C6268" s="80" t="s">
        <v>6776</v>
      </c>
      <c r="D6268" s="81" t="str">
        <f>HYPERLINK("https://youtube.com/watch?v=M-NoCiGHUj0", "靈異丨香港02：靈靈7勇救AV女 第三集 丨小紅帽聲音專欄")</f>
        <v>靈異丨香港02：靈靈7勇救AV女 第三集 丨小紅帽聲音專欄</v>
      </c>
      <c r="E6268" s="82">
        <v>44921.0</v>
      </c>
      <c r="F6268" s="80">
        <v>286.0</v>
      </c>
      <c r="G6268" s="80" t="s">
        <v>63</v>
      </c>
      <c r="I6268" s="80" t="s">
        <v>63</v>
      </c>
      <c r="J6268" s="80">
        <v>933.0</v>
      </c>
      <c r="K6268" s="80">
        <v>0.980042016806722</v>
      </c>
      <c r="L6268" s="80" t="s">
        <v>91</v>
      </c>
    </row>
    <row r="6269">
      <c r="A6269" s="80" t="s">
        <v>6777</v>
      </c>
      <c r="B6269" s="81" t="str">
        <f>HYPERLINK("https://www.youtube.com/channel/UCVgMrfkfHKCrJGy01iBAGYg", "陳柏宇 Jason Chan")</f>
        <v>陳柏宇 Jason Chan</v>
      </c>
      <c r="C6269" s="80" t="s">
        <v>6778</v>
      </c>
      <c r="D6269" s="81" t="str">
        <f>HYPERLINK("https://youtube.com/watch?v=0Wj4gW_LuNE", "陳柏宇 Jason Chan - 墜落(Novel Fergus Remix)| Official MV")</f>
        <v>陳柏宇 Jason Chan - 墜落(Novel Fergus Remix)| Official MV</v>
      </c>
      <c r="E6269" s="82">
        <v>44725.0</v>
      </c>
      <c r="F6269" s="80">
        <v>181.0</v>
      </c>
      <c r="G6269" s="80" t="s">
        <v>63</v>
      </c>
      <c r="I6269" s="80" t="s">
        <v>63</v>
      </c>
      <c r="J6269" s="80">
        <v>447.0</v>
      </c>
      <c r="K6269" s="80">
        <v>0.997767857142857</v>
      </c>
      <c r="L6269" s="80" t="s">
        <v>6779</v>
      </c>
    </row>
    <row r="6270">
      <c r="A6270" s="80" t="s">
        <v>6780</v>
      </c>
      <c r="B6270" s="81" t="str">
        <f>HYPERLINK("https://www.youtube.com/channel/UC-yLYCLSfv1Tx9CNHWyWM4A", "medskinHK")</f>
        <v>medskinHK</v>
      </c>
      <c r="C6270" s="80" t="s">
        <v>6781</v>
      </c>
      <c r="D6270" s="81" t="str">
        <f>HYPERLINK("https://youtube.com/watch?v=GbPzSfBcK2A", "魚尾紋")</f>
        <v>魚尾紋</v>
      </c>
      <c r="E6270" s="82">
        <v>44448.0</v>
      </c>
      <c r="F6270" s="80">
        <v>144.0</v>
      </c>
      <c r="G6270" s="80" t="s">
        <v>63</v>
      </c>
      <c r="I6270" s="80" t="s">
        <v>63</v>
      </c>
      <c r="J6270" s="80">
        <v>472.0</v>
      </c>
      <c r="K6270" s="80">
        <v>0.944</v>
      </c>
      <c r="L6270" s="80" t="s">
        <v>64</v>
      </c>
    </row>
    <row r="6271">
      <c r="A6271" s="80" t="s">
        <v>6782</v>
      </c>
      <c r="B6271" s="81" t="str">
        <f>HYPERLINK("https://www.youtube.com/channel/UC_J2kVD7pPumeTq5BC0aRMA", "單車仔Addy Law")</f>
        <v>單車仔Addy Law</v>
      </c>
      <c r="C6271" s="80" t="s">
        <v>6783</v>
      </c>
      <c r="D6271" s="81" t="str">
        <f>HYPERLINK("https://youtube.com/watch?v=HbbsbALERT0", "【改裝篇】XCross 陶瓷BB + MKS 日本制腳踏兩樣都超順?超轉得?| 買車必換PARTS 之一? |元朗龍記單車匯合中心!!【可開字幕】")</f>
        <v>【改裝篇】XCross 陶瓷BB + MKS 日本制腳踏兩樣都超順?超轉得?| 買車必換PARTS 之一? |元朗龍記單車匯合中心!!【可開字幕】</v>
      </c>
      <c r="E6271" s="82">
        <v>44090.0</v>
      </c>
      <c r="F6271" s="80">
        <v>1185.0</v>
      </c>
      <c r="G6271" s="80" t="s">
        <v>63</v>
      </c>
      <c r="I6271" s="80" t="s">
        <v>63</v>
      </c>
      <c r="J6271" s="80">
        <v>891.0</v>
      </c>
      <c r="K6271" s="80">
        <v>0.86003861003861</v>
      </c>
      <c r="L6271" s="80" t="s">
        <v>64</v>
      </c>
    </row>
    <row r="6272">
      <c r="A6272" s="80" t="s">
        <v>6780</v>
      </c>
      <c r="B6272" s="81" t="str">
        <f>HYPERLINK("https://www.youtube.com/channel/UC-yLYCLSfv1Tx9CNHWyWM4A", "medskinHK")</f>
        <v>medskinHK</v>
      </c>
      <c r="C6272" s="80" t="s">
        <v>6784</v>
      </c>
      <c r="D6272" s="81" t="str">
        <f>HYPERLINK("https://youtube.com/watch?v=QjElAPeTMug", "有脫髮危機？| M字額、地中海新救星？| 養髮針你又聽過未？| 髮理治療師告訴你生髮最有效療程 | DR.CYJ | medskinHK")</f>
        <v>有脫髮危機？| M字額、地中海新救星？| 養髮針你又聽過未？| 髮理治療師告訴你生髮最有效療程 | DR.CYJ | medskinHK</v>
      </c>
      <c r="E6272" s="82">
        <v>44685.0</v>
      </c>
      <c r="F6272" s="80">
        <v>482.0</v>
      </c>
      <c r="G6272" s="80" t="s">
        <v>63</v>
      </c>
      <c r="I6272" s="80" t="s">
        <v>63</v>
      </c>
      <c r="J6272" s="80">
        <v>2166.0</v>
      </c>
      <c r="K6272" s="80">
        <v>0.938881664499349</v>
      </c>
      <c r="L6272" s="80" t="s">
        <v>64</v>
      </c>
    </row>
    <row r="6273">
      <c r="A6273" s="80" t="s">
        <v>6785</v>
      </c>
      <c r="B6273" s="81" t="str">
        <f>HYPERLINK("https://www.youtube.com/channel/UCUNAtN9NgfbKc69lavPWVBg", "阿肥x阿呆-緣食慢活")</f>
        <v>阿肥x阿呆-緣食慢活</v>
      </c>
      <c r="C6273" s="80" t="s">
        <v>6786</v>
      </c>
      <c r="D6273" s="81" t="str">
        <f>HYPERLINK("https://youtube.com/watch?v=dHo_xZJ0WNM", "韓國首爾之旅 EP.0 (出發前篇) Plaza Premium First Tour")</f>
        <v>韓國首爾之旅 EP.0 (出發前篇) Plaza Premium First Tour</v>
      </c>
      <c r="E6273" s="82">
        <v>43588.0</v>
      </c>
      <c r="F6273" s="80">
        <v>1529.0</v>
      </c>
      <c r="G6273" s="80" t="s">
        <v>63</v>
      </c>
      <c r="I6273" s="80" t="s">
        <v>63</v>
      </c>
      <c r="J6273" s="80">
        <v>174.0</v>
      </c>
      <c r="K6273" s="80">
        <v>0.813084112149532</v>
      </c>
      <c r="L6273" s="80" t="s">
        <v>64</v>
      </c>
    </row>
    <row r="6274">
      <c r="A6274" s="80" t="s">
        <v>98</v>
      </c>
      <c r="B6274" s="81" t="str">
        <f>HYPERLINK("https://www.youtube.com/channel/UCrquuQB6v1Ued2xyRKZreGQ", "Stephen Leung ")</f>
        <v>Stephen Leung </v>
      </c>
      <c r="C6274" s="80" t="s">
        <v>6787</v>
      </c>
      <c r="D6274" s="81" t="str">
        <f>HYPERLINK("https://youtube.com/watch?v=vff7oC1K1tI", "【香港美食】中環鏞記酒家 80年老字號風光不再? 除了招牌飛天燒鵝 其他小菜質素如何? | 香港老店 | Yung Kee Roast Goose | 吃喝玩樂")</f>
        <v>【香港美食】中環鏞記酒家 80年老字號風光不再? 除了招牌飛天燒鵝 其他小菜質素如何? | 香港老店 | Yung Kee Roast Goose | 吃喝玩樂</v>
      </c>
      <c r="E6274" s="82">
        <v>44922.0</v>
      </c>
      <c r="F6274" s="80">
        <v>1400.0</v>
      </c>
      <c r="G6274" s="80" t="s">
        <v>63</v>
      </c>
      <c r="I6274" s="80" t="s">
        <v>63</v>
      </c>
      <c r="J6274" s="80">
        <v>4833.0</v>
      </c>
      <c r="K6274" s="80">
        <v>0.982716551443676</v>
      </c>
      <c r="L6274" s="80" t="s">
        <v>64</v>
      </c>
    </row>
    <row r="6275">
      <c r="A6275" s="80" t="s">
        <v>6785</v>
      </c>
      <c r="B6275" s="81" t="str">
        <f>HYPERLINK("https://www.youtube.com/channel/UCUNAtN9NgfbKc69lavPWVBg", "阿肥x阿呆-緣食慢活")</f>
        <v>阿肥x阿呆-緣食慢活</v>
      </c>
      <c r="C6275" s="80" t="s">
        <v>6788</v>
      </c>
      <c r="D6275" s="81" t="str">
        <f>HYPERLINK("https://youtube.com/watch?v=1B6KZa09OzQ", "美食VLOG --Steak Bar(繁中字幕)")</f>
        <v>美食VLOG --Steak Bar(繁中字幕)</v>
      </c>
      <c r="E6275" s="82">
        <v>43590.0</v>
      </c>
      <c r="F6275" s="80">
        <v>347.0</v>
      </c>
      <c r="G6275" s="80" t="s">
        <v>63</v>
      </c>
      <c r="I6275" s="80" t="s">
        <v>63</v>
      </c>
      <c r="J6275" s="80">
        <v>638.0</v>
      </c>
      <c r="K6275" s="80">
        <v>0.886111111111111</v>
      </c>
      <c r="L6275" s="80" t="s">
        <v>91</v>
      </c>
    </row>
    <row r="6276">
      <c r="A6276" s="80" t="s">
        <v>2800</v>
      </c>
      <c r="B6276" s="81" t="str">
        <f>HYPERLINK("https://www.youtube.com/channel/UCMqrlsr-AECPc6_3oDr8m9w", "Unicorn 獸哥")</f>
        <v>Unicorn 獸哥</v>
      </c>
      <c r="C6276" s="80" t="s">
        <v>6789</v>
      </c>
      <c r="D6276" s="81" t="str">
        <f>HYPERLINK("https://youtube.com/watch?v=NTWtZgt3gkY", "【GAME評】玩DEMO都覺得伏伏地？forspoken魔咒之地 CC字幕")</f>
        <v>【GAME評】玩DEMO都覺得伏伏地？forspoken魔咒之地 CC字幕</v>
      </c>
      <c r="E6276" s="82">
        <v>44918.0</v>
      </c>
      <c r="F6276" s="80">
        <v>313.0</v>
      </c>
      <c r="G6276" s="80" t="s">
        <v>63</v>
      </c>
      <c r="I6276" s="80" t="s">
        <v>63</v>
      </c>
      <c r="J6276" s="80">
        <v>1271.0</v>
      </c>
      <c r="K6276" s="80">
        <v>0.896332863187588</v>
      </c>
      <c r="L6276" s="80" t="s">
        <v>64</v>
      </c>
    </row>
    <row r="6277">
      <c r="A6277" s="80" t="s">
        <v>6790</v>
      </c>
      <c r="B6277" s="81" t="str">
        <f>HYPERLINK("https://www.youtube.com/channel/UCgvqAy6nAmuALRWbN1-sJlw", "窮.人.頻.道.")</f>
        <v>窮.人.頻.道.</v>
      </c>
      <c r="C6277" s="80" t="s">
        <v>6791</v>
      </c>
      <c r="D6277" s="81" t="str">
        <f>HYPERLINK("https://youtube.com/watch?v=FKxjHQ8as5g", "窮人爆房 - 旺角 香港旺角智選假日酒店  Holiday Inn Express Hong Kong Mongkok")</f>
        <v>窮人爆房 - 旺角 香港旺角智選假日酒店  Holiday Inn Express Hong Kong Mongkok</v>
      </c>
      <c r="E6277" s="82">
        <v>44208.0</v>
      </c>
      <c r="F6277" s="80">
        <v>216.0</v>
      </c>
      <c r="G6277" s="80" t="s">
        <v>63</v>
      </c>
      <c r="I6277" s="80" t="s">
        <v>63</v>
      </c>
      <c r="J6277" s="80">
        <v>779.0</v>
      </c>
      <c r="K6277" s="80">
        <v>0.955828220858895</v>
      </c>
      <c r="L6277" s="80" t="s">
        <v>745</v>
      </c>
    </row>
    <row r="6278">
      <c r="A6278" s="80" t="s">
        <v>140</v>
      </c>
      <c r="B6278" s="81" t="str">
        <f>HYPERLINK("https://www.youtube.com/channel/UCHK0CZf9HEXs42qIO1GUouA", "TechiCardia")</f>
        <v>TechiCardia</v>
      </c>
      <c r="C6278" s="80" t="s">
        <v>6792</v>
      </c>
      <c r="D6278" s="81" t="str">
        <f>HYPERLINK("https://youtube.com/watch?v=jl8BpxYzpQM", "2022 TOP 10 必玩鍵盤！⌨🔥高性價比機械鍵盤、超強規格、打字手感、自組入門 | 邊隻係你心水？2023 要入手邊隻？ | 4K【TechiCardia】[CC廣東話字幕]")</f>
        <v>2022 TOP 10 必玩鍵盤！⌨🔥高性價比機械鍵盤、超強規格、打字手感、自組入門 | 邊隻係你心水？2023 要入手邊隻？ | 4K【TechiCardia】[CC廣東話字幕]</v>
      </c>
      <c r="E6278" s="82">
        <v>44922.0</v>
      </c>
      <c r="F6278" s="80">
        <v>1957.0</v>
      </c>
      <c r="G6278" s="80" t="s">
        <v>63</v>
      </c>
      <c r="I6278" s="80" t="s">
        <v>63</v>
      </c>
      <c r="J6278" s="80">
        <v>5318.0</v>
      </c>
      <c r="K6278" s="80">
        <v>0.706335502722805</v>
      </c>
      <c r="L6278" s="80" t="s">
        <v>102</v>
      </c>
    </row>
    <row r="6279">
      <c r="A6279" s="80" t="s">
        <v>217</v>
      </c>
      <c r="B6279" s="81" t="str">
        <f>HYPERLINK("https://www.youtube.com/channel/UCXKg0qPRz32bs5Z4mTGF3TQ", "Stormtrooper白兵")</f>
        <v>Stormtrooper白兵</v>
      </c>
      <c r="C6279" s="80" t="s">
        <v>6793</v>
      </c>
      <c r="D6279" s="81" t="str">
        <f>HYPERLINK("https://youtube.com/watch?v=NEjxRAHMwX4", "[懶人包]FBI如何令Twitter聽話過隻狗？｜ 言論審查的極致，諷刺搞爛gag都要ban？｜如何洗Twitter高層既腦？｜粵語中字")</f>
        <v>[懶人包]FBI如何令Twitter聽話過隻狗？｜ 言論審查的極致，諷刺搞爛gag都要ban？｜如何洗Twitter高層既腦？｜粵語中字</v>
      </c>
      <c r="E6279" s="82">
        <v>44917.0</v>
      </c>
      <c r="F6279" s="80">
        <v>986.0</v>
      </c>
      <c r="G6279" s="80" t="s">
        <v>63</v>
      </c>
      <c r="I6279" s="80" t="s">
        <v>63</v>
      </c>
      <c r="J6279" s="80">
        <v>3565.0</v>
      </c>
      <c r="K6279" s="80">
        <v>0.705381875741986</v>
      </c>
      <c r="L6279" s="80" t="s">
        <v>64</v>
      </c>
    </row>
    <row r="6280">
      <c r="A6280" s="80" t="s">
        <v>248</v>
      </c>
      <c r="B6280" s="81" t="str">
        <f>HYPERLINK("https://www.youtube.com/channel/UCUEJok-GiWaGlv5nIPwk-GQ", "Price.com.hk 香港格價網")</f>
        <v>Price.com.hk 香港格價網</v>
      </c>
      <c r="C6280" s="80" t="s">
        <v>6794</v>
      </c>
      <c r="D6280" s="81" t="str">
        <f>HYPERLINK("https://youtube.com/watch?v=HuHESM6vg0k", "3 分鐘了解 Dolby Atmos｜soundbar 點做到｜手機全景聲｜Price Wiki EP6 | 廣東話")</f>
        <v>3 分鐘了解 Dolby Atmos｜soundbar 點做到｜手機全景聲｜Price Wiki EP6 | 廣東話</v>
      </c>
      <c r="E6280" s="82">
        <v>44916.0</v>
      </c>
      <c r="F6280" s="80">
        <v>192.0</v>
      </c>
      <c r="G6280" s="80" t="s">
        <v>63</v>
      </c>
      <c r="I6280" s="80" t="s">
        <v>63</v>
      </c>
      <c r="J6280" s="80">
        <v>628.0</v>
      </c>
      <c r="K6280" s="80">
        <v>0.792929292929292</v>
      </c>
      <c r="L6280" s="80" t="s">
        <v>64</v>
      </c>
    </row>
    <row r="6281">
      <c r="A6281" s="80" t="s">
        <v>124</v>
      </c>
      <c r="B6281" s="81" t="str">
        <f t="shared" ref="B6281:B6283" si="362">HYPERLINK("https://www.youtube.com/channel/UCg0vuSE0fBF_NvodyYhMcWg", "Wallace Studio HK")</f>
        <v>Wallace Studio HK</v>
      </c>
      <c r="C6281" s="80" t="s">
        <v>6795</v>
      </c>
      <c r="D6281" s="81" t="str">
        <f>HYPERLINK("https://youtube.com/watch?v=h-jsdvFv4gs", "上中文字幕原來可以咁爽!? Arctime Pro 使用教學｜廣東話字幕教學｜ AI字幕生成工具")</f>
        <v>上中文字幕原來可以咁爽!? Arctime Pro 使用教學｜廣東話字幕教學｜ AI字幕生成工具</v>
      </c>
      <c r="E6281" s="82">
        <v>44916.0</v>
      </c>
      <c r="F6281" s="80">
        <v>933.0</v>
      </c>
      <c r="G6281" s="80" t="s">
        <v>63</v>
      </c>
      <c r="I6281" s="80" t="s">
        <v>63</v>
      </c>
      <c r="J6281" s="80">
        <v>3147.0</v>
      </c>
      <c r="K6281" s="80">
        <v>0.845967741935483</v>
      </c>
      <c r="L6281" s="80" t="s">
        <v>86</v>
      </c>
    </row>
    <row r="6282">
      <c r="A6282" s="80" t="s">
        <v>124</v>
      </c>
      <c r="B6282" s="81" t="str">
        <f t="shared" si="362"/>
        <v>Wallace Studio HK</v>
      </c>
      <c r="C6282" s="80" t="s">
        <v>6796</v>
      </c>
      <c r="D6282" s="81" t="str">
        <f>HYPERLINK("https://youtube.com/watch?v=FCdwpl02rgQ", "2022 電競手提電腦/Gaming Laptop 大點算，$7-10K/$10-15K/$15-20K/$20-25K/$25K 以上 推薦機款")</f>
        <v>2022 電競手提電腦/Gaming Laptop 大點算，$7-10K/$10-15K/$15-20K/$20-25K/$25K 以上 推薦機款</v>
      </c>
      <c r="E6282" s="82">
        <v>44921.0</v>
      </c>
      <c r="F6282" s="80">
        <v>1072.0</v>
      </c>
      <c r="G6282" s="80" t="s">
        <v>63</v>
      </c>
      <c r="I6282" s="80" t="s">
        <v>63</v>
      </c>
      <c r="J6282" s="80">
        <v>3481.0</v>
      </c>
      <c r="K6282" s="80">
        <v>0.689306930693069</v>
      </c>
      <c r="L6282" s="80" t="s">
        <v>64</v>
      </c>
    </row>
    <row r="6283">
      <c r="A6283" s="80" t="s">
        <v>124</v>
      </c>
      <c r="B6283" s="81" t="str">
        <f t="shared" si="362"/>
        <v>Wallace Studio HK</v>
      </c>
      <c r="C6283" s="80" t="s">
        <v>6797</v>
      </c>
      <c r="D6283" s="81" t="str">
        <f>HYPERLINK("https://youtube.com/watch?v=YGliJRSYx5M", "Samsung Galaxy Z Flip 4 用家評測！摺機最平民型態，由1代用到4代，有咩咁值得買?")</f>
        <v>Samsung Galaxy Z Flip 4 用家評測！摺機最平民型態，由1代用到4代，有咩咁值得買?</v>
      </c>
      <c r="E6283" s="82">
        <v>44919.0</v>
      </c>
      <c r="F6283" s="80">
        <v>556.0</v>
      </c>
      <c r="G6283" s="80" t="s">
        <v>63</v>
      </c>
      <c r="H6283" s="80" t="s">
        <v>63</v>
      </c>
      <c r="I6283" s="80" t="s">
        <v>63</v>
      </c>
      <c r="J6283" s="80">
        <v>2400.0</v>
      </c>
      <c r="K6283" s="80">
        <v>0.842893679210814</v>
      </c>
      <c r="L6283" s="80" t="s">
        <v>86</v>
      </c>
    </row>
    <row r="6284">
      <c r="A6284" s="80" t="s">
        <v>2585</v>
      </c>
      <c r="B6284" s="81" t="str">
        <f>HYPERLINK("https://www.youtube.com/channel/UCyyruuN0VecuYxPNR4un88Q", "混血肥仔")</f>
        <v>混血肥仔</v>
      </c>
      <c r="C6284" s="80" t="s">
        <v>6798</v>
      </c>
      <c r="D6284" s="81" t="str">
        <f>HYPERLINK("https://youtube.com/watch?v=_r3cKHD-qEw", "找到了！英國最差的東西！😞  | 一路向北識女仔 #08")</f>
        <v>找到了！英國最差的東西！😞  | 一路向北識女仔 #08</v>
      </c>
      <c r="E6284" s="82">
        <v>44917.0</v>
      </c>
      <c r="F6284" s="80">
        <v>821.0</v>
      </c>
      <c r="G6284" s="80" t="s">
        <v>63</v>
      </c>
      <c r="I6284" s="80" t="s">
        <v>63</v>
      </c>
      <c r="J6284" s="80">
        <v>5029.0</v>
      </c>
      <c r="K6284" s="80">
        <v>0.967859892224788</v>
      </c>
      <c r="L6284" s="80" t="s">
        <v>64</v>
      </c>
    </row>
    <row r="6285">
      <c r="A6285" s="80" t="s">
        <v>748</v>
      </c>
      <c r="B6285" s="81" t="str">
        <f>HYPERLINK("https://www.youtube.com/channel/UC_ZT2UjRiNSy1I33LEiflJQ", "撒野作風 WILDSTYLE RECORDS")</f>
        <v>撒野作風 WILDSTYLE RECORDS</v>
      </c>
      <c r="C6285" s="80" t="s">
        <v>6799</v>
      </c>
      <c r="D6285" s="81" t="str">
        <f>HYPERLINK("https://youtube.com/watch?v=IvX_SB31fv8", "söng of songs")</f>
        <v>söng of songs</v>
      </c>
      <c r="E6285" s="82">
        <v>44946.0</v>
      </c>
      <c r="F6285" s="80">
        <v>284.0</v>
      </c>
      <c r="G6285" s="80" t="s">
        <v>63</v>
      </c>
      <c r="I6285" s="80" t="s">
        <v>63</v>
      </c>
      <c r="J6285" s="80">
        <v>693.0</v>
      </c>
      <c r="K6285" s="80">
        <v>0.292775665399239</v>
      </c>
      <c r="L6285" s="80" t="s">
        <v>893</v>
      </c>
    </row>
    <row r="6286">
      <c r="A6286" s="80" t="s">
        <v>248</v>
      </c>
      <c r="B6286" s="81" t="str">
        <f>HYPERLINK("https://www.youtube.com/channel/UCUEJok-GiWaGlv5nIPwk-GQ", "Price.com.hk 香港格價網")</f>
        <v>Price.com.hk 香港格價網</v>
      </c>
      <c r="C6286" s="80" t="s">
        <v>6800</v>
      </c>
      <c r="D6286" s="81" t="str">
        <f>HYPERLINK("https://youtube.com/watch?v=fNnRLkiP9qY", "7 大品牌Headphones硬撼！年度無線頭戴式降噪耳機比較 | 用後感 | 廣東話 | Headphone | 頭戴式耳機評測 【Price.com.hk產品比較】")</f>
        <v>7 大品牌Headphones硬撼！年度無線頭戴式降噪耳機比較 | 用後感 | 廣東話 | Headphone | 頭戴式耳機評測 【Price.com.hk產品比較】</v>
      </c>
      <c r="E6286" s="82">
        <v>44952.0</v>
      </c>
      <c r="F6286" s="80">
        <v>1048.0</v>
      </c>
      <c r="G6286" s="80" t="s">
        <v>63</v>
      </c>
      <c r="I6286" s="80" t="s">
        <v>63</v>
      </c>
      <c r="J6286" s="80">
        <v>2268.0</v>
      </c>
      <c r="K6286" s="80">
        <v>0.832599118942731</v>
      </c>
      <c r="L6286" s="80" t="s">
        <v>64</v>
      </c>
    </row>
    <row r="6287">
      <c r="A6287" s="80" t="s">
        <v>5134</v>
      </c>
      <c r="B6287" s="81" t="str">
        <f>HYPERLINK("https://www.youtube.com/channel/UCGq7xle9PrLHpmdxrk0IlLw", "磚加專家 Danny Ching Top10%地產局金牌經紀百萬圓桌")</f>
        <v>磚加專家 Danny Ching Top10%地產局金牌經紀百萬圓桌</v>
      </c>
      <c r="C6287" s="80" t="s">
        <v>6801</v>
      </c>
      <c r="D6287" s="81" t="str">
        <f>HYPERLINK("https://youtube.com/watch?v=k2tFL-1vplU", "字幕 溫哥華樓花 Lucent by LANDA $39.9萬起 150單位$54.9萬下 404單位26層 23000'呎3層Lululemon Peloton會所 地鐵+商場步8分鐘 額外回贈優先")</f>
        <v>字幕 溫哥華樓花 Lucent by LANDA $39.9萬起 150單位$54.9萬下 404單位26層 23000'呎3層Lululemon Peloton會所 地鐵+商場步8分鐘 額外回贈優先</v>
      </c>
      <c r="E6287" s="82">
        <v>44939.0</v>
      </c>
      <c r="F6287" s="80">
        <v>2322.0</v>
      </c>
      <c r="G6287" s="80" t="s">
        <v>63</v>
      </c>
      <c r="I6287" s="80" t="s">
        <v>63</v>
      </c>
      <c r="J6287" s="80">
        <v>9069.0</v>
      </c>
      <c r="K6287" s="80">
        <v>0.741476575913662</v>
      </c>
      <c r="L6287" s="80" t="s">
        <v>102</v>
      </c>
    </row>
    <row r="6288">
      <c r="A6288" s="80" t="s">
        <v>217</v>
      </c>
      <c r="B6288" s="81" t="str">
        <f>HYPERLINK("https://www.youtube.com/channel/UCXKg0qPRz32bs5Z4mTGF3TQ", "Stormtrooper白兵")</f>
        <v>Stormtrooper白兵</v>
      </c>
      <c r="C6288" s="80" t="s">
        <v>6802</v>
      </c>
      <c r="D6288" s="81" t="str">
        <f>HYPERLINK("https://youtube.com/watch?v=Kpd1o98yEqY", "[不是陰謀論]環保產業除咗錢同監控，仲有咩背後原因推動？｜紙飲管、去塑膠、風能、太陽能都係搞笑？｜粵語中字")</f>
        <v>[不是陰謀論]環保產業除咗錢同監控，仲有咩背後原因推動？｜紙飲管、去塑膠、風能、太陽能都係搞笑？｜粵語中字</v>
      </c>
      <c r="E6288" s="82">
        <v>44959.0</v>
      </c>
      <c r="F6288" s="80">
        <v>804.0</v>
      </c>
      <c r="G6288" s="80" t="s">
        <v>63</v>
      </c>
      <c r="I6288" s="80" t="s">
        <v>63</v>
      </c>
      <c r="J6288" s="80">
        <v>3246.0</v>
      </c>
      <c r="K6288" s="80">
        <v>0.961208172934557</v>
      </c>
      <c r="L6288" s="80" t="s">
        <v>64</v>
      </c>
    </row>
    <row r="6289">
      <c r="A6289" s="80" t="s">
        <v>74</v>
      </c>
      <c r="B6289" s="81" t="str">
        <f>HYPERLINK("https://www.youtube.com/channel/UCO_5XP-qd-udNxBlzzSzgvw", "Handline Fishing")</f>
        <v>Handline Fishing</v>
      </c>
      <c r="C6289" s="80" t="s">
        <v>6803</v>
      </c>
      <c r="D6289" s="81" t="str">
        <f>HYPERLINK("https://youtube.com/watch?v=uTT1SW1Vdm0", "#307 基哥兔年發威! | 基哥 | 香港釣魚 | 艇釣 | 維港 {粵語旁白}")</f>
        <v>#307 基哥兔年發威! | 基哥 | 香港釣魚 | 艇釣 | 維港 {粵語旁白}</v>
      </c>
      <c r="E6289" s="82">
        <v>44960.0</v>
      </c>
      <c r="F6289" s="80">
        <v>150.0</v>
      </c>
      <c r="G6289" s="80" t="s">
        <v>63</v>
      </c>
      <c r="I6289" s="80" t="s">
        <v>63</v>
      </c>
      <c r="J6289" s="80">
        <v>179.0</v>
      </c>
      <c r="K6289" s="80">
        <v>0.957219251336898</v>
      </c>
      <c r="L6289" s="80" t="s">
        <v>102</v>
      </c>
    </row>
    <row r="6290">
      <c r="A6290" s="80" t="s">
        <v>248</v>
      </c>
      <c r="B6290" s="81" t="str">
        <f>HYPERLINK("https://www.youtube.com/channel/UCUEJok-GiWaGlv5nIPwk-GQ", "Price.com.hk 香港格價網")</f>
        <v>Price.com.hk 香港格價網</v>
      </c>
      <c r="C6290" s="80" t="s">
        <v>6804</v>
      </c>
      <c r="D6290" s="81" t="str">
        <f>HYPERLINK("https://youtube.com/watch?v=OMpvKEOcxys", "CES 2023｜LG 真・無線電視、Samsung 狂攻 QD-OLED、處理器全面變天｜廣東話【Price Weekly #148 2023年1月 】")</f>
        <v>CES 2023｜LG 真・無線電視、Samsung 狂攻 QD-OLED、處理器全面變天｜廣東話【Price Weekly #148 2023年1月 】</v>
      </c>
      <c r="E6290" s="82">
        <v>44932.0</v>
      </c>
      <c r="F6290" s="80">
        <v>699.0</v>
      </c>
      <c r="G6290" s="80" t="s">
        <v>63</v>
      </c>
      <c r="I6290" s="80" t="s">
        <v>63</v>
      </c>
      <c r="J6290" s="80">
        <v>2329.0</v>
      </c>
      <c r="K6290" s="80">
        <v>0.668100975329891</v>
      </c>
      <c r="L6290" s="80" t="s">
        <v>64</v>
      </c>
    </row>
    <row r="6291">
      <c r="A6291" s="80" t="s">
        <v>260</v>
      </c>
      <c r="B6291" s="81" t="str">
        <f>HYPERLINK("https://www.youtube.com/channel/UC-HXOikkLx7BGEfILGIpYOg", "港短 . 英移")</f>
        <v>港短 . 英移</v>
      </c>
      <c r="C6291" s="80" t="s">
        <v>6805</v>
      </c>
      <c r="D6291" s="81" t="str">
        <f>HYPERLINK("https://youtube.com/watch?v=woDmPn9cKdc", "我問ChatGPT對香港人移民的看法 它卻hang機了... | 港短.英移")</f>
        <v>我問ChatGPT對香港人移民的看法 它卻hang機了... | 港短.英移</v>
      </c>
      <c r="E6291" s="82">
        <v>44960.0</v>
      </c>
      <c r="F6291" s="80">
        <v>728.0</v>
      </c>
      <c r="G6291" s="80" t="s">
        <v>63</v>
      </c>
      <c r="I6291" s="80" t="s">
        <v>63</v>
      </c>
      <c r="J6291" s="80">
        <v>1729.0</v>
      </c>
      <c r="K6291" s="80">
        <v>0.90761154855643</v>
      </c>
      <c r="L6291" s="80" t="s">
        <v>102</v>
      </c>
    </row>
    <row r="6292">
      <c r="A6292" s="80" t="s">
        <v>140</v>
      </c>
      <c r="B6292" s="81" t="str">
        <f>HYPERLINK("https://www.youtube.com/channel/UCHK0CZf9HEXs42qIO1GUouA", "TechiCardia")</f>
        <v>TechiCardia</v>
      </c>
      <c r="C6292" s="80" t="s">
        <v>6806</v>
      </c>
      <c r="D6292" s="81" t="str">
        <f>HYPERLINK("https://youtube.com/watch?v=rPon-uIt-eo", "2023 超輕無線電競滑鼠 應該點揀？🖱🔥試勻10隻！無窿窿45g/頂級感應器/高性價比選擇 | 4K【TechiCardia】[cc廣東話字幕]")</f>
        <v>2023 超輕無線電競滑鼠 應該點揀？🖱🔥試勻10隻！無窿窿45g/頂級感應器/高性價比選擇 | 4K【TechiCardia】[cc廣東話字幕]</v>
      </c>
      <c r="E6292" s="82">
        <v>44949.0</v>
      </c>
      <c r="F6292" s="80">
        <v>1159.0</v>
      </c>
      <c r="G6292" s="80" t="s">
        <v>63</v>
      </c>
      <c r="I6292" s="80" t="s">
        <v>63</v>
      </c>
      <c r="J6292" s="80">
        <v>3575.0</v>
      </c>
      <c r="K6292" s="80">
        <v>0.662650602409638</v>
      </c>
      <c r="L6292" s="80" t="s">
        <v>102</v>
      </c>
    </row>
    <row r="6293">
      <c r="A6293" s="80" t="s">
        <v>124</v>
      </c>
      <c r="B6293" s="81" t="str">
        <f>HYPERLINK("https://www.youtube.com/channel/UCg0vuSE0fBF_NvodyYhMcWg", "Wallace Studio HK")</f>
        <v>Wallace Studio HK</v>
      </c>
      <c r="C6293" s="80" t="s">
        <v>6807</v>
      </c>
      <c r="D6293" s="81" t="str">
        <f>HYPERLINK("https://youtube.com/watch?v=mQyybdCCCcY", "Microsoft Surface Duo 1，超薄摺疊雙屏設計，減價到~$2500HKD，值得入手？ ft.IG @ Mr.panda.test")</f>
        <v>Microsoft Surface Duo 1，超薄摺疊雙屏設計，減價到~$2500HKD，值得入手？ ft.IG @ Mr.panda.test</v>
      </c>
      <c r="E6293" s="82">
        <v>44924.0</v>
      </c>
      <c r="F6293" s="80">
        <v>370.0</v>
      </c>
      <c r="G6293" s="80" t="s">
        <v>63</v>
      </c>
      <c r="I6293" s="80" t="s">
        <v>63</v>
      </c>
      <c r="J6293" s="80">
        <v>1510.0</v>
      </c>
      <c r="K6293" s="80">
        <v>0.810520665593129</v>
      </c>
      <c r="L6293" s="80" t="s">
        <v>64</v>
      </c>
    </row>
    <row r="6294">
      <c r="A6294" s="80" t="s">
        <v>414</v>
      </c>
      <c r="B6294" s="81" t="str">
        <f>HYPERLINK("https://www.youtube.com/channel/UCCVn38j5xSJZN-II-TeyomA", "Uncle Calvin Cantonese Class")</f>
        <v>Uncle Calvin Cantonese Class</v>
      </c>
      <c r="C6294" s="80" t="s">
        <v>6808</v>
      </c>
      <c r="D6294" s="81" t="str">
        <f>HYPERLINK("https://youtube.com/watch?v=svCy0HKsIu8", "【山野遊學團：北海道】MOUNTAIN Tour: Hokkaido I 幼童廣東話遊學團 Kids Cantonese Tour I 廣東話教室 I 字幕/Subtitles")</f>
        <v>【山野遊學團：北海道】MOUNTAIN Tour: Hokkaido I 幼童廣東話遊學團 Kids Cantonese Tour I 廣東話教室 I 字幕/Subtitles</v>
      </c>
      <c r="E6294" s="82">
        <v>44925.0</v>
      </c>
      <c r="F6294" s="80">
        <v>381.0</v>
      </c>
      <c r="G6294" s="80" t="s">
        <v>63</v>
      </c>
      <c r="H6294" s="80" t="s">
        <v>63</v>
      </c>
      <c r="I6294" s="80" t="s">
        <v>63</v>
      </c>
      <c r="J6294" s="80">
        <v>954.0</v>
      </c>
      <c r="K6294" s="80">
        <v>0.915547024952015</v>
      </c>
      <c r="L6294" s="80" t="s">
        <v>426</v>
      </c>
    </row>
    <row r="6295">
      <c r="A6295" s="80" t="s">
        <v>248</v>
      </c>
      <c r="B6295" s="81" t="str">
        <f>HYPERLINK("https://www.youtube.com/channel/UCUEJok-GiWaGlv5nIPwk-GQ", "Price.com.hk 香港格價網")</f>
        <v>Price.com.hk 香港格價網</v>
      </c>
      <c r="C6295" s="80" t="s">
        <v>6809</v>
      </c>
      <c r="D6295" s="81" t="str">
        <f>HYPERLINK("https://youtube.com/watch?v=d1AQPw4iLq8", "SONY Soundbar 入手攻略｜點樣配搭最抵玩｜360 SSM 包圍聲｜家居影音提升方案｜廣東話【Price.com.hk 特約專題】")</f>
        <v>SONY Soundbar 入手攻略｜點樣配搭最抵玩｜360 SSM 包圍聲｜家居影音提升方案｜廣東話【Price.com.hk 特約專題】</v>
      </c>
      <c r="E6295" s="82">
        <v>44938.0</v>
      </c>
      <c r="F6295" s="80">
        <v>459.0</v>
      </c>
      <c r="G6295" s="80" t="s">
        <v>63</v>
      </c>
      <c r="I6295" s="80" t="s">
        <v>63</v>
      </c>
      <c r="J6295" s="80">
        <v>1434.0</v>
      </c>
      <c r="K6295" s="80">
        <v>0.721690991444388</v>
      </c>
      <c r="L6295" s="80" t="s">
        <v>64</v>
      </c>
    </row>
    <row r="6296">
      <c r="A6296" s="80" t="s">
        <v>1492</v>
      </c>
      <c r="B6296" s="81" t="str">
        <f>HYPERLINK("https://www.youtube.com/channel/UCTo1EIcKtkDYqiUqs4v_NlA", "【常公子】頻道TV - 中文中史歷史哲學")</f>
        <v>【常公子】頻道TV - 中文中史歷史哲學</v>
      </c>
      <c r="C6296" s="80" t="s">
        <v>6810</v>
      </c>
      <c r="D6296" s="81" t="str">
        <f>HYPERLINK("https://youtube.com/watch?v=pTHcT_SIyLU", "【常威近代史】第第五百一拾六回凌凌柒特務時代開始")</f>
        <v>【常威近代史】第第五百一拾六回凌凌柒特務時代開始</v>
      </c>
      <c r="E6296" s="82">
        <v>44954.0</v>
      </c>
      <c r="F6296" s="80">
        <v>717.0</v>
      </c>
      <c r="G6296" s="80" t="s">
        <v>63</v>
      </c>
      <c r="I6296" s="80" t="s">
        <v>63</v>
      </c>
      <c r="J6296" s="80">
        <v>1667.0</v>
      </c>
      <c r="K6296" s="80">
        <v>0.973714953271028</v>
      </c>
      <c r="L6296" s="80" t="s">
        <v>64</v>
      </c>
    </row>
    <row r="6297">
      <c r="A6297" s="80" t="s">
        <v>74</v>
      </c>
      <c r="B6297" s="81" t="str">
        <f>HYPERLINK("https://www.youtube.com/channel/UCO_5XP-qd-udNxBlzzSzgvw", "Handline Fishing")</f>
        <v>Handline Fishing</v>
      </c>
      <c r="C6297" s="80" t="s">
        <v>6811</v>
      </c>
      <c r="D6297" s="81" t="str">
        <f>HYPERLINK("https://youtube.com/watch?v=m4bJ1XYmpk8", "#306 接近破大頭成紀錄 | 香港釣魚 | 艇釣 | 筲箕灣大頭成 {粵語旁白}")</f>
        <v>#306 接近破大頭成紀錄 | 香港釣魚 | 艇釣 | 筲箕灣大頭成 {粵語旁白}</v>
      </c>
      <c r="E6297" s="82">
        <v>44956.0</v>
      </c>
      <c r="F6297" s="80">
        <v>350.0</v>
      </c>
      <c r="G6297" s="80" t="s">
        <v>63</v>
      </c>
      <c r="I6297" s="80" t="s">
        <v>63</v>
      </c>
      <c r="J6297" s="80">
        <v>252.0</v>
      </c>
      <c r="K6297" s="80">
        <v>0.923076923076923</v>
      </c>
      <c r="L6297" s="80" t="s">
        <v>102</v>
      </c>
    </row>
    <row r="6298">
      <c r="A6298" s="80" t="s">
        <v>248</v>
      </c>
      <c r="B6298" s="81" t="str">
        <f>HYPERLINK("https://www.youtube.com/channel/UCUEJok-GiWaGlv5nIPwk-GQ", "Price.com.hk 香港格價網")</f>
        <v>Price.com.hk 香港格價網</v>
      </c>
      <c r="C6298" s="80" t="s">
        <v>6812</v>
      </c>
      <c r="D6298" s="81" t="str">
        <f>HYPERLINK("https://youtube.com/watch?v=EpKiODeSWp8", "iOS16.3 首度支援實體解鎖、蘋果全新VR裝置Reality Pro 傳3月發布 、第三廠推改裝配件解決Switch手掣「飄移」問題｜ 廣東話【Price Weekly #151 2023年1月】")</f>
        <v>iOS16.3 首度支援實體解鎖、蘋果全新VR裝置Reality Pro 傳3月發布 、第三廠推改裝配件解決Switch手掣「飄移」問題｜ 廣東話【Price Weekly #151 2023年1月】</v>
      </c>
      <c r="E6298" s="82">
        <v>44954.0</v>
      </c>
      <c r="F6298" s="80">
        <v>524.0</v>
      </c>
      <c r="G6298" s="80" t="s">
        <v>63</v>
      </c>
      <c r="I6298" s="80" t="s">
        <v>63</v>
      </c>
      <c r="J6298" s="80">
        <v>1875.0</v>
      </c>
      <c r="K6298" s="80">
        <v>0.770336894001643</v>
      </c>
      <c r="L6298" s="80" t="s">
        <v>64</v>
      </c>
    </row>
    <row r="6299">
      <c r="A6299" s="80" t="s">
        <v>755</v>
      </c>
      <c r="B6299" s="81" t="str">
        <f t="shared" ref="B6299:B6300" si="363">HYPERLINK("https://www.youtube.com/channel/UCBiJDTc82IM68KVH873VeAw", "Live in Kwangsi廣西人·情·味")</f>
        <v>Live in Kwangsi廣西人·情·味</v>
      </c>
      <c r="C6299" s="80" t="s">
        <v>6813</v>
      </c>
      <c r="D6299" s="81" t="str">
        <f>HYPERLINK("https://youtube.com/watch?v=PI3s2SsBfMk", "賀州市沙田鎮獅南村及獅洞水庫｜廣西日常實拍 20221218")</f>
        <v>賀州市沙田鎮獅南村及獅洞水庫｜廣西日常實拍 20221218</v>
      </c>
      <c r="E6299" s="82">
        <v>44942.0</v>
      </c>
      <c r="F6299" s="80">
        <v>243.0</v>
      </c>
      <c r="G6299" s="80" t="s">
        <v>63</v>
      </c>
      <c r="I6299" s="80" t="s">
        <v>63</v>
      </c>
      <c r="J6299" s="80">
        <v>122.0</v>
      </c>
      <c r="K6299" s="80">
        <v>0.945736434108527</v>
      </c>
      <c r="L6299" s="80" t="s">
        <v>757</v>
      </c>
    </row>
    <row r="6300">
      <c r="A6300" s="80" t="s">
        <v>755</v>
      </c>
      <c r="B6300" s="81" t="str">
        <f t="shared" si="363"/>
        <v>Live in Kwangsi廣西人·情·味</v>
      </c>
      <c r="C6300" s="80" t="s">
        <v>6814</v>
      </c>
      <c r="D6300" s="81" t="str">
        <f>HYPERLINK("https://youtube.com/watch?v=GUmQ-ucSmGE", "已經無視禁令 年初一睇人放煙花｜廣西日常實拍 20230122")</f>
        <v>已經無視禁令 年初一睇人放煙花｜廣西日常實拍 20230122</v>
      </c>
      <c r="E6300" s="82">
        <v>44948.0</v>
      </c>
      <c r="F6300" s="80">
        <v>358.0</v>
      </c>
      <c r="G6300" s="80" t="s">
        <v>63</v>
      </c>
      <c r="I6300" s="80" t="s">
        <v>63</v>
      </c>
      <c r="J6300" s="80">
        <v>206.0</v>
      </c>
      <c r="K6300" s="80">
        <v>1.0</v>
      </c>
      <c r="L6300" s="80" t="s">
        <v>757</v>
      </c>
    </row>
    <row r="6301">
      <c r="A6301" s="80" t="s">
        <v>2841</v>
      </c>
      <c r="B6301" s="81" t="str">
        <f>HYPERLINK("https://www.youtube.com/channel/UCBYGm7Iz6ck8jeno5AFiriw", "Seafront TV")</f>
        <v>Seafront TV</v>
      </c>
      <c r="C6301" s="80" t="s">
        <v>6815</v>
      </c>
      <c r="D6301" s="81" t="str">
        <f>HYPERLINK("https://youtube.com/watch?v=8E0QYNI0f88", "長洲秋遊：文學女神作咗首詩❣️ #踏浪觀月 #Seafront日常 #shorts")</f>
        <v>長洲秋遊：文學女神作咗首詩❣️ #踏浪觀月 #Seafront日常 #shorts</v>
      </c>
      <c r="E6301" s="82">
        <v>44919.0</v>
      </c>
      <c r="F6301" s="80">
        <v>38.0</v>
      </c>
      <c r="G6301" s="80" t="s">
        <v>63</v>
      </c>
      <c r="I6301" s="80" t="s">
        <v>63</v>
      </c>
      <c r="J6301" s="80">
        <v>105.0</v>
      </c>
      <c r="K6301" s="80">
        <v>0.88235294117647</v>
      </c>
      <c r="L6301" s="80" t="s">
        <v>102</v>
      </c>
    </row>
    <row r="6302">
      <c r="A6302" s="80" t="s">
        <v>124</v>
      </c>
      <c r="B6302" s="81" t="str">
        <f>HYPERLINK("https://www.youtube.com/channel/UCg0vuSE0fBF_NvodyYhMcWg", "Wallace Studio HK")</f>
        <v>Wallace Studio HK</v>
      </c>
      <c r="C6302" s="80" t="s">
        <v>6816</v>
      </c>
      <c r="D6302" s="81" t="str">
        <f>HYPERLINK("https://youtube.com/watch?v=gBV7HLCSULQ", "M1 Max Macbook Pro 剪片剪到炆! 怒擲29K 轉會頂配Windows Laptop，有咩取捨?")</f>
        <v>M1 Max Macbook Pro 剪片剪到炆! 怒擲29K 轉會頂配Windows Laptop，有咩取捨?</v>
      </c>
      <c r="E6302" s="82">
        <v>44940.0</v>
      </c>
      <c r="F6302" s="80">
        <v>501.0</v>
      </c>
      <c r="G6302" s="80" t="s">
        <v>63</v>
      </c>
      <c r="I6302" s="80" t="s">
        <v>63</v>
      </c>
      <c r="J6302" s="80">
        <v>1955.0</v>
      </c>
      <c r="K6302" s="80">
        <v>0.694247159090909</v>
      </c>
      <c r="L6302" s="80" t="s">
        <v>64</v>
      </c>
    </row>
    <row r="6303">
      <c r="A6303" s="80" t="s">
        <v>6817</v>
      </c>
      <c r="B6303" s="81" t="str">
        <f>HYPERLINK("https://www.youtube.com/channel/UCWo5nbifkKDRNyD2nF2KJ0Q", "陳柏宇 Jason Chan")</f>
        <v>陳柏宇 Jason Chan</v>
      </c>
      <c r="C6303" s="80" t="s">
        <v>6818</v>
      </c>
      <c r="D6303" s="81" t="str">
        <f>HYPERLINK("https://youtube.com/watch?v=T5OyGxXUYnw", "THE FIRST TAKE 幕後拍攝秘密大公開｜陳柏宇自認呢樣嘢世一 挑戰18禁話題 大爆試過一腳踏兩船！？｜自認甚少公開多謝歌迷支持 背後原因卻極暖心｜陳柏宇 Jason Chan（中文字幕）")</f>
        <v>THE FIRST TAKE 幕後拍攝秘密大公開｜陳柏宇自認呢樣嘢世一 挑戰18禁話題 大爆試過一腳踏兩船！？｜自認甚少公開多謝歌迷支持 背後原因卻極暖心｜陳柏宇 Jason Chan（中文字幕）</v>
      </c>
      <c r="E6303" s="82">
        <v>44958.0</v>
      </c>
      <c r="F6303" s="80">
        <v>693.0</v>
      </c>
      <c r="G6303" s="80" t="s">
        <v>63</v>
      </c>
      <c r="I6303" s="80" t="s">
        <v>63</v>
      </c>
      <c r="J6303" s="80">
        <v>3145.0</v>
      </c>
      <c r="K6303" s="80">
        <v>0.941334929661777</v>
      </c>
      <c r="L6303" s="80" t="s">
        <v>102</v>
      </c>
    </row>
    <row r="6304">
      <c r="A6304" s="80" t="s">
        <v>248</v>
      </c>
      <c r="B6304" s="81" t="str">
        <f>HYPERLINK("https://www.youtube.com/channel/UCUEJok-GiWaGlv5nIPwk-GQ", "Price.com.hk 香港格價網")</f>
        <v>Price.com.hk 香港格價網</v>
      </c>
      <c r="C6304" s="80" t="s">
        <v>6819</v>
      </c>
      <c r="D6304" s="81" t="str">
        <f>HYPERLINK("https://youtube.com/watch?v=QPMsgTKvy9o", "Apple 新產品全集M2 Pro/Max MacBook Pro 應否升級｜二代 HomePod 玩家居影音｜新版 Mac Mini 駁芒要留意｜懶人包｜廣東話【Price.com.hk 產品介紹】")</f>
        <v>Apple 新產品全集M2 Pro/Max MacBook Pro 應否升級｜二代 HomePod 玩家居影音｜新版 Mac Mini 駁芒要留意｜懶人包｜廣東話【Price.com.hk 產品介紹】</v>
      </c>
      <c r="E6304" s="82">
        <v>44945.0</v>
      </c>
      <c r="F6304" s="80">
        <v>282.0</v>
      </c>
      <c r="G6304" s="80" t="s">
        <v>63</v>
      </c>
      <c r="I6304" s="80" t="s">
        <v>63</v>
      </c>
      <c r="J6304" s="80">
        <v>813.0</v>
      </c>
      <c r="K6304" s="80">
        <v>0.634165366614664</v>
      </c>
      <c r="L6304" s="80" t="s">
        <v>64</v>
      </c>
    </row>
    <row r="6305">
      <c r="A6305" s="80" t="s">
        <v>2825</v>
      </c>
      <c r="B6305" s="81" t="str">
        <f>HYPERLINK("https://www.youtube.com/channel/UCP7XhYDgUbvjvaHxIhjTd_g", "Maviskuku 雞蛋妹")</f>
        <v>Maviskuku 雞蛋妹</v>
      </c>
      <c r="C6305" s="80" t="s">
        <v>6820</v>
      </c>
      <c r="D6305" s="81" t="str">
        <f>HYPERLINK("https://youtube.com/watch?v=jLBeLMZlVsU", "大家都讚新 MacBook，但我更愛 Mac mini⋯⋯M2 Pro MacBook Pro、M2 Pro Mac mini 開箱實測")</f>
        <v>大家都讚新 MacBook，但我更愛 Mac mini⋯⋯M2 Pro MacBook Pro、M2 Pro Mac mini 開箱實測</v>
      </c>
      <c r="E6305" s="82">
        <v>44959.0</v>
      </c>
      <c r="F6305" s="80">
        <v>629.0</v>
      </c>
      <c r="G6305" s="80" t="s">
        <v>63</v>
      </c>
      <c r="I6305" s="80" t="s">
        <v>63</v>
      </c>
      <c r="J6305" s="80">
        <v>1794.0</v>
      </c>
      <c r="K6305" s="80">
        <v>0.724263221639079</v>
      </c>
      <c r="L6305" s="80" t="s">
        <v>91</v>
      </c>
    </row>
    <row r="6306">
      <c r="A6306" s="80" t="s">
        <v>414</v>
      </c>
      <c r="B6306" s="81" t="str">
        <f>HYPERLINK("https://www.youtube.com/channel/UCCVn38j5xSJZN-II-TeyomA", "Uncle Calvin Cantonese Class")</f>
        <v>Uncle Calvin Cantonese Class</v>
      </c>
      <c r="C6306" s="80" t="s">
        <v>6821</v>
      </c>
      <c r="D6306" s="81" t="str">
        <f>HYPERLINK("https://youtube.com/watch?v=UWmIAdFwIPw", "【花田遊學團：北海道】FLOWER FIELDS Tour: Hokkaido I 幼童廣東話遊學團 Kids Cantonese Tour I 廣東話教室 I 字幕/Subtitles")</f>
        <v>【花田遊學團：北海道】FLOWER FIELDS Tour: Hokkaido I 幼童廣東話遊學團 Kids Cantonese Tour I 廣東話教室 I 字幕/Subtitles</v>
      </c>
      <c r="E6306" s="82">
        <v>44935.0</v>
      </c>
      <c r="F6306" s="80">
        <v>512.0</v>
      </c>
      <c r="G6306" s="80" t="s">
        <v>63</v>
      </c>
      <c r="H6306" s="80" t="s">
        <v>63</v>
      </c>
      <c r="I6306" s="80" t="s">
        <v>63</v>
      </c>
      <c r="J6306" s="80">
        <v>1120.0</v>
      </c>
      <c r="K6306" s="80">
        <v>0.872954014029618</v>
      </c>
      <c r="L6306" s="80" t="s">
        <v>426</v>
      </c>
    </row>
    <row r="6307">
      <c r="A6307" s="80" t="s">
        <v>217</v>
      </c>
      <c r="B6307" s="81" t="str">
        <f>HYPERLINK("https://www.youtube.com/channel/UCXKg0qPRz32bs5Z4mTGF3TQ", "Stormtrooper白兵")</f>
        <v>Stormtrooper白兵</v>
      </c>
      <c r="C6307" s="80" t="s">
        <v>6822</v>
      </c>
      <c r="D6307" s="81" t="str">
        <f>HYPERLINK("https://youtube.com/watch?v=r22BKgtOkuM", "[經濟學人 The Economist]中國開關將嚴重影響世界經濟！｜有好有壞？｜香港有冇著數？｜解構經濟學人準確預測之謎！｜粵語字幕")</f>
        <v>[經濟學人 The Economist]中國開關將嚴重影響世界經濟！｜有好有壞？｜香港有冇著數？｜解構經濟學人準確預測之謎！｜粵語字幕</v>
      </c>
      <c r="E6307" s="82">
        <v>44943.0</v>
      </c>
      <c r="F6307" s="80">
        <v>761.0</v>
      </c>
      <c r="G6307" s="80" t="s">
        <v>63</v>
      </c>
      <c r="I6307" s="80" t="s">
        <v>63</v>
      </c>
      <c r="J6307" s="80">
        <v>3005.0</v>
      </c>
      <c r="K6307" s="80">
        <v>0.95761631612492</v>
      </c>
      <c r="L6307" s="80" t="s">
        <v>64</v>
      </c>
    </row>
    <row r="6308">
      <c r="A6308" s="80" t="s">
        <v>248</v>
      </c>
      <c r="B6308" s="81" t="str">
        <f>HYPERLINK("https://www.youtube.com/channel/UCUEJok-GiWaGlv5nIPwk-GQ", "Price.com.hk 香港格價網")</f>
        <v>Price.com.hk 香港格價網</v>
      </c>
      <c r="C6308" s="80" t="s">
        <v>6823</v>
      </c>
      <c r="D6308" s="81" t="str">
        <f>HYPERLINK("https://youtube.com/watch?v=k4WZZjtc7Bc", "Android 用家必學！5大實用功能&amp;軟件｜如何跨平台分享相片/檔案？｜手機秘技｜廣東話【Price.com.hk 應用教學】")</f>
        <v>Android 用家必學！5大實用功能&amp;軟件｜如何跨平台分享相片/檔案？｜手機秘技｜廣東話【Price.com.hk 應用教學】</v>
      </c>
      <c r="E6308" s="82">
        <v>44929.0</v>
      </c>
      <c r="F6308" s="80">
        <v>423.0</v>
      </c>
      <c r="G6308" s="80" t="s">
        <v>63</v>
      </c>
      <c r="I6308" s="80" t="s">
        <v>63</v>
      </c>
      <c r="J6308" s="80">
        <v>1413.0</v>
      </c>
      <c r="K6308" s="80">
        <v>0.622192866578599</v>
      </c>
      <c r="L6308" s="80" t="s">
        <v>64</v>
      </c>
    </row>
    <row r="6309">
      <c r="A6309" s="80" t="s">
        <v>6248</v>
      </c>
      <c r="B6309" s="81" t="str">
        <f>HYPERLINK("https://www.youtube.com/channel/UCmlr1is6e9bV34fgg3u0xng", "Ruby.S")</f>
        <v>Ruby.S</v>
      </c>
      <c r="C6309" s="80" t="s">
        <v>6824</v>
      </c>
      <c r="D6309" s="81" t="str">
        <f>HYPERLINK("https://youtube.com/watch?v=CGSGdeqOfgc", "@Rubys426    [輕鬆新手攀爬路線］獅子山｜傻人塔｜法藏寺出發2.5小時到達｜日落首選｜I believe I can hike Ep52 Ft. @山上遊人")</f>
        <v>@Rubys426    [輕鬆新手攀爬路線］獅子山｜傻人塔｜法藏寺出發2.5小時到達｜日落首選｜I believe I can hike Ep52 Ft. @山上遊人</v>
      </c>
      <c r="E6309" s="82">
        <v>44922.0</v>
      </c>
      <c r="F6309" s="80">
        <v>1846.0</v>
      </c>
      <c r="G6309" s="80" t="s">
        <v>63</v>
      </c>
      <c r="I6309" s="80" t="s">
        <v>63</v>
      </c>
      <c r="J6309" s="80">
        <v>2680.0</v>
      </c>
      <c r="K6309" s="80">
        <v>0.898123324396782</v>
      </c>
      <c r="L6309" s="80" t="s">
        <v>64</v>
      </c>
    </row>
    <row r="6310">
      <c r="A6310" s="80" t="s">
        <v>217</v>
      </c>
      <c r="B6310" s="81" t="str">
        <f>HYPERLINK("https://www.youtube.com/channel/UCXKg0qPRz32bs5Z4mTGF3TQ", "Stormtrooper白兵")</f>
        <v>Stormtrooper白兵</v>
      </c>
      <c r="C6310" s="80" t="s">
        <v>6825</v>
      </c>
      <c r="D6310" s="81" t="str">
        <f>HYPERLINK("https://youtube.com/watch?v=UYoWP5_VRis", "[經濟入門]無效最低工資比有效好？｜幫唔到手仲會歧視低技術工人？｜背後政治目的？｜粵語中字")</f>
        <v>[經濟入門]無效最低工資比有效好？｜幫唔到手仲會歧視低技術工人？｜背後政治目的？｜粵語中字</v>
      </c>
      <c r="E6310" s="82">
        <v>44945.0</v>
      </c>
      <c r="F6310" s="80">
        <v>705.0</v>
      </c>
      <c r="G6310" s="80" t="s">
        <v>63</v>
      </c>
      <c r="I6310" s="80" t="s">
        <v>63</v>
      </c>
      <c r="J6310" s="80">
        <v>3027.0</v>
      </c>
      <c r="K6310" s="80">
        <v>0.967401725790987</v>
      </c>
      <c r="L6310" s="80" t="s">
        <v>64</v>
      </c>
    </row>
    <row r="6311">
      <c r="A6311" s="80" t="s">
        <v>5912</v>
      </c>
      <c r="B6311" s="81" t="str">
        <f>HYPERLINK("https://www.youtube.com/channel/UCSJCx6i6QI2MFN0mDJnnTCw", "慢半拍製作")</f>
        <v>慢半拍製作</v>
      </c>
      <c r="C6311" s="80" t="s">
        <v>6826</v>
      </c>
      <c r="D6311" s="81" t="str">
        <f>HYPERLINK("https://youtube.com/watch?v=y7RPcDEKYSM", "學界男神女神大搜查 Ep.5 ：沙灘．海邊．學生妹（上）⛱｜慢半拍")</f>
        <v>學界男神女神大搜查 Ep.5 ：沙灘．海邊．學生妹（上）⛱｜慢半拍</v>
      </c>
      <c r="E6311" s="82">
        <v>44916.0</v>
      </c>
      <c r="F6311" s="80">
        <v>1006.0</v>
      </c>
      <c r="G6311" s="80" t="s">
        <v>63</v>
      </c>
      <c r="I6311" s="80" t="s">
        <v>63</v>
      </c>
      <c r="J6311" s="80">
        <v>2033.0</v>
      </c>
      <c r="K6311" s="80">
        <v>0.929159049360146</v>
      </c>
      <c r="L6311" s="80" t="s">
        <v>64</v>
      </c>
    </row>
    <row r="6312">
      <c r="A6312" s="80" t="s">
        <v>124</v>
      </c>
      <c r="B6312" s="81" t="str">
        <f>HYPERLINK("https://www.youtube.com/channel/UCg0vuSE0fBF_NvodyYhMcWg", "Wallace Studio HK")</f>
        <v>Wallace Studio HK</v>
      </c>
      <c r="C6312" s="80" t="s">
        <v>6827</v>
      </c>
      <c r="D6312" s="81" t="str">
        <f>HYPERLINK("https://youtube.com/watch?v=CZytL7RzBBo", "ASUS ROG Zephyrus M16 (2022) 好用！ 不過美中不足")</f>
        <v>ASUS ROG Zephyrus M16 (2022) 好用！ 不過美中不足</v>
      </c>
      <c r="E6312" s="82">
        <v>44926.0</v>
      </c>
      <c r="F6312" s="80">
        <v>527.0</v>
      </c>
      <c r="G6312" s="80" t="s">
        <v>63</v>
      </c>
      <c r="I6312" s="80" t="s">
        <v>63</v>
      </c>
      <c r="J6312" s="80">
        <v>2085.0</v>
      </c>
      <c r="K6312" s="80">
        <v>0.761782974059188</v>
      </c>
      <c r="L6312" s="80" t="s">
        <v>64</v>
      </c>
    </row>
    <row r="6313">
      <c r="A6313" s="80" t="s">
        <v>242</v>
      </c>
      <c r="B6313" s="81" t="str">
        <f>HYPERLINK("https://www.youtube.com/channel/UCZGVB6g74LXWtkR3fX50ykg", "Edwin H.")</f>
        <v>Edwin H.</v>
      </c>
      <c r="C6313" s="80" t="s">
        <v>6828</v>
      </c>
      <c r="D6313" s="81" t="str">
        <f>HYPERLINK("https://youtube.com/watch?v=R2UtI3paFGU", "Samsung Galaxy S23 發佈會 誠實豆沙包版 🥧 | 懶人包 中文 🟡  Galaxy S23 Ultra  🖊 Book3 Ultra 💻")</f>
        <v>Samsung Galaxy S23 發佈會 誠實豆沙包版 🥧 | 懶人包 中文 🟡  Galaxy S23 Ultra  🖊 Book3 Ultra 💻</v>
      </c>
      <c r="E6313" s="82">
        <v>44960.0</v>
      </c>
      <c r="F6313" s="80">
        <v>613.0</v>
      </c>
      <c r="G6313" s="80" t="s">
        <v>63</v>
      </c>
      <c r="I6313" s="80" t="s">
        <v>63</v>
      </c>
      <c r="J6313" s="80">
        <v>1882.0</v>
      </c>
      <c r="K6313" s="80">
        <v>0.788107202680067</v>
      </c>
      <c r="L6313" s="80" t="s">
        <v>64</v>
      </c>
    </row>
    <row r="6314">
      <c r="A6314" s="80" t="s">
        <v>6591</v>
      </c>
      <c r="B6314" s="81" t="str">
        <f>HYPERLINK("https://www.youtube.com/channel/UC0DpBgpq_gR7TaNDIvJYZag", "TalkFood")</f>
        <v>TalkFood</v>
      </c>
      <c r="C6314" s="80" t="s">
        <v>6829</v>
      </c>
      <c r="D6314" s="81" t="str">
        <f>HYPERLINK("https://youtube.com/watch?v=w1DCIm6-udI", "【18區搵食-嚟天水圍唔去新北江 大把好嘢食！唔係唔食芒果煎肉餅啩？】")</f>
        <v>【18區搵食-嚟天水圍唔去新北江 大把好嘢食！唔係唔食芒果煎肉餅啩？】</v>
      </c>
      <c r="E6314" s="82">
        <v>44945.0</v>
      </c>
      <c r="F6314" s="80">
        <v>867.0</v>
      </c>
      <c r="G6314" s="80" t="s">
        <v>63</v>
      </c>
      <c r="I6314" s="80" t="s">
        <v>63</v>
      </c>
      <c r="J6314" s="80">
        <v>2432.0</v>
      </c>
      <c r="K6314" s="80">
        <v>0.961644918940292</v>
      </c>
      <c r="L6314" s="80" t="s">
        <v>91</v>
      </c>
    </row>
    <row r="6315">
      <c r="A6315" s="80" t="s">
        <v>743</v>
      </c>
      <c r="B6315" s="81" t="str">
        <f>HYPERLINK("https://www.youtube.com/channel/UCe6qQ8zbYQJgTBnZ9wBzm9w", "Willy Lee")</f>
        <v>Willy Lee</v>
      </c>
      <c r="C6315" s="80" t="s">
        <v>6830</v>
      </c>
      <c r="D6315" s="81" t="str">
        <f>HYPERLINK("https://youtube.com/watch?v=gTx4Ws_KMR0", "🇮🇩【峇里】行上火山頂睇日出燒天雲海！打韆鞦瘋狂打卡！浸住泳池欣賞絕美梯田！近距離感受澎湃瀑布！除左打卡，都係打卡！峇里打卡之旅 - Willy Lee")</f>
        <v>🇮🇩【峇里】行上火山頂睇日出燒天雲海！打韆鞦瘋狂打卡！浸住泳池欣賞絕美梯田！近距離感受澎湃瀑布！除左打卡，都係打卡！峇里打卡之旅 - Willy Lee</v>
      </c>
      <c r="E6315" s="82">
        <v>44953.0</v>
      </c>
      <c r="F6315" s="80">
        <v>662.0</v>
      </c>
      <c r="G6315" s="80" t="s">
        <v>63</v>
      </c>
      <c r="I6315" s="80" t="s">
        <v>63</v>
      </c>
      <c r="J6315" s="80">
        <v>1113.0</v>
      </c>
      <c r="K6315" s="80">
        <v>0.918316831683168</v>
      </c>
      <c r="L6315" s="80" t="s">
        <v>64</v>
      </c>
    </row>
    <row r="6316">
      <c r="A6316" s="80" t="s">
        <v>1594</v>
      </c>
      <c r="B6316" s="81" t="str">
        <f>HYPERLINK("https://www.youtube.com/channel/UCUtm1awT2EO9D7uJ2OlMcTQ", "黐住這一家 Sticky Love Family")</f>
        <v>黐住這一家 Sticky Love Family</v>
      </c>
      <c r="C6316" s="80" t="s">
        <v>6831</v>
      </c>
      <c r="D6316" s="81" t="str">
        <f>HYPERLINK("https://youtube.com/watch?v=eweSBQkxL78", "【粵語 | 廣東話 社交故事👦🏻💬🧒🏻】❝點解唔好隨便學人？❞ 唔好人做你就做 ❌ 如何處理朋輩的影響🤔❓ [ Eng Sub| 繁簡粵語字幕 ]")</f>
        <v>【粵語 | 廣東話 社交故事👦🏻💬🧒🏻】❝點解唔好隨便學人？❞ 唔好人做你就做 ❌ 如何處理朋輩的影響🤔❓ [ Eng Sub| 繁簡粵語字幕 ]</v>
      </c>
      <c r="E6316" s="82">
        <v>44958.0</v>
      </c>
      <c r="F6316" s="80">
        <v>286.0</v>
      </c>
      <c r="G6316" s="80" t="s">
        <v>63</v>
      </c>
      <c r="H6316" s="80" t="s">
        <v>63</v>
      </c>
      <c r="I6316" s="80" t="s">
        <v>63</v>
      </c>
      <c r="J6316" s="80">
        <v>1157.0</v>
      </c>
      <c r="K6316" s="80">
        <v>0.995697074010327</v>
      </c>
      <c r="L6316" s="80" t="s">
        <v>1596</v>
      </c>
    </row>
    <row r="6317">
      <c r="A6317" s="80" t="s">
        <v>5912</v>
      </c>
      <c r="B6317" s="81" t="str">
        <f>HYPERLINK("https://www.youtube.com/channel/UCSJCx6i6QI2MFN0mDJnnTCw", "慢半拍製作")</f>
        <v>慢半拍製作</v>
      </c>
      <c r="C6317" s="80" t="s">
        <v>6832</v>
      </c>
      <c r="D6317" s="81" t="str">
        <f>HYPERLINK("https://youtube.com/watch?v=50FOmdQt82E", "學界男神女神大搜查 Ep.5 ：沙灘．海邊．學生妹（下）🥥｜慢半拍")</f>
        <v>學界男神女神大搜查 Ep.5 ：沙灘．海邊．學生妹（下）🥥｜慢半拍</v>
      </c>
      <c r="E6317" s="82">
        <v>44917.0</v>
      </c>
      <c r="F6317" s="80">
        <v>1251.0</v>
      </c>
      <c r="G6317" s="80" t="s">
        <v>63</v>
      </c>
      <c r="I6317" s="80" t="s">
        <v>63</v>
      </c>
      <c r="J6317" s="80">
        <v>2158.0</v>
      </c>
      <c r="K6317" s="80">
        <v>0.834170854271356</v>
      </c>
      <c r="L6317" s="80" t="s">
        <v>745</v>
      </c>
    </row>
    <row r="6318">
      <c r="A6318" s="80" t="s">
        <v>6591</v>
      </c>
      <c r="B6318" s="81" t="str">
        <f>HYPERLINK("https://www.youtube.com/channel/UC0DpBgpq_gR7TaNDIvJYZag", "TalkFood")</f>
        <v>TalkFood</v>
      </c>
      <c r="C6318" s="80" t="s">
        <v>6833</v>
      </c>
      <c r="D6318" s="81" t="str">
        <f>HYPERLINK("https://youtube.com/watch?v=wFvFvWmubHo", "【18區搵食-直踩火炭工廠買糕點之成功解鎖新體驗】")</f>
        <v>【18區搵食-直踩火炭工廠買糕點之成功解鎖新體驗】</v>
      </c>
      <c r="E6318" s="82">
        <v>44924.0</v>
      </c>
      <c r="F6318" s="80">
        <v>1326.0</v>
      </c>
      <c r="G6318" s="80" t="s">
        <v>63</v>
      </c>
      <c r="I6318" s="80" t="s">
        <v>63</v>
      </c>
      <c r="J6318" s="80">
        <v>4094.0</v>
      </c>
      <c r="K6318" s="80">
        <v>0.970142180094786</v>
      </c>
      <c r="L6318" s="80" t="s">
        <v>91</v>
      </c>
    </row>
    <row r="6319">
      <c r="A6319" s="80" t="s">
        <v>755</v>
      </c>
      <c r="B6319" s="81" t="str">
        <f>HYPERLINK("https://www.youtube.com/channel/UCBiJDTc82IM68KVH873VeAw", "Live in Kwangsi廣西人·情·味")</f>
        <v>Live in Kwangsi廣西人·情·味</v>
      </c>
      <c r="C6319" s="80" t="s">
        <v>6834</v>
      </c>
      <c r="D6319" s="81" t="str">
        <f>HYPERLINK("https://youtube.com/watch?v=B0qoQ9Qbz_I", "鍾山縣荷塘村走走｜廣西日常實拍 20230114")</f>
        <v>鍾山縣荷塘村走走｜廣西日常實拍 20230114</v>
      </c>
      <c r="E6319" s="82">
        <v>44941.0</v>
      </c>
      <c r="F6319" s="80">
        <v>1427.0</v>
      </c>
      <c r="G6319" s="80" t="s">
        <v>63</v>
      </c>
      <c r="I6319" s="80" t="s">
        <v>63</v>
      </c>
      <c r="J6319" s="80">
        <v>915.0</v>
      </c>
      <c r="K6319" s="80">
        <v>0.99025974025974</v>
      </c>
      <c r="L6319" s="80" t="s">
        <v>757</v>
      </c>
    </row>
    <row r="6320">
      <c r="A6320" s="80" t="s">
        <v>1594</v>
      </c>
      <c r="B6320" s="81" t="str">
        <f>HYPERLINK("https://www.youtube.com/channel/UCUtm1awT2EO9D7uJ2OlMcTQ", "黐住這一家 Sticky Love Family")</f>
        <v>黐住這一家 Sticky Love Family</v>
      </c>
      <c r="C6320" s="80" t="s">
        <v>6835</v>
      </c>
      <c r="D6320" s="81" t="str">
        <f>HYPERLINK("https://youtube.com/watch?v=lx_x6OGVPk8", "【黐住玩，一齊學👦🏻🧒🏻Vol.2】GIVEAWAY 送禮物！迪士尼美語世界 World Family Club 有咩玩？陪我哋挑戰任務啦！[粵繁簡字幕 ]")</f>
        <v>【黐住玩，一齊學👦🏻🧒🏻Vol.2】GIVEAWAY 送禮物！迪士尼美語世界 World Family Club 有咩玩？陪我哋挑戰任務啦！[粵繁簡字幕 ]</v>
      </c>
      <c r="E6320" s="82">
        <v>44943.0</v>
      </c>
      <c r="F6320" s="80">
        <v>310.0</v>
      </c>
      <c r="G6320" s="80" t="s">
        <v>63</v>
      </c>
      <c r="H6320" s="80" t="s">
        <v>63</v>
      </c>
      <c r="I6320" s="80" t="s">
        <v>63</v>
      </c>
      <c r="J6320" s="80">
        <v>993.0</v>
      </c>
      <c r="K6320" s="80">
        <v>0.732300884955752</v>
      </c>
      <c r="L6320" s="80" t="s">
        <v>6573</v>
      </c>
    </row>
    <row r="6321">
      <c r="A6321" s="80" t="s">
        <v>248</v>
      </c>
      <c r="B6321" s="81" t="str">
        <f>HYPERLINK("https://www.youtube.com/channel/UCUEJok-GiWaGlv5nIPwk-GQ", "Price.com.hk 香港格價網")</f>
        <v>Price.com.hk 香港格價網</v>
      </c>
      <c r="C6321" s="80" t="s">
        <v>6836</v>
      </c>
      <c r="D6321" s="81" t="str">
        <f>HYPERLINK("https://youtube.com/watch?v=O9JQwYOjtHQ", "唔想再飲翻煲水，家居水機要點揀？｜蝸居到大家庭｜入手必睇｜空氣淨化｜廣東話【Price.com.hk 特約專題】")</f>
        <v>唔想再飲翻煲水，家居水機要點揀？｜蝸居到大家庭｜入手必睇｜空氣淨化｜廣東話【Price.com.hk 特約專題】</v>
      </c>
      <c r="E6321" s="82">
        <v>44930.0</v>
      </c>
      <c r="F6321" s="80">
        <v>348.0</v>
      </c>
      <c r="G6321" s="80" t="s">
        <v>63</v>
      </c>
      <c r="I6321" s="80" t="s">
        <v>63</v>
      </c>
      <c r="J6321" s="80">
        <v>1191.0</v>
      </c>
      <c r="K6321" s="80">
        <v>0.86934306569343</v>
      </c>
      <c r="L6321" s="80" t="s">
        <v>64</v>
      </c>
    </row>
    <row r="6322">
      <c r="A6322" s="80" t="s">
        <v>2761</v>
      </c>
      <c r="B6322" s="81" t="str">
        <f>HYPERLINK("https://www.youtube.com/channel/UCr_L9cZdbBU_XDsKDHBBlew", "am730")</f>
        <v>am730</v>
      </c>
      <c r="C6322" s="80" t="s">
        <v>6837</v>
      </c>
      <c r="D6322" s="81" t="str">
        <f>HYPERLINK("https://youtube.com/watch?v=mmxVKcznF-A", "大劉記招｜劉鑾雄記者會精華版  論盡呂麗君蕭若元 連Eason都有份")</f>
        <v>大劉記招｜劉鑾雄記者會精華版  論盡呂麗君蕭若元 連Eason都有份</v>
      </c>
      <c r="E6322" s="82">
        <v>44930.0</v>
      </c>
      <c r="F6322" s="80">
        <v>1128.0</v>
      </c>
      <c r="G6322" s="80" t="s">
        <v>63</v>
      </c>
      <c r="I6322" s="80" t="s">
        <v>63</v>
      </c>
      <c r="J6322" s="80">
        <v>3270.0</v>
      </c>
      <c r="K6322" s="80">
        <v>0.965171192443919</v>
      </c>
      <c r="L6322" s="80" t="s">
        <v>91</v>
      </c>
    </row>
    <row r="6323">
      <c r="A6323" s="80" t="s">
        <v>217</v>
      </c>
      <c r="B6323" s="81" t="str">
        <f>HYPERLINK("https://www.youtube.com/channel/UCXKg0qPRz32bs5Z4mTGF3TQ", "Stormtrooper白兵")</f>
        <v>Stormtrooper白兵</v>
      </c>
      <c r="C6323" s="80" t="s">
        <v>6838</v>
      </c>
      <c r="D6323" s="81" t="str">
        <f>HYPERLINK("https://youtube.com/watch?v=PiZU8_z14tk", "[定期玩命]Twitter大爆 西隧 如何向社交平台施壓，以確保不影響email銷售及令人民保持恐慌！｜粵語字幕")</f>
        <v>[定期玩命]Twitter大爆 西隧 如何向社交平台施壓，以確保不影響email銷售及令人民保持恐慌！｜粵語字幕</v>
      </c>
      <c r="E6323" s="82">
        <v>44938.0</v>
      </c>
      <c r="F6323" s="80">
        <v>857.0</v>
      </c>
      <c r="G6323" s="80" t="s">
        <v>63</v>
      </c>
      <c r="I6323" s="80" t="s">
        <v>63</v>
      </c>
      <c r="J6323" s="80">
        <v>2965.0</v>
      </c>
      <c r="K6323" s="80">
        <v>0.776788053445113</v>
      </c>
      <c r="L6323" s="80" t="s">
        <v>64</v>
      </c>
    </row>
    <row r="6324">
      <c r="A6324" s="80" t="s">
        <v>248</v>
      </c>
      <c r="B6324" s="81" t="str">
        <f>HYPERLINK("https://www.youtube.com/channel/UCUEJok-GiWaGlv5nIPwk-GQ", "Price.com.hk 香港格價網")</f>
        <v>Price.com.hk 香港格價網</v>
      </c>
      <c r="C6324" s="80" t="s">
        <v>6839</v>
      </c>
      <c r="D6324" s="81" t="str">
        <f>HYPERLINK("https://youtube.com/watch?v=3FbSWZRKpRc", "2022年度耳機！12款真無線耳機評測 | 由平到貴唔同budget點揀好？ | Price編輯部推薦 | 廣東話【Price.com.hk產品評測】")</f>
        <v>2022年度耳機！12款真無線耳機評測 | 由平到貴唔同budget點揀好？ | Price編輯部推薦 | 廣東話【Price.com.hk產品評測】</v>
      </c>
      <c r="E6324" s="82">
        <v>44924.0</v>
      </c>
      <c r="F6324" s="80">
        <v>1873.0</v>
      </c>
      <c r="G6324" s="80" t="s">
        <v>63</v>
      </c>
      <c r="I6324" s="80" t="s">
        <v>63</v>
      </c>
      <c r="J6324" s="80">
        <v>4450.0</v>
      </c>
      <c r="K6324" s="80">
        <v>0.786914235190097</v>
      </c>
      <c r="L6324" s="80" t="s">
        <v>64</v>
      </c>
    </row>
    <row r="6325">
      <c r="A6325" s="80" t="s">
        <v>5134</v>
      </c>
      <c r="B6325" s="81" t="str">
        <f>HYPERLINK("https://www.youtube.com/channel/UCGq7xle9PrLHpmdxrk0IlLw", "磚加專家 Danny Ching Top10%地產局金牌經紀百萬圓桌")</f>
        <v>磚加專家 Danny Ching Top10%地產局金牌經紀百萬圓桌</v>
      </c>
      <c r="C6325" s="80" t="s">
        <v>6840</v>
      </c>
      <c r="D6325" s="81" t="str">
        <f>HYPERLINK("https://youtube.com/watch?v=vlTts5rHjOE", "【字幕】79.9萬全新城市屋 2023大崩盤 50%OFF 溫哥華價錢 The LOOP 最大1700尺4房 27分鐘到溫哥華列治文 屋苑自家""行山徑"" 全新 中小學+社區中心 香港人熱點 196單位")</f>
        <v>【字幕】79.9萬全新城市屋 2023大崩盤 50%OFF 溫哥華價錢 The LOOP 最大1700尺4房 27分鐘到溫哥華列治文 屋苑自家"行山徑" 全新 中小學+社區中心 香港人熱點 196單位</v>
      </c>
      <c r="E6325" s="82">
        <v>44959.0</v>
      </c>
      <c r="F6325" s="80">
        <v>4927.0</v>
      </c>
      <c r="G6325" s="80" t="s">
        <v>63</v>
      </c>
      <c r="I6325" s="80" t="s">
        <v>63</v>
      </c>
      <c r="J6325" s="80">
        <v>13781.0</v>
      </c>
      <c r="K6325" s="80">
        <v>0.779512415860625</v>
      </c>
      <c r="L6325" s="80" t="s">
        <v>102</v>
      </c>
    </row>
    <row r="6326">
      <c r="A6326" s="80" t="s">
        <v>1492</v>
      </c>
      <c r="B6326" s="81" t="str">
        <f>HYPERLINK("https://www.youtube.com/channel/UCTo1EIcKtkDYqiUqs4v_NlA", "【常公子】頻道TV - 中文中史歷史哲學")</f>
        <v>【常公子】頻道TV - 中文中史歷史哲學</v>
      </c>
      <c r="C6326" s="80" t="s">
        <v>6841</v>
      </c>
      <c r="D6326" s="81" t="str">
        <f>HYPERLINK("https://youtube.com/watch?v=_NPFlIX04Eg", "【常威近代史】第第五百一拾三回平民蔣介石見日本總理內閣大臣")</f>
        <v>【常威近代史】第第五百一拾三回平民蔣介石見日本總理內閣大臣</v>
      </c>
      <c r="E6326" s="82">
        <v>44926.0</v>
      </c>
      <c r="F6326" s="80">
        <v>709.0</v>
      </c>
      <c r="G6326" s="80" t="s">
        <v>63</v>
      </c>
      <c r="I6326" s="80" t="s">
        <v>63</v>
      </c>
      <c r="J6326" s="80">
        <v>1566.0</v>
      </c>
      <c r="K6326" s="80">
        <v>0.946223564954682</v>
      </c>
      <c r="L6326" s="80" t="s">
        <v>64</v>
      </c>
    </row>
    <row r="6327">
      <c r="A6327" s="80" t="s">
        <v>2800</v>
      </c>
      <c r="B6327" s="81" t="str">
        <f>HYPERLINK("https://www.youtube.com/channel/UCMqrlsr-AECPc6_3oDr8m9w", "Unicorn 獸哥")</f>
        <v>Unicorn 獸哥</v>
      </c>
      <c r="C6327" s="80" t="s">
        <v>6842</v>
      </c>
      <c r="D6327" s="81" t="str">
        <f>HYPERLINK("https://youtube.com/watch?v=ktY76BdRGvA", "【戲評】香港人基層的疫下悲歌 窄路微塵 CC字幕")</f>
        <v>【戲評】香港人基層的疫下悲歌 窄路微塵 CC字幕</v>
      </c>
      <c r="E6327" s="82">
        <v>44936.0</v>
      </c>
      <c r="F6327" s="80">
        <v>483.0</v>
      </c>
      <c r="G6327" s="80" t="s">
        <v>63</v>
      </c>
      <c r="I6327" s="80" t="s">
        <v>63</v>
      </c>
      <c r="J6327" s="80">
        <v>2253.0</v>
      </c>
      <c r="K6327" s="80">
        <v>0.957501062473438</v>
      </c>
      <c r="L6327" s="80" t="s">
        <v>64</v>
      </c>
    </row>
    <row r="6328">
      <c r="A6328" s="80" t="s">
        <v>755</v>
      </c>
      <c r="B6328" s="81" t="str">
        <f>HYPERLINK("https://www.youtube.com/channel/UCBiJDTc82IM68KVH873VeAw", "Live in Kwangsi廣西人·情·味")</f>
        <v>Live in Kwangsi廣西人·情·味</v>
      </c>
      <c r="C6328" s="80" t="s">
        <v>6843</v>
      </c>
      <c r="D6328" s="81" t="str">
        <f>HYPERLINK("https://youtube.com/watch?v=RCBc3G-dpb0", "賀州市全新嘅永豐湖公園｜廣西日常實拍 20221217")</f>
        <v>賀州市全新嘅永豐湖公園｜廣西日常實拍 20221217</v>
      </c>
      <c r="E6328" s="82">
        <v>44943.0</v>
      </c>
      <c r="F6328" s="80">
        <v>115.0</v>
      </c>
      <c r="G6328" s="80" t="s">
        <v>63</v>
      </c>
      <c r="I6328" s="80" t="s">
        <v>63</v>
      </c>
      <c r="J6328" s="80">
        <v>22.0</v>
      </c>
      <c r="K6328" s="80">
        <v>1.0</v>
      </c>
      <c r="L6328" s="80" t="s">
        <v>757</v>
      </c>
    </row>
    <row r="6329">
      <c r="A6329" s="80" t="s">
        <v>2800</v>
      </c>
      <c r="B6329" s="81" t="str">
        <f>HYPERLINK("https://www.youtube.com/channel/UCMqrlsr-AECPc6_3oDr8m9w", "Unicorn 獸哥")</f>
        <v>Unicorn 獸哥</v>
      </c>
      <c r="C6329" s="80" t="s">
        <v>6844</v>
      </c>
      <c r="D6329" s="81" t="str">
        <f>HYPERLINK("https://youtube.com/watch?v=lxNOAgh5zko", "【戲評】有不足嗎？但依然感動流涕！THE FIRST SLAM DUNK CC字幕")</f>
        <v>【戲評】有不足嗎？但依然感動流涕！THE FIRST SLAM DUNK CC字幕</v>
      </c>
      <c r="E6329" s="82">
        <v>44944.0</v>
      </c>
      <c r="F6329" s="80">
        <v>458.0</v>
      </c>
      <c r="G6329" s="80" t="s">
        <v>63</v>
      </c>
      <c r="I6329" s="80" t="s">
        <v>63</v>
      </c>
      <c r="J6329" s="80">
        <v>2093.0</v>
      </c>
      <c r="K6329" s="80">
        <v>0.941520467836257</v>
      </c>
      <c r="L6329" s="80" t="s">
        <v>64</v>
      </c>
    </row>
    <row r="6330">
      <c r="A6330" s="80" t="s">
        <v>242</v>
      </c>
      <c r="B6330" s="81" t="str">
        <f t="shared" ref="B6330:B6331" si="364">HYPERLINK("https://www.youtube.com/channel/UCZGVB6g74LXWtkR3fX50ykg", "Edwin H.")</f>
        <v>Edwin H.</v>
      </c>
      <c r="C6330" s="80" t="s">
        <v>6845</v>
      </c>
      <c r="D6330" s="81" t="str">
        <f>HYPERLINK("https://youtube.com/watch?v=gzk7-XUxzTk", "2023全年必睇！ 82件產品 CES 2023 終極懶人包 全集 Part 2 🧨 2023的年度必睇科技新品 ⚙️ 智能家居機器人🦾 新人類科技 🤖 將會改變未來！")</f>
        <v>2023全年必睇！ 82件產品 CES 2023 終極懶人包 全集 Part 2 🧨 2023的年度必睇科技新品 ⚙️ 智能家居機器人🦾 新人類科技 🤖 將會改變未來！</v>
      </c>
      <c r="E6330" s="82">
        <v>44947.0</v>
      </c>
      <c r="F6330" s="80">
        <v>1587.0</v>
      </c>
      <c r="G6330" s="80" t="s">
        <v>63</v>
      </c>
      <c r="I6330" s="80" t="s">
        <v>63</v>
      </c>
      <c r="J6330" s="80">
        <v>6841.0</v>
      </c>
      <c r="K6330" s="80">
        <v>0.792424417931194</v>
      </c>
      <c r="L6330" s="80" t="s">
        <v>64</v>
      </c>
    </row>
    <row r="6331">
      <c r="A6331" s="80" t="s">
        <v>242</v>
      </c>
      <c r="B6331" s="81" t="str">
        <f t="shared" si="364"/>
        <v>Edwin H.</v>
      </c>
      <c r="C6331" s="80" t="s">
        <v>6846</v>
      </c>
      <c r="D6331" s="81" t="str">
        <f>HYPERLINK("https://youtube.com/watch?v=dmhd4wiIlzU", "1分鐘精華 🍎 Apple 2023 發佈會  M2 Mac Mini 🖥️  MacBook Pro 💻 M2 Pro 🍪 M2 Max  📺 懶人包 🍞 中文")</f>
        <v>1分鐘精華 🍎 Apple 2023 發佈會  M2 Mac Mini 🖥️  MacBook Pro 💻 M2 Pro 🍪 M2 Max  📺 懶人包 🍞 中文</v>
      </c>
      <c r="E6331" s="82">
        <v>44943.0</v>
      </c>
      <c r="F6331" s="80">
        <v>111.0</v>
      </c>
      <c r="G6331" s="80" t="s">
        <v>63</v>
      </c>
      <c r="I6331" s="80" t="s">
        <v>63</v>
      </c>
      <c r="J6331" s="80">
        <v>376.0</v>
      </c>
      <c r="K6331" s="80">
        <v>0.623548922056384</v>
      </c>
      <c r="L6331" s="80" t="s">
        <v>64</v>
      </c>
    </row>
    <row r="6332">
      <c r="A6332" s="80" t="s">
        <v>140</v>
      </c>
      <c r="B6332" s="81" t="str">
        <f>HYPERLINK("https://www.youtube.com/channel/UCHK0CZf9HEXs42qIO1GUouA", "TechiCardia")</f>
        <v>TechiCardia</v>
      </c>
      <c r="C6332" s="80" t="s">
        <v>6847</v>
      </c>
      <c r="D6332" s="81" t="str">
        <f>HYPERLINK("https://youtube.com/watch?v=R-GSnyz2B9I", "RTX 4070 Ti 值得買？ 🤔呢張卡係 M-ATX、ITX主機恩物？| 遊戲跑分、真實效能詳細測試！| ZOTAC Trinity OC | 4K【TechiCardia】[cc廣東話字幕]")</f>
        <v>RTX 4070 Ti 值得買？ 🤔呢張卡係 M-ATX、ITX主機恩物？| 遊戲跑分、真實效能詳細測試！| ZOTAC Trinity OC | 4K【TechiCardia】[cc廣東話字幕]</v>
      </c>
      <c r="E6332" s="82">
        <v>44930.0</v>
      </c>
      <c r="F6332" s="80">
        <v>1105.0</v>
      </c>
      <c r="G6332" s="80" t="s">
        <v>63</v>
      </c>
      <c r="I6332" s="80" t="s">
        <v>63</v>
      </c>
      <c r="J6332" s="80">
        <v>3075.0</v>
      </c>
      <c r="K6332" s="80">
        <v>0.630252100840336</v>
      </c>
      <c r="L6332" s="80" t="s">
        <v>102</v>
      </c>
    </row>
    <row r="6333">
      <c r="A6333" s="80" t="s">
        <v>6248</v>
      </c>
      <c r="B6333" s="81" t="str">
        <f>HYPERLINK("https://www.youtube.com/channel/UCmlr1is6e9bV34fgg3u0xng", "Ruby.S")</f>
        <v>Ruby.S</v>
      </c>
      <c r="C6333" s="80" t="s">
        <v>6848</v>
      </c>
      <c r="D6333" s="81" t="str">
        <f>HYPERLINK("https://youtube.com/watch?v=ctyq_40RmPs", "@Rubys426  ［露營系列］西貢水浪窩｜免費營地有旱廁有水源｜日出觀星BBQ | 新手20分鐘到達I believe I can hike EP5|  ft.  @LoJay-Channel")</f>
        <v>@Rubys426  ［露營系列］西貢水浪窩｜免費營地有旱廁有水源｜日出觀星BBQ | 新手20分鐘到達I believe I can hike EP5|  ft.  @LoJay-Channel</v>
      </c>
      <c r="E6333" s="82">
        <v>44938.0</v>
      </c>
      <c r="F6333" s="80">
        <v>1215.0</v>
      </c>
      <c r="G6333" s="80" t="s">
        <v>63</v>
      </c>
      <c r="I6333" s="80" t="s">
        <v>63</v>
      </c>
      <c r="J6333" s="80">
        <v>1595.0</v>
      </c>
      <c r="K6333" s="80">
        <v>0.84525702172761</v>
      </c>
      <c r="L6333" s="80" t="s">
        <v>64</v>
      </c>
    </row>
    <row r="6334">
      <c r="A6334" s="80" t="s">
        <v>124</v>
      </c>
      <c r="B6334" s="81" t="str">
        <f>HYPERLINK("https://www.youtube.com/channel/UCg0vuSE0fBF_NvodyYhMcWg", "Wallace Studio HK")</f>
        <v>Wallace Studio HK</v>
      </c>
      <c r="C6334" s="80" t="s">
        <v>6849</v>
      </c>
      <c r="D6334" s="81" t="str">
        <f>HYPERLINK("https://youtube.com/watch?v=hLC8gDMfw98", "iPad OS 16.2 Stage Manager !生產力大幅提高!  iPad Pro 取代電腦成就解鎖!?｜Stage Manager 使用教學及分析| iPad OS 生產力分析2023")</f>
        <v>iPad OS 16.2 Stage Manager !生產力大幅提高!  iPad Pro 取代電腦成就解鎖!?｜Stage Manager 使用教學及分析| iPad OS 生產力分析2023</v>
      </c>
      <c r="E6334" s="82">
        <v>44933.0</v>
      </c>
      <c r="F6334" s="80">
        <v>478.0</v>
      </c>
      <c r="G6334" s="80" t="s">
        <v>63</v>
      </c>
      <c r="H6334" s="80" t="s">
        <v>63</v>
      </c>
      <c r="I6334" s="80" t="s">
        <v>63</v>
      </c>
      <c r="J6334" s="80">
        <v>1967.0</v>
      </c>
      <c r="K6334" s="80">
        <v>0.770466118292205</v>
      </c>
      <c r="L6334" s="80" t="s">
        <v>86</v>
      </c>
    </row>
    <row r="6335">
      <c r="A6335" s="80" t="s">
        <v>1492</v>
      </c>
      <c r="B6335" s="81" t="str">
        <f>HYPERLINK("https://www.youtube.com/channel/UCTo1EIcKtkDYqiUqs4v_NlA", "【常公子】頻道TV - 中文中史歷史哲學")</f>
        <v>【常公子】頻道TV - 中文中史歷史哲學</v>
      </c>
      <c r="C6335" s="80" t="s">
        <v>6850</v>
      </c>
      <c r="D6335" s="81" t="str">
        <f>HYPERLINK("https://youtube.com/watch?v=Wlxm6nvpXpU", "【常威近代史】第五百一拾五回史太林完勝托洛斯基理所當然")</f>
        <v>【常威近代史】第五百一拾五回史太林完勝托洛斯基理所當然</v>
      </c>
      <c r="E6335" s="82">
        <v>44940.0</v>
      </c>
      <c r="F6335" s="80">
        <v>621.0</v>
      </c>
      <c r="G6335" s="80" t="s">
        <v>63</v>
      </c>
      <c r="I6335" s="80" t="s">
        <v>63</v>
      </c>
      <c r="J6335" s="80">
        <v>1615.0</v>
      </c>
      <c r="K6335" s="80">
        <v>0.99079754601227</v>
      </c>
      <c r="L6335" s="80" t="s">
        <v>64</v>
      </c>
    </row>
    <row r="6336">
      <c r="A6336" s="80" t="s">
        <v>124</v>
      </c>
      <c r="B6336" s="81" t="str">
        <f>HYPERLINK("https://www.youtube.com/channel/UCg0vuSE0fBF_NvodyYhMcWg", "Wallace Studio HK")</f>
        <v>Wallace Studio HK</v>
      </c>
      <c r="C6336" s="80" t="s">
        <v>6851</v>
      </c>
      <c r="D6336" s="81" t="str">
        <f>HYPERLINK("https://youtube.com/watch?v=T91A8IUODWc", "識買一定買Pro ?  其實未必 （iPhone 14 Pro vs iPhone 14）")</f>
        <v>識買一定買Pro ?  其實未必 （iPhone 14 Pro vs iPhone 14）</v>
      </c>
      <c r="E6336" s="82">
        <v>44925.0</v>
      </c>
      <c r="F6336" s="80">
        <v>453.0</v>
      </c>
      <c r="G6336" s="80" t="s">
        <v>63</v>
      </c>
      <c r="I6336" s="80" t="s">
        <v>63</v>
      </c>
      <c r="J6336" s="80">
        <v>1568.0</v>
      </c>
      <c r="K6336" s="80">
        <v>0.680555555555555</v>
      </c>
      <c r="L6336" s="80" t="s">
        <v>64</v>
      </c>
    </row>
    <row r="6337">
      <c r="A6337" s="80" t="s">
        <v>2841</v>
      </c>
      <c r="B6337" s="81" t="str">
        <f>HYPERLINK("https://www.youtube.com/channel/UCBYGm7Iz6ck8jeno5AFiriw", "Seafront TV")</f>
        <v>Seafront TV</v>
      </c>
      <c r="C6337" s="80" t="s">
        <v>6852</v>
      </c>
      <c r="D6337" s="81" t="str">
        <f>HYPERLINK("https://youtube.com/watch?v=Cv81Ivmfm0o", "【未來你會後悔冇做工程屆環保撚】科大工學士（可持續能源工程學）HKUST BEng in Sustainable Energy Engineering #大學MAJOR系列 | Seafront TV")</f>
        <v>【未來你會後悔冇做工程屆環保撚】科大工學士（可持續能源工程學）HKUST BEng in Sustainable Energy Engineering #大學MAJOR系列 | Seafront TV</v>
      </c>
      <c r="E6337" s="82">
        <v>44926.0</v>
      </c>
      <c r="F6337" s="80">
        <v>1017.0</v>
      </c>
      <c r="G6337" s="80" t="s">
        <v>63</v>
      </c>
      <c r="I6337" s="80" t="s">
        <v>63</v>
      </c>
      <c r="J6337" s="80">
        <v>3241.0</v>
      </c>
      <c r="K6337" s="80">
        <v>0.526991869918699</v>
      </c>
      <c r="L6337" s="80" t="s">
        <v>102</v>
      </c>
    </row>
    <row r="6338">
      <c r="A6338" s="80" t="s">
        <v>2766</v>
      </c>
      <c r="B6338" s="81" t="str">
        <f>HYPERLINK("https://www.youtube.com/channel/UCrZG5sGryxwgSDQSlHgmZTw", "GadgetGang HK")</f>
        <v>GadgetGang HK</v>
      </c>
      <c r="C6338" s="80" t="s">
        <v>6853</v>
      </c>
      <c r="D6338" s="81" t="str">
        <f>HYPERLINK("https://youtube.com/watch?v=gjgEvXXz5-Y", "科技新G CC中文字幕〡CES  ASUS世界初裸眼3D OLED筆電〡香港Safari經騰訊過濾+解決方法〡Sony電動車2026確定推出〡BMW E Link 隨時變色車身〡iPhone 換電加價")</f>
        <v>科技新G CC中文字幕〡CES  ASUS世界初裸眼3D OLED筆電〡香港Safari經騰訊過濾+解決方法〡Sony電動車2026確定推出〡BMW E Link 隨時變色車身〡iPhone 換電加價</v>
      </c>
      <c r="E6338" s="82">
        <v>44934.0</v>
      </c>
      <c r="F6338" s="80">
        <v>912.0</v>
      </c>
      <c r="G6338" s="80" t="s">
        <v>63</v>
      </c>
      <c r="I6338" s="80" t="s">
        <v>63</v>
      </c>
      <c r="J6338" s="80">
        <v>3108.0</v>
      </c>
      <c r="K6338" s="80">
        <v>0.77255779269202</v>
      </c>
      <c r="L6338" s="80" t="s">
        <v>64</v>
      </c>
    </row>
    <row r="6339">
      <c r="A6339" s="80" t="s">
        <v>6591</v>
      </c>
      <c r="B6339" s="81" t="str">
        <f t="shared" ref="B6339:B6340" si="365">HYPERLINK("https://www.youtube.com/channel/UC0DpBgpq_gR7TaNDIvJYZag", "TalkFood")</f>
        <v>TalkFood</v>
      </c>
      <c r="C6339" s="80" t="s">
        <v>6854</v>
      </c>
      <c r="D6339" s="81" t="str">
        <f>HYPERLINK("https://youtube.com/watch?v=DJIWG2NuGvw", "【18區搵食-旺角吃什麼？$100有找威靈頓牛柳＋關注組大推旦王酸辣粉】")</f>
        <v>【18區搵食-旺角吃什麼？$100有找威靈頓牛柳＋關注組大推旦王酸辣粉】</v>
      </c>
      <c r="E6339" s="82">
        <v>44959.0</v>
      </c>
      <c r="F6339" s="80">
        <v>965.0</v>
      </c>
      <c r="G6339" s="80" t="s">
        <v>63</v>
      </c>
      <c r="I6339" s="80" t="s">
        <v>63</v>
      </c>
      <c r="J6339" s="80">
        <v>2965.0</v>
      </c>
      <c r="K6339" s="80">
        <v>0.957996768982229</v>
      </c>
      <c r="L6339" s="80" t="s">
        <v>91</v>
      </c>
    </row>
    <row r="6340">
      <c r="A6340" s="80" t="s">
        <v>6591</v>
      </c>
      <c r="B6340" s="81" t="str">
        <f t="shared" si="365"/>
        <v>TalkFood</v>
      </c>
      <c r="C6340" s="80" t="s">
        <v>6855</v>
      </c>
      <c r="D6340" s="81" t="str">
        <f>HYPERLINK("https://youtube.com/watch?v=7SL2crbHTEA", "【18區搵食-IG榜上有名之4間西貢名物】")</f>
        <v>【18區搵食-IG榜上有名之4間西貢名物】</v>
      </c>
      <c r="E6340" s="82">
        <v>44952.0</v>
      </c>
      <c r="F6340" s="80">
        <v>1254.0</v>
      </c>
      <c r="G6340" s="80" t="s">
        <v>63</v>
      </c>
      <c r="I6340" s="80" t="s">
        <v>63</v>
      </c>
      <c r="J6340" s="80">
        <v>3534.0</v>
      </c>
      <c r="K6340" s="80">
        <v>0.967424035039693</v>
      </c>
      <c r="L6340" s="80" t="s">
        <v>91</v>
      </c>
    </row>
    <row r="6341">
      <c r="A6341" s="80" t="s">
        <v>414</v>
      </c>
      <c r="B6341" s="81" t="str">
        <f>HYPERLINK("https://www.youtube.com/channel/UCCVn38j5xSJZN-II-TeyomA", "Uncle Calvin Cantonese Class")</f>
        <v>Uncle Calvin Cantonese Class</v>
      </c>
      <c r="C6341" s="80" t="s">
        <v>6856</v>
      </c>
      <c r="D6341" s="81" t="str">
        <f>HYPERLINK("https://youtube.com/watch?v=uUMt2R7ruQ8", "【賀年卡．片：孩子們同全世界拜年】Kids' CNY Greetings to the World I 幼童 Toddlers I 廣東話教室 I 字幕/Subtitles")</f>
        <v>【賀年卡．片：孩子們同全世界拜年】Kids' CNY Greetings to the World I 幼童 Toddlers I 廣東話教室 I 字幕/Subtitles</v>
      </c>
      <c r="E6341" s="82">
        <v>44957.0</v>
      </c>
      <c r="F6341" s="80">
        <v>561.0</v>
      </c>
      <c r="G6341" s="80" t="s">
        <v>63</v>
      </c>
      <c r="H6341" s="80" t="s">
        <v>63</v>
      </c>
      <c r="I6341" s="80" t="s">
        <v>63</v>
      </c>
      <c r="J6341" s="80">
        <v>1552.0</v>
      </c>
      <c r="K6341" s="80">
        <v>0.890418818129661</v>
      </c>
      <c r="L6341" s="80" t="s">
        <v>240</v>
      </c>
    </row>
    <row r="6342">
      <c r="A6342" s="80" t="s">
        <v>248</v>
      </c>
      <c r="B6342" s="81" t="str">
        <f>HYPERLINK("https://www.youtube.com/channel/UCUEJok-GiWaGlv5nIPwk-GQ", "Price.com.hk 香港格價網")</f>
        <v>Price.com.hk 香港格價網</v>
      </c>
      <c r="C6342" s="80" t="s">
        <v>6857</v>
      </c>
      <c r="D6342" s="81" t="str">
        <f>HYPERLINK("https://youtube.com/watch?v=rPCM9XuPEzQ", "兔年禮物精選！2023農曆新年好物分享 | 新春辦年貨｜實物開箱｜中文字幕 | 廣東話【Price.com.hk產品比較】")</f>
        <v>兔年禮物精選！2023農曆新年好物分享 | 新春辦年貨｜實物開箱｜中文字幕 | 廣東話【Price.com.hk產品比較】</v>
      </c>
      <c r="E6342" s="82">
        <v>44937.0</v>
      </c>
      <c r="F6342" s="80">
        <v>444.0</v>
      </c>
      <c r="G6342" s="80" t="s">
        <v>63</v>
      </c>
      <c r="I6342" s="80" t="s">
        <v>63</v>
      </c>
      <c r="J6342" s="80">
        <v>1532.0</v>
      </c>
      <c r="K6342" s="80">
        <v>0.79173126614987</v>
      </c>
      <c r="L6342" s="80" t="s">
        <v>64</v>
      </c>
    </row>
    <row r="6343">
      <c r="A6343" s="80" t="s">
        <v>6054</v>
      </c>
      <c r="B6343" s="81" t="str">
        <f>HYPERLINK("https://www.youtube.com/channel/UCZc-RwRZUYVuwu3A9pVBISg", "ToNick")</f>
        <v>ToNick</v>
      </c>
      <c r="C6343" s="80" t="s">
        <v>6858</v>
      </c>
      <c r="D6343" s="81" t="str">
        <f>HYPERLINK("https://youtube.com/watch?v=FI2eZ-qaww0", "ToNick - 混醬的包裏總有熱血的腸 Passionate sausage in a mixed sauce bun (Official MV) [4K]")</f>
        <v>ToNick - 混醬的包裏總有熱血的腸 Passionate sausage in a mixed sauce bun (Official MV) [4K]</v>
      </c>
      <c r="E6343" s="82">
        <v>44935.0</v>
      </c>
      <c r="F6343" s="80">
        <v>230.0</v>
      </c>
      <c r="G6343" s="80" t="s">
        <v>63</v>
      </c>
      <c r="I6343" s="80" t="s">
        <v>63</v>
      </c>
      <c r="J6343" s="80">
        <v>264.0</v>
      </c>
      <c r="K6343" s="80">
        <v>0.942857142857142</v>
      </c>
      <c r="L6343" s="80" t="s">
        <v>64</v>
      </c>
    </row>
    <row r="6344">
      <c r="A6344" s="80" t="s">
        <v>6040</v>
      </c>
      <c r="B6344" s="81" t="str">
        <f>HYPERLINK("https://www.youtube.com/channel/UCOaPA9dplBmTRdkugUnn17g", "光頭幫 TomFatKi")</f>
        <v>光頭幫 TomFatKi</v>
      </c>
      <c r="C6344" s="80" t="s">
        <v>6859</v>
      </c>
      <c r="D6344" s="81" t="str">
        <f>HYPERLINK("https://youtube.com/watch?v=zPNrMT7_vao", "《MV》光頭幫TomFatKi x Billy Choi - 聖誕假 Christmas Holiday")</f>
        <v>《MV》光頭幫TomFatKi x Billy Choi - 聖誕假 Christmas Holiday</v>
      </c>
      <c r="E6344" s="82">
        <v>44919.0</v>
      </c>
      <c r="F6344" s="80">
        <v>219.0</v>
      </c>
      <c r="G6344" s="80" t="s">
        <v>63</v>
      </c>
      <c r="I6344" s="80" t="s">
        <v>63</v>
      </c>
      <c r="J6344" s="80">
        <v>580.0</v>
      </c>
      <c r="K6344" s="80">
        <v>0.69377990430622</v>
      </c>
      <c r="L6344" s="80" t="s">
        <v>582</v>
      </c>
    </row>
    <row r="6345">
      <c r="A6345" s="80" t="s">
        <v>124</v>
      </c>
      <c r="B6345" s="81" t="str">
        <f>HYPERLINK("https://www.youtube.com/channel/UCg0vuSE0fBF_NvodyYhMcWg", "Wallace Studio HK")</f>
        <v>Wallace Studio HK</v>
      </c>
      <c r="C6345" s="80" t="s">
        <v>6860</v>
      </c>
      <c r="D6345" s="81" t="str">
        <f>HYPERLINK("https://youtube.com/watch?v=P54WG6V5V2E", "4 Bay NAS QNAP TS-464 開箱及測試，效能提升，USBA介面速度提升，2.5GbＥ，內置M.2 SSD 槽，仲有PCIE 擴充!")</f>
        <v>4 Bay NAS QNAP TS-464 開箱及測試，效能提升，USBA介面速度提升，2.5GbＥ，內置M.2 SSD 槽，仲有PCIE 擴充!</v>
      </c>
      <c r="E6345" s="82">
        <v>44934.0</v>
      </c>
      <c r="F6345" s="80">
        <v>681.0</v>
      </c>
      <c r="G6345" s="80" t="s">
        <v>63</v>
      </c>
      <c r="I6345" s="80" t="s">
        <v>63</v>
      </c>
      <c r="J6345" s="80">
        <v>2236.0</v>
      </c>
      <c r="K6345" s="80">
        <v>0.75515028706518</v>
      </c>
      <c r="L6345" s="80" t="s">
        <v>86</v>
      </c>
    </row>
    <row r="6346">
      <c r="A6346" s="80" t="s">
        <v>248</v>
      </c>
      <c r="B6346" s="81" t="str">
        <f>HYPERLINK("https://www.youtube.com/channel/UCUEJok-GiWaGlv5nIPwk-GQ", "Price.com.hk 香港格價網")</f>
        <v>Price.com.hk 香港格價網</v>
      </c>
      <c r="C6346" s="80" t="s">
        <v>6861</v>
      </c>
      <c r="D6346" s="81" t="str">
        <f>HYPERLINK("https://youtube.com/watch?v=EujzLYx1bIU", "日本製造｜三菱電機浴室換氣暖風機V-251BZ-HK ｜市場評級夠慳電｜黑廁乾衫快夾爽｜24 小時換氣｜特約專題｜廣東話【Price.com.hk 產品介紹】")</f>
        <v>日本製造｜三菱電機浴室換氣暖風機V-251BZ-HK ｜市場評級夠慳電｜黑廁乾衫快夾爽｜24 小時換氣｜特約專題｜廣東話【Price.com.hk 產品介紹】</v>
      </c>
      <c r="E6346" s="82">
        <v>44925.0</v>
      </c>
      <c r="F6346" s="80">
        <v>235.0</v>
      </c>
      <c r="G6346" s="80" t="s">
        <v>63</v>
      </c>
      <c r="I6346" s="80" t="s">
        <v>63</v>
      </c>
      <c r="J6346" s="80">
        <v>887.0</v>
      </c>
      <c r="K6346" s="80">
        <v>0.921079958463136</v>
      </c>
      <c r="L6346" s="80" t="s">
        <v>64</v>
      </c>
    </row>
    <row r="6347">
      <c r="A6347" s="80" t="s">
        <v>267</v>
      </c>
      <c r="B6347" s="81" t="str">
        <f>HYPERLINK("https://www.youtube.com/channel/UCcrhFT95jH5XqVVPyBhRbrA", "JFFT")</f>
        <v>JFFT</v>
      </c>
      <c r="C6347" s="80" t="s">
        <v>6862</v>
      </c>
      <c r="D6347" s="81" t="str">
        <f>HYPERLINK("https://youtube.com/watch?v=DDFZUzsWUzs", "[毒拎季節]《聖誕啟示錄-柒》：有啲嘢想同我好朋友講")</f>
        <v>[毒拎季節]《聖誕啟示錄-柒》：有啲嘢想同我好朋友講</v>
      </c>
      <c r="E6347" s="82">
        <v>44919.0</v>
      </c>
      <c r="F6347" s="80">
        <v>460.0</v>
      </c>
      <c r="G6347" s="80" t="s">
        <v>63</v>
      </c>
      <c r="I6347" s="80" t="s">
        <v>63</v>
      </c>
      <c r="J6347" s="80">
        <v>1056.0</v>
      </c>
      <c r="K6347" s="80">
        <v>0.957388939256573</v>
      </c>
      <c r="L6347" s="80" t="s">
        <v>64</v>
      </c>
    </row>
    <row r="6348">
      <c r="A6348" s="80" t="s">
        <v>755</v>
      </c>
      <c r="B6348" s="81" t="str">
        <f>HYPERLINK("https://www.youtube.com/channel/UCBiJDTc82IM68KVH873VeAw", "Live in Kwangsi廣西人·情·味")</f>
        <v>Live in Kwangsi廣西人·情·味</v>
      </c>
      <c r="C6348" s="80" t="s">
        <v>6863</v>
      </c>
      <c r="D6348" s="81" t="str">
        <f>HYPERLINK("https://youtube.com/watch?v=k16VD1mrB8M", "農曆年三十賀州市夜間市況｜廣西日常實拍 20230121")</f>
        <v>農曆年三十賀州市夜間市況｜廣西日常實拍 20230121</v>
      </c>
      <c r="E6348" s="82">
        <v>44948.0</v>
      </c>
      <c r="F6348" s="80">
        <v>467.0</v>
      </c>
      <c r="G6348" s="80" t="s">
        <v>63</v>
      </c>
      <c r="I6348" s="80" t="s">
        <v>63</v>
      </c>
      <c r="J6348" s="80">
        <v>174.0</v>
      </c>
      <c r="K6348" s="80">
        <v>1.0</v>
      </c>
      <c r="L6348" s="80" t="s">
        <v>757</v>
      </c>
    </row>
    <row r="6349">
      <c r="A6349" s="80" t="s">
        <v>1492</v>
      </c>
      <c r="B6349" s="81" t="str">
        <f>HYPERLINK("https://www.youtube.com/channel/UCTo1EIcKtkDYqiUqs4v_NlA", "【常公子】頻道TV - 中文中史歷史哲學")</f>
        <v>【常公子】頻道TV - 中文中史歷史哲學</v>
      </c>
      <c r="C6349" s="80" t="s">
        <v>6864</v>
      </c>
      <c r="D6349" s="81" t="str">
        <f>HYPERLINK("https://youtube.com/watch?v=8K4UBhNRLQs", "【常威近代史】第第五百一拾四回農村問題")</f>
        <v>【常威近代史】第第五百一拾四回農村問題</v>
      </c>
      <c r="E6349" s="82">
        <v>44933.0</v>
      </c>
      <c r="F6349" s="80">
        <v>743.0</v>
      </c>
      <c r="G6349" s="80" t="s">
        <v>63</v>
      </c>
      <c r="I6349" s="80" t="s">
        <v>63</v>
      </c>
      <c r="J6349" s="80">
        <v>1798.0</v>
      </c>
      <c r="K6349" s="80">
        <v>0.988998899889989</v>
      </c>
      <c r="L6349" s="80" t="s">
        <v>64</v>
      </c>
    </row>
    <row r="6350">
      <c r="A6350" s="80" t="s">
        <v>248</v>
      </c>
      <c r="B6350" s="81" t="str">
        <f>HYPERLINK("https://www.youtube.com/channel/UCUEJok-GiWaGlv5nIPwk-GQ", "Price.com.hk 香港格價網")</f>
        <v>Price.com.hk 香港格價網</v>
      </c>
      <c r="C6350" s="80" t="s">
        <v>6865</v>
      </c>
      <c r="D6350" s="81" t="str">
        <f>HYPERLINK("https://youtube.com/watch?v=qO7dr-z6YMg", "3 分鐘了解 d 空間音訊｜耳機新功能增加臨場感｜邊種聽法最有用｜Price Wiki EP7 | 廣東話")</f>
        <v>3 分鐘了解 d 空間音訊｜耳機新功能增加臨場感｜邊種聽法最有用｜Price Wiki EP7 | 廣東話</v>
      </c>
      <c r="E6350" s="82">
        <v>44944.0</v>
      </c>
      <c r="F6350" s="80">
        <v>150.0</v>
      </c>
      <c r="G6350" s="80" t="s">
        <v>63</v>
      </c>
      <c r="I6350" s="80" t="s">
        <v>63</v>
      </c>
      <c r="J6350" s="80">
        <v>579.0</v>
      </c>
      <c r="K6350" s="80">
        <v>0.842794759825327</v>
      </c>
      <c r="L6350" s="80" t="s">
        <v>64</v>
      </c>
    </row>
    <row r="6351">
      <c r="A6351" s="80" t="s">
        <v>755</v>
      </c>
      <c r="B6351" s="81" t="str">
        <f>HYPERLINK("https://www.youtube.com/channel/UCBiJDTc82IM68KVH873VeAw", "Live in Kwangsi廣西人·情·味")</f>
        <v>Live in Kwangsi廣西人·情·味</v>
      </c>
      <c r="C6351" s="80" t="s">
        <v>6866</v>
      </c>
      <c r="D6351" s="81" t="str">
        <f>HYPERLINK("https://youtube.com/watch?v=YGZ25p194ho", "呢日喺賀州市獅山村石咀角散步、曬熱頭暖｜廣西日常實拍 20221223")</f>
        <v>呢日喺賀州市獅山村石咀角散步、曬熱頭暖｜廣西日常實拍 20221223</v>
      </c>
      <c r="E6351" s="82">
        <v>44923.0</v>
      </c>
      <c r="F6351" s="80">
        <v>431.0</v>
      </c>
      <c r="G6351" s="80" t="s">
        <v>63</v>
      </c>
      <c r="I6351" s="80" t="s">
        <v>63</v>
      </c>
      <c r="J6351" s="80">
        <v>12.0</v>
      </c>
      <c r="K6351" s="80">
        <v>1.0</v>
      </c>
      <c r="L6351" s="80" t="s">
        <v>757</v>
      </c>
    </row>
    <row r="6352">
      <c r="A6352" s="80" t="s">
        <v>248</v>
      </c>
      <c r="B6352" s="81" t="str">
        <f>HYPERLINK("https://www.youtube.com/channel/UCUEJok-GiWaGlv5nIPwk-GQ", "Price.com.hk 香港格價網")</f>
        <v>Price.com.hk 香港格價網</v>
      </c>
      <c r="C6352" s="80" t="s">
        <v>6867</v>
      </c>
      <c r="D6352" s="81" t="str">
        <f>HYPERLINK("https://youtube.com/watch?v=IbTmxwGOwrA", "真機率先睇！Samsung Galaxy S23 Ultra｜2 億像素相機｜極暗拍攝效果｜廣東話｜繁中字幕【Price.com.hk 產品介紹 】")</f>
        <v>真機率先睇！Samsung Galaxy S23 Ultra｜2 億像素相機｜極暗拍攝效果｜廣東話｜繁中字幕【Price.com.hk 產品介紹 】</v>
      </c>
      <c r="E6352" s="82">
        <v>44958.0</v>
      </c>
      <c r="F6352" s="80">
        <v>406.0</v>
      </c>
      <c r="G6352" s="80" t="s">
        <v>63</v>
      </c>
      <c r="I6352" s="80" t="s">
        <v>63</v>
      </c>
      <c r="J6352" s="80">
        <v>1152.0</v>
      </c>
      <c r="K6352" s="80">
        <v>0.658285714285714</v>
      </c>
      <c r="L6352" s="80" t="s">
        <v>64</v>
      </c>
    </row>
    <row r="6353">
      <c r="A6353" s="80" t="s">
        <v>6591</v>
      </c>
      <c r="B6353" s="81" t="str">
        <f>HYPERLINK("https://www.youtube.com/channel/UC0DpBgpq_gR7TaNDIvJYZag", "TalkFood")</f>
        <v>TalkFood</v>
      </c>
      <c r="C6353" s="80" t="s">
        <v>6868</v>
      </c>
      <c r="D6353" s="81" t="str">
        <f>HYPERLINK("https://youtube.com/watch?v=hitlwthyras", "【18區搵食-元朗4間名物值得一試？】")</f>
        <v>【18區搵食-元朗4間名物值得一試？】</v>
      </c>
      <c r="E6353" s="82">
        <v>44931.0</v>
      </c>
      <c r="F6353" s="80">
        <v>884.0</v>
      </c>
      <c r="G6353" s="80" t="s">
        <v>63</v>
      </c>
      <c r="I6353" s="80" t="s">
        <v>63</v>
      </c>
      <c r="J6353" s="80">
        <v>2718.0</v>
      </c>
      <c r="K6353" s="80">
        <v>0.969329529243937</v>
      </c>
      <c r="L6353" s="80" t="s">
        <v>91</v>
      </c>
    </row>
    <row r="6354">
      <c r="A6354" s="80" t="s">
        <v>242</v>
      </c>
      <c r="B6354" s="81" t="str">
        <f>HYPERLINK("https://www.youtube.com/channel/UCZGVB6g74LXWtkR3fX50ykg", "Edwin H.")</f>
        <v>Edwin H.</v>
      </c>
      <c r="C6354" s="80" t="s">
        <v>6869</v>
      </c>
      <c r="D6354" s="81" t="str">
        <f>HYPERLINK("https://youtube.com/watch?v=2N_0wRI8vik", "日本上網SIM卡！🗾 日本環島手信 Part1！ 🇯🇵 Edwin買乜野 🧲 最強磁吸收納用品 📸 大阪環球影城必買 🎠 日本瘋狂扭蛋🍳")</f>
        <v>日本上網SIM卡！🗾 日本環島手信 Part1！ 🇯🇵 Edwin買乜野 🧲 最強磁吸收納用品 📸 大阪環球影城必買 🎠 日本瘋狂扭蛋🍳</v>
      </c>
      <c r="E6354" s="82">
        <v>44958.0</v>
      </c>
      <c r="F6354" s="80">
        <v>1301.0</v>
      </c>
      <c r="G6354" s="80" t="s">
        <v>63</v>
      </c>
      <c r="I6354" s="80" t="s">
        <v>63</v>
      </c>
      <c r="J6354" s="80">
        <v>5450.0</v>
      </c>
      <c r="K6354" s="80">
        <v>0.893589112969339</v>
      </c>
      <c r="L6354" s="80" t="s">
        <v>64</v>
      </c>
    </row>
    <row r="6355">
      <c r="A6355" s="80" t="s">
        <v>248</v>
      </c>
      <c r="B6355" s="81" t="str">
        <f>HYPERLINK("https://www.youtube.com/channel/UCUEJok-GiWaGlv5nIPwk-GQ", "Price.com.hk 香港格價網")</f>
        <v>Price.com.hk 香港格價網</v>
      </c>
      <c r="C6355" s="80" t="s">
        <v>6870</v>
      </c>
      <c r="D6355" s="81" t="str">
        <f>HYPERLINK("https://youtube.com/watch?v=b1NO87lqTYY", "M2 Pro/ Max 跑分｜MacBook Pro 16” 2023 開箱實試！最強MacBook?!｜性能再有大幅提升？｜SSD速度問題｜廣東話【Price.com.hk產品評測】")</f>
        <v>M2 Pro/ Max 跑分｜MacBook Pro 16” 2023 開箱實試！最強MacBook?!｜性能再有大幅提升？｜SSD速度問題｜廣東話【Price.com.hk產品評測】</v>
      </c>
      <c r="E6355" s="82">
        <v>44959.0</v>
      </c>
      <c r="F6355" s="80">
        <v>318.0</v>
      </c>
      <c r="G6355" s="80" t="s">
        <v>63</v>
      </c>
      <c r="I6355" s="80" t="s">
        <v>63</v>
      </c>
      <c r="J6355" s="80">
        <v>983.0</v>
      </c>
      <c r="K6355" s="80">
        <v>0.639973958333333</v>
      </c>
      <c r="L6355" s="80" t="s">
        <v>64</v>
      </c>
    </row>
    <row r="6356">
      <c r="A6356" s="80" t="s">
        <v>2972</v>
      </c>
      <c r="B6356" s="81" t="str">
        <f>HYPERLINK("https://www.youtube.com/channel/UCVMEQdIDLjHcKAsEwhVXEoQ", "Danny W.")</f>
        <v>Danny W.</v>
      </c>
      <c r="C6356" s="80" t="s">
        <v>6871</v>
      </c>
      <c r="D6356" s="81" t="str">
        <f>HYPERLINK("https://youtube.com/watch?v=S0oP0Pr8c9g", "Vancouver EP 2 Granville Island 溫哥華格蘭維爾島")</f>
        <v>Vancouver EP 2 Granville Island 溫哥華格蘭維爾島</v>
      </c>
      <c r="E6356" s="82">
        <v>44943.0</v>
      </c>
      <c r="F6356" s="80">
        <v>373.0</v>
      </c>
      <c r="G6356" s="80" t="s">
        <v>63</v>
      </c>
      <c r="I6356" s="80" t="s">
        <v>63</v>
      </c>
      <c r="J6356" s="80">
        <v>386.0</v>
      </c>
      <c r="K6356" s="80">
        <v>0.82127659574468</v>
      </c>
      <c r="L6356" s="80" t="s">
        <v>102</v>
      </c>
    </row>
    <row r="6357">
      <c r="A6357" s="80" t="s">
        <v>124</v>
      </c>
      <c r="B6357" s="81" t="str">
        <f>HYPERLINK("https://www.youtube.com/channel/UCg0vuSE0fBF_NvodyYhMcWg", "Wallace Studio HK")</f>
        <v>Wallace Studio HK</v>
      </c>
      <c r="C6357" s="80" t="s">
        <v>6872</v>
      </c>
      <c r="D6357" s="81" t="str">
        <f>HYPERLINK("https://youtube.com/watch?v=eMEJsuJz_qE", "平價2.5Gbe NAS，TerraMaster F4-423 上手體驗，同Synology NAS 比係咪對手?")</f>
        <v>平價2.5Gbe NAS，TerraMaster F4-423 上手體驗，同Synology NAS 比係咪對手?</v>
      </c>
      <c r="E6357" s="82">
        <v>44942.0</v>
      </c>
      <c r="F6357" s="80">
        <v>464.0</v>
      </c>
      <c r="G6357" s="80" t="s">
        <v>63</v>
      </c>
      <c r="I6357" s="80" t="s">
        <v>63</v>
      </c>
      <c r="J6357" s="80">
        <v>1849.0</v>
      </c>
      <c r="K6357" s="80">
        <v>0.72623723487824</v>
      </c>
      <c r="L6357" s="80" t="s">
        <v>86</v>
      </c>
    </row>
    <row r="6358">
      <c r="A6358" s="80" t="s">
        <v>248</v>
      </c>
      <c r="B6358" s="81" t="str">
        <f t="shared" ref="B6358:B6359" si="366">HYPERLINK("https://www.youtube.com/channel/UCUEJok-GiWaGlv5nIPwk-GQ", "Price.com.hk 香港格價網")</f>
        <v>Price.com.hk 香港格價網</v>
      </c>
      <c r="C6358" s="80" t="s">
        <v>6873</v>
      </c>
      <c r="D6358" s="81" t="str">
        <f>HYPERLINK("https://youtube.com/watch?v=KWLaJJ-k48M", "實試 Apple HomePod 2｜點擺先有最好 Dolby Atmos 效果｜力戰同價位 Soundbar 結果如何｜廣東話【Price.com.hk 產品評測】")</f>
        <v>實試 Apple HomePod 2｜點擺先有最好 Dolby Atmos 效果｜力戰同價位 Soundbar 結果如何｜廣東話【Price.com.hk 產品評測】</v>
      </c>
      <c r="E6358" s="82">
        <v>44957.0</v>
      </c>
      <c r="F6358" s="80">
        <v>433.0</v>
      </c>
      <c r="G6358" s="80" t="s">
        <v>63</v>
      </c>
      <c r="I6358" s="80" t="s">
        <v>63</v>
      </c>
      <c r="J6358" s="80">
        <v>1430.0</v>
      </c>
      <c r="K6358" s="80">
        <v>0.787011557512383</v>
      </c>
      <c r="L6358" s="80" t="s">
        <v>64</v>
      </c>
    </row>
    <row r="6359">
      <c r="A6359" s="80" t="s">
        <v>248</v>
      </c>
      <c r="B6359" s="81" t="str">
        <f t="shared" si="366"/>
        <v>Price.com.hk 香港格價網</v>
      </c>
      <c r="C6359" s="80" t="s">
        <v>6874</v>
      </c>
      <c r="D6359" s="81" t="str">
        <f>HYPERLINK("https://youtube.com/watch?v=2l-uIGCde6s", "評測獲低分Dyson指誤導消費者、Philips新風扇AI偵測吹風暖氣兼淨化、Google Home疑正研發新一代Chromecast｜ 廣東話【Price Weekly #150 2023年1月 】")</f>
        <v>評測獲低分Dyson指誤導消費者、Philips新風扇AI偵測吹風暖氣兼淨化、Google Home疑正研發新一代Chromecast｜ 廣東話【Price Weekly #150 2023年1月 】</v>
      </c>
      <c r="E6359" s="82">
        <v>44947.0</v>
      </c>
      <c r="F6359" s="80">
        <v>415.0</v>
      </c>
      <c r="G6359" s="80" t="s">
        <v>63</v>
      </c>
      <c r="I6359" s="80" t="s">
        <v>63</v>
      </c>
      <c r="J6359" s="80">
        <v>1467.0</v>
      </c>
      <c r="K6359" s="80">
        <v>0.758923952405587</v>
      </c>
      <c r="L6359" s="80" t="s">
        <v>64</v>
      </c>
    </row>
    <row r="6360">
      <c r="A6360" s="80" t="s">
        <v>217</v>
      </c>
      <c r="B6360" s="81" t="str">
        <f>HYPERLINK("https://www.youtube.com/channel/UCXKg0qPRz32bs5Z4mTGF3TQ", "Stormtrooper白兵")</f>
        <v>Stormtrooper白兵</v>
      </c>
      <c r="C6360" s="80" t="s">
        <v>6875</v>
      </c>
      <c r="D6360" s="81" t="str">
        <f>HYPERLINK("https://youtube.com/watch?v=WNcXwefeNAU", "[更正版][最後勝利]回顧過去3年所遭受到的壓力、歧視、 侮辱！｜如何堅定信念，為自己人生做對一件事！｜粵語中字")</f>
        <v>[更正版][最後勝利]回顧過去3年所遭受到的壓力、歧視、 侮辱！｜如何堅定信念，為自己人生做對一件事！｜粵語中字</v>
      </c>
      <c r="E6360" s="82">
        <v>44931.0</v>
      </c>
      <c r="F6360" s="80">
        <v>879.0</v>
      </c>
      <c r="G6360" s="80" t="s">
        <v>63</v>
      </c>
      <c r="I6360" s="80" t="s">
        <v>63</v>
      </c>
      <c r="J6360" s="80">
        <v>3283.0</v>
      </c>
      <c r="K6360" s="80">
        <v>0.8456980937661</v>
      </c>
      <c r="L6360" s="80" t="s">
        <v>64</v>
      </c>
    </row>
    <row r="6361">
      <c r="A6361" s="80" t="s">
        <v>1016</v>
      </c>
      <c r="B6361" s="81" t="str">
        <f>HYPERLINK("https://www.youtube.com/channel/UCSbiR1l-cfzk44iTJVSAZVQ", "Rhapsody in Lingo")</f>
        <v>Rhapsody in Lingo</v>
      </c>
      <c r="C6361" s="80" t="s">
        <v>6876</v>
      </c>
      <c r="D6361" s="81" t="str">
        <f>HYPERLINK("https://youtube.com/watch?v=JlMqmbPUnUk", "You CAN type faster than you speak. Here's how [CC]")</f>
        <v>You CAN type faster than you speak. Here's how [CC]</v>
      </c>
      <c r="E6361" s="82">
        <v>44916.0</v>
      </c>
      <c r="F6361" s="80">
        <v>1025.0</v>
      </c>
      <c r="G6361" s="80" t="s">
        <v>63</v>
      </c>
      <c r="I6361" s="80" t="s">
        <v>63</v>
      </c>
      <c r="J6361" s="80">
        <v>4415.0</v>
      </c>
      <c r="K6361" s="80">
        <v>0.933206510251532</v>
      </c>
      <c r="L6361" s="80" t="s">
        <v>1817</v>
      </c>
    </row>
    <row r="6362">
      <c r="A6362" s="80" t="s">
        <v>755</v>
      </c>
      <c r="B6362" s="81" t="str">
        <f>HYPERLINK("https://www.youtube.com/channel/UCBiJDTc82IM68KVH873VeAw", "Live in Kwangsi廣西人·情·味")</f>
        <v>Live in Kwangsi廣西人·情·味</v>
      </c>
      <c r="C6362" s="80" t="s">
        <v>6877</v>
      </c>
      <c r="D6362" s="81" t="str">
        <f>HYPERLINK("https://youtube.com/watch?v=X44q7_uapMw", "年初二到廣東茂名市 又睇下呢邊嘅市況 行熱門嘅文創街｜日常實拍 20230123")</f>
        <v>年初二到廣東茂名市 又睇下呢邊嘅市況 行熱門嘅文創街｜日常實拍 20230123</v>
      </c>
      <c r="E6362" s="82">
        <v>44949.0</v>
      </c>
      <c r="F6362" s="80">
        <v>374.0</v>
      </c>
      <c r="G6362" s="80" t="s">
        <v>63</v>
      </c>
      <c r="I6362" s="80" t="s">
        <v>63</v>
      </c>
      <c r="J6362" s="80">
        <v>134.0</v>
      </c>
      <c r="K6362" s="80">
        <v>1.0</v>
      </c>
      <c r="L6362" s="80" t="s">
        <v>757</v>
      </c>
    </row>
    <row r="6363">
      <c r="A6363" s="80" t="s">
        <v>242</v>
      </c>
      <c r="B6363" s="81" t="str">
        <f>HYPERLINK("https://www.youtube.com/channel/UCZGVB6g74LXWtkR3fX50ykg", "Edwin H.")</f>
        <v>Edwin H.</v>
      </c>
      <c r="C6363" s="80" t="s">
        <v>6878</v>
      </c>
      <c r="D6363" s="81" t="str">
        <f>HYPERLINK("https://youtube.com/watch?v=Rce2WqUxqmw", "4分鐘精華 📱💻 Samsung 發佈會 | Galaxy Galaxy S23 懶人包 中文 | Galaxy Unpacked 2023 S23 Ultra | Book3 Ultra")</f>
        <v>4分鐘精華 📱💻 Samsung 發佈會 | Galaxy Galaxy S23 懶人包 中文 | Galaxy Unpacked 2023 S23 Ultra | Book3 Ultra</v>
      </c>
      <c r="E6363" s="82">
        <v>44959.0</v>
      </c>
      <c r="F6363" s="80">
        <v>287.0</v>
      </c>
      <c r="G6363" s="80" t="s">
        <v>63</v>
      </c>
      <c r="I6363" s="80" t="s">
        <v>63</v>
      </c>
      <c r="J6363" s="80">
        <v>1136.0</v>
      </c>
      <c r="K6363" s="80">
        <v>0.65664739884393</v>
      </c>
      <c r="L6363" s="80" t="s">
        <v>64</v>
      </c>
    </row>
    <row r="6364">
      <c r="A6364" s="80" t="s">
        <v>124</v>
      </c>
      <c r="B6364" s="81" t="str">
        <f>HYPERLINK("https://www.youtube.com/channel/UCg0vuSE0fBF_NvodyYhMcWg", "Wallace Studio HK")</f>
        <v>Wallace Studio HK</v>
      </c>
      <c r="C6364" s="80" t="s">
        <v>6879</v>
      </c>
      <c r="D6364" s="81" t="str">
        <f>HYPERLINK("https://youtube.com/watch?v=J8Vkycqw2Vo", "CES 2023 電競電腦資訊綜合 (Intel, AMD, Nvidia, ASUS ROG, Lenovo, MSI, Alienware, Razer, Predator, Gigabyte)")</f>
        <v>CES 2023 電競電腦資訊綜合 (Intel, AMD, Nvidia, ASUS ROG, Lenovo, MSI, Alienware, Razer, Predator, Gigabyte)</v>
      </c>
      <c r="E6364" s="82">
        <v>44956.0</v>
      </c>
      <c r="F6364" s="80">
        <v>738.0</v>
      </c>
      <c r="G6364" s="80" t="s">
        <v>63</v>
      </c>
      <c r="H6364" s="80" t="s">
        <v>63</v>
      </c>
      <c r="I6364" s="80" t="s">
        <v>63</v>
      </c>
      <c r="J6364" s="80">
        <v>2152.0</v>
      </c>
      <c r="K6364" s="80">
        <v>0.62160600808781</v>
      </c>
      <c r="L6364" s="80" t="s">
        <v>86</v>
      </c>
    </row>
    <row r="6365">
      <c r="A6365" s="80" t="s">
        <v>217</v>
      </c>
      <c r="B6365" s="81" t="str">
        <f>HYPERLINK("https://www.youtube.com/channel/UCXKg0qPRz32bs5Z4mTGF3TQ", "Stormtrooper白兵")</f>
        <v>Stormtrooper白兵</v>
      </c>
      <c r="C6365" s="80" t="s">
        <v>6880</v>
      </c>
      <c r="D6365" s="81" t="str">
        <f>HYPERLINK("https://youtube.com/watch?v=RQDINZT3cXY", "[年尾博ban]聖誕老人是商業下的合成獸，鹿車都係假！｜可口可樂如何掌握水源＋背後陰謀！｜粵語中字")</f>
        <v>[年尾博ban]聖誕老人是商業下的合成獸，鹿車都係假！｜可口可樂如何掌握水源＋背後陰謀！｜粵語中字</v>
      </c>
      <c r="E6365" s="82">
        <v>44924.0</v>
      </c>
      <c r="F6365" s="80">
        <v>853.0</v>
      </c>
      <c r="G6365" s="80" t="s">
        <v>63</v>
      </c>
      <c r="I6365" s="80" t="s">
        <v>63</v>
      </c>
      <c r="J6365" s="80">
        <v>4045.0</v>
      </c>
      <c r="K6365" s="80">
        <v>0.943990665110851</v>
      </c>
      <c r="L6365" s="80" t="s">
        <v>64</v>
      </c>
    </row>
    <row r="6366">
      <c r="A6366" s="80" t="s">
        <v>2800</v>
      </c>
      <c r="B6366" s="81" t="str">
        <f>HYPERLINK("https://www.youtube.com/channel/UCMqrlsr-AECPc6_3oDr8m9w", "Unicorn 獸哥")</f>
        <v>Unicorn 獸哥</v>
      </c>
      <c r="C6366" s="80" t="s">
        <v>6881</v>
      </c>
      <c r="D6366" s="81" t="str">
        <f>HYPERLINK("https://youtube.com/watch?v=QYoa2UtA8q0", "【劇評】一啖砂糖一啖屎 今際之國的闖關者第二季 CC字幕")</f>
        <v>【劇評】一啖砂糖一啖屎 今際之國的闖關者第二季 CC字幕</v>
      </c>
      <c r="E6366" s="82">
        <v>44929.0</v>
      </c>
      <c r="F6366" s="80">
        <v>761.0</v>
      </c>
      <c r="G6366" s="80" t="s">
        <v>63</v>
      </c>
      <c r="I6366" s="80" t="s">
        <v>63</v>
      </c>
      <c r="J6366" s="80">
        <v>3542.0</v>
      </c>
      <c r="K6366" s="80">
        <v>0.944281524926686</v>
      </c>
      <c r="L6366" s="80" t="s">
        <v>64</v>
      </c>
    </row>
    <row r="6367">
      <c r="A6367" s="80" t="s">
        <v>2972</v>
      </c>
      <c r="B6367" s="81" t="str">
        <f>HYPERLINK("https://www.youtube.com/channel/UCVMEQdIDLjHcKAsEwhVXEoQ", "Danny W.")</f>
        <v>Danny W.</v>
      </c>
      <c r="C6367" s="80" t="s">
        <v>6882</v>
      </c>
      <c r="D6367" s="81" t="str">
        <f>HYPERLINK("https://youtube.com/watch?v=XggpMbYKCiI", "Vancouver EP 1 Downtown 温哥華市中心")</f>
        <v>Vancouver EP 1 Downtown 温哥華市中心</v>
      </c>
      <c r="E6367" s="82">
        <v>44942.0</v>
      </c>
      <c r="F6367" s="80">
        <v>652.0</v>
      </c>
      <c r="G6367" s="80" t="s">
        <v>63</v>
      </c>
      <c r="I6367" s="80" t="s">
        <v>63</v>
      </c>
      <c r="J6367" s="80">
        <v>387.0</v>
      </c>
      <c r="K6367" s="80">
        <v>0.88558352402746</v>
      </c>
      <c r="L6367" s="80" t="s">
        <v>102</v>
      </c>
    </row>
    <row r="6368">
      <c r="A6368" s="80" t="s">
        <v>2829</v>
      </c>
      <c r="B6368" s="81" t="str">
        <f>HYPERLINK("https://www.youtube.com/channel/UC7GnES6AEQlDzaP04UqtyjA", "SOLID IDEA")</f>
        <v>SOLID IDEA</v>
      </c>
      <c r="C6368" s="80" t="s">
        <v>6883</v>
      </c>
      <c r="D6368" s="81" t="str">
        <f>HYPERLINK("https://youtube.com/watch?v=oupylOK9Xxs", "設計 • idea | YOHO HUB 閣樓不一定係收納既選擇！｜Solid Idea｜室內設計｜家居規劃｜星級設計｜［CC字幕］")</f>
        <v>設計 • idea | YOHO HUB 閣樓不一定係收納既選擇！｜Solid Idea｜室內設計｜家居規劃｜星級設計｜［CC字幕］</v>
      </c>
      <c r="E6368" s="82">
        <v>44943.0</v>
      </c>
      <c r="F6368" s="80">
        <v>189.0</v>
      </c>
      <c r="G6368" s="80" t="s">
        <v>63</v>
      </c>
      <c r="I6368" s="80" t="s">
        <v>63</v>
      </c>
      <c r="J6368" s="80">
        <v>802.0</v>
      </c>
      <c r="K6368" s="80">
        <v>0.973300970873786</v>
      </c>
      <c r="L6368" s="80" t="s">
        <v>64</v>
      </c>
    </row>
    <row r="6369">
      <c r="A6369" s="80" t="s">
        <v>248</v>
      </c>
      <c r="B6369" s="81" t="str">
        <f>HYPERLINK("https://www.youtube.com/channel/UCUEJok-GiWaGlv5nIPwk-GQ", "Price.com.hk 香港格價網")</f>
        <v>Price.com.hk 香港格價網</v>
      </c>
      <c r="C6369" s="80" t="s">
        <v>6884</v>
      </c>
      <c r="D6369" s="81" t="str">
        <f>HYPERLINK("https://youtube.com/watch?v=UkqrXN7l6k4", "2022年科技界大事回顧．到底發生過甚麼事？｜純 eSIM 成新趨勢？｜M2 晶片版圖擴張｜手提遊戲機百花齊放｜ 廣東話【Price Weekly #147 2022年12月 】")</f>
        <v>2022年科技界大事回顧．到底發生過甚麼事？｜純 eSIM 成新趨勢？｜M2 晶片版圖擴張｜手提遊戲機百花齊放｜ 廣東話【Price Weekly #147 2022年12月 】</v>
      </c>
      <c r="E6369" s="82">
        <v>44926.0</v>
      </c>
      <c r="F6369" s="80">
        <v>553.0</v>
      </c>
      <c r="G6369" s="80" t="s">
        <v>63</v>
      </c>
      <c r="I6369" s="80" t="s">
        <v>63</v>
      </c>
      <c r="J6369" s="80">
        <v>1845.0</v>
      </c>
      <c r="K6369" s="80">
        <v>0.734474522292993</v>
      </c>
      <c r="L6369" s="80" t="s">
        <v>64</v>
      </c>
    </row>
    <row r="6370">
      <c r="A6370" s="80" t="s">
        <v>124</v>
      </c>
      <c r="B6370" s="81" t="str">
        <f>HYPERLINK("https://www.youtube.com/channel/UCg0vuSE0fBF_NvodyYhMcWg", "Wallace Studio HK")</f>
        <v>Wallace Studio HK</v>
      </c>
      <c r="C6370" s="80" t="s">
        <v>6885</v>
      </c>
      <c r="D6370" s="81" t="str">
        <f>HYPERLINK("https://youtube.com/watch?v=GAkFkmzGyQg", "運動相機皇者對決! DJI Action 3 vs Go Pro Hero 11! 傻仔先買 DJI ? 但Go Pro 都有致命弱點 !")</f>
        <v>運動相機皇者對決! DJI Action 3 vs Go Pro Hero 11! 傻仔先買 DJI ? 但Go Pro 都有致命弱點 !</v>
      </c>
      <c r="E6370" s="82">
        <v>45010.0</v>
      </c>
      <c r="F6370" s="80">
        <v>755.0</v>
      </c>
      <c r="G6370" s="80" t="s">
        <v>63</v>
      </c>
      <c r="I6370" s="80" t="s">
        <v>63</v>
      </c>
      <c r="J6370" s="80">
        <v>2943.0</v>
      </c>
      <c r="K6370" s="80">
        <v>0.737963891675025</v>
      </c>
      <c r="L6370" s="80" t="s">
        <v>86</v>
      </c>
    </row>
    <row r="6371">
      <c r="A6371" s="80" t="s">
        <v>248</v>
      </c>
      <c r="B6371" s="81" t="str">
        <f>HYPERLINK("https://www.youtube.com/channel/UCUEJok-GiWaGlv5nIPwk-GQ", "Price.com.hk 香港格價網")</f>
        <v>Price.com.hk 香港格價網</v>
      </c>
      <c r="C6371" s="80" t="s">
        <v>6886</v>
      </c>
      <c r="D6371" s="81" t="str">
        <f>HYPERLINK("https://youtube.com/watch?v=_fXS0_EGAMs", "東芝日式洗衣機 T04 系列 ｜一機有齊高低水位｜機身闊度515mm｜特大 8kg 洗衣容量｜特約專題｜廣東話【Price.com.hk 產品介紹】")</f>
        <v>東芝日式洗衣機 T04 系列 ｜一機有齊高低水位｜機身闊度515mm｜特大 8kg 洗衣容量｜特約專題｜廣東話【Price.com.hk 產品介紹】</v>
      </c>
      <c r="E6371" s="82">
        <v>44980.0</v>
      </c>
      <c r="F6371" s="80">
        <v>264.0</v>
      </c>
      <c r="G6371" s="80" t="s">
        <v>63</v>
      </c>
      <c r="I6371" s="80" t="s">
        <v>63</v>
      </c>
      <c r="J6371" s="80">
        <v>1101.0</v>
      </c>
      <c r="K6371" s="80">
        <v>0.963254593175853</v>
      </c>
      <c r="L6371" s="80" t="s">
        <v>64</v>
      </c>
    </row>
    <row r="6372">
      <c r="A6372" s="80" t="s">
        <v>5868</v>
      </c>
      <c r="B6372" s="81" t="str">
        <f>HYPERLINK("https://www.youtube.com/channel/UCVvdX8wGBmCM9KerhiVu_Ig", "McFatty 麥花田")</f>
        <v>McFatty 麥花田</v>
      </c>
      <c r="C6372" s="80" t="s">
        <v>6887</v>
      </c>
      <c r="D6372" s="81" t="str">
        <f>HYPERLINK("https://youtube.com/watch?v=OvIegbJVRzw", "平貴電飯煲比較: 韓國品牌CUCKOO 電飯煲 $8000物有所值嗎?  附廣東話字幕 Ep151")</f>
        <v>平貴電飯煲比較: 韓國品牌CUCKOO 電飯煲 $8000物有所值嗎?  附廣東話字幕 Ep151</v>
      </c>
      <c r="E6372" s="82">
        <v>45038.0</v>
      </c>
      <c r="F6372" s="80">
        <v>909.0</v>
      </c>
      <c r="G6372" s="80" t="s">
        <v>63</v>
      </c>
      <c r="I6372" s="80" t="s">
        <v>63</v>
      </c>
      <c r="J6372" s="80">
        <v>3814.0</v>
      </c>
      <c r="K6372" s="80">
        <v>0.926627793974732</v>
      </c>
      <c r="L6372" s="80" t="s">
        <v>102</v>
      </c>
    </row>
    <row r="6373">
      <c r="A6373" s="80" t="s">
        <v>2800</v>
      </c>
      <c r="B6373" s="81" t="str">
        <f>HYPERLINK("https://www.youtube.com/channel/UCMqrlsr-AECPc6_3oDr8m9w", "Unicorn 獸哥")</f>
        <v>Unicorn 獸哥</v>
      </c>
      <c r="C6373" s="80" t="s">
        <v>6888</v>
      </c>
      <c r="D6373" s="81" t="str">
        <f>HYPERLINK("https://youtube.com/watch?v=O_ipO28qDFQ", "【game評】上game pass後DLC救game！ 超心寒人體模型嚇到你瀨屎！ghostwire tokyo DLC CC字幕")</f>
        <v>【game評】上game pass後DLC救game！ 超心寒人體模型嚇到你瀨屎！ghostwire tokyo DLC CC字幕</v>
      </c>
      <c r="E6373" s="82">
        <v>45034.0</v>
      </c>
      <c r="F6373" s="80">
        <v>395.0</v>
      </c>
      <c r="G6373" s="80" t="s">
        <v>63</v>
      </c>
      <c r="I6373" s="80" t="s">
        <v>63</v>
      </c>
      <c r="J6373" s="80">
        <v>1533.0</v>
      </c>
      <c r="K6373" s="80">
        <v>0.898066783831282</v>
      </c>
      <c r="L6373" s="80" t="s">
        <v>64</v>
      </c>
    </row>
    <row r="6374">
      <c r="A6374" s="80" t="s">
        <v>2766</v>
      </c>
      <c r="B6374" s="81" t="str">
        <f>HYPERLINK("https://www.youtube.com/channel/UCrZG5sGryxwgSDQSlHgmZTw", "GadgetGang HK")</f>
        <v>GadgetGang HK</v>
      </c>
      <c r="C6374" s="80" t="s">
        <v>6889</v>
      </c>
      <c r="D6374" s="81" t="str">
        <f>HYPERLINK("https://youtube.com/watch?v=Mnmz9rLpPG0", "科技新G〡新 黃色 iPhone 14 開箱〡Google翻譯新功能〡的骰磁石藍牙喇叭〡現場睇 ROG 新 40系 電競電腦〡Sonos 空間音效 智能喇叭〡Samsung靚仔貴族吸塵機〡AI美女熱")</f>
        <v>科技新G〡新 黃色 iPhone 14 開箱〡Google翻譯新功能〡的骰磁石藍牙喇叭〡現場睇 ROG 新 40系 電競電腦〡Sonos 空間音效 智能喇叭〡Samsung靚仔貴族吸塵機〡AI美女熱</v>
      </c>
      <c r="E6374" s="82">
        <v>44997.0</v>
      </c>
      <c r="F6374" s="80">
        <v>741.0</v>
      </c>
      <c r="G6374" s="80" t="s">
        <v>63</v>
      </c>
      <c r="I6374" s="80" t="s">
        <v>63</v>
      </c>
      <c r="J6374" s="80">
        <v>2456.0</v>
      </c>
      <c r="K6374" s="80">
        <v>0.760606999070919</v>
      </c>
      <c r="L6374" s="80" t="s">
        <v>64</v>
      </c>
    </row>
    <row r="6375">
      <c r="A6375" s="80" t="s">
        <v>248</v>
      </c>
      <c r="B6375" s="81" t="str">
        <f>HYPERLINK("https://www.youtube.com/channel/UCUEJok-GiWaGlv5nIPwk-GQ", "Price.com.hk 香港格價網")</f>
        <v>Price.com.hk 香港格價網</v>
      </c>
      <c r="C6375" s="80" t="s">
        <v>6890</v>
      </c>
      <c r="D6375" s="81" t="str">
        <f>HYPERLINK("https://youtube.com/watch?v=Skf-YSMlTKY", "2023 消費券攻略｜抵買產品精選｜影音、家居、遊戲、電腦產品｜實物開箱｜中文字幕 | 廣東話【Price.com.hk產品介紹】")</f>
        <v>2023 消費券攻略｜抵買產品精選｜影音、家居、遊戲、電腦產品｜實物開箱｜中文字幕 | 廣東話【Price.com.hk產品介紹】</v>
      </c>
      <c r="E6375" s="82">
        <v>45030.0</v>
      </c>
      <c r="F6375" s="80">
        <v>378.0</v>
      </c>
      <c r="G6375" s="80" t="s">
        <v>63</v>
      </c>
      <c r="I6375" s="80" t="s">
        <v>63</v>
      </c>
      <c r="J6375" s="80">
        <v>1283.0</v>
      </c>
      <c r="K6375" s="80">
        <v>0.722409909909909</v>
      </c>
      <c r="L6375" s="80" t="s">
        <v>64</v>
      </c>
    </row>
    <row r="6376">
      <c r="A6376" s="80" t="s">
        <v>74</v>
      </c>
      <c r="B6376" s="81" t="str">
        <f>HYPERLINK("https://www.youtube.com/channel/UCO_5XP-qd-udNxBlzzSzgvw", "Handline Fishing")</f>
        <v>Handline Fishing</v>
      </c>
      <c r="C6376" s="80" t="s">
        <v>6891</v>
      </c>
      <c r="D6376" s="81" t="str">
        <f>HYPERLINK("https://youtube.com/watch?v=-EIlpzWlC-c", "#308 2023第一鱸! | 長洲進 | 香港釣魚 | 艇釣 | 長洲外 {粵語旁白}")</f>
        <v>#308 2023第一鱸! | 長洲進 | 香港釣魚 | 艇釣 | 長洲外 {粵語旁白}</v>
      </c>
      <c r="E6376" s="82">
        <v>44963.0</v>
      </c>
      <c r="F6376" s="80">
        <v>573.0</v>
      </c>
      <c r="G6376" s="80" t="s">
        <v>63</v>
      </c>
      <c r="I6376" s="80" t="s">
        <v>63</v>
      </c>
      <c r="J6376" s="80">
        <v>238.0</v>
      </c>
      <c r="K6376" s="80">
        <v>0.959677419354838</v>
      </c>
      <c r="L6376" s="80" t="s">
        <v>102</v>
      </c>
    </row>
    <row r="6377">
      <c r="A6377" s="80" t="s">
        <v>6892</v>
      </c>
      <c r="B6377" s="81" t="str">
        <f>HYPERLINK("https://www.youtube.com/channel/UC8_hxeY0nDCL-8ETbcGUZ9g", "PT食為先")</f>
        <v>PT食為先</v>
      </c>
      <c r="C6377" s="80" t="s">
        <v>6893</v>
      </c>
      <c r="D6377" s="81" t="str">
        <f>HYPERLINK("https://youtube.com/watch?v=KZT0fb3ND40", "[PT自費實測] 買三送一！中環Tokio Joe高質日式放題🍣千祈唔好2個人去食？週末限定 早午餐 Brunch 任食壽司 天婦羅 串燒")</f>
        <v>[PT自費實測] 買三送一！中環Tokio Joe高質日式放題🍣千祈唔好2個人去食？週末限定 早午餐 Brunch 任食壽司 天婦羅 串燒</v>
      </c>
      <c r="E6377" s="82">
        <v>45039.0</v>
      </c>
      <c r="F6377" s="80">
        <v>664.0</v>
      </c>
      <c r="G6377" s="80" t="s">
        <v>63</v>
      </c>
      <c r="I6377" s="80" t="s">
        <v>63</v>
      </c>
      <c r="J6377" s="80">
        <v>1644.0</v>
      </c>
      <c r="K6377" s="80">
        <v>0.913841022790439</v>
      </c>
      <c r="L6377" s="80" t="s">
        <v>64</v>
      </c>
    </row>
    <row r="6378">
      <c r="A6378" s="80" t="s">
        <v>217</v>
      </c>
      <c r="B6378" s="81" t="str">
        <f>HYPERLINK("https://www.youtube.com/channel/UCXKg0qPRz32bs5Z4mTGF3TQ", "Stormtrooper白兵")</f>
        <v>Stormtrooper白兵</v>
      </c>
      <c r="C6378" s="80" t="s">
        <v>6894</v>
      </c>
      <c r="D6378" s="81" t="str">
        <f>HYPERLINK("https://youtube.com/watch?v=KfkEe-I_2Z8", "[不是陰謀論]由馬的飼料，變成營養食品？｜燕麥有害？ 降膽固醇係陷阱？仲越食越多病！？｜蛋原來食幾隻都得！｜粵語中字")</f>
        <v>[不是陰謀論]由馬的飼料，變成營養食品？｜燕麥有害？ 降膽固醇係陷阱？仲越食越多病！？｜蛋原來食幾隻都得！｜粵語中字</v>
      </c>
      <c r="E6378" s="82">
        <v>44966.0</v>
      </c>
      <c r="F6378" s="80">
        <v>765.0</v>
      </c>
      <c r="G6378" s="80" t="s">
        <v>63</v>
      </c>
      <c r="I6378" s="80" t="s">
        <v>63</v>
      </c>
      <c r="J6378" s="80">
        <v>2992.0</v>
      </c>
      <c r="K6378" s="80">
        <v>0.940880503144654</v>
      </c>
      <c r="L6378" s="80" t="s">
        <v>64</v>
      </c>
    </row>
    <row r="6379">
      <c r="A6379" s="80" t="s">
        <v>5854</v>
      </c>
      <c r="B6379" s="81" t="str">
        <f>HYPERLINK("https://www.youtube.com/channel/UCiJnCs2K5gP-DXnMxlstC9A", "毛記電視")</f>
        <v>毛記電視</v>
      </c>
      <c r="C6379" s="80" t="s">
        <v>6895</v>
      </c>
      <c r="D6379" s="81" t="str">
        <f>HYPERLINK("https://youtube.com/watch?v=gGBw2Mz8D6o", "05/04 《師傅到》第四集 余香凝天生演員命🎖️？原來電影名會影響票房😱 ？師傅：Jennifer要做㊙️ 女！")</f>
        <v>05/04 《師傅到》第四集 余香凝天生演員命🎖️？原來電影名會影響票房😱 ？師傅：Jennifer要做㊙️ 女！</v>
      </c>
      <c r="E6379" s="82">
        <v>45021.0</v>
      </c>
      <c r="F6379" s="80">
        <v>750.0</v>
      </c>
      <c r="G6379" s="80" t="s">
        <v>63</v>
      </c>
      <c r="I6379" s="80" t="s">
        <v>63</v>
      </c>
      <c r="J6379" s="80">
        <v>3556.0</v>
      </c>
      <c r="K6379" s="80">
        <v>0.967355821545157</v>
      </c>
      <c r="L6379" s="80" t="s">
        <v>102</v>
      </c>
    </row>
    <row r="6380">
      <c r="A6380" s="80" t="s">
        <v>96</v>
      </c>
      <c r="B6380" s="81" t="str">
        <f>HYPERLINK("https://www.youtube.com/channel/UCGtyHJ-L_4RDIHe3XaLofQQ", "Anson Cheung")</f>
        <v>Anson Cheung</v>
      </c>
      <c r="C6380" s="80" t="s">
        <v>6896</v>
      </c>
      <c r="D6380" s="81" t="str">
        <f>HYPERLINK("https://youtube.com/watch?v=9D2b6S5n3BY", "Google有對手了？Microsoft發佈備ChatGPT技術的Bing、Google Bard尷尬囉、Apple或推iPhone Ultra、Mac Studio可能停產｜OTA Update")</f>
        <v>Google有對手了？Microsoft發佈備ChatGPT技術的Bing、Google Bard尷尬囉、Apple或推iPhone Ultra、Mac Studio可能停產｜OTA Update</v>
      </c>
      <c r="E6380" s="82">
        <v>44968.0</v>
      </c>
      <c r="F6380" s="80">
        <v>505.0</v>
      </c>
      <c r="G6380" s="80" t="s">
        <v>63</v>
      </c>
      <c r="I6380" s="80" t="s">
        <v>63</v>
      </c>
      <c r="J6380" s="80">
        <v>1918.0</v>
      </c>
      <c r="K6380" s="80">
        <v>0.537104452534304</v>
      </c>
      <c r="L6380" s="80" t="s">
        <v>64</v>
      </c>
    </row>
    <row r="6381">
      <c r="A6381" s="80" t="s">
        <v>1390</v>
      </c>
      <c r="B6381" s="81" t="str">
        <f>HYPERLINK("https://www.youtube.com/channel/UCgwEJflQi4WnZ8PU0xdibZQ", "Kinson Ho")</f>
        <v>Kinson Ho</v>
      </c>
      <c r="C6381" s="80" t="s">
        <v>6897</v>
      </c>
      <c r="D6381" s="81" t="str">
        <f>HYPERLINK("https://youtube.com/watch?v=cM2MkkQpER8", "K神任我行 -  [CC字幕4K] 東平洲｜環島綑邊｜更樓石｜難過水｜龍落水｜斬頸洲｜海螺洞｜貓公洞")</f>
        <v>K神任我行 -  [CC字幕4K] 東平洲｜環島綑邊｜更樓石｜難過水｜龍落水｜斬頸洲｜海螺洞｜貓公洞</v>
      </c>
      <c r="E6381" s="82">
        <v>45041.0</v>
      </c>
      <c r="F6381" s="80">
        <v>941.0</v>
      </c>
      <c r="G6381" s="80" t="s">
        <v>63</v>
      </c>
      <c r="I6381" s="80" t="s">
        <v>63</v>
      </c>
      <c r="J6381" s="80">
        <v>613.0</v>
      </c>
      <c r="K6381" s="80">
        <v>0.993517017828201</v>
      </c>
      <c r="L6381" s="80" t="s">
        <v>64</v>
      </c>
    </row>
    <row r="6382">
      <c r="A6382" s="80" t="s">
        <v>124</v>
      </c>
      <c r="B6382" s="81" t="str">
        <f>HYPERLINK("https://www.youtube.com/channel/UCg0vuSE0fBF_NvodyYhMcWg", "Wallace Studio HK")</f>
        <v>Wallace Studio HK</v>
      </c>
      <c r="C6382" s="80" t="s">
        <v>6898</v>
      </c>
      <c r="D6382" s="81" t="str">
        <f>HYPERLINK("https://youtube.com/watch?v=aPGkJeBKF1A", "Samsung Galaxy S23 系列規格分析, 主要分別, 上市資訊 (Galaxy S23 Ultra, S23+, S23)")</f>
        <v>Samsung Galaxy S23 系列規格分析, 主要分別, 上市資訊 (Galaxy S23 Ultra, S23+, S23)</v>
      </c>
      <c r="E6382" s="82">
        <v>44968.0</v>
      </c>
      <c r="F6382" s="80">
        <v>460.0</v>
      </c>
      <c r="G6382" s="80" t="s">
        <v>63</v>
      </c>
      <c r="I6382" s="80" t="s">
        <v>63</v>
      </c>
      <c r="J6382" s="80">
        <v>1647.0</v>
      </c>
      <c r="K6382" s="80">
        <v>0.763914656771799</v>
      </c>
      <c r="L6382" s="80" t="s">
        <v>64</v>
      </c>
    </row>
    <row r="6383">
      <c r="A6383" s="80" t="s">
        <v>242</v>
      </c>
      <c r="B6383" s="81" t="str">
        <f>HYPERLINK("https://www.youtube.com/channel/UCZGVB6g74LXWtkR3fX50ykg", "Edwin H.")</f>
        <v>Edwin H.</v>
      </c>
      <c r="C6383" s="80" t="s">
        <v>6899</v>
      </c>
      <c r="D6383" s="81" t="str">
        <f>HYPERLINK("https://youtube.com/watch?v=I0e_9eHD9Zo", "ChatGPT AI大戰好可怕！ 🤖 40件必睇科技新品 🤖 1月2月 有趣科技新聞")</f>
        <v>ChatGPT AI大戰好可怕！ 🤖 40件必睇科技新品 🤖 1月2月 有趣科技新聞</v>
      </c>
      <c r="E6383" s="82">
        <v>44967.0</v>
      </c>
      <c r="F6383" s="80">
        <v>1293.0</v>
      </c>
      <c r="G6383" s="80" t="s">
        <v>63</v>
      </c>
      <c r="I6383" s="80" t="s">
        <v>63</v>
      </c>
      <c r="J6383" s="80">
        <v>5257.0</v>
      </c>
      <c r="K6383" s="80">
        <v>0.763654851830331</v>
      </c>
      <c r="L6383" s="80" t="s">
        <v>64</v>
      </c>
    </row>
    <row r="6384">
      <c r="A6384" s="80" t="s">
        <v>248</v>
      </c>
      <c r="B6384" s="81" t="str">
        <f t="shared" ref="B6384:B6385" si="367">HYPERLINK("https://www.youtube.com/channel/UCUEJok-GiWaGlv5nIPwk-GQ", "Price.com.hk 香港格價網")</f>
        <v>Price.com.hk 香港格價網</v>
      </c>
      <c r="C6384" s="80" t="s">
        <v>6900</v>
      </c>
      <c r="D6384" s="81" t="str">
        <f>HYPERLINK("https://youtube.com/watch?v=UYRsae2RAZs", "旅遊唔使再換 SIM 卡｜手機無 SIM 化用家點受惠？｜Android 將新增 eSIM 自訂功能｜廣東話｜【 Price Wiki #EP8】")</f>
        <v>旅遊唔使再換 SIM 卡｜手機無 SIM 化用家點受惠？｜Android 將新增 eSIM 自訂功能｜廣東話｜【 Price Wiki #EP8】</v>
      </c>
      <c r="E6384" s="82">
        <v>44972.0</v>
      </c>
      <c r="F6384" s="80">
        <v>189.0</v>
      </c>
      <c r="G6384" s="80" t="s">
        <v>63</v>
      </c>
      <c r="I6384" s="80" t="s">
        <v>63</v>
      </c>
      <c r="J6384" s="80">
        <v>659.0</v>
      </c>
      <c r="K6384" s="80">
        <v>0.72817679558011</v>
      </c>
      <c r="L6384" s="80" t="s">
        <v>64</v>
      </c>
    </row>
    <row r="6385">
      <c r="A6385" s="80" t="s">
        <v>248</v>
      </c>
      <c r="B6385" s="81" t="str">
        <f t="shared" si="367"/>
        <v>Price.com.hk 香港格價網</v>
      </c>
      <c r="C6385" s="80" t="s">
        <v>6901</v>
      </c>
      <c r="D6385" s="81" t="str">
        <f>HYPERLINK("https://youtube.com/watch?v=9Gbi-qGotys", "iOS17 6大重點新功能、AMD 處理器連環燒、WhatsApp 支援多機登入｜廣東話【Price Weekly #164 2023年4月 】")</f>
        <v>iOS17 6大重點新功能、AMD 處理器連環燒、WhatsApp 支援多機登入｜廣東話【Price Weekly #164 2023年4月 】</v>
      </c>
      <c r="E6385" s="82">
        <v>45045.0</v>
      </c>
      <c r="F6385" s="80">
        <v>457.0</v>
      </c>
      <c r="G6385" s="80" t="s">
        <v>63</v>
      </c>
      <c r="I6385" s="80" t="s">
        <v>63</v>
      </c>
      <c r="J6385" s="80">
        <v>1675.0</v>
      </c>
      <c r="K6385" s="80">
        <v>0.806451612903225</v>
      </c>
      <c r="L6385" s="80" t="s">
        <v>64</v>
      </c>
    </row>
    <row r="6386">
      <c r="A6386" s="80" t="s">
        <v>124</v>
      </c>
      <c r="B6386" s="81" t="str">
        <f>HYPERLINK("https://www.youtube.com/channel/UCg0vuSE0fBF_NvodyYhMcWg", "Wallace Studio HK")</f>
        <v>Wallace Studio HK</v>
      </c>
      <c r="C6386" s="80" t="s">
        <v>6902</v>
      </c>
      <c r="D6386" s="81" t="str">
        <f>HYPERLINK("https://youtube.com/watch?v=1uku7oJ5SkM", "Macbook Pro 14"" /16"" 2023 主要升級以及8大選購考慮!  (M2 Pro/ M2 Max)")</f>
        <v>Macbook Pro 14" /16" 2023 主要升級以及8大選購考慮!  (M2 Pro/ M2 Max)</v>
      </c>
      <c r="E6386" s="82">
        <v>44962.0</v>
      </c>
      <c r="F6386" s="80">
        <v>499.0</v>
      </c>
      <c r="G6386" s="80" t="s">
        <v>63</v>
      </c>
      <c r="H6386" s="80" t="s">
        <v>63</v>
      </c>
      <c r="I6386" s="80" t="s">
        <v>63</v>
      </c>
      <c r="J6386" s="80">
        <v>1687.0</v>
      </c>
      <c r="K6386" s="80">
        <v>0.662347860227718</v>
      </c>
      <c r="L6386" s="80" t="s">
        <v>86</v>
      </c>
    </row>
    <row r="6387">
      <c r="A6387" s="80" t="s">
        <v>248</v>
      </c>
      <c r="B6387" s="81" t="str">
        <f>HYPERLINK("https://www.youtube.com/channel/UCUEJok-GiWaGlv5nIPwk-GQ", "Price.com.hk 香港格價網")</f>
        <v>Price.com.hk 香港格價網</v>
      </c>
      <c r="C6387" s="80" t="s">
        <v>6903</v>
      </c>
      <c r="D6387" s="81" t="str">
        <f>HYPERLINK("https://youtube.com/watch?v=z-n1MhsGko8", "AI 答錯問題累 Google 股價蒸發千億美元、 MSI 新顯示卡全白色造型、S23 Ultra 聯乘 BMW 限量版 ｜ 廣東話【Price Weekly #153 2023年2月 】")</f>
        <v>AI 答錯問題累 Google 股價蒸發千億美元、 MSI 新顯示卡全白色造型、S23 Ultra 聯乘 BMW 限量版 ｜ 廣東話【Price Weekly #153 2023年2月 】</v>
      </c>
      <c r="E6387" s="82">
        <v>44968.0</v>
      </c>
      <c r="F6387" s="80">
        <v>503.0</v>
      </c>
      <c r="G6387" s="80" t="s">
        <v>63</v>
      </c>
      <c r="I6387" s="80" t="s">
        <v>63</v>
      </c>
      <c r="J6387" s="80">
        <v>1802.0</v>
      </c>
      <c r="K6387" s="80">
        <v>0.708890637293469</v>
      </c>
      <c r="L6387" s="80" t="s">
        <v>64</v>
      </c>
    </row>
    <row r="6388">
      <c r="A6388" s="80" t="s">
        <v>242</v>
      </c>
      <c r="B6388" s="81" t="str">
        <f>HYPERLINK("https://www.youtube.com/channel/UCZGVB6g74LXWtkR3fX50ykg", "Edwin H.")</f>
        <v>Edwin H.</v>
      </c>
      <c r="C6388" s="80" t="s">
        <v>6904</v>
      </c>
      <c r="D6388" s="81" t="str">
        <f>HYPERLINK("https://youtube.com/watch?v=U90nFdpvQiI", "太陽能耳機！🗾 日本環島手信 Part2！ 🇯🇵 Edwin買乜野 ⌨️ 超簡約靚靚鍵盤 Keychron 📸 京都必買 🎠  DualSense Edge 🎮 CASETiFY 豉油抗黃測試")</f>
        <v>太陽能耳機！🗾 日本環島手信 Part2！ 🇯🇵 Edwin買乜野 ⌨️ 超簡約靚靚鍵盤 Keychron 📸 京都必買 🎠  DualSense Edge 🎮 CASETiFY 豉油抗黃測試</v>
      </c>
      <c r="E6388" s="82">
        <v>44974.0</v>
      </c>
      <c r="F6388" s="80">
        <v>1315.0</v>
      </c>
      <c r="G6388" s="80" t="s">
        <v>63</v>
      </c>
      <c r="I6388" s="80" t="s">
        <v>63</v>
      </c>
      <c r="J6388" s="80">
        <v>5581.0</v>
      </c>
      <c r="K6388" s="80">
        <v>0.84650386773851</v>
      </c>
      <c r="L6388" s="80" t="s">
        <v>64</v>
      </c>
    </row>
    <row r="6389">
      <c r="A6389" s="80" t="s">
        <v>755</v>
      </c>
      <c r="B6389" s="81" t="str">
        <f>HYPERLINK("https://www.youtube.com/channel/UCBiJDTc82IM68KVH873VeAw", "Live in Kwangsi廣西人·情·味")</f>
        <v>Live in Kwangsi廣西人·情·味</v>
      </c>
      <c r="C6389" s="80" t="s">
        <v>6905</v>
      </c>
      <c r="D6389" s="81" t="str">
        <f>HYPERLINK("https://youtube.com/watch?v=OWjX_90CF-A", "雲浮市八景之首：九星岩，喺度睇到晒成個雲浮市區 ｜廣東日常實拍 20230219")</f>
        <v>雲浮市八景之首：九星岩，喺度睇到晒成個雲浮市區 ｜廣東日常實拍 20230219</v>
      </c>
      <c r="E6389" s="82">
        <v>45000.0</v>
      </c>
      <c r="F6389" s="80">
        <v>1244.0</v>
      </c>
      <c r="G6389" s="80" t="s">
        <v>63</v>
      </c>
      <c r="I6389" s="80" t="s">
        <v>63</v>
      </c>
      <c r="J6389" s="80">
        <v>41.0</v>
      </c>
      <c r="K6389" s="80">
        <v>1.0</v>
      </c>
      <c r="L6389" s="80" t="s">
        <v>757</v>
      </c>
    </row>
    <row r="6390">
      <c r="A6390" s="80" t="s">
        <v>6892</v>
      </c>
      <c r="B6390" s="81" t="str">
        <f>HYPERLINK("https://www.youtube.com/channel/UC8_hxeY0nDCL-8ETbcGUZ9g", "PT食為先")</f>
        <v>PT食為先</v>
      </c>
      <c r="C6390" s="80" t="s">
        <v>6906</v>
      </c>
      <c r="D6390" s="81" t="str">
        <f>HYPERLINK("https://youtube.com/watch?v=9Pf_9TV-FrI", "[PT自費食評] 旺角任食韓燒 性價比高 樂富分店即將開幕 啤酒任飲 肉眼扒夠肥美 仲有大量海鮮：燒蠔／帶子／蝴蝶蝦｜平昌燒肉 平民美食 抵食")</f>
        <v>[PT自費食評] 旺角任食韓燒 性價比高 樂富分店即將開幕 啤酒任飲 肉眼扒夠肥美 仲有大量海鮮：燒蠔／帶子／蝴蝶蝦｜平昌燒肉 平民美食 抵食</v>
      </c>
      <c r="E6390" s="82">
        <v>45011.0</v>
      </c>
      <c r="F6390" s="80">
        <v>707.0</v>
      </c>
      <c r="G6390" s="80" t="s">
        <v>63</v>
      </c>
      <c r="I6390" s="80" t="s">
        <v>63</v>
      </c>
      <c r="J6390" s="80">
        <v>1809.0</v>
      </c>
      <c r="K6390" s="80">
        <v>0.939252336448598</v>
      </c>
      <c r="L6390" s="80" t="s">
        <v>64</v>
      </c>
    </row>
    <row r="6391">
      <c r="A6391" s="80" t="s">
        <v>755</v>
      </c>
      <c r="B6391" s="81" t="str">
        <f>HYPERLINK("https://www.youtube.com/channel/UCBiJDTc82IM68KVH873VeAw", "Live in Kwangsi廣西人·情·味")</f>
        <v>Live in Kwangsi廣西人·情·味</v>
      </c>
      <c r="C6391" s="80" t="s">
        <v>6907</v>
      </c>
      <c r="D6391" s="81" t="str">
        <f>HYPERLINK("https://youtube.com/watch?v=Cpr-QuMRMlI", "賀州市八步區日夜掠影及簡介｜廣西風土人情 20230320")</f>
        <v>賀州市八步區日夜掠影及簡介｜廣西風土人情 20230320</v>
      </c>
      <c r="E6391" s="82">
        <v>45007.0</v>
      </c>
      <c r="F6391" s="80">
        <v>346.0</v>
      </c>
      <c r="G6391" s="80" t="s">
        <v>63</v>
      </c>
      <c r="I6391" s="80" t="s">
        <v>63</v>
      </c>
      <c r="J6391" s="80">
        <v>849.0</v>
      </c>
      <c r="K6391" s="80">
        <v>1.0</v>
      </c>
      <c r="L6391" s="80" t="s">
        <v>757</v>
      </c>
    </row>
    <row r="6392">
      <c r="A6392" s="80" t="s">
        <v>3139</v>
      </c>
      <c r="B6392" s="81" t="str">
        <f>HYPERLINK("https://www.youtube.com/channel/UCThO2xnH7XMg6plE8OgJm_w", "choyuen草原")</f>
        <v>choyuen草原</v>
      </c>
      <c r="C6392" s="80" t="s">
        <v>6908</v>
      </c>
      <c r="D6392" s="81" t="str">
        <f>HYPERLINK("https://youtube.com/watch?v=5dcnfNG8wiY", "V即是R : 3. 雙縫實驗 (B. 睇星座的粒子)    VR actually : 3. Double slit experiment (A. Zodiac particle)")</f>
        <v>V即是R : 3. 雙縫實驗 (B. 睇星座的粒子)    VR actually : 3. Double slit experiment (A. Zodiac particle)</v>
      </c>
      <c r="E6392" s="82">
        <v>45044.0</v>
      </c>
      <c r="F6392" s="80">
        <v>375.0</v>
      </c>
      <c r="G6392" s="80" t="s">
        <v>63</v>
      </c>
      <c r="I6392" s="80" t="s">
        <v>63</v>
      </c>
      <c r="J6392" s="80">
        <v>1143.0</v>
      </c>
      <c r="K6392" s="80">
        <v>0.794301598332175</v>
      </c>
      <c r="L6392" s="80" t="s">
        <v>64</v>
      </c>
    </row>
    <row r="6393">
      <c r="A6393" s="80" t="s">
        <v>248</v>
      </c>
      <c r="B6393" s="81" t="str">
        <f>HYPERLINK("https://www.youtube.com/channel/UCUEJok-GiWaGlv5nIPwk-GQ", "Price.com.hk 香港格價網")</f>
        <v>Price.com.hk 香港格價網</v>
      </c>
      <c r="C6393" s="80" t="s">
        <v>6909</v>
      </c>
      <c r="D6393" s="81" t="str">
        <f>HYPERLINK("https://youtube.com/watch?v=WgWkFMJ37J8", "自己砌 Portable SSD好過買現成 ?! 平啲仲快啲?｜DIY 外置SSD 全攻略｜SSD減價｜Mac用家必備｜廣東話【Price.com.hk 產品介紹】")</f>
        <v>自己砌 Portable SSD好過買現成 ?! 平啲仲快啲?｜DIY 外置SSD 全攻略｜SSD減價｜Mac用家必備｜廣東話【Price.com.hk 產品介紹】</v>
      </c>
      <c r="E6393" s="82">
        <v>45013.0</v>
      </c>
      <c r="F6393" s="80">
        <v>391.0</v>
      </c>
      <c r="G6393" s="80" t="s">
        <v>63</v>
      </c>
      <c r="I6393" s="80" t="s">
        <v>63</v>
      </c>
      <c r="J6393" s="80">
        <v>1286.0</v>
      </c>
      <c r="K6393" s="80">
        <v>0.754252199413489</v>
      </c>
      <c r="L6393" s="80" t="s">
        <v>64</v>
      </c>
    </row>
    <row r="6394">
      <c r="A6394" s="80" t="s">
        <v>124</v>
      </c>
      <c r="B6394" s="81" t="str">
        <f>HYPERLINK("https://www.youtube.com/channel/UCg0vuSE0fBF_NvodyYhMcWg", "Wallace Studio HK")</f>
        <v>Wallace Studio HK</v>
      </c>
      <c r="C6394" s="80" t="s">
        <v>6910</v>
      </c>
      <c r="D6394" s="81" t="str">
        <f>HYPERLINK("https://youtube.com/watch?v=9gaGL8s3pGc", "室內設計師，20年Windows 用戶，同你講下點解頂唔順要轉用MAC!")</f>
        <v>室內設計師，20年Windows 用戶，同你講下點解頂唔順要轉用MAC!</v>
      </c>
      <c r="E6394" s="82">
        <v>45035.0</v>
      </c>
      <c r="F6394" s="80">
        <v>930.0</v>
      </c>
      <c r="G6394" s="80" t="s">
        <v>63</v>
      </c>
      <c r="I6394" s="80" t="s">
        <v>63</v>
      </c>
      <c r="J6394" s="80">
        <v>3455.0</v>
      </c>
      <c r="K6394" s="80">
        <v>0.837372758119243</v>
      </c>
      <c r="L6394" s="80" t="s">
        <v>64</v>
      </c>
    </row>
    <row r="6395">
      <c r="A6395" s="80" t="s">
        <v>6169</v>
      </c>
      <c r="B6395" s="81" t="str">
        <f>HYPERLINK("https://www.youtube.com/channel/UC8UAj9wPCBdyd709kD0eEFQ", "P3NTATON1C MUSIC")</f>
        <v>P3NTATON1C MUSIC</v>
      </c>
      <c r="C6395" s="80" t="s">
        <v>6911</v>
      </c>
      <c r="D6395" s="81" t="str">
        <f>HYPERLINK("https://youtube.com/watch?v=IxkgnucxEYA", "Z - GODDAMN (Official Video)")</f>
        <v>Z - GODDAMN (Official Video)</v>
      </c>
      <c r="E6395" s="82">
        <v>45015.0</v>
      </c>
      <c r="F6395" s="80">
        <v>154.0</v>
      </c>
      <c r="G6395" s="80" t="s">
        <v>63</v>
      </c>
      <c r="I6395" s="80" t="s">
        <v>63</v>
      </c>
      <c r="J6395" s="80">
        <v>202.0</v>
      </c>
      <c r="K6395" s="80">
        <v>0.24047619047619</v>
      </c>
      <c r="L6395" s="80" t="s">
        <v>64</v>
      </c>
    </row>
    <row r="6396">
      <c r="A6396" s="80" t="s">
        <v>5868</v>
      </c>
      <c r="B6396" s="81" t="str">
        <f>HYPERLINK("https://www.youtube.com/channel/UCVvdX8wGBmCM9KerhiVu_Ig", "McFatty 麥花田")</f>
        <v>McFatty 麥花田</v>
      </c>
      <c r="C6396" s="80" t="s">
        <v>6912</v>
      </c>
      <c r="D6396" s="81" t="str">
        <f>HYPERLINK("https://youtube.com/watch?v=GdPxGYNLIgs", "臘味宴 (feat. 臘味煲仔飯 臘味炒芥蘭 電飯煲版海味三寶臘味飯) 附中文字幕 Ep143")</f>
        <v>臘味宴 (feat. 臘味煲仔飯 臘味炒芥蘭 電飯煲版海味三寶臘味飯) 附中文字幕 Ep143</v>
      </c>
      <c r="E6396" s="82">
        <v>44978.0</v>
      </c>
      <c r="F6396" s="80">
        <v>783.0</v>
      </c>
      <c r="G6396" s="80" t="s">
        <v>63</v>
      </c>
      <c r="I6396" s="80" t="s">
        <v>63</v>
      </c>
      <c r="J6396" s="80">
        <v>3028.0</v>
      </c>
      <c r="K6396" s="80">
        <v>0.975515463917525</v>
      </c>
      <c r="L6396" s="80" t="s">
        <v>102</v>
      </c>
    </row>
    <row r="6397">
      <c r="A6397" s="80" t="s">
        <v>124</v>
      </c>
      <c r="B6397" s="81" t="str">
        <f>HYPERLINK("https://www.youtube.com/channel/UCg0vuSE0fBF_NvodyYhMcWg", "Wallace Studio HK")</f>
        <v>Wallace Studio HK</v>
      </c>
      <c r="C6397" s="80" t="s">
        <v>6913</v>
      </c>
      <c r="D6397" s="81" t="str">
        <f>HYPERLINK("https://youtube.com/watch?v=EAZdS8Ba_Fg", "又細又輕! Netac ZX10 ZX20 Portable SSD 開箱實測!")</f>
        <v>又細又輕! Netac ZX10 ZX20 Portable SSD 開箱實測!</v>
      </c>
      <c r="E6397" s="82">
        <v>45029.0</v>
      </c>
      <c r="F6397" s="80">
        <v>646.0</v>
      </c>
      <c r="G6397" s="80" t="s">
        <v>63</v>
      </c>
      <c r="H6397" s="80" t="s">
        <v>63</v>
      </c>
      <c r="I6397" s="80" t="s">
        <v>63</v>
      </c>
      <c r="J6397" s="80">
        <v>2056.0</v>
      </c>
      <c r="K6397" s="80">
        <v>0.729595457771469</v>
      </c>
      <c r="L6397" s="80" t="s">
        <v>86</v>
      </c>
    </row>
    <row r="6398">
      <c r="A6398" s="80" t="s">
        <v>248</v>
      </c>
      <c r="B6398" s="81" t="str">
        <f>HYPERLINK("https://www.youtube.com/channel/UCUEJok-GiWaGlv5nIPwk-GQ", "Price.com.hk 香港格價網")</f>
        <v>Price.com.hk 香港格價網</v>
      </c>
      <c r="C6398" s="80" t="s">
        <v>6914</v>
      </c>
      <c r="D6398" s="81" t="str">
        <f>HYPERLINK("https://youtube.com/watch?v=fuBTZHqXbrM", "ROG Phone 7系列登場 新散熱扇內置低音單元、Seagate星球大戰光劍版SSD、LG茶几內置空氣淨化氣氛燈｜廣東話【Price Weekly #162 2023年4月 】")</f>
        <v>ROG Phone 7系列登場 新散熱扇內置低音單元、Seagate星球大戰光劍版SSD、LG茶几內置空氣淨化氣氛燈｜廣東話【Price Weekly #162 2023年4月 】</v>
      </c>
      <c r="E6398" s="82">
        <v>45031.0</v>
      </c>
      <c r="F6398" s="80">
        <v>479.0</v>
      </c>
      <c r="G6398" s="80" t="s">
        <v>63</v>
      </c>
      <c r="I6398" s="80" t="s">
        <v>63</v>
      </c>
      <c r="J6398" s="80">
        <v>1641.0</v>
      </c>
      <c r="K6398" s="80">
        <v>0.731283422459893</v>
      </c>
      <c r="L6398" s="80" t="s">
        <v>64</v>
      </c>
    </row>
    <row r="6399">
      <c r="A6399" s="80" t="s">
        <v>755</v>
      </c>
      <c r="B6399" s="81" t="str">
        <f>HYPERLINK("https://www.youtube.com/channel/UCBiJDTc82IM68KVH873VeAw", "Live in Kwangsi廣西人·情·味")</f>
        <v>Live in Kwangsi廣西人·情·味</v>
      </c>
      <c r="C6399" s="80" t="s">
        <v>6915</v>
      </c>
      <c r="D6399" s="81" t="str">
        <f>HYPERLINK("https://youtube.com/watch?v=Sq6_ANMINK0", "隔咗排再嚟睇下賀州市「足球小鎮」項目進展 20221127")</f>
        <v>隔咗排再嚟睇下賀州市「足球小鎮」項目進展 20221127</v>
      </c>
      <c r="E6399" s="82">
        <v>44967.0</v>
      </c>
      <c r="F6399" s="80">
        <v>734.0</v>
      </c>
      <c r="G6399" s="80" t="s">
        <v>63</v>
      </c>
      <c r="I6399" s="80" t="s">
        <v>63</v>
      </c>
      <c r="J6399" s="80">
        <v>142.0</v>
      </c>
      <c r="K6399" s="80">
        <v>0.993006993006993</v>
      </c>
      <c r="L6399" s="80" t="s">
        <v>757</v>
      </c>
    </row>
    <row r="6400">
      <c r="A6400" s="80" t="s">
        <v>5134</v>
      </c>
      <c r="B6400" s="81" t="str">
        <f>HYPERLINK("https://www.youtube.com/channel/UCGq7xle9PrLHpmdxrk0IlLw", "磚加專家 Danny Ching Top10%地產局金牌經紀百萬圓桌")</f>
        <v>磚加專家 Danny Ching Top10%地產局金牌經紀百萬圓桌</v>
      </c>
      <c r="C6400" s="80" t="s">
        <v>6916</v>
      </c>
      <c r="D6400" s="81" t="str">
        <f>HYPERLINK("https://youtube.com/watch?v=jS7z57w2kec", "【磗加分析】第3集 重磅消息 海外買家禁令 加拿大全國即是實施 移民及工簽 OWP WP Stream A B 外國人禁止購買住宅樓宇 不論二手樓或樓花 為期2年 直至另行通知 影響幾大？破解方法？")</f>
        <v>【磗加分析】第3集 重磅消息 海外買家禁令 加拿大全國即是實施 移民及工簽 OWP WP Stream A B 外國人禁止購買住宅樓宇 不論二手樓或樓花 為期2年 直至另行通知 影響幾大？破解方法？</v>
      </c>
      <c r="E6400" s="82">
        <v>45009.0</v>
      </c>
      <c r="F6400" s="80">
        <v>660.0</v>
      </c>
      <c r="G6400" s="80" t="s">
        <v>63</v>
      </c>
      <c r="I6400" s="80" t="s">
        <v>63</v>
      </c>
      <c r="J6400" s="80">
        <v>2469.0</v>
      </c>
      <c r="K6400" s="80">
        <v>0.833277084036449</v>
      </c>
      <c r="L6400" s="80" t="s">
        <v>102</v>
      </c>
    </row>
    <row r="6401">
      <c r="A6401" s="80" t="s">
        <v>140</v>
      </c>
      <c r="B6401" s="81" t="str">
        <f>HYPERLINK("https://www.youtube.com/channel/UCHK0CZf9HEXs42qIO1GUouA", "TechiCardia")</f>
        <v>TechiCardia</v>
      </c>
      <c r="C6401" s="80" t="s">
        <v>6917</v>
      </c>
      <c r="D6401" s="81" t="str">
        <f>HYPERLINK("https://youtube.com/watch?v=JZjqAskng-0", "實戰比較 i5-13400 VS Ryzen 5 7600X🔥連同 i7-13700 測試 | 打機揀邊粒？淨睇U價唔夠？ft. ASUS TUF B760M-PLUS D4 [CC廣東話字幕]")</f>
        <v>實戰比較 i5-13400 VS Ryzen 5 7600X🔥連同 i7-13700 測試 | 打機揀邊粒？淨睇U價唔夠？ft. ASUS TUF B760M-PLUS D4 [CC廣東話字幕]</v>
      </c>
      <c r="E6401" s="82">
        <v>44997.0</v>
      </c>
      <c r="F6401" s="80">
        <v>816.0</v>
      </c>
      <c r="G6401" s="80" t="s">
        <v>63</v>
      </c>
      <c r="I6401" s="80" t="s">
        <v>63</v>
      </c>
      <c r="J6401" s="80">
        <v>2280.0</v>
      </c>
      <c r="K6401" s="80">
        <v>0.665304931426904</v>
      </c>
      <c r="L6401" s="80" t="s">
        <v>102</v>
      </c>
    </row>
    <row r="6402">
      <c r="A6402" s="80" t="s">
        <v>5134</v>
      </c>
      <c r="B6402" s="81" t="str">
        <f>HYPERLINK("https://www.youtube.com/channel/UCGq7xle9PrLHpmdxrk0IlLw", "磚加專家 Danny Ching Top10%地產局金牌經紀百萬圓桌")</f>
        <v>磚加專家 Danny Ching Top10%地產局金牌經紀百萬圓桌</v>
      </c>
      <c r="C6402" s="80" t="s">
        <v>6918</v>
      </c>
      <c r="D6402" s="81" t="str">
        <f>HYPERLINK("https://youtube.com/watch?v=SnbohJ1gQMQ", "【温哥華地產】SEQUOIA 1房由約53萬 罕有景觀保障樓盤 2027長成交樓花 低至$800呎 最大3房1200呎城市屋  未來10年Surrey人口超越溫哥華市 6分鐘步行地鐵及商場")</f>
        <v>【温哥華地產】SEQUOIA 1房由約53萬 罕有景觀保障樓盤 2027長成交樓花 低至$800呎 最大3房1200呎城市屋  未來10年Surrey人口超越溫哥華市 6分鐘步行地鐵及商場</v>
      </c>
      <c r="E6402" s="82">
        <v>45018.0</v>
      </c>
      <c r="F6402" s="80">
        <v>3877.0</v>
      </c>
      <c r="G6402" s="80" t="s">
        <v>63</v>
      </c>
      <c r="I6402" s="80" t="s">
        <v>63</v>
      </c>
      <c r="J6402" s="80">
        <v>12229.0</v>
      </c>
      <c r="K6402" s="80">
        <v>0.727483640690065</v>
      </c>
      <c r="L6402" s="80" t="s">
        <v>102</v>
      </c>
    </row>
    <row r="6403">
      <c r="A6403" s="80" t="s">
        <v>6919</v>
      </c>
      <c r="B6403" s="81" t="str">
        <f>HYPERLINK("https://www.youtube.com/channel/UCF6M5AH_OALkimFGKdlWfCw", "采姐姐的故事王國 Lillian's Story Kingdom")</f>
        <v>采姐姐的故事王國 Lillian's Story Kingdom</v>
      </c>
      <c r="C6403" s="80" t="s">
        <v>6920</v>
      </c>
      <c r="D6403" s="81" t="str">
        <f>HYPERLINK("https://youtube.com/watch?v=pLYzE0FMK4o", "【成語故事】守株待兔 | Waiting For Hares By The Tree | 世上沒有不勞而獲的事情 - 粵語 (有字幕)")</f>
        <v>【成語故事】守株待兔 | Waiting For Hares By The Tree | 世上沒有不勞而獲的事情 - 粵語 (有字幕)</v>
      </c>
      <c r="E6403" s="82">
        <v>45032.0</v>
      </c>
      <c r="F6403" s="80">
        <v>300.0</v>
      </c>
      <c r="G6403" s="80" t="s">
        <v>63</v>
      </c>
      <c r="I6403" s="80" t="s">
        <v>63</v>
      </c>
      <c r="J6403" s="80">
        <v>805.0</v>
      </c>
      <c r="K6403" s="80">
        <v>0.987730061349693</v>
      </c>
      <c r="L6403" s="80" t="s">
        <v>64</v>
      </c>
    </row>
    <row r="6404">
      <c r="A6404" s="80" t="s">
        <v>217</v>
      </c>
      <c r="B6404" s="81" t="str">
        <f>HYPERLINK("https://www.youtube.com/channel/UCXKg0qPRz32bs5Z4mTGF3TQ", "Stormtrooper白兵")</f>
        <v>Stormtrooper白兵</v>
      </c>
      <c r="C6404" s="80" t="s">
        <v>6921</v>
      </c>
      <c r="D6404" s="81" t="str">
        <f>HYPERLINK("https://youtube.com/watch?v=v3SzQxz8xQs", "[不是陰謀論]減少攝取卡路里不能減重？全是心理操控！｜肥胖是荷爾蒙出錯！｜減肥不需意志力，因敵不過荷爾蒙影響｜中文字幕")</f>
        <v>[不是陰謀論]減少攝取卡路里不能減重？全是心理操控！｜肥胖是荷爾蒙出錯！｜減肥不需意志力，因敵不過荷爾蒙影響｜中文字幕</v>
      </c>
      <c r="E6404" s="82">
        <v>45022.0</v>
      </c>
      <c r="F6404" s="80">
        <v>1113.0</v>
      </c>
      <c r="G6404" s="80" t="s">
        <v>63</v>
      </c>
      <c r="I6404" s="80" t="s">
        <v>63</v>
      </c>
      <c r="J6404" s="80">
        <v>3668.0</v>
      </c>
      <c r="K6404" s="80">
        <v>0.916770807298175</v>
      </c>
      <c r="L6404" s="80" t="s">
        <v>64</v>
      </c>
    </row>
    <row r="6405">
      <c r="A6405" s="80" t="s">
        <v>5546</v>
      </c>
      <c r="B6405" s="81" t="str">
        <f>HYPERLINK("https://www.youtube.com/channel/UCpE6V9kRImKY0HX3THRgYpw", "InspirLang")</f>
        <v>InspirLang</v>
      </c>
      <c r="C6405" s="80" t="s">
        <v>6922</v>
      </c>
      <c r="D6405" s="81" t="str">
        <f>HYPERLINK("https://youtube.com/watch?v=E304Zjn89r4", "My Experience with Identity Thefts 身份盜竊 | How to Prevent Identity Thefts from Happening (Eng sub)")</f>
        <v>My Experience with Identity Thefts 身份盜竊 | How to Prevent Identity Thefts from Happening (Eng sub)</v>
      </c>
      <c r="E6405" s="82">
        <v>44989.0</v>
      </c>
      <c r="F6405" s="80">
        <v>759.0</v>
      </c>
      <c r="G6405" s="80" t="s">
        <v>63</v>
      </c>
      <c r="H6405" s="80" t="s">
        <v>63</v>
      </c>
      <c r="I6405" s="80" t="s">
        <v>63</v>
      </c>
      <c r="J6405" s="80">
        <v>2528.0</v>
      </c>
      <c r="K6405" s="80">
        <v>0.910007199424046</v>
      </c>
      <c r="L6405" s="80" t="s">
        <v>6923</v>
      </c>
    </row>
    <row r="6406">
      <c r="A6406" s="80" t="s">
        <v>248</v>
      </c>
      <c r="B6406" s="81" t="str">
        <f>HYPERLINK("https://www.youtube.com/channel/UCUEJok-GiWaGlv5nIPwk-GQ", "Price.com.hk 香港格價網")</f>
        <v>Price.com.hk 香港格價網</v>
      </c>
      <c r="C6406" s="80" t="s">
        <v>6924</v>
      </c>
      <c r="D6406" s="81" t="str">
        <f>HYPERLINK("https://youtube.com/watch?v=3XqYPB6c4pQ", "兩代旗艦試用！Galaxy S23 Ultra對比S22 Ultra｜Samsung｜2億像素｜Nightography｜SPEN ｜用後感｜廣東話｜繁中字幕【Price.com.hk 產品介紹 】")</f>
        <v>兩代旗艦試用！Galaxy S23 Ultra對比S22 Ultra｜Samsung｜2億像素｜Nightography｜SPEN ｜用後感｜廣東話｜繁中字幕【Price.com.hk 產品介紹 】</v>
      </c>
      <c r="E6406" s="82">
        <v>44971.0</v>
      </c>
      <c r="F6406" s="80">
        <v>467.0</v>
      </c>
      <c r="G6406" s="80" t="s">
        <v>63</v>
      </c>
      <c r="I6406" s="80" t="s">
        <v>63</v>
      </c>
      <c r="J6406" s="80">
        <v>1587.0</v>
      </c>
      <c r="K6406" s="80">
        <v>0.765188042430086</v>
      </c>
      <c r="L6406" s="80" t="s">
        <v>64</v>
      </c>
    </row>
    <row r="6407">
      <c r="A6407" s="80" t="s">
        <v>6591</v>
      </c>
      <c r="B6407" s="81" t="str">
        <f>HYPERLINK("https://www.youtube.com/channel/UC0DpBgpq_gR7TaNDIvJYZag", "TalkFood")</f>
        <v>TalkFood</v>
      </c>
      <c r="C6407" s="80" t="s">
        <v>6925</v>
      </c>
      <c r="D6407" s="81" t="str">
        <f>HYPERLINK("https://youtube.com/watch?v=on7R2CNFDUU", "【#18區搵食 — 粉嶺除咗群記豬手，泰式脆豬仲好食！】群記伏唔伏？｜牛丸好食過豬手｜雄泰世一｜等4個字都值得嘅燒牛仔骨飯｜唔脆唔賣嘅淨脆豬｜終於搵到大過Y小編塊面嘅雞髀｜堅係大大大髀")</f>
        <v>【#18區搵食 — 粉嶺除咗群記豬手，泰式脆豬仲好食！】群記伏唔伏？｜牛丸好食過豬手｜雄泰世一｜等4個字都值得嘅燒牛仔骨飯｜唔脆唔賣嘅淨脆豬｜終於搵到大過Y小編塊面嘅雞髀｜堅係大大大髀</v>
      </c>
      <c r="E6407" s="82">
        <v>44994.0</v>
      </c>
      <c r="F6407" s="80">
        <v>1051.0</v>
      </c>
      <c r="G6407" s="80" t="s">
        <v>63</v>
      </c>
      <c r="I6407" s="80" t="s">
        <v>63</v>
      </c>
      <c r="J6407" s="80">
        <v>3003.0</v>
      </c>
      <c r="K6407" s="80">
        <v>0.944339622641509</v>
      </c>
      <c r="L6407" s="80" t="s">
        <v>91</v>
      </c>
    </row>
    <row r="6408">
      <c r="A6408" s="80" t="s">
        <v>755</v>
      </c>
      <c r="B6408" s="81" t="str">
        <f>HYPERLINK("https://www.youtube.com/channel/UCBiJDTc82IM68KVH873VeAw", "Live in Kwangsi廣西人·情·味")</f>
        <v>Live in Kwangsi廣西人·情·味</v>
      </c>
      <c r="C6408" s="80" t="s">
        <v>6926</v>
      </c>
      <c r="D6408" s="81" t="str">
        <f>HYPERLINK("https://youtube.com/watch?v=OhcZO9DydAo", "喺賀州市賀街鎮新興寨享受落雨天又賞埋花｜廣西美景 20230206")</f>
        <v>喺賀州市賀街鎮新興寨享受落雨天又賞埋花｜廣西美景 20230206</v>
      </c>
      <c r="E6408" s="82">
        <v>44964.0</v>
      </c>
      <c r="F6408" s="80">
        <v>610.0</v>
      </c>
      <c r="G6408" s="80" t="s">
        <v>63</v>
      </c>
      <c r="I6408" s="80" t="s">
        <v>63</v>
      </c>
      <c r="J6408" s="80">
        <v>92.0</v>
      </c>
      <c r="K6408" s="80">
        <v>1.0</v>
      </c>
      <c r="L6408" s="80" t="s">
        <v>757</v>
      </c>
    </row>
    <row r="6409">
      <c r="A6409" s="80" t="s">
        <v>242</v>
      </c>
      <c r="B6409" s="81" t="str">
        <f>HYPERLINK("https://www.youtube.com/channel/UCZGVB6g74LXWtkR3fX50ykg", "Edwin H.")</f>
        <v>Edwin H.</v>
      </c>
      <c r="C6409" s="80" t="s">
        <v>6927</v>
      </c>
      <c r="D6409" s="81" t="str">
        <f>HYPERLINK("https://youtube.com/watch?v=0zAFmMoPgAs", "智能家居大升級！  🇺🇸 美國牌水牙線 ⚙️  Insta360 Flow 🎠  隱形遊樂場 🔊 真好用藍牙喇叭 Marshall Middleton | Edwin買乜野")</f>
        <v>智能家居大升級！  🇺🇸 美國牌水牙線 ⚙️  Insta360 Flow 🎠  隱形遊樂場 🔊 真好用藍牙喇叭 Marshall Middleton | Edwin買乜野</v>
      </c>
      <c r="E6409" s="82">
        <v>45044.0</v>
      </c>
      <c r="F6409" s="80">
        <v>832.0</v>
      </c>
      <c r="G6409" s="80" t="s">
        <v>63</v>
      </c>
      <c r="I6409" s="80" t="s">
        <v>63</v>
      </c>
      <c r="J6409" s="80">
        <v>3930.0</v>
      </c>
      <c r="K6409" s="80">
        <v>0.806981519507186</v>
      </c>
      <c r="L6409" s="80" t="s">
        <v>64</v>
      </c>
    </row>
    <row r="6410">
      <c r="A6410" s="80" t="s">
        <v>248</v>
      </c>
      <c r="B6410" s="81" t="str">
        <f>HYPERLINK("https://www.youtube.com/channel/UCUEJok-GiWaGlv5nIPwk-GQ", "Price.com.hk 香港格價網")</f>
        <v>Price.com.hk 香港格價網</v>
      </c>
      <c r="C6410" s="80" t="s">
        <v>6928</v>
      </c>
      <c r="D6410" s="81" t="str">
        <f>HYPERLINK("https://youtube.com/watch?v=mZhqzhAvWng", "極秘私人影院，無懼空間有限｜3 種用法玩盡 TCL NXTWEAR S XR眼鏡｜130 吋熒幕｜3D 電影｜廣東話【Price.com.hk 產品評測】")</f>
        <v>極秘私人影院，無懼空間有限｜3 種用法玩盡 TCL NXTWEAR S XR眼鏡｜130 吋熒幕｜3D 電影｜廣東話【Price.com.hk 產品評測】</v>
      </c>
      <c r="E6410" s="82">
        <v>44978.0</v>
      </c>
      <c r="F6410" s="80">
        <v>285.0</v>
      </c>
      <c r="G6410" s="80" t="s">
        <v>63</v>
      </c>
      <c r="I6410" s="80" t="s">
        <v>63</v>
      </c>
      <c r="J6410" s="80">
        <v>1102.0</v>
      </c>
      <c r="K6410" s="80">
        <v>0.830444611906556</v>
      </c>
      <c r="L6410" s="80" t="s">
        <v>64</v>
      </c>
    </row>
    <row r="6411">
      <c r="A6411" s="80" t="s">
        <v>755</v>
      </c>
      <c r="B6411" s="81" t="str">
        <f t="shared" ref="B6411:B6413" si="368">HYPERLINK("https://www.youtube.com/channel/UCBiJDTc82IM68KVH873VeAw", "Live in Kwangsi廣西人·情·味")</f>
        <v>Live in Kwangsi廣西人·情·味</v>
      </c>
      <c r="C6411" s="80" t="s">
        <v>6929</v>
      </c>
      <c r="D6411" s="81" t="str">
        <f>HYPERLINK("https://youtube.com/watch?v=Azr6Ec2oUfY", "喺肇慶市游車河 芙蓉路至紫荊西堤｜廣東日常實拍 20230312")</f>
        <v>喺肇慶市游車河 芙蓉路至紫荊西堤｜廣東日常實拍 20230312</v>
      </c>
      <c r="E6411" s="82">
        <v>44998.0</v>
      </c>
      <c r="F6411" s="80">
        <v>556.0</v>
      </c>
      <c r="G6411" s="80" t="s">
        <v>63</v>
      </c>
      <c r="I6411" s="80" t="s">
        <v>63</v>
      </c>
      <c r="J6411" s="80">
        <v>63.0</v>
      </c>
      <c r="K6411" s="80">
        <v>1.0</v>
      </c>
      <c r="L6411" s="80" t="s">
        <v>757</v>
      </c>
    </row>
    <row r="6412">
      <c r="A6412" s="80" t="s">
        <v>755</v>
      </c>
      <c r="B6412" s="81" t="str">
        <f t="shared" si="368"/>
        <v>Live in Kwangsi廣西人·情·味</v>
      </c>
      <c r="C6412" s="80" t="s">
        <v>6930</v>
      </c>
      <c r="D6412" s="81" t="str">
        <f>HYPERLINK("https://youtube.com/watch?v=RgWXahzFPN4", "雲浮市中心有個優美、秀麗嘅蟠龍天湖公園｜廣東日常實拍 20230218")</f>
        <v>雲浮市中心有個優美、秀麗嘅蟠龍天湖公園｜廣東日常實拍 20230218</v>
      </c>
      <c r="E6412" s="82">
        <v>44976.0</v>
      </c>
      <c r="F6412" s="80">
        <v>1744.0</v>
      </c>
      <c r="G6412" s="80" t="s">
        <v>63</v>
      </c>
      <c r="I6412" s="80" t="s">
        <v>63</v>
      </c>
      <c r="J6412" s="80">
        <v>806.0</v>
      </c>
      <c r="K6412" s="80">
        <v>0.998760842627013</v>
      </c>
      <c r="L6412" s="80" t="s">
        <v>757</v>
      </c>
    </row>
    <row r="6413">
      <c r="A6413" s="80" t="s">
        <v>755</v>
      </c>
      <c r="B6413" s="81" t="str">
        <f t="shared" si="368"/>
        <v>Live in Kwangsi廣西人·情·味</v>
      </c>
      <c r="C6413" s="80" t="s">
        <v>6931</v>
      </c>
      <c r="D6413" s="81" t="str">
        <f>HYPERLINK("https://youtube.com/watch?v=Jh6XpR8dpZc", "賀州市愛蓮湖🌸櫻花盛放｜廣西美景 20230215")</f>
        <v>賀州市愛蓮湖🌸櫻花盛放｜廣西美景 20230215</v>
      </c>
      <c r="E6413" s="82">
        <v>44972.0</v>
      </c>
      <c r="F6413" s="80">
        <v>265.0</v>
      </c>
      <c r="G6413" s="80" t="s">
        <v>63</v>
      </c>
      <c r="I6413" s="80" t="s">
        <v>63</v>
      </c>
      <c r="J6413" s="80">
        <v>146.0</v>
      </c>
      <c r="K6413" s="80">
        <v>1.0</v>
      </c>
      <c r="L6413" s="80" t="s">
        <v>757</v>
      </c>
    </row>
    <row r="6414">
      <c r="A6414" s="80" t="s">
        <v>260</v>
      </c>
      <c r="B6414" s="81" t="str">
        <f>HYPERLINK("https://www.youtube.com/channel/UC-HXOikkLx7BGEfILGIpYOg", "港短 . 英移")</f>
        <v>港短 . 英移</v>
      </c>
      <c r="C6414" s="80" t="s">
        <v>6932</v>
      </c>
      <c r="D6414" s="81" t="str">
        <f>HYPERLINK("https://youtube.com/watch?v=ZsfbE6AY1wo", "美國銷售員意外發現虛擬世界的證據 | 港短英移")</f>
        <v>美國銷售員意外發現虛擬世界的證據 | 港短英移</v>
      </c>
      <c r="E6414" s="82">
        <v>45009.0</v>
      </c>
      <c r="F6414" s="80">
        <v>559.0</v>
      </c>
      <c r="G6414" s="80" t="s">
        <v>63</v>
      </c>
      <c r="I6414" s="80" t="s">
        <v>63</v>
      </c>
      <c r="J6414" s="80">
        <v>2494.0</v>
      </c>
      <c r="K6414" s="80">
        <v>0.935834896810506</v>
      </c>
      <c r="L6414" s="80" t="s">
        <v>102</v>
      </c>
    </row>
    <row r="6415">
      <c r="A6415" s="80" t="s">
        <v>217</v>
      </c>
      <c r="B6415" s="81" t="str">
        <f>HYPERLINK("https://www.youtube.com/channel/UCXKg0qPRz32bs5Z4mTGF3TQ", "Stormtrooper白兵")</f>
        <v>Stormtrooper白兵</v>
      </c>
      <c r="C6415" s="80" t="s">
        <v>6933</v>
      </c>
      <c r="D6415" s="81" t="str">
        <f>HYPERLINK("https://youtube.com/watch?v=kuNndIqzux4", "[不是陰謀論]跨國鉅企財金政治與學術造假的產物－食物金字塔｜跟從只會換來肥胖、糖尿、心臟病｜中文字幕")</f>
        <v>[不是陰謀論]跨國鉅企財金政治與學術造假的產物－食物金字塔｜跟從只會換來肥胖、糖尿、心臟病｜中文字幕</v>
      </c>
      <c r="E6415" s="82">
        <v>45015.0</v>
      </c>
      <c r="F6415" s="80">
        <v>1491.0</v>
      </c>
      <c r="G6415" s="80" t="s">
        <v>63</v>
      </c>
      <c r="I6415" s="80" t="s">
        <v>63</v>
      </c>
      <c r="J6415" s="80">
        <v>5707.0</v>
      </c>
      <c r="K6415" s="80">
        <v>0.92706302794022</v>
      </c>
      <c r="L6415" s="80" t="s">
        <v>64</v>
      </c>
    </row>
    <row r="6416">
      <c r="A6416" s="80" t="s">
        <v>6817</v>
      </c>
      <c r="B6416" s="81" t="str">
        <f>HYPERLINK("https://www.youtube.com/channel/UCWo5nbifkKDRNyD2nF2KJ0Q", "陳柏宇 Jason Chan")</f>
        <v>陳柏宇 Jason Chan</v>
      </c>
      <c r="C6416" s="80" t="s">
        <v>6934</v>
      </c>
      <c r="D6416" s="81" t="str">
        <f>HYPERLINK("https://youtube.com/watch?v=Mc3nNenYSWw", "陳柏宇 Jason Chan feat. 九龍搖擺俱樂部演唱會2023 記錄片 - 《SWING IS...》")</f>
        <v>陳柏宇 Jason Chan feat. 九龍搖擺俱樂部演唱會2023 記錄片 - 《SWING IS...》</v>
      </c>
      <c r="E6416" s="82">
        <v>44972.0</v>
      </c>
      <c r="F6416" s="80">
        <v>1202.0</v>
      </c>
      <c r="G6416" s="80" t="s">
        <v>63</v>
      </c>
      <c r="I6416" s="80" t="s">
        <v>63</v>
      </c>
      <c r="J6416" s="80">
        <v>2741.0</v>
      </c>
      <c r="K6416" s="80">
        <v>0.850186104218362</v>
      </c>
      <c r="L6416" s="80" t="s">
        <v>102</v>
      </c>
    </row>
    <row r="6417">
      <c r="A6417" s="80" t="s">
        <v>2585</v>
      </c>
      <c r="B6417" s="81" t="str">
        <f>HYPERLINK("https://www.youtube.com/channel/UCyyruuN0VecuYxPNR4un88Q", "混血肥仔")</f>
        <v>混血肥仔</v>
      </c>
      <c r="C6417" s="80" t="s">
        <v>6935</v>
      </c>
      <c r="D6417" s="81" t="str">
        <f>HYPERLINK("https://youtube.com/watch?v=ORBb82RbfQI", "我做錯一件事令第三胎出現了 ｜需要大家支持")</f>
        <v>我做錯一件事令第三胎出現了 ｜需要大家支持</v>
      </c>
      <c r="E6417" s="82">
        <v>45030.0</v>
      </c>
      <c r="F6417" s="80">
        <v>323.0</v>
      </c>
      <c r="G6417" s="80" t="s">
        <v>63</v>
      </c>
      <c r="I6417" s="80" t="s">
        <v>63</v>
      </c>
      <c r="J6417" s="80">
        <v>905.0</v>
      </c>
      <c r="K6417" s="80">
        <v>0.943691345151199</v>
      </c>
      <c r="L6417" s="80" t="s">
        <v>64</v>
      </c>
    </row>
    <row r="6418">
      <c r="A6418" s="80" t="s">
        <v>242</v>
      </c>
      <c r="B6418" s="81" t="str">
        <f>HYPERLINK("https://www.youtube.com/channel/UCZGVB6g74LXWtkR3fX50ykg", "Edwin H.")</f>
        <v>Edwin H.</v>
      </c>
      <c r="C6418" s="80" t="s">
        <v>6936</v>
      </c>
      <c r="D6418" s="81" t="str">
        <f>HYPERLINK("https://youtube.com/watch?v=_VooVSKbixI", "神級智能門鐘？🛎️ Nothing Ear (2) 有驚喜 👂🏻 Edwin買乜野 🎠 PSVR2 評語 🎮 霍格華茲的傳承評語")</f>
        <v>神級智能門鐘？🛎️ Nothing Ear (2) 有驚喜 👂🏻 Edwin買乜野 🎠 PSVR2 評語 🎮 霍格華茲的傳承評語</v>
      </c>
      <c r="E6418" s="82">
        <v>45016.0</v>
      </c>
      <c r="F6418" s="80">
        <v>1170.0</v>
      </c>
      <c r="G6418" s="80" t="s">
        <v>63</v>
      </c>
      <c r="I6418" s="80" t="s">
        <v>63</v>
      </c>
      <c r="J6418" s="80">
        <v>5557.0</v>
      </c>
      <c r="K6418" s="80">
        <v>0.790919442072302</v>
      </c>
      <c r="L6418" s="80" t="s">
        <v>64</v>
      </c>
    </row>
    <row r="6419">
      <c r="A6419" s="80" t="s">
        <v>6817</v>
      </c>
      <c r="B6419" s="81" t="str">
        <f>HYPERLINK("https://www.youtube.com/channel/UCWo5nbifkKDRNyD2nF2KJ0Q", "陳柏宇 Jason Chan")</f>
        <v>陳柏宇 Jason Chan</v>
      </c>
      <c r="C6419" s="80" t="s">
        <v>6937</v>
      </c>
      <c r="D6419" s="81" t="str">
        <f>HYPERLINK("https://youtube.com/watch?v=S_6oSi-kc-o", "陳柏宇自爆上次分手已是14年前？！｜化身道理師 分析情人節十萬個激嬲女朋友嘅理由｜感激老婆 Leanne 於演唱會準備期間特意煲湯湊女 照顧周到 ｜陳柏宇 Jason Chan（中文字幕）")</f>
        <v>陳柏宇自爆上次分手已是14年前？！｜化身道理師 分析情人節十萬個激嬲女朋友嘅理由｜感激老婆 Leanne 於演唱會準備期間特意煲湯湊女 照顧周到 ｜陳柏宇 Jason Chan（中文字幕）</v>
      </c>
      <c r="E6419" s="82">
        <v>44965.0</v>
      </c>
      <c r="F6419" s="80">
        <v>676.0</v>
      </c>
      <c r="G6419" s="80" t="s">
        <v>63</v>
      </c>
      <c r="I6419" s="80" t="s">
        <v>63</v>
      </c>
      <c r="J6419" s="80">
        <v>3172.0</v>
      </c>
      <c r="K6419" s="80">
        <v>0.969734026291654</v>
      </c>
      <c r="L6419" s="80" t="s">
        <v>102</v>
      </c>
    </row>
    <row r="6420">
      <c r="A6420" s="80" t="s">
        <v>3139</v>
      </c>
      <c r="B6420" s="81" t="str">
        <f>HYPERLINK("https://www.youtube.com/channel/UCThO2xnH7XMg6plE8OgJm_w", "choyuen草原")</f>
        <v>choyuen草原</v>
      </c>
      <c r="C6420" s="80" t="s">
        <v>6938</v>
      </c>
      <c r="D6420" s="81" t="str">
        <f>HYPERLINK("https://youtube.com/watch?v=w0VLZXEdbpo", "奧克尼島: 睇完巨石, 凍到頭赤 (C. 巨石航線|尋找極北國度)  Orkney reveals the Coldest Lost civilization (C.  People)")</f>
        <v>奧克尼島: 睇完巨石, 凍到頭赤 (C. 巨石航線|尋找極北國度)  Orkney reveals the Coldest Lost civilization (C.  People)</v>
      </c>
      <c r="E6420" s="82">
        <v>44939.0</v>
      </c>
      <c r="F6420" s="80">
        <v>351.0</v>
      </c>
      <c r="G6420" s="80" t="s">
        <v>63</v>
      </c>
      <c r="I6420" s="80" t="s">
        <v>63</v>
      </c>
      <c r="J6420" s="80">
        <v>930.0</v>
      </c>
      <c r="K6420" s="80">
        <v>0.876531573986804</v>
      </c>
      <c r="L6420" s="80" t="s">
        <v>64</v>
      </c>
    </row>
    <row r="6421">
      <c r="A6421" s="80" t="s">
        <v>6238</v>
      </c>
      <c r="B6421" s="81" t="str">
        <f>HYPERLINK("https://www.youtube.com/channel/UC_ogl0qjBdXrTiZZJ6ltsQQ", "Flat Out 地板油")</f>
        <v>Flat Out 地板油</v>
      </c>
      <c r="C6421" s="80" t="s">
        <v>6939</v>
      </c>
      <c r="D6421" s="81" t="str">
        <f>HYPERLINK("https://youtube.com/watch?v=5ng3on85OH0", "Flat Out邊個揸車最快？馬來西亞雪邦賽車場激鬥390cc小型賽車！同場加映澳門「超伏」Kart仔場？| Flat Out Race #FlatOut鬥快 #地板油 #GoKart")</f>
        <v>Flat Out邊個揸車最快？馬來西亞雪邦賽車場激鬥390cc小型賽車！同場加映澳門「超伏」Kart仔場？| Flat Out Race #FlatOut鬥快 #地板油 #GoKart</v>
      </c>
      <c r="E6421" s="82">
        <v>44985.0</v>
      </c>
      <c r="F6421" s="80">
        <v>1005.0</v>
      </c>
      <c r="G6421" s="80" t="s">
        <v>63</v>
      </c>
      <c r="I6421" s="80" t="s">
        <v>63</v>
      </c>
      <c r="J6421" s="80">
        <v>1943.0</v>
      </c>
      <c r="K6421" s="80">
        <v>0.807900207900207</v>
      </c>
      <c r="L6421" s="80" t="s">
        <v>6940</v>
      </c>
    </row>
    <row r="6422">
      <c r="A6422" s="80" t="s">
        <v>6892</v>
      </c>
      <c r="B6422" s="81" t="str">
        <f>HYPERLINK("https://www.youtube.com/channel/UC8_hxeY0nDCL-8ETbcGUZ9g", "PT食為先")</f>
        <v>PT食為先</v>
      </c>
      <c r="C6422" s="80" t="s">
        <v>6941</v>
      </c>
      <c r="D6422" s="81" t="str">
        <f>HYPERLINK("https://youtube.com/watch?v=mAzh2CSLij0", "[PT自費遊記] 2023年亞洲50最佳餐廳第一位！曼谷必食米芝蓮餐廳 Le Du！泰國菜招牌河蝦超惹味👍上King Power王權觀景台注意事項？")</f>
        <v>[PT自費遊記] 2023年亞洲50最佳餐廳第一位！曼谷必食米芝蓮餐廳 Le Du！泰國菜招牌河蝦超惹味👍上King Power王權觀景台注意事項？</v>
      </c>
      <c r="E6422" s="82">
        <v>44989.0</v>
      </c>
      <c r="F6422" s="80">
        <v>932.0</v>
      </c>
      <c r="G6422" s="80" t="s">
        <v>63</v>
      </c>
      <c r="I6422" s="80" t="s">
        <v>63</v>
      </c>
      <c r="J6422" s="80">
        <v>2148.0</v>
      </c>
      <c r="K6422" s="80">
        <v>0.845669291338582</v>
      </c>
      <c r="L6422" s="80" t="s">
        <v>64</v>
      </c>
    </row>
    <row r="6423">
      <c r="A6423" s="80" t="s">
        <v>124</v>
      </c>
      <c r="B6423" s="81" t="str">
        <f t="shared" ref="B6423:B6424" si="369">HYPERLINK("https://www.youtube.com/channel/UCg0vuSE0fBF_NvodyYhMcWg", "Wallace Studio HK")</f>
        <v>Wallace Studio HK</v>
      </c>
      <c r="C6423" s="80" t="s">
        <v>6942</v>
      </c>
      <c r="D6423" s="81" t="str">
        <f>HYPERLINK("https://youtube.com/watch?v=qODRkhH8v3I", "Asustor AS6704T 開箱實測! 2.5Gbe LAN, Intel N5105, 仲有得擴充10Gbe, SMB Multichannel 速度有驚喜!!!")</f>
        <v>Asustor AS6704T 開箱實測! 2.5Gbe LAN, Intel N5105, 仲有得擴充10Gbe, SMB Multichannel 速度有驚喜!!!</v>
      </c>
      <c r="E6423" s="82">
        <v>45031.0</v>
      </c>
      <c r="F6423" s="80">
        <v>792.0</v>
      </c>
      <c r="G6423" s="80" t="s">
        <v>63</v>
      </c>
      <c r="H6423" s="80" t="s">
        <v>63</v>
      </c>
      <c r="I6423" s="80" t="s">
        <v>63</v>
      </c>
      <c r="J6423" s="80">
        <v>2653.0</v>
      </c>
      <c r="K6423" s="80">
        <v>0.758</v>
      </c>
      <c r="L6423" s="80" t="s">
        <v>86</v>
      </c>
    </row>
    <row r="6424">
      <c r="A6424" s="80" t="s">
        <v>124</v>
      </c>
      <c r="B6424" s="81" t="str">
        <f t="shared" si="369"/>
        <v>Wallace Studio HK</v>
      </c>
      <c r="C6424" s="80" t="s">
        <v>6943</v>
      </c>
      <c r="D6424" s="81" t="str">
        <f>HYPERLINK("https://youtube.com/watch?v=YG0z-UuKRZE", "［Webcam推介2023］Insta360 Link 開箱實測，4K 三軸雲台 WEBCAM！ 視像會議，遙距教學，創作者WEBCAM 之選!")</f>
        <v>［Webcam推介2023］Insta360 Link 開箱實測，4K 三軸雲台 WEBCAM！ 視像會議，遙距教學，創作者WEBCAM 之選!</v>
      </c>
      <c r="E6424" s="82">
        <v>44996.0</v>
      </c>
      <c r="F6424" s="80">
        <v>690.0</v>
      </c>
      <c r="G6424" s="80" t="s">
        <v>63</v>
      </c>
      <c r="H6424" s="80" t="s">
        <v>63</v>
      </c>
      <c r="I6424" s="80" t="s">
        <v>63</v>
      </c>
      <c r="J6424" s="80">
        <v>2487.0</v>
      </c>
      <c r="K6424" s="80">
        <v>0.736670616113744</v>
      </c>
      <c r="L6424" s="80" t="s">
        <v>86</v>
      </c>
    </row>
    <row r="6425">
      <c r="A6425" s="80" t="s">
        <v>2829</v>
      </c>
      <c r="B6425" s="81" t="str">
        <f>HYPERLINK("https://www.youtube.com/channel/UC7GnES6AEQlDzaP04UqtyjA", "SOLID IDEA")</f>
        <v>SOLID IDEA</v>
      </c>
      <c r="C6425" s="80" t="s">
        <v>6944</v>
      </c>
      <c r="D6425" s="81" t="str">
        <f>HYPERLINK("https://youtube.com/watch?v=ekFfdSb00Dw", "台灣風格！？台灣客人！？｜設計 • idea | ｜Solid Idea｜室內設計｜家居規劃｜星級設計｜［CC字幕］")</f>
        <v>台灣風格！？台灣客人！？｜設計 • idea | ｜Solid Idea｜室內設計｜家居規劃｜星級設計｜［CC字幕］</v>
      </c>
      <c r="E6425" s="82">
        <v>45048.0</v>
      </c>
      <c r="F6425" s="80">
        <v>150.0</v>
      </c>
      <c r="G6425" s="80" t="s">
        <v>63</v>
      </c>
      <c r="I6425" s="80" t="s">
        <v>63</v>
      </c>
      <c r="J6425" s="80">
        <v>571.0</v>
      </c>
      <c r="K6425" s="80">
        <v>0.977739726027397</v>
      </c>
      <c r="L6425" s="80" t="s">
        <v>64</v>
      </c>
    </row>
    <row r="6426">
      <c r="A6426" s="80" t="s">
        <v>755</v>
      </c>
      <c r="B6426" s="81" t="str">
        <f>HYPERLINK("https://www.youtube.com/channel/UCBiJDTc82IM68KVH873VeAw", "Live in Kwangsi廣西人·情·味")</f>
        <v>Live in Kwangsi廣西人·情·味</v>
      </c>
      <c r="C6426" s="80" t="s">
        <v>6945</v>
      </c>
      <c r="D6426" s="81" t="str">
        <f>HYPERLINK("https://youtube.com/watch?v=DfvpzQefFVQ", "由肇慶市中心昌大昌商場揸車一路影到上高速｜廣東日常實拍 20230312")</f>
        <v>由肇慶市中心昌大昌商場揸車一路影到上高速｜廣東日常實拍 20230312</v>
      </c>
      <c r="E6426" s="82">
        <v>44998.0</v>
      </c>
      <c r="F6426" s="80">
        <v>1309.0</v>
      </c>
      <c r="G6426" s="80" t="s">
        <v>63</v>
      </c>
      <c r="I6426" s="80" t="s">
        <v>63</v>
      </c>
      <c r="J6426" s="80">
        <v>22.0</v>
      </c>
      <c r="K6426" s="80">
        <v>1.0</v>
      </c>
      <c r="L6426" s="80" t="s">
        <v>757</v>
      </c>
    </row>
    <row r="6427">
      <c r="A6427" s="80" t="s">
        <v>124</v>
      </c>
      <c r="B6427" s="81" t="str">
        <f>HYPERLINK("https://www.youtube.com/channel/UCg0vuSE0fBF_NvodyYhMcWg", "Wallace Studio HK")</f>
        <v>Wallace Studio HK</v>
      </c>
      <c r="C6427" s="80" t="s">
        <v>6946</v>
      </c>
      <c r="D6427" s="81" t="str">
        <f>HYPERLINK("https://youtube.com/watch?v=81JYXkaszks", "一個字，靚！Samsung Galaxy S23 VS S23+，Ultra 的抉擇? 買定唔買?")</f>
        <v>一個字，靚！Samsung Galaxy S23 VS S23+，Ultra 的抉擇? 買定唔買?</v>
      </c>
      <c r="E6427" s="82">
        <v>45039.0</v>
      </c>
      <c r="F6427" s="80">
        <v>462.0</v>
      </c>
      <c r="G6427" s="80" t="s">
        <v>63</v>
      </c>
      <c r="I6427" s="80" t="s">
        <v>63</v>
      </c>
      <c r="J6427" s="80">
        <v>1380.0</v>
      </c>
      <c r="K6427" s="80">
        <v>0.763274336283185</v>
      </c>
      <c r="L6427" s="80" t="s">
        <v>64</v>
      </c>
    </row>
    <row r="6428">
      <c r="A6428" s="80" t="s">
        <v>6248</v>
      </c>
      <c r="B6428" s="81" t="str">
        <f>HYPERLINK("https://www.youtube.com/channel/UCmlr1is6e9bV34fgg3u0xng", "Ruby.S")</f>
        <v>Ruby.S</v>
      </c>
      <c r="C6428" s="80" t="s">
        <v>6947</v>
      </c>
      <c r="D6428" s="81" t="str">
        <f>HYPERLINK("https://youtube.com/watch?v=pEe8fymXHtM", "@Rubys426  ［考牌路線1］一尖三咀過四灣｜行到腳震26k｜蚺蛇尖米粉咀短咀長咀東灣大灣鹹田灣西灣｜I believe I can hike EP54")</f>
        <v>@Rubys426  ［考牌路線1］一尖三咀過四灣｜行到腳震26k｜蚺蛇尖米粉咀短咀長咀東灣大灣鹹田灣西灣｜I believe I can hike EP54</v>
      </c>
      <c r="E6428" s="82">
        <v>44973.0</v>
      </c>
      <c r="F6428" s="80">
        <v>2807.0</v>
      </c>
      <c r="G6428" s="80" t="s">
        <v>63</v>
      </c>
      <c r="I6428" s="80" t="s">
        <v>63</v>
      </c>
      <c r="J6428" s="80">
        <v>3690.0</v>
      </c>
      <c r="K6428" s="80">
        <v>0.922269432641839</v>
      </c>
      <c r="L6428" s="80" t="s">
        <v>64</v>
      </c>
    </row>
    <row r="6429">
      <c r="A6429" s="80" t="s">
        <v>124</v>
      </c>
      <c r="B6429" s="81" t="str">
        <f>HYPERLINK("https://www.youtube.com/channel/UCg0vuSE0fBF_NvodyYhMcWg", "Wallace Studio HK")</f>
        <v>Wallace Studio HK</v>
      </c>
      <c r="C6429" s="80" t="s">
        <v>6948</v>
      </c>
      <c r="D6429" s="81" t="str">
        <f>HYPERLINK("https://youtube.com/watch?v=mNK4pXNL1VE", "Samsung Galaxy S23 Ultra 詳細評測! 小改變大驚喜，2億像素唔係講笑  (vs iPhone 14 Pro 影相拍片比較)")</f>
        <v>Samsung Galaxy S23 Ultra 詳細評測! 小改變大驚喜，2億像素唔係講笑  (vs iPhone 14 Pro 影相拍片比較)</v>
      </c>
      <c r="E6429" s="82">
        <v>44983.0</v>
      </c>
      <c r="F6429" s="80">
        <v>766.0</v>
      </c>
      <c r="G6429" s="80" t="s">
        <v>63</v>
      </c>
      <c r="H6429" s="80" t="s">
        <v>63</v>
      </c>
      <c r="I6429" s="80" t="s">
        <v>63</v>
      </c>
      <c r="J6429" s="80">
        <v>2888.0</v>
      </c>
      <c r="K6429" s="80">
        <v>0.819988642816581</v>
      </c>
      <c r="L6429" s="80" t="s">
        <v>86</v>
      </c>
    </row>
    <row r="6430">
      <c r="A6430" s="80" t="s">
        <v>96</v>
      </c>
      <c r="B6430" s="81" t="str">
        <f>HYPERLINK("https://www.youtube.com/channel/UCGtyHJ-L_4RDIHe3XaLofQQ", "Anson Cheung")</f>
        <v>Anson Cheung</v>
      </c>
      <c r="C6430" s="80" t="s">
        <v>6949</v>
      </c>
      <c r="D6430" s="81" t="str">
        <f>HYPERLINK("https://youtube.com/watch?v=tCAs7Lmqvu0", "用 Final Cut Pro 的你，真的有需要 M2 Max 嗎？ 剪片電池續航能撐多久？竟然連電影機拍的8K片都剪到？M2 Max MacBook Pro 一個月長時間使用分享評測")</f>
        <v>用 Final Cut Pro 的你，真的有需要 M2 Max 嗎？ 剪片電池續航能撐多久？竟然連電影機拍的8K片都剪到？M2 Max MacBook Pro 一個月長時間使用分享評測</v>
      </c>
      <c r="E6430" s="82">
        <v>45012.0</v>
      </c>
      <c r="F6430" s="80">
        <v>1047.0</v>
      </c>
      <c r="G6430" s="80" t="s">
        <v>63</v>
      </c>
      <c r="I6430" s="80" t="s">
        <v>63</v>
      </c>
      <c r="J6430" s="80">
        <v>3540.0</v>
      </c>
      <c r="K6430" s="80">
        <v>0.556866446436998</v>
      </c>
      <c r="L6430" s="80" t="s">
        <v>102</v>
      </c>
    </row>
    <row r="6431">
      <c r="A6431" s="80" t="s">
        <v>5134</v>
      </c>
      <c r="B6431" s="81" t="str">
        <f>HYPERLINK("https://www.youtube.com/channel/UCGq7xle9PrLHpmdxrk0IlLw", "磚加專家 Danny Ching Top10%地產局金牌經紀百萬圓桌")</f>
        <v>磚加專家 Danny Ching Top10%地產局金牌經紀百萬圓桌</v>
      </c>
      <c r="C6431" s="80" t="s">
        <v>6950</v>
      </c>
      <c r="D6431" s="81" t="str">
        <f>HYPERLINK("https://youtube.com/watch?v=s_BdX6BX-u0", "【字幕】133萬2844尺 全新獨立屋 2023大崩盤 溫哥華嘅50% Kanaka Spring 5房有出租單位【獨立+永久業權】大自然森林溪澗為鄰 樓花或現樓『最平5房104萬』第1集～共3集")</f>
        <v>【字幕】133萬2844尺 全新獨立屋 2023大崩盤 溫哥華嘅50% Kanaka Spring 5房有出租單位【獨立+永久業權】大自然森林溪澗為鄰 樓花或現樓『最平5房104萬』第1集～共3集</v>
      </c>
      <c r="E6431" s="82">
        <v>44975.0</v>
      </c>
      <c r="F6431" s="80">
        <v>2203.0</v>
      </c>
      <c r="G6431" s="80" t="s">
        <v>63</v>
      </c>
      <c r="I6431" s="80" t="s">
        <v>63</v>
      </c>
      <c r="J6431" s="80">
        <v>6730.0</v>
      </c>
      <c r="K6431" s="80">
        <v>0.737130339539978</v>
      </c>
      <c r="L6431" s="80" t="s">
        <v>102</v>
      </c>
    </row>
    <row r="6432">
      <c r="A6432" s="80" t="s">
        <v>5868</v>
      </c>
      <c r="B6432" s="81" t="str">
        <f>HYPERLINK("https://www.youtube.com/channel/UCVvdX8wGBmCM9KerhiVu_Ig", "McFatty 麥花田")</f>
        <v>McFatty 麥花田</v>
      </c>
      <c r="C6432" s="80" t="s">
        <v>6951</v>
      </c>
      <c r="D6432" s="81" t="str">
        <f>HYPERLINK("https://youtube.com/watch?v=U23-Ry5Tvqs", "ECOVACS DEEBOT X1 OMNI 掃拖機械人實測報告 順便參觀花田屋企?  附廣東話字幕 Ep150")</f>
        <v>ECOVACS DEEBOT X1 OMNI 掃拖機械人實測報告 順便參觀花田屋企?  附廣東話字幕 Ep150</v>
      </c>
      <c r="E6432" s="82">
        <v>45032.0</v>
      </c>
      <c r="F6432" s="80">
        <v>814.0</v>
      </c>
      <c r="G6432" s="80" t="s">
        <v>63</v>
      </c>
      <c r="I6432" s="80" t="s">
        <v>63</v>
      </c>
      <c r="J6432" s="80">
        <v>3218.0</v>
      </c>
      <c r="K6432" s="80">
        <v>0.90520393811533</v>
      </c>
      <c r="L6432" s="80" t="s">
        <v>102</v>
      </c>
    </row>
    <row r="6433">
      <c r="A6433" s="80" t="s">
        <v>217</v>
      </c>
      <c r="B6433" s="81" t="str">
        <f>HYPERLINK("https://www.youtube.com/channel/UCXKg0qPRz32bs5Z4mTGF3TQ", "Stormtrooper白兵")</f>
        <v>Stormtrooper白兵</v>
      </c>
      <c r="C6433" s="80" t="s">
        <v>6952</v>
      </c>
      <c r="D6433" s="81" t="str">
        <f>HYPERLINK("https://youtube.com/watch?v=AIe-R3xv0Tw", "[不是陰謀論]5分鐘教你無痛減肚腩！｜ 濕疹、哮喘、關節痛可能都係因為小麥製品！？｜兩片麥包＝一罐汽水！｜粵語中字")</f>
        <v>[不是陰謀論]5分鐘教你無痛減肚腩！｜ 濕疹、哮喘、關節痛可能都係因為小麥製品！？｜兩片麥包＝一罐汽水！｜粵語中字</v>
      </c>
      <c r="E6433" s="82">
        <v>44987.0</v>
      </c>
      <c r="F6433" s="80">
        <v>899.0</v>
      </c>
      <c r="G6433" s="80" t="s">
        <v>63</v>
      </c>
      <c r="I6433" s="80" t="s">
        <v>63</v>
      </c>
      <c r="J6433" s="80">
        <v>3893.0</v>
      </c>
      <c r="K6433" s="80">
        <v>0.943986420950533</v>
      </c>
      <c r="L6433" s="80" t="s">
        <v>64</v>
      </c>
    </row>
    <row r="6434">
      <c r="A6434" s="80" t="s">
        <v>74</v>
      </c>
      <c r="B6434" s="81" t="str">
        <f>HYPERLINK("https://www.youtube.com/channel/UCO_5XP-qd-udNxBlzzSzgvw", "Handline Fishing")</f>
        <v>Handline Fishing</v>
      </c>
      <c r="C6434" s="80" t="s">
        <v>6953</v>
      </c>
      <c r="D6434" s="81" t="str">
        <f>HYPERLINK("https://youtube.com/watch?v=2i0Sg0Kgu3c", "#310 近排維港最好魚的一日? | 香港釣魚 | 艇釣 | 維港 {粵語旁白}")</f>
        <v>#310 近排維港最好魚的一日? | 香港釣魚 | 艇釣 | 維港 {粵語旁白}</v>
      </c>
      <c r="E6434" s="82">
        <v>45022.0</v>
      </c>
      <c r="F6434" s="80">
        <v>374.0</v>
      </c>
      <c r="G6434" s="80" t="s">
        <v>63</v>
      </c>
      <c r="I6434" s="80" t="s">
        <v>63</v>
      </c>
      <c r="J6434" s="80">
        <v>388.0</v>
      </c>
      <c r="K6434" s="80">
        <v>0.939467312348668</v>
      </c>
      <c r="L6434" s="80" t="s">
        <v>102</v>
      </c>
    </row>
    <row r="6435">
      <c r="A6435" s="80" t="s">
        <v>6892</v>
      </c>
      <c r="B6435" s="81" t="str">
        <f>HYPERLINK("https://www.youtube.com/channel/UC8_hxeY0nDCL-8ETbcGUZ9g", "PT食為先")</f>
        <v>PT食為先</v>
      </c>
      <c r="C6435" s="80" t="s">
        <v>6954</v>
      </c>
      <c r="D6435" s="81" t="str">
        <f>HYPERLINK("https://youtube.com/watch?v=5_Cxon7dzpE", "[PT自費食評] 最平$239！日式燒肉放題越多人越抵食？牛角窩夫先係全餐重點🍨仲有廣島蠔、帆立貝、海蝦｜燒肉男 買一送一")</f>
        <v>[PT自費食評] 最平$239！日式燒肉放題越多人越抵食？牛角窩夫先係全餐重點🍨仲有廣島蠔、帆立貝、海蝦｜燒肉男 買一送一</v>
      </c>
      <c r="E6435" s="82">
        <v>45002.0</v>
      </c>
      <c r="F6435" s="80">
        <v>725.0</v>
      </c>
      <c r="G6435" s="80" t="s">
        <v>63</v>
      </c>
      <c r="I6435" s="80" t="s">
        <v>63</v>
      </c>
      <c r="J6435" s="80">
        <v>1839.0</v>
      </c>
      <c r="K6435" s="80">
        <v>0.953343701399688</v>
      </c>
      <c r="L6435" s="80" t="s">
        <v>64</v>
      </c>
    </row>
    <row r="6436">
      <c r="A6436" s="80" t="s">
        <v>2761</v>
      </c>
      <c r="B6436" s="81" t="str">
        <f>HYPERLINK("https://www.youtube.com/channel/UCr_L9cZdbBU_XDsKDHBBlew", "am730")</f>
        <v>am730</v>
      </c>
      <c r="C6436" s="80" t="s">
        <v>6955</v>
      </c>
      <c r="D6436" s="81" t="str">
        <f>HYPERLINK("https://youtube.com/watch?v=EpqTkqUXyQw", "靈異丨香港02：鬼騷擾(上) 丨小紅帽聲音專欄")</f>
        <v>靈異丨香港02：鬼騷擾(上) 丨小紅帽聲音專欄</v>
      </c>
      <c r="E6436" s="82">
        <v>44979.0</v>
      </c>
      <c r="F6436" s="80">
        <v>692.0</v>
      </c>
      <c r="G6436" s="80" t="s">
        <v>63</v>
      </c>
      <c r="I6436" s="80" t="s">
        <v>63</v>
      </c>
      <c r="J6436" s="80">
        <v>1855.0</v>
      </c>
      <c r="K6436" s="80">
        <v>0.986177565124933</v>
      </c>
      <c r="L6436" s="80" t="s">
        <v>91</v>
      </c>
    </row>
    <row r="6437">
      <c r="A6437" s="80" t="s">
        <v>6919</v>
      </c>
      <c r="B6437" s="81" t="str">
        <f>HYPERLINK("https://www.youtube.com/channel/UCF6M5AH_OALkimFGKdlWfCw", "采姐姐的故事王國 Lillian's Story Kingdom")</f>
        <v>采姐姐的故事王國 Lillian's Story Kingdom</v>
      </c>
      <c r="C6437" s="80" t="s">
        <v>6956</v>
      </c>
      <c r="D6437" s="81" t="str">
        <f>HYPERLINK("https://youtube.com/watch?v=pBuhDKe1Rr0", "【偽動畫故事】我不要刷牙! | I Don't Want To Brush! | 保持牙齒衛生的好習慣 - 粵語 (有字幕)")</f>
        <v>【偽動畫故事】我不要刷牙! | I Don't Want To Brush! | 保持牙齒衛生的好習慣 - 粵語 (有字幕)</v>
      </c>
      <c r="E6437" s="82">
        <v>45018.0</v>
      </c>
      <c r="F6437" s="80">
        <v>517.0</v>
      </c>
      <c r="G6437" s="80" t="s">
        <v>63</v>
      </c>
      <c r="I6437" s="80" t="s">
        <v>63</v>
      </c>
      <c r="J6437" s="80">
        <v>1438.0</v>
      </c>
      <c r="K6437" s="80">
        <v>0.988316151202749</v>
      </c>
      <c r="L6437" s="80" t="s">
        <v>64</v>
      </c>
    </row>
    <row r="6438">
      <c r="A6438" s="80" t="s">
        <v>5653</v>
      </c>
      <c r="B6438" s="81" t="str">
        <f>HYPERLINK("https://www.youtube.com/channel/UCTX8oKfF_kGOvieI4K4Q7Cg", "SMY 琛·文")</f>
        <v>SMY 琛·文</v>
      </c>
      <c r="C6438" s="80" t="s">
        <v>6957</v>
      </c>
      <c r="D6438" s="81" t="str">
        <f>HYPERLINK("https://youtube.com/watch?v=dkXvuWAXj4s", "英國人，鍾意買咩退休？🤔｜英國大型Camping Show春季｜露營車、流動房屋、組合屋｜Birmingham NEC【SMY英國生活】")</f>
        <v>英國人，鍾意買咩退休？🤔｜英國大型Camping Show春季｜露營車、流動房屋、組合屋｜Birmingham NEC【SMY英國生活】</v>
      </c>
      <c r="E6438" s="82">
        <v>44994.0</v>
      </c>
      <c r="F6438" s="80">
        <v>1330.0</v>
      </c>
      <c r="G6438" s="80" t="s">
        <v>63</v>
      </c>
      <c r="I6438" s="80" t="s">
        <v>63</v>
      </c>
      <c r="J6438" s="80">
        <v>3626.0</v>
      </c>
      <c r="K6438" s="80">
        <v>0.913350125944584</v>
      </c>
      <c r="L6438" s="80" t="s">
        <v>102</v>
      </c>
    </row>
    <row r="6439">
      <c r="A6439" s="80" t="s">
        <v>5546</v>
      </c>
      <c r="B6439" s="81" t="str">
        <f>HYPERLINK("https://www.youtube.com/channel/UCpE6V9kRImKY0HX3THRgYpw", "InspirLang")</f>
        <v>InspirLang</v>
      </c>
      <c r="C6439" s="80" t="s">
        <v>6958</v>
      </c>
      <c r="D6439" s="81" t="str">
        <f>HYPERLINK("https://youtube.com/watch?v=Y2steKJhfUA", "Flushing NYC Bakery Tour | A Full Day of Bakery Hopping in New York with JUST $20!")</f>
        <v>Flushing NYC Bakery Tour | A Full Day of Bakery Hopping in New York with JUST $20!</v>
      </c>
      <c r="E6439" s="82">
        <v>44917.0</v>
      </c>
      <c r="F6439" s="80">
        <v>903.0</v>
      </c>
      <c r="G6439" s="80" t="s">
        <v>63</v>
      </c>
      <c r="I6439" s="80" t="s">
        <v>63</v>
      </c>
      <c r="J6439" s="80">
        <v>1955.0</v>
      </c>
      <c r="K6439" s="80">
        <v>0.946731234866828</v>
      </c>
      <c r="L6439" s="80" t="s">
        <v>2029</v>
      </c>
    </row>
    <row r="6440">
      <c r="A6440" s="80" t="s">
        <v>124</v>
      </c>
      <c r="B6440" s="81" t="str">
        <f>HYPERLINK("https://www.youtube.com/channel/UCg0vuSE0fBF_NvodyYhMcWg", "Wallace Studio HK")</f>
        <v>Wallace Studio HK</v>
      </c>
      <c r="C6440" s="80" t="s">
        <v>6959</v>
      </c>
      <c r="D6440" s="81" t="str">
        <f>HYPERLINK("https://youtube.com/watch?v=MVZKfmEkJXc", "HHOGene GPods 開箱測試，超有型，識發光既真無線藍芽耳機!  仲有GIVEAWAY! #hhogene #gpods")</f>
        <v>HHOGene GPods 開箱測試，超有型，識發光既真無線藍芽耳機!  仲有GIVEAWAY! #hhogene #gpods</v>
      </c>
      <c r="E6440" s="82">
        <v>44984.0</v>
      </c>
      <c r="F6440" s="80">
        <v>421.0</v>
      </c>
      <c r="G6440" s="80" t="s">
        <v>63</v>
      </c>
      <c r="I6440" s="80" t="s">
        <v>63</v>
      </c>
      <c r="J6440" s="80">
        <v>1408.0</v>
      </c>
      <c r="K6440" s="80">
        <v>0.783528102392877</v>
      </c>
      <c r="L6440" s="80" t="s">
        <v>64</v>
      </c>
    </row>
    <row r="6441">
      <c r="A6441" s="80" t="s">
        <v>6960</v>
      </c>
      <c r="B6441" s="81" t="str">
        <f>HYPERLINK("https://www.youtube.com/channel/UCQS2_zzisMq5C_FggxsQwTQ", "Comprehensible Cantonese")</f>
        <v>Comprehensible Cantonese</v>
      </c>
      <c r="C6441" s="80" t="s">
        <v>6961</v>
      </c>
      <c r="D6441" s="81" t="str">
        <f>HYPERLINK("https://youtube.com/watch?v=E9s6YE9X-WU", "Things at the Store  [CC]   (Advanced Beginner Cantonese)")</f>
        <v>Things at the Store  [CC]   (Advanced Beginner Cantonese)</v>
      </c>
      <c r="E6441" s="82">
        <v>45005.0</v>
      </c>
      <c r="F6441" s="80">
        <v>37.0</v>
      </c>
      <c r="G6441" s="80" t="s">
        <v>63</v>
      </c>
      <c r="I6441" s="80" t="s">
        <v>63</v>
      </c>
      <c r="J6441" s="80">
        <v>102.0</v>
      </c>
      <c r="K6441" s="80">
        <v>0.953271028037383</v>
      </c>
      <c r="L6441" s="80" t="s">
        <v>102</v>
      </c>
    </row>
    <row r="6442">
      <c r="A6442" s="80" t="s">
        <v>6892</v>
      </c>
      <c r="B6442" s="81" t="str">
        <f>HYPERLINK("https://www.youtube.com/channel/UC8_hxeY0nDCL-8ETbcGUZ9g", "PT食為先")</f>
        <v>PT食為先</v>
      </c>
      <c r="C6442" s="80" t="s">
        <v>6962</v>
      </c>
      <c r="D6442" s="81" t="str">
        <f>HYPERLINK("https://youtube.com/watch?v=e8RkvOM1AGk", "[PT自費食評] 紅白酒啤酒汽水任飲！CP值超高 上海菜特色點心放題 有小籠包 高力豆沙！蝦餃燒賣任食 仲送你片皮鴨 鮑魚鵝掌｜映玥樓 天水圍嘉湖銀座")</f>
        <v>[PT自費食評] 紅白酒啤酒汽水任飲！CP值超高 上海菜特色點心放題 有小籠包 高力豆沙！蝦餃燒賣任食 仲送你片皮鴨 鮑魚鵝掌｜映玥樓 天水圍嘉湖銀座</v>
      </c>
      <c r="E6442" s="82">
        <v>45042.0</v>
      </c>
      <c r="F6442" s="80">
        <v>824.0</v>
      </c>
      <c r="G6442" s="80" t="s">
        <v>63</v>
      </c>
      <c r="I6442" s="80" t="s">
        <v>63</v>
      </c>
      <c r="J6442" s="80">
        <v>1868.0</v>
      </c>
      <c r="K6442" s="80">
        <v>0.97089397089397</v>
      </c>
      <c r="L6442" s="80" t="s">
        <v>64</v>
      </c>
    </row>
    <row r="6443">
      <c r="A6443" s="80" t="s">
        <v>3134</v>
      </c>
      <c r="B6443" s="81" t="str">
        <f>HYPERLINK("https://www.youtube.com/channel/UC_vZsUCJrwYrbIRPHacAS_Q", "Coco哥")</f>
        <v>Coco哥</v>
      </c>
      <c r="C6443" s="80" t="s">
        <v>6963</v>
      </c>
      <c r="D6443" s="81" t="str">
        <f>HYPERLINK("https://youtube.com/watch?v=g9ZKmOHQET0", "移民英國又住又賺🌟英國利物浦🇬🇧買排屋🏡")</f>
        <v>移民英國又住又賺🌟英國利物浦🇬🇧買排屋🏡</v>
      </c>
      <c r="E6443" s="82">
        <v>45023.0</v>
      </c>
      <c r="F6443" s="80">
        <v>981.0</v>
      </c>
      <c r="G6443" s="80" t="s">
        <v>63</v>
      </c>
      <c r="I6443" s="80" t="s">
        <v>63</v>
      </c>
      <c r="J6443" s="80">
        <v>4177.0</v>
      </c>
      <c r="K6443" s="80">
        <v>0.872753865440869</v>
      </c>
      <c r="L6443" s="80" t="s">
        <v>2755</v>
      </c>
    </row>
    <row r="6444">
      <c r="A6444" s="80" t="s">
        <v>5134</v>
      </c>
      <c r="B6444" s="81" t="str">
        <f>HYPERLINK("https://www.youtube.com/channel/UCGq7xle9PrLHpmdxrk0IlLw", "磚加專家 Danny Ching Top10%地產局金牌經紀百萬圓桌")</f>
        <v>磚加專家 Danny Ching Top10%地產局金牌經紀百萬圓桌</v>
      </c>
      <c r="C6444" s="80" t="s">
        <v>6964</v>
      </c>
      <c r="D6444" s="81" t="str">
        <f>HYPERLINK("https://youtube.com/watch?v=icmViIoPIm0", "【字幕】150萬3100尺 全新獨立屋 2023大崩盤 溫哥華嘅50% Kanaka Spring 5房有出租單位【獨立+永久業權】大自然森林溪澗為鄰 樓花或現樓『最平5房104萬』第2集~共3集")</f>
        <v>【字幕】150萬3100尺 全新獨立屋 2023大崩盤 溫哥華嘅50% Kanaka Spring 5房有出租單位【獨立+永久業權】大自然森林溪澗為鄰 樓花或現樓『最平5房104萬』第2集~共3集</v>
      </c>
      <c r="E6444" s="82">
        <v>44981.0</v>
      </c>
      <c r="F6444" s="80">
        <v>2687.0</v>
      </c>
      <c r="G6444" s="80" t="s">
        <v>63</v>
      </c>
      <c r="I6444" s="80" t="s">
        <v>63</v>
      </c>
      <c r="J6444" s="80">
        <v>9080.0</v>
      </c>
      <c r="K6444" s="80">
        <v>0.785059657617153</v>
      </c>
      <c r="L6444" s="80" t="s">
        <v>102</v>
      </c>
    </row>
    <row r="6445">
      <c r="A6445" s="80" t="s">
        <v>248</v>
      </c>
      <c r="B6445" s="81" t="str">
        <f>HYPERLINK("https://www.youtube.com/channel/UCUEJok-GiWaGlv5nIPwk-GQ", "Price.com.hk 香港格價網")</f>
        <v>Price.com.hk 香港格價網</v>
      </c>
      <c r="C6445" s="80" t="s">
        <v>6965</v>
      </c>
      <c r="D6445" s="81" t="str">
        <f>HYPERLINK("https://youtube.com/watch?v=YneBZW2UJ88", "中價5G機完勝S系列？Samsung Galaxy A54 &amp; A34｜邊間5G台最夾機？｜熒幕、拍攝、電量、溫度逐樣睇｜廣東話【Price.com.hk 產品介紹】")</f>
        <v>中價5G機完勝S系列？Samsung Galaxy A54 &amp; A34｜邊間5G台最夾機？｜熒幕、拍攝、電量、溫度逐樣睇｜廣東話【Price.com.hk 產品介紹】</v>
      </c>
      <c r="E6445" s="82">
        <v>45020.0</v>
      </c>
      <c r="F6445" s="80">
        <v>491.0</v>
      </c>
      <c r="G6445" s="80" t="s">
        <v>63</v>
      </c>
      <c r="I6445" s="80" t="s">
        <v>63</v>
      </c>
      <c r="J6445" s="80">
        <v>1470.0</v>
      </c>
      <c r="K6445" s="80">
        <v>0.804597701149425</v>
      </c>
      <c r="L6445" s="80" t="s">
        <v>64</v>
      </c>
    </row>
    <row r="6446">
      <c r="A6446" s="80" t="s">
        <v>5134</v>
      </c>
      <c r="B6446" s="81" t="str">
        <f>HYPERLINK("https://www.youtube.com/channel/UCGq7xle9PrLHpmdxrk0IlLw", "磚加專家 Danny Ching Top10%地產局金牌經紀百萬圓桌")</f>
        <v>磚加專家 Danny Ching Top10%地產局金牌經紀百萬圓桌</v>
      </c>
      <c r="C6446" s="80" t="s">
        <v>6966</v>
      </c>
      <c r="D6446" s="81" t="str">
        <f>HYPERLINK("https://youtube.com/watch?v=hHLEMm1BI9I", "【現樓睇樓團】買到當贏 136.9萬 1800呎 2層複式4房 雙車房 送400呎￼儲物地庫 19分鐘一條直路到烈治文&amp;溫哥華 獨立屋、永久地、冇管理費、新淨企理、2006年樓￼『磗加專家：良心介紹』")</f>
        <v>【現樓睇樓團】買到當贏 136.9萬 1800呎 2層複式4房 雙車房 送400呎￼儲物地庫 19分鐘一條直路到烈治文&amp;溫哥華 獨立屋、永久地、冇管理費、新淨企理、2006年樓￼『磗加專家：良心介紹』</v>
      </c>
      <c r="E6446" s="82">
        <v>45041.0</v>
      </c>
      <c r="F6446" s="80">
        <v>434.0</v>
      </c>
      <c r="G6446" s="80" t="s">
        <v>63</v>
      </c>
      <c r="I6446" s="80" t="s">
        <v>63</v>
      </c>
      <c r="J6446" s="80">
        <v>1530.0</v>
      </c>
      <c r="K6446" s="80">
        <v>0.73310972688069</v>
      </c>
      <c r="L6446" s="80" t="s">
        <v>102</v>
      </c>
    </row>
    <row r="6447">
      <c r="A6447" s="80" t="s">
        <v>248</v>
      </c>
      <c r="B6447" s="81" t="str">
        <f t="shared" ref="B6447:B6448" si="370">HYPERLINK("https://www.youtube.com/channel/UCUEJok-GiWaGlv5nIPwk-GQ", "Price.com.hk 香港格價網")</f>
        <v>Price.com.hk 香港格價網</v>
      </c>
      <c r="C6447" s="80" t="s">
        <v>6967</v>
      </c>
      <c r="D6447" s="81" t="str">
        <f>HYPERLINK("https://youtube.com/watch?v=4MpG3O9pKhU", "Apple WWDC 6月6日凌晨舉行．Sony全片幅Vlog機ZV-E1登場．Récolte全新多功能小廚具 ｜廣東話【Price Weekly #160 2023年4月 】")</f>
        <v>Apple WWDC 6月6日凌晨舉行．Sony全片幅Vlog機ZV-E1登場．Récolte全新多功能小廚具 ｜廣東話【Price Weekly #160 2023年4月 】</v>
      </c>
      <c r="E6447" s="82">
        <v>45017.0</v>
      </c>
      <c r="F6447" s="80">
        <v>450.0</v>
      </c>
      <c r="G6447" s="80" t="s">
        <v>63</v>
      </c>
      <c r="I6447" s="80" t="s">
        <v>63</v>
      </c>
      <c r="J6447" s="80">
        <v>1670.0</v>
      </c>
      <c r="K6447" s="80">
        <v>0.701091519731318</v>
      </c>
      <c r="L6447" s="80" t="s">
        <v>64</v>
      </c>
    </row>
    <row r="6448">
      <c r="A6448" s="80" t="s">
        <v>248</v>
      </c>
      <c r="B6448" s="81" t="str">
        <f t="shared" si="370"/>
        <v>Price.com.hk 香港格價網</v>
      </c>
      <c r="C6448" s="80" t="s">
        <v>6968</v>
      </c>
      <c r="D6448" s="81" t="str">
        <f>HYPERLINK("https://youtube.com/watch?v=kx686et_U2c", "Google Pixel Fold 外觀曝光 | Nothing Phone (2)今夏登場｜Phone Link終於支援 iPhone｜廣東話【Price Weekly #164 2023年4月 】")</f>
        <v>Google Pixel Fold 外觀曝光 | Nothing Phone (2)今夏登場｜Phone Link終於支援 iPhone｜廣東話【Price Weekly #164 2023年4月 】</v>
      </c>
      <c r="E6448" s="82">
        <v>45052.0</v>
      </c>
      <c r="F6448" s="80">
        <v>378.0</v>
      </c>
      <c r="G6448" s="80" t="s">
        <v>63</v>
      </c>
      <c r="I6448" s="80" t="s">
        <v>63</v>
      </c>
      <c r="J6448" s="80">
        <v>1265.0</v>
      </c>
      <c r="K6448" s="80">
        <v>0.626547795938583</v>
      </c>
      <c r="L6448" s="80" t="s">
        <v>64</v>
      </c>
    </row>
    <row r="6449">
      <c r="A6449" s="80" t="s">
        <v>5134</v>
      </c>
      <c r="B6449" s="81" t="str">
        <f>HYPERLINK("https://www.youtube.com/channel/UCGq7xle9PrLHpmdxrk0IlLw", "磚加專家 Danny Ching Top10%地產局金牌經紀百萬圓桌")</f>
        <v>磚加專家 Danny Ching Top10%地產局金牌經紀百萬圓桌</v>
      </c>
      <c r="C6449" s="80" t="s">
        <v>6969</v>
      </c>
      <c r="D6449" s="81" t="str">
        <f>HYPERLINK("https://youtube.com/watch?v=jwqe7tFB0FQ", "【温哥華地產】收租達6-8厘回報 1房29.9萬起 $1800/月計算 WCE Condo 2025樓花  步行Tsawwassen Mills商場 最快22分鐘到溫哥華+列治文 大型海灘+海濱公園")</f>
        <v>【温哥華地產】收租達6-8厘回報 1房29.9萬起 $1800/月計算 WCE Condo 2025樓花  步行Tsawwassen Mills商場 最快22分鐘到溫哥華+列治文 大型海灘+海濱公園</v>
      </c>
      <c r="E6449" s="82">
        <v>45020.0</v>
      </c>
      <c r="F6449" s="80">
        <v>1090.0</v>
      </c>
      <c r="G6449" s="80" t="s">
        <v>63</v>
      </c>
      <c r="I6449" s="80" t="s">
        <v>63</v>
      </c>
      <c r="J6449" s="80">
        <v>3883.0</v>
      </c>
      <c r="K6449" s="80">
        <v>0.723765144454799</v>
      </c>
      <c r="L6449" s="80" t="s">
        <v>64</v>
      </c>
    </row>
    <row r="6450">
      <c r="A6450" s="80" t="s">
        <v>74</v>
      </c>
      <c r="B6450" s="81" t="str">
        <f>HYPERLINK("https://www.youtube.com/channel/UCO_5XP-qd-udNxBlzzSzgvw", "Handline Fishing")</f>
        <v>Handline Fishing</v>
      </c>
      <c r="C6450" s="80" t="s">
        <v>6970</v>
      </c>
      <c r="D6450" s="81" t="str">
        <f>HYPERLINK("https://youtube.com/watch?v=N5rNbk_NbTg", "#309 近排港水都無咩魚，好彩有阿Roy! | 香港釣魚 | 艇釣 | 汀九四匹仔 {粵語旁白}")</f>
        <v>#309 近排港水都無咩魚，好彩有阿Roy! | 香港釣魚 | 艇釣 | 汀九四匹仔 {粵語旁白}</v>
      </c>
      <c r="E6450" s="82">
        <v>44985.0</v>
      </c>
      <c r="F6450" s="80">
        <v>435.0</v>
      </c>
      <c r="G6450" s="80" t="s">
        <v>63</v>
      </c>
      <c r="I6450" s="80" t="s">
        <v>63</v>
      </c>
      <c r="J6450" s="80">
        <v>350.0</v>
      </c>
      <c r="K6450" s="80">
        <v>0.961538461538461</v>
      </c>
      <c r="L6450" s="80" t="s">
        <v>102</v>
      </c>
    </row>
    <row r="6451">
      <c r="A6451" s="80" t="s">
        <v>6892</v>
      </c>
      <c r="B6451" s="81" t="str">
        <f>HYPERLINK("https://www.youtube.com/channel/UC8_hxeY0nDCL-8ETbcGUZ9g", "PT食為先")</f>
        <v>PT食為先</v>
      </c>
      <c r="C6451" s="80" t="s">
        <v>6971</v>
      </c>
      <c r="D6451" s="81" t="str">
        <f>HYPERLINK("https://youtube.com/watch?v=cnECCimjBr8", "[PT自費食評] 任食凍海鮮要幾錢？唔使300蚊！福朋喜來登酒店自助晚餐實測｜蟹腳天婦羅串燒 ｜任飲任食｜甜品放題｜香港酒店")</f>
        <v>[PT自費食評] 任食凍海鮮要幾錢？唔使300蚊！福朋喜來登酒店自助晚餐實測｜蟹腳天婦羅串燒 ｜任飲任食｜甜品放題｜香港酒店</v>
      </c>
      <c r="E6451" s="82">
        <v>44986.0</v>
      </c>
      <c r="F6451" s="80">
        <v>1067.0</v>
      </c>
      <c r="G6451" s="80" t="s">
        <v>63</v>
      </c>
      <c r="I6451" s="80" t="s">
        <v>63</v>
      </c>
      <c r="J6451" s="80">
        <v>2568.0</v>
      </c>
      <c r="K6451" s="80">
        <v>0.929088277858176</v>
      </c>
      <c r="L6451" s="80" t="s">
        <v>64</v>
      </c>
    </row>
    <row r="6452">
      <c r="A6452" s="80" t="s">
        <v>6591</v>
      </c>
      <c r="B6452" s="81" t="str">
        <f>HYPERLINK("https://www.youtube.com/channel/UC0DpBgpq_gR7TaNDIvJYZag", "TalkFood")</f>
        <v>TalkFood</v>
      </c>
      <c r="C6452" s="80" t="s">
        <v>6972</v>
      </c>
      <c r="D6452" s="81" t="str">
        <f>HYPERLINK("https://youtube.com/watch?v=kO10dkb42FE", "#TalkFood【#18區搵食—將軍澳2.0貼地冰室糖水鋪+中小學掃街回憶】番茄18必食麻辣番茄湯｜超讚招牌瑞士雞髀｜容易錯過嘅糖水店｜嚟自台灣交換生紫薯正妹｜2條人龍嘅荳子冰室｜懷舊味忌廉溝鮮奶")</f>
        <v>#TalkFood【#18區搵食—將軍澳2.0貼地冰室糖水鋪+中小學掃街回憶】番茄18必食麻辣番茄湯｜超讚招牌瑞士雞髀｜容易錯過嘅糖水店｜嚟自台灣交換生紫薯正妹｜2條人龍嘅荳子冰室｜懷舊味忌廉溝鮮奶</v>
      </c>
      <c r="E6452" s="82">
        <v>45022.0</v>
      </c>
      <c r="F6452" s="80">
        <v>1019.0</v>
      </c>
      <c r="G6452" s="80" t="s">
        <v>63</v>
      </c>
      <c r="I6452" s="80" t="s">
        <v>63</v>
      </c>
      <c r="J6452" s="80">
        <v>3396.0</v>
      </c>
      <c r="K6452" s="80">
        <v>0.968901569186875</v>
      </c>
      <c r="L6452" s="80" t="s">
        <v>91</v>
      </c>
    </row>
    <row r="6453">
      <c r="A6453" s="80" t="s">
        <v>755</v>
      </c>
      <c r="B6453" s="81" t="str">
        <f t="shared" ref="B6453:B6454" si="371">HYPERLINK("https://www.youtube.com/channel/UCBiJDTc82IM68KVH873VeAw", "Live in Kwangsi廣西人·情·味")</f>
        <v>Live in Kwangsi廣西人·情·味</v>
      </c>
      <c r="C6453" s="80" t="s">
        <v>6973</v>
      </c>
      <c r="D6453" s="81" t="str">
        <f>HYPERLINK("https://youtube.com/watch?v=mXZ-FtR4AwQ", "喺肇慶紫荊西堤散步同埋試特色嘢食爆漿雞蛋仔｜廣東日常實拍 20230312")</f>
        <v>喺肇慶紫荊西堤散步同埋試特色嘢食爆漿雞蛋仔｜廣東日常實拍 20230312</v>
      </c>
      <c r="E6453" s="82">
        <v>44998.0</v>
      </c>
      <c r="F6453" s="80">
        <v>847.0</v>
      </c>
      <c r="G6453" s="80" t="s">
        <v>63</v>
      </c>
      <c r="I6453" s="80" t="s">
        <v>63</v>
      </c>
      <c r="J6453" s="80">
        <v>56.0</v>
      </c>
      <c r="K6453" s="80">
        <v>1.0</v>
      </c>
      <c r="L6453" s="80" t="s">
        <v>757</v>
      </c>
    </row>
    <row r="6454">
      <c r="A6454" s="80" t="s">
        <v>755</v>
      </c>
      <c r="B6454" s="81" t="str">
        <f t="shared" si="371"/>
        <v>Live in Kwangsi廣西人·情·味</v>
      </c>
      <c r="C6454" s="80" t="s">
        <v>6974</v>
      </c>
      <c r="D6454" s="81" t="str">
        <f>HYPERLINK("https://youtube.com/watch?v=9I1sOEWWIVg", "［🚶🏻散步全程］賀州市區內嘅休閒觀光目的地：愛蓮湖公園  春天櫻花開始盛放 ｜廣西日常實拍 20230211")</f>
        <v>［🚶🏻散步全程］賀州市區內嘅休閒觀光目的地：愛蓮湖公園  春天櫻花開始盛放 ｜廣西日常實拍 20230211</v>
      </c>
      <c r="E6454" s="82">
        <v>44970.0</v>
      </c>
      <c r="F6454" s="80">
        <v>4573.0</v>
      </c>
      <c r="G6454" s="80" t="s">
        <v>63</v>
      </c>
      <c r="I6454" s="80" t="s">
        <v>63</v>
      </c>
      <c r="J6454" s="80">
        <v>28.0</v>
      </c>
      <c r="K6454" s="80">
        <v>1.0</v>
      </c>
      <c r="L6454" s="80" t="s">
        <v>757</v>
      </c>
    </row>
    <row r="6455">
      <c r="A6455" s="80" t="s">
        <v>2800</v>
      </c>
      <c r="B6455" s="81" t="str">
        <f>HYPERLINK("https://www.youtube.com/channel/UCMqrlsr-AECPc6_3oDr8m9w", "Unicorn 獸哥")</f>
        <v>Unicorn 獸哥</v>
      </c>
      <c r="C6455" s="80" t="s">
        <v>6975</v>
      </c>
      <c r="D6455" s="81" t="str">
        <f>HYPERLINK("https://youtube.com/watch?v=1ypv7JSPXFk", "【game評】Resident Evil 4 Remake demo 評測 CC字幕")</f>
        <v>【game評】Resident Evil 4 Remake demo 評測 CC字幕</v>
      </c>
      <c r="E6455" s="82">
        <v>44998.0</v>
      </c>
      <c r="F6455" s="80">
        <v>300.0</v>
      </c>
      <c r="G6455" s="80" t="s">
        <v>63</v>
      </c>
      <c r="I6455" s="80" t="s">
        <v>63</v>
      </c>
      <c r="J6455" s="80">
        <v>1302.0</v>
      </c>
      <c r="K6455" s="80">
        <v>0.8714859437751</v>
      </c>
      <c r="L6455" s="80" t="s">
        <v>64</v>
      </c>
    </row>
    <row r="6456">
      <c r="A6456" s="80" t="s">
        <v>124</v>
      </c>
      <c r="B6456" s="81" t="str">
        <f>HYPERLINK("https://www.youtube.com/channel/UCg0vuSE0fBF_NvodyYhMcWg", "Wallace Studio HK")</f>
        <v>Wallace Studio HK</v>
      </c>
      <c r="C6456" s="80" t="s">
        <v>6976</v>
      </c>
      <c r="D6456" s="81" t="str">
        <f>HYPERLINK("https://youtube.com/watch?v=pSe0FlbSPps", "小米終於威番次! 小米13 Pro 詳細評測，１吋Sensor Leica 鏡頭效果出眾!")</f>
        <v>小米終於威番次! 小米13 Pro 詳細評測，１吋Sensor Leica 鏡頭效果出眾!</v>
      </c>
      <c r="E6456" s="82">
        <v>45018.0</v>
      </c>
      <c r="F6456" s="80">
        <v>778.0</v>
      </c>
      <c r="G6456" s="80" t="s">
        <v>63</v>
      </c>
      <c r="H6456" s="80" t="s">
        <v>63</v>
      </c>
      <c r="I6456" s="80" t="s">
        <v>63</v>
      </c>
      <c r="J6456" s="80">
        <v>3136.0</v>
      </c>
      <c r="K6456" s="80">
        <v>0.843464228079612</v>
      </c>
      <c r="L6456" s="80" t="s">
        <v>86</v>
      </c>
    </row>
    <row r="6457">
      <c r="A6457" s="80" t="s">
        <v>5134</v>
      </c>
      <c r="B6457" s="81" t="str">
        <f t="shared" ref="B6457:B6458" si="372">HYPERLINK("https://www.youtube.com/channel/UCGq7xle9PrLHpmdxrk0IlLw", "磚加專家 Danny Ching Top10%地產局金牌經紀百萬圓桌")</f>
        <v>磚加專家 Danny Ching Top10%地產局金牌經紀百萬圓桌</v>
      </c>
      <c r="C6457" s="80" t="s">
        <v>6977</v>
      </c>
      <c r="D6457" s="81" t="str">
        <f>HYPERLINK("https://youtube.com/watch?v=ILPJyuqUGik", "【字幕】105萬2100尺【獨立屋+永久業權】2023大崩盤 溫哥華嘅50% Kanaka Spring大自然森林溪澗為鄰 樓花/現樓 第3集~最後一集壓軸介紹 由最細 2100'尺~最大3269'尺")</f>
        <v>【字幕】105萬2100尺【獨立屋+永久業權】2023大崩盤 溫哥華嘅50% Kanaka Spring大自然森林溪澗為鄰 樓花/現樓 第3集~最後一集壓軸介紹 由最細 2100'尺~最大3269'尺</v>
      </c>
      <c r="E6457" s="82">
        <v>44993.0</v>
      </c>
      <c r="F6457" s="80">
        <v>1884.0</v>
      </c>
      <c r="G6457" s="80" t="s">
        <v>63</v>
      </c>
      <c r="I6457" s="80" t="s">
        <v>63</v>
      </c>
      <c r="J6457" s="80">
        <v>6458.0</v>
      </c>
      <c r="K6457" s="80">
        <v>0.806846576711644</v>
      </c>
      <c r="L6457" s="80" t="s">
        <v>64</v>
      </c>
    </row>
    <row r="6458">
      <c r="A6458" s="80" t="s">
        <v>5134</v>
      </c>
      <c r="B6458" s="81" t="str">
        <f t="shared" si="372"/>
        <v>磚加專家 Danny Ching Top10%地產局金牌經紀百萬圓桌</v>
      </c>
      <c r="C6458" s="80" t="s">
        <v>6978</v>
      </c>
      <c r="D6458" s="81" t="str">
        <f>HYPERLINK("https://youtube.com/watch?v=vqKBguHW_NY", "【磗加分析】第 1 集 買家冷靜期 深入樓市 拆解新政局 高度分析各方面的利與弊 2023年政府二手市場新政策 合約強制買家3天冷靜期 是福是禍？ 2位專家輕談 溫哥華樓市資訊 4集播出")</f>
        <v>【磗加分析】第 1 集 買家冷靜期 深入樓市 拆解新政局 高度分析各方面的利與弊 2023年政府二手市場新政策 合約強制買家3天冷靜期 是福是禍？ 2位專家輕談 溫哥華樓市資訊 4集播出</v>
      </c>
      <c r="E6458" s="82">
        <v>45001.0</v>
      </c>
      <c r="F6458" s="80">
        <v>619.0</v>
      </c>
      <c r="G6458" s="80" t="s">
        <v>63</v>
      </c>
      <c r="I6458" s="80" t="s">
        <v>63</v>
      </c>
      <c r="J6458" s="80">
        <v>2347.0</v>
      </c>
      <c r="K6458" s="80">
        <v>0.768752047166721</v>
      </c>
      <c r="L6458" s="80" t="s">
        <v>102</v>
      </c>
    </row>
    <row r="6459">
      <c r="A6459" s="80" t="s">
        <v>2829</v>
      </c>
      <c r="B6459" s="81" t="str">
        <f>HYPERLINK("https://www.youtube.com/channel/UC7GnES6AEQlDzaP04UqtyjA", "SOLID IDEA")</f>
        <v>SOLID IDEA</v>
      </c>
      <c r="C6459" s="80" t="s">
        <v>6979</v>
      </c>
      <c r="D6459" s="81" t="str">
        <f>HYPERLINK("https://youtube.com/watch?v=FSTdvhwq1zI", "細單位有咩設計風格會合適？｜設計 • idea ｜Solid Idea｜室內設計｜家居規劃｜星級設計｜［CC字幕］")</f>
        <v>細單位有咩設計風格會合適？｜設計 • idea ｜Solid Idea｜室內設計｜家居規劃｜星級設計｜［CC字幕］</v>
      </c>
      <c r="E6459" s="82">
        <v>45020.0</v>
      </c>
      <c r="F6459" s="80">
        <v>121.0</v>
      </c>
      <c r="G6459" s="80" t="s">
        <v>63</v>
      </c>
      <c r="I6459" s="80" t="s">
        <v>63</v>
      </c>
      <c r="J6459" s="80">
        <v>452.0</v>
      </c>
      <c r="K6459" s="80">
        <v>0.969957081545064</v>
      </c>
      <c r="L6459" s="80" t="s">
        <v>64</v>
      </c>
    </row>
    <row r="6460">
      <c r="A6460" s="80" t="s">
        <v>1594</v>
      </c>
      <c r="B6460" s="81" t="str">
        <f>HYPERLINK("https://www.youtube.com/channel/UCUtm1awT2EO9D7uJ2OlMcTQ", "黐住這一家 Sticky Love Family")</f>
        <v>黐住這一家 Sticky Love Family</v>
      </c>
      <c r="C6460" s="80" t="s">
        <v>6980</v>
      </c>
      <c r="D6460" s="81" t="str">
        <f>HYPERLINK("https://youtube.com/watch?v=eUte4MzKmck", "【靜心時間☁️】💛身體掃描靜觀：8分鐘掌握抗壓秘訣！達到內在的平靜和放鬆😌🌈")</f>
        <v>【靜心時間☁️】💛身體掃描靜觀：8分鐘掌握抗壓秘訣！達到內在的平靜和放鬆😌🌈</v>
      </c>
      <c r="E6460" s="82">
        <v>45039.0</v>
      </c>
      <c r="F6460" s="80">
        <v>456.0</v>
      </c>
      <c r="G6460" s="80" t="s">
        <v>63</v>
      </c>
      <c r="H6460" s="80" t="s">
        <v>63</v>
      </c>
      <c r="I6460" s="80" t="s">
        <v>63</v>
      </c>
      <c r="J6460" s="80">
        <v>995.0</v>
      </c>
      <c r="K6460" s="80">
        <v>1.0</v>
      </c>
      <c r="L6460" s="80" t="s">
        <v>1596</v>
      </c>
    </row>
    <row r="6461">
      <c r="A6461" s="80" t="s">
        <v>248</v>
      </c>
      <c r="B6461" s="81" t="str">
        <f>HYPERLINK("https://www.youtube.com/channel/UCUEJok-GiWaGlv5nIPwk-GQ", "Price.com.hk 香港格價網")</f>
        <v>Price.com.hk 香港格價網</v>
      </c>
      <c r="C6461" s="80" t="s">
        <v>6981</v>
      </c>
      <c r="D6461" s="81" t="str">
        <f>HYPERLINK("https://youtube.com/watch?v=6a6UXZlWpiA", "Samsung Galaxy S23、S23+ 點揀好？效能、熒幕、攝力、續航力全方位實試｜廣東話【Price.com.hk產品比較】")</f>
        <v>Samsung Galaxy S23、S23+ 點揀好？效能、熒幕、攝力、續航力全方位實試｜廣東話【Price.com.hk產品比較】</v>
      </c>
      <c r="E6461" s="82">
        <v>44984.0</v>
      </c>
      <c r="F6461" s="80">
        <v>492.0</v>
      </c>
      <c r="G6461" s="80" t="s">
        <v>63</v>
      </c>
      <c r="I6461" s="80" t="s">
        <v>63</v>
      </c>
      <c r="J6461" s="80">
        <v>1506.0</v>
      </c>
      <c r="K6461" s="80">
        <v>0.805347593582887</v>
      </c>
      <c r="L6461" s="80" t="s">
        <v>64</v>
      </c>
    </row>
    <row r="6462">
      <c r="A6462" s="80" t="s">
        <v>5134</v>
      </c>
      <c r="B6462" s="81" t="str">
        <f>HYPERLINK("https://www.youtube.com/channel/UCGq7xle9PrLHpmdxrk0IlLw", "磚加專家 Danny Ching Top10%地產局金牌經紀百萬圓桌")</f>
        <v>磚加專家 Danny Ching Top10%地產局金牌經紀百萬圓桌</v>
      </c>
      <c r="C6462" s="80" t="s">
        <v>6982</v>
      </c>
      <c r="D6462" s="81" t="str">
        <f>HYPERLINK("https://youtube.com/watch?v=sSNUqOLJ5ZA", "【温哥華地產】 列治文最好學校 約128萬4房 最大1750'尺4房城市屋 Onward by Kadium 最方便位置 列治文中心僅9分鐘 2025入伙 部份戶形有出租單位 提供19個單位")</f>
        <v>【温哥華地產】 列治文最好學校 約128萬4房 最大1750'尺4房城市屋 Onward by Kadium 最方便位置 列治文中心僅9分鐘 2025入伙 部份戶形有出租單位 提供19個單位</v>
      </c>
      <c r="E6462" s="82">
        <v>45045.0</v>
      </c>
      <c r="F6462" s="80">
        <v>1612.0</v>
      </c>
      <c r="G6462" s="80" t="s">
        <v>63</v>
      </c>
      <c r="I6462" s="80" t="s">
        <v>63</v>
      </c>
      <c r="J6462" s="80">
        <v>5492.0</v>
      </c>
      <c r="K6462" s="80">
        <v>0.687101213561866</v>
      </c>
      <c r="L6462" s="80" t="s">
        <v>102</v>
      </c>
    </row>
    <row r="6463">
      <c r="A6463" s="80" t="s">
        <v>1016</v>
      </c>
      <c r="B6463" s="81" t="str">
        <f>HYPERLINK("https://www.youtube.com/channel/UCSbiR1l-cfzk44iTJVSAZVQ", "Rhapsody in Lingo")</f>
        <v>Rhapsody in Lingo</v>
      </c>
      <c r="C6463" s="80" t="s">
        <v>6983</v>
      </c>
      <c r="D6463" s="81" t="str">
        <f>HYPERLINK("https://youtube.com/watch?v=TUuQXaE5FnU", "The CRAZIEST decision I've ever made [CC]")</f>
        <v>The CRAZIEST decision I've ever made [CC]</v>
      </c>
      <c r="E6463" s="82">
        <v>44961.0</v>
      </c>
      <c r="F6463" s="80">
        <v>571.0</v>
      </c>
      <c r="G6463" s="80" t="s">
        <v>63</v>
      </c>
      <c r="I6463" s="80" t="s">
        <v>63</v>
      </c>
      <c r="J6463" s="80">
        <v>1939.0</v>
      </c>
      <c r="K6463" s="80">
        <v>0.886197440585009</v>
      </c>
      <c r="L6463" s="80" t="s">
        <v>6984</v>
      </c>
    </row>
    <row r="6464">
      <c r="A6464" s="80" t="s">
        <v>755</v>
      </c>
      <c r="B6464" s="81" t="str">
        <f>HYPERLINK("https://www.youtube.com/channel/UCBiJDTc82IM68KVH873VeAw", "Live in Kwangsi廣西人·情·味")</f>
        <v>Live in Kwangsi廣西人·情·味</v>
      </c>
      <c r="C6464" s="80" t="s">
        <v>6985</v>
      </c>
      <c r="D6464" s="81" t="str">
        <f>HYPERLINK("https://youtube.com/watch?v=31cn920Vonw", "喺肇慶市芙蓉路行街 呢度好似幾多嘢食 ｜廣東日常實拍 20230312")</f>
        <v>喺肇慶市芙蓉路行街 呢度好似幾多嘢食 ｜廣東日常實拍 20230312</v>
      </c>
      <c r="E6464" s="82">
        <v>44998.0</v>
      </c>
      <c r="F6464" s="80">
        <v>506.0</v>
      </c>
      <c r="G6464" s="80" t="s">
        <v>63</v>
      </c>
      <c r="I6464" s="80" t="s">
        <v>63</v>
      </c>
      <c r="J6464" s="80">
        <v>44.0</v>
      </c>
      <c r="K6464" s="80">
        <v>1.0</v>
      </c>
      <c r="L6464" s="80" t="s">
        <v>757</v>
      </c>
    </row>
    <row r="6465">
      <c r="A6465" s="80" t="s">
        <v>6892</v>
      </c>
      <c r="B6465" s="81" t="str">
        <f>HYPERLINK("https://www.youtube.com/channel/UC8_hxeY0nDCL-8ETbcGUZ9g", "PT食為先")</f>
        <v>PT食為先</v>
      </c>
      <c r="C6465" s="80" t="s">
        <v>6986</v>
      </c>
      <c r="D6465" s="81" t="str">
        <f>HYPERLINK("https://youtube.com/watch?v=ZQ6uE2dkMCw", "[PT自費食評] 連續兩年米芝蓮一星！少見新加坡菜餐廳 Whey 最好食係麵包？｜海膽喇沙 龍蝦 鵪鶉 Michelin 1 Star Restaurant Whey")</f>
        <v>[PT自費食評] 連續兩年米芝蓮一星！少見新加坡菜餐廳 Whey 最好食係麵包？｜海膽喇沙 龍蝦 鵪鶉 Michelin 1 Star Restaurant Whey</v>
      </c>
      <c r="E6465" s="82">
        <v>45047.0</v>
      </c>
      <c r="F6465" s="80">
        <v>729.0</v>
      </c>
      <c r="G6465" s="80" t="s">
        <v>63</v>
      </c>
      <c r="I6465" s="80" t="s">
        <v>63</v>
      </c>
      <c r="J6465" s="80">
        <v>1706.0</v>
      </c>
      <c r="K6465" s="80">
        <v>0.84497275879148</v>
      </c>
      <c r="L6465" s="80" t="s">
        <v>64</v>
      </c>
    </row>
    <row r="6466">
      <c r="A6466" s="80" t="s">
        <v>248</v>
      </c>
      <c r="B6466" s="81" t="str">
        <f>HYPERLINK("https://www.youtube.com/channel/UCUEJok-GiWaGlv5nIPwk-GQ", "Price.com.hk 香港格價網")</f>
        <v>Price.com.hk 香港格價網</v>
      </c>
      <c r="C6466" s="80" t="s">
        <v>6987</v>
      </c>
      <c r="D6466" s="81" t="str">
        <f>HYPERLINK("https://youtube.com/watch?v=D41DL1EyxJI", "【情人節送禮攻略】8款實用浪漫禮物推薦｜男女合用｜情侶裝｜實物開箱｜中文字幕 | 廣東話【Price.com.hk產品比較】")</f>
        <v>【情人節送禮攻略】8款實用浪漫禮物推薦｜男女合用｜情侶裝｜實物開箱｜中文字幕 | 廣東話【Price.com.hk產品比較】</v>
      </c>
      <c r="E6466" s="82">
        <v>44966.0</v>
      </c>
      <c r="F6466" s="80">
        <v>384.0</v>
      </c>
      <c r="G6466" s="80" t="s">
        <v>63</v>
      </c>
      <c r="I6466" s="80" t="s">
        <v>63</v>
      </c>
      <c r="J6466" s="80">
        <v>1441.0</v>
      </c>
      <c r="K6466" s="80">
        <v>0.783152173913043</v>
      </c>
      <c r="L6466" s="80" t="s">
        <v>64</v>
      </c>
    </row>
    <row r="6467">
      <c r="A6467" s="80" t="s">
        <v>124</v>
      </c>
      <c r="B6467" s="81" t="str">
        <f>HYPERLINK("https://www.youtube.com/channel/UCg0vuSE0fBF_NvodyYhMcWg", "Wallace Studio HK")</f>
        <v>Wallace Studio HK</v>
      </c>
      <c r="C6467" s="80" t="s">
        <v>6988</v>
      </c>
      <c r="D6467" s="81" t="str">
        <f>HYPERLINK("https://youtube.com/watch?v=zi6ACPXDdbg", "Samsung Galaxy A54 , A34 5G 香港發佈直擊，同你講下真實上手感受！")</f>
        <v>Samsung Galaxy A54 , A34 5G 香港發佈直擊，同你講下真實上手感受！</v>
      </c>
      <c r="E6467" s="82">
        <v>45020.0</v>
      </c>
      <c r="F6467" s="80">
        <v>447.0</v>
      </c>
      <c r="G6467" s="80" t="s">
        <v>63</v>
      </c>
      <c r="I6467" s="80" t="s">
        <v>63</v>
      </c>
      <c r="J6467" s="80">
        <v>1416.0</v>
      </c>
      <c r="K6467" s="80">
        <v>0.804545454545454</v>
      </c>
      <c r="L6467" s="80" t="s">
        <v>86</v>
      </c>
    </row>
    <row r="6468">
      <c r="A6468" s="80" t="s">
        <v>2829</v>
      </c>
      <c r="B6468" s="81" t="str">
        <f>HYPERLINK("https://www.youtube.com/channel/UC7GnES6AEQlDzaP04UqtyjA", "SOLID IDEA")</f>
        <v>SOLID IDEA</v>
      </c>
      <c r="C6468" s="80" t="s">
        <v>6989</v>
      </c>
      <c r="D6468" s="81" t="str">
        <f>HYPERLINK("https://youtube.com/watch?v=BDnMmavmEeo", "其樓舊樓變新樓！設計瘋改50年圖則｜設計 • idea｜Solid Idea｜室內設計｜家居規劃｜星級設計｜［CC字幕］")</f>
        <v>其樓舊樓變新樓！設計瘋改50年圖則｜設計 • idea｜Solid Idea｜室內設計｜家居規劃｜星級設計｜［CC字幕］</v>
      </c>
      <c r="E6468" s="82">
        <v>45027.0</v>
      </c>
      <c r="F6468" s="80">
        <v>210.0</v>
      </c>
      <c r="G6468" s="80" t="s">
        <v>63</v>
      </c>
      <c r="I6468" s="80" t="s">
        <v>63</v>
      </c>
      <c r="J6468" s="80">
        <v>792.0</v>
      </c>
      <c r="K6468" s="80">
        <v>0.991239048811013</v>
      </c>
      <c r="L6468" s="80" t="s">
        <v>64</v>
      </c>
    </row>
    <row r="6469">
      <c r="A6469" s="80" t="s">
        <v>217</v>
      </c>
      <c r="B6469" s="81" t="str">
        <f>HYPERLINK("https://www.youtube.com/channel/UCXKg0qPRz32bs5Z4mTGF3TQ", "Stormtrooper白兵")</f>
        <v>Stormtrooper白兵</v>
      </c>
      <c r="C6469" s="80" t="s">
        <v>6990</v>
      </c>
      <c r="D6469" s="81" t="str">
        <f>HYPERLINK("https://youtube.com/watch?v=7oxbKQCa0qg", "[不是陰謀論]操制全球糧食的基因公司－孟山都｜沒有後代的種子、原子彈、橙劑、除草劑、奶牛激素、代糖都係佢造！｜中文字幕")</f>
        <v>[不是陰謀論]操制全球糧食的基因公司－孟山都｜沒有後代的種子、原子彈、橙劑、除草劑、奶牛激素、代糖都係佢造！｜中文字幕</v>
      </c>
      <c r="E6469" s="82">
        <v>45050.0</v>
      </c>
      <c r="F6469" s="80">
        <v>1116.0</v>
      </c>
      <c r="G6469" s="80" t="s">
        <v>63</v>
      </c>
      <c r="I6469" s="80" t="s">
        <v>63</v>
      </c>
      <c r="J6469" s="80">
        <v>3869.0</v>
      </c>
      <c r="K6469" s="80">
        <v>0.852390394359991</v>
      </c>
      <c r="L6469" s="80" t="s">
        <v>64</v>
      </c>
    </row>
    <row r="6470">
      <c r="A6470" s="80" t="s">
        <v>2761</v>
      </c>
      <c r="B6470" s="81" t="str">
        <f>HYPERLINK("https://www.youtube.com/channel/UCr_L9cZdbBU_XDsKDHBBlew", "am730")</f>
        <v>am730</v>
      </c>
      <c r="C6470" s="80" t="s">
        <v>6991</v>
      </c>
      <c r="D6470" s="81" t="str">
        <f>HYPERLINK("https://youtube.com/watch?v=ZzPfLwSgeOA", "靈異丨香港02：「上世紀嘅偷渡客」(上集)丨小紅帽聲音專欄")</f>
        <v>靈異丨香港02：「上世紀嘅偷渡客」(上集)丨小紅帽聲音專欄</v>
      </c>
      <c r="E6470" s="82">
        <v>45007.0</v>
      </c>
      <c r="F6470" s="80">
        <v>927.0</v>
      </c>
      <c r="G6470" s="80" t="s">
        <v>63</v>
      </c>
      <c r="I6470" s="80" t="s">
        <v>63</v>
      </c>
      <c r="J6470" s="80">
        <v>2814.0</v>
      </c>
      <c r="K6470" s="80">
        <v>0.987022097509645</v>
      </c>
      <c r="L6470" s="80" t="s">
        <v>91</v>
      </c>
    </row>
    <row r="6471">
      <c r="A6471" s="80" t="s">
        <v>6892</v>
      </c>
      <c r="B6471" s="81" t="str">
        <f>HYPERLINK("https://www.youtube.com/channel/UC8_hxeY0nDCL-8ETbcGUZ9g", "PT食為先")</f>
        <v>PT食為先</v>
      </c>
      <c r="C6471" s="80" t="s">
        <v>6992</v>
      </c>
      <c r="D6471" s="81" t="str">
        <f>HYPERLINK("https://youtube.com/watch?v=NtUezqLw92k", "[PT自費遊記] 曼谷一日去晒大皇宮、船麵一條街、Icon Siam！")</f>
        <v>[PT自費遊記] 曼谷一日去晒大皇宮、船麵一條街、Icon Siam！</v>
      </c>
      <c r="E6471" s="82">
        <v>45049.0</v>
      </c>
      <c r="F6471" s="80">
        <v>706.0</v>
      </c>
      <c r="G6471" s="80" t="s">
        <v>63</v>
      </c>
      <c r="I6471" s="80" t="s">
        <v>63</v>
      </c>
      <c r="J6471" s="80">
        <v>1686.0</v>
      </c>
      <c r="K6471" s="80">
        <v>0.885504201680672</v>
      </c>
      <c r="L6471" s="80" t="s">
        <v>64</v>
      </c>
    </row>
    <row r="6472">
      <c r="A6472" s="80" t="s">
        <v>248</v>
      </c>
      <c r="B6472" s="81" t="str">
        <f>HYPERLINK("https://www.youtube.com/channel/UCUEJok-GiWaGlv5nIPwk-GQ", "Price.com.hk 香港格價網")</f>
        <v>Price.com.hk 香港格價網</v>
      </c>
      <c r="C6472" s="80" t="s">
        <v>6993</v>
      </c>
      <c r="D6472" s="81" t="str">
        <f>HYPERLINK("https://youtube.com/watch?v=L3vrpSvqC_E", "過濾網係耗電元兇？｜HEPA 竟然關原子彈事｜3 招解放過濾威力｜廣東話｜【 Price Wiki #EP9】")</f>
        <v>過濾網係耗電元兇？｜HEPA 竟然關原子彈事｜3 招解放過濾威力｜廣東話｜【 Price Wiki #EP9】</v>
      </c>
      <c r="E6472" s="82">
        <v>44999.0</v>
      </c>
      <c r="F6472" s="80">
        <v>196.0</v>
      </c>
      <c r="G6472" s="80" t="s">
        <v>63</v>
      </c>
      <c r="I6472" s="80" t="s">
        <v>63</v>
      </c>
      <c r="J6472" s="80">
        <v>750.0</v>
      </c>
      <c r="K6472" s="80">
        <v>0.850340136054421</v>
      </c>
      <c r="L6472" s="80" t="s">
        <v>64</v>
      </c>
    </row>
    <row r="6473">
      <c r="A6473" s="80" t="s">
        <v>217</v>
      </c>
      <c r="B6473" s="81" t="str">
        <f t="shared" ref="B6473:B6474" si="373">HYPERLINK("https://www.youtube.com/channel/UCXKg0qPRz32bs5Z4mTGF3TQ", "Stormtrooper白兵")</f>
        <v>Stormtrooper白兵</v>
      </c>
      <c r="C6473" s="80" t="s">
        <v>6994</v>
      </c>
      <c r="D6473" s="81" t="str">
        <f>HYPERLINK("https://youtube.com/watch?v=szrwqmNBQEE", "[不是陰謀論]少鹽反而會心臟病、仲百病叢生！？｜高鹽唔會引致腎病？｜ 罪魁禍首又係糖？｜粵語中字")</f>
        <v>[不是陰謀論]少鹽反而會心臟病、仲百病叢生！？｜高鹽唔會引致腎病？｜ 罪魁禍首又係糖？｜粵語中字</v>
      </c>
      <c r="E6473" s="82">
        <v>45008.0</v>
      </c>
      <c r="F6473" s="80">
        <v>793.0</v>
      </c>
      <c r="G6473" s="80" t="s">
        <v>63</v>
      </c>
      <c r="I6473" s="80" t="s">
        <v>63</v>
      </c>
      <c r="J6473" s="80">
        <v>2869.0</v>
      </c>
      <c r="K6473" s="80">
        <v>0.960174029451137</v>
      </c>
      <c r="L6473" s="80" t="s">
        <v>64</v>
      </c>
    </row>
    <row r="6474">
      <c r="A6474" s="80" t="s">
        <v>217</v>
      </c>
      <c r="B6474" s="81" t="str">
        <f t="shared" si="373"/>
        <v>Stormtrooper白兵</v>
      </c>
      <c r="C6474" s="80" t="s">
        <v>6995</v>
      </c>
      <c r="D6474" s="81" t="str">
        <f>HYPERLINK("https://youtube.com/watch?v=bahywgmAdYg", "[不是陰謀論]本世紀最大騙局：藥廠+政府聯手妖魔化膽固醇｜膽固醇沒有好壞之分！｜動脈為何會淤塞？如何預防？｜中文字幕")</f>
        <v>[不是陰謀論]本世紀最大騙局：藥廠+政府聯手妖魔化膽固醇｜膽固醇沒有好壞之分！｜動脈為何會淤塞？如何預防？｜中文字幕</v>
      </c>
      <c r="E6474" s="82">
        <v>45036.0</v>
      </c>
      <c r="F6474" s="80">
        <v>1129.0</v>
      </c>
      <c r="G6474" s="80" t="s">
        <v>63</v>
      </c>
      <c r="I6474" s="80" t="s">
        <v>63</v>
      </c>
      <c r="J6474" s="80">
        <v>4241.0</v>
      </c>
      <c r="K6474" s="80">
        <v>0.947497765862377</v>
      </c>
      <c r="L6474" s="80" t="s">
        <v>64</v>
      </c>
    </row>
    <row r="6475">
      <c r="A6475" s="80" t="s">
        <v>6238</v>
      </c>
      <c r="B6475" s="81" t="str">
        <f>HYPERLINK("https://www.youtube.com/channel/UC_ogl0qjBdXrTiZZJ6ltsQQ", "Flat Out 地板油")</f>
        <v>Flat Out 地板油</v>
      </c>
      <c r="C6475" s="80" t="s">
        <v>6996</v>
      </c>
      <c r="D6475" s="81" t="str">
        <f>HYPERLINK("https://youtube.com/watch?v=vGKSyCT85OI", "馬來西亞7日6夜自駕遊！ 大馬「衣食住行」平到笑！三人打炭火邊爐200蚊都唔洗？| Flat Out Travel #FlatOut旅行團 #地板油 #VLOG #馬來西亞")</f>
        <v>馬來西亞7日6夜自駕遊！ 大馬「衣食住行」平到笑！三人打炭火邊爐200蚊都唔洗？| Flat Out Travel #FlatOut旅行團 #地板油 #VLOG #馬來西亞</v>
      </c>
      <c r="E6475" s="82">
        <v>44971.0</v>
      </c>
      <c r="F6475" s="80">
        <v>2682.0</v>
      </c>
      <c r="G6475" s="80" t="s">
        <v>63</v>
      </c>
      <c r="I6475" s="80" t="s">
        <v>63</v>
      </c>
      <c r="J6475" s="80">
        <v>6739.0</v>
      </c>
      <c r="K6475" s="80">
        <v>0.855420157400355</v>
      </c>
      <c r="L6475" s="80" t="s">
        <v>6997</v>
      </c>
    </row>
    <row r="6476">
      <c r="A6476" s="80" t="s">
        <v>755</v>
      </c>
      <c r="B6476" s="81" t="str">
        <f>HYPERLINK("https://www.youtube.com/channel/UCBiJDTc82IM68KVH873VeAw", "Live in Kwangsi廣西人·情·味")</f>
        <v>Live in Kwangsi廣西人·情·味</v>
      </c>
      <c r="C6476" s="80" t="s">
        <v>6998</v>
      </c>
      <c r="D6476" s="81" t="str">
        <f>HYPERLINK("https://youtube.com/watch?v=nIu--i7xSgk", "梧州市藤縣雞谷山公園掠影｜廣西日常實拍 20221029")</f>
        <v>梧州市藤縣雞谷山公園掠影｜廣西日常實拍 20221029</v>
      </c>
      <c r="E6476" s="82">
        <v>44966.0</v>
      </c>
      <c r="F6476" s="80">
        <v>124.0</v>
      </c>
      <c r="G6476" s="80" t="s">
        <v>63</v>
      </c>
      <c r="I6476" s="80" t="s">
        <v>63</v>
      </c>
      <c r="J6476" s="80">
        <v>27.0</v>
      </c>
      <c r="K6476" s="80">
        <v>1.0</v>
      </c>
      <c r="L6476" s="80" t="s">
        <v>757</v>
      </c>
    </row>
    <row r="6477">
      <c r="A6477" s="80" t="s">
        <v>5546</v>
      </c>
      <c r="B6477" s="81" t="str">
        <f>HYPERLINK("https://www.youtube.com/channel/UCpE6V9kRImKY0HX3THRgYpw", "InspirLang")</f>
        <v>InspirLang</v>
      </c>
      <c r="C6477" s="80" t="s">
        <v>6999</v>
      </c>
      <c r="D6477" s="81" t="str">
        <f>HYPERLINK("https://youtube.com/watch?v=eqohnzgDwV4", "Inspirlang Vlog | Birthday 2022, Facial Treatment, New York Rockefeller Plaza (Transcript Available)")</f>
        <v>Inspirlang Vlog | Birthday 2022, Facial Treatment, New York Rockefeller Plaza (Transcript Available)</v>
      </c>
      <c r="E6477" s="82">
        <v>45021.0</v>
      </c>
      <c r="F6477" s="80">
        <v>624.0</v>
      </c>
      <c r="G6477" s="80" t="s">
        <v>63</v>
      </c>
      <c r="I6477" s="80" t="s">
        <v>63</v>
      </c>
      <c r="J6477" s="80">
        <v>858.0</v>
      </c>
      <c r="K6477" s="80">
        <v>0.937704918032786</v>
      </c>
      <c r="L6477" s="80" t="s">
        <v>7000</v>
      </c>
    </row>
    <row r="6478">
      <c r="A6478" s="80" t="s">
        <v>7001</v>
      </c>
      <c r="B6478" s="81" t="str">
        <f>HYPERLINK("https://www.youtube.com/channel/UCmzhffUiOBgNdDpus3ZDe8w", "講男講女 Talk Boy Talk Girl")</f>
        <v>講男講女 Talk Boy Talk Girl</v>
      </c>
      <c r="C6478" s="80" t="s">
        <v>7002</v>
      </c>
      <c r="D6478" s="81" t="str">
        <f>HYPERLINK("https://youtube.com/watch?v=nNqpaSbwlnw", "【揭收銀小姐陰謀 送炸雞背後目的】第380集｜講男講女 Talk Boy Talk Girl")</f>
        <v>【揭收銀小姐陰謀 送炸雞背後目的】第380集｜講男講女 Talk Boy Talk Girl</v>
      </c>
      <c r="E6478" s="82">
        <v>45047.0</v>
      </c>
      <c r="F6478" s="80">
        <v>717.0</v>
      </c>
      <c r="G6478" s="80" t="s">
        <v>63</v>
      </c>
      <c r="I6478" s="80" t="s">
        <v>63</v>
      </c>
      <c r="J6478" s="80">
        <v>2721.0</v>
      </c>
      <c r="K6478" s="80">
        <v>0.943808532778355</v>
      </c>
      <c r="L6478" s="80" t="s">
        <v>64</v>
      </c>
    </row>
    <row r="6479">
      <c r="A6479" s="80" t="s">
        <v>2585</v>
      </c>
      <c r="B6479" s="81" t="str">
        <f>HYPERLINK("https://www.youtube.com/channel/UCyyruuN0VecuYxPNR4un88Q", "混血肥仔")</f>
        <v>混血肥仔</v>
      </c>
      <c r="C6479" s="80" t="s">
        <v>7003</v>
      </c>
      <c r="D6479" s="81" t="str">
        <f>HYPERLINK("https://youtube.com/watch?v=wdVr4-CuE28", "⚠️只限一次！⚠️示範如何一句激嬲老婆")</f>
        <v>⚠️只限一次！⚠️示範如何一句激嬲老婆</v>
      </c>
      <c r="E6479" s="82">
        <v>44985.0</v>
      </c>
      <c r="F6479" s="80">
        <v>624.0</v>
      </c>
      <c r="G6479" s="80" t="s">
        <v>63</v>
      </c>
      <c r="I6479" s="80" t="s">
        <v>63</v>
      </c>
      <c r="J6479" s="80">
        <v>1466.0</v>
      </c>
      <c r="K6479" s="80">
        <v>0.950097213220998</v>
      </c>
      <c r="L6479" s="80" t="s">
        <v>64</v>
      </c>
    </row>
    <row r="6480">
      <c r="A6480" s="80" t="s">
        <v>5854</v>
      </c>
      <c r="B6480" s="81" t="str">
        <f>HYPERLINK("https://www.youtube.com/channel/UCiJnCs2K5gP-DXnMxlstC9A", "毛記電視")</f>
        <v>毛記電視</v>
      </c>
      <c r="C6480" s="80" t="s">
        <v>7004</v>
      </c>
      <c r="D6480" s="81" t="str">
        <f>HYPERLINK("https://youtube.com/watch?v=xFW8aJYtEJ4", "21/4 《圍爐取戀》 兩隻貓幫我溝到個老婆")</f>
        <v>21/4 《圍爐取戀》 兩隻貓幫我溝到個老婆</v>
      </c>
      <c r="E6480" s="82">
        <v>45037.0</v>
      </c>
      <c r="F6480" s="80">
        <v>1254.0</v>
      </c>
      <c r="G6480" s="80" t="s">
        <v>63</v>
      </c>
      <c r="I6480" s="80" t="s">
        <v>63</v>
      </c>
      <c r="J6480" s="80">
        <v>5171.0</v>
      </c>
      <c r="K6480" s="80">
        <v>0.925375805297065</v>
      </c>
      <c r="L6480" s="80" t="s">
        <v>102</v>
      </c>
    </row>
    <row r="6481">
      <c r="A6481" s="80" t="s">
        <v>2761</v>
      </c>
      <c r="B6481" s="81" t="str">
        <f>HYPERLINK("https://www.youtube.com/channel/UCr_L9cZdbBU_XDsKDHBBlew", "am730")</f>
        <v>am730</v>
      </c>
      <c r="C6481" s="80" t="s">
        <v>7005</v>
      </c>
      <c r="D6481" s="81" t="str">
        <f>HYPERLINK("https://youtube.com/watch?v=eyMMo61yJHw", "靈異丨香港02：「上世紀嘅偷渡客」(下)丨小紅帽聲音專欄")</f>
        <v>靈異丨香港02：「上世紀嘅偷渡客」(下)丨小紅帽聲音專欄</v>
      </c>
      <c r="E6481" s="82">
        <v>45014.0</v>
      </c>
      <c r="F6481" s="80">
        <v>523.0</v>
      </c>
      <c r="G6481" s="80" t="s">
        <v>63</v>
      </c>
      <c r="I6481" s="80" t="s">
        <v>63</v>
      </c>
      <c r="J6481" s="80">
        <v>1587.0</v>
      </c>
      <c r="K6481" s="80">
        <v>0.986940298507462</v>
      </c>
      <c r="L6481" s="80" t="s">
        <v>91</v>
      </c>
    </row>
    <row r="6482">
      <c r="A6482" s="80" t="s">
        <v>5134</v>
      </c>
      <c r="B6482" s="81" t="str">
        <f>HYPERLINK("https://www.youtube.com/channel/UCGq7xle9PrLHpmdxrk0IlLw", "磚加專家 Danny Ching Top10%地產局金牌經紀百萬圓桌")</f>
        <v>磚加專家 Danny Ching Top10%地產局金牌經紀百萬圓桌</v>
      </c>
      <c r="C6482" s="80" t="s">
        <v>7006</v>
      </c>
      <c r="D6482" s="81" t="str">
        <f>HYPERLINK("https://youtube.com/watch?v=dGL5sW4_B9Q", "Danny番咗香港啦，有機會同香港嘅朋友見，帶咗好多樓盤資訊，可以出嚟面對面唔使隔山買牛啦，直接打電話俾我啦 (852)9866-9302 (每6秒6毫, 講笑)")</f>
        <v>Danny番咗香港啦，有機會同香港嘅朋友見，帶咗好多樓盤資訊，可以出嚟面對面唔使隔山買牛啦，直接打電話俾我啦 (852)9866-9302 (每6秒6毫, 講笑)</v>
      </c>
      <c r="E6482" s="82">
        <v>44997.0</v>
      </c>
      <c r="F6482" s="80">
        <v>203.0</v>
      </c>
      <c r="G6482" s="80" t="s">
        <v>63</v>
      </c>
      <c r="I6482" s="80" t="s">
        <v>63</v>
      </c>
      <c r="J6482" s="80">
        <v>579.0</v>
      </c>
      <c r="K6482" s="80">
        <v>0.807531380753138</v>
      </c>
      <c r="L6482" s="80" t="s">
        <v>102</v>
      </c>
    </row>
    <row r="6483">
      <c r="A6483" s="80" t="s">
        <v>6919</v>
      </c>
      <c r="B6483" s="81" t="str">
        <f>HYPERLINK("https://www.youtube.com/channel/UCF6M5AH_OALkimFGKdlWfCw", "采姐姐的故事王國 Lillian's Story Kingdom")</f>
        <v>采姐姐的故事王國 Lillian's Story Kingdom</v>
      </c>
      <c r="C6483" s="80" t="s">
        <v>7007</v>
      </c>
      <c r="D6483" s="81" t="str">
        <f>HYPERLINK("https://youtube.com/watch?v=1b3djJ-KffY", "【偽動畫故事】不當肥肉怪 | I Don't Want To Be Fatty Meat Monster | 養成健康的飲食習慣 - 粵語 (有字幕)")</f>
        <v>【偽動畫故事】不當肥肉怪 | I Don't Want To Be Fatty Meat Monster | 養成健康的飲食習慣 - 粵語 (有字幕)</v>
      </c>
      <c r="E6483" s="82">
        <v>45039.0</v>
      </c>
      <c r="F6483" s="80">
        <v>456.0</v>
      </c>
      <c r="G6483" s="80" t="s">
        <v>63</v>
      </c>
      <c r="I6483" s="80" t="s">
        <v>63</v>
      </c>
      <c r="J6483" s="80">
        <v>1082.0</v>
      </c>
      <c r="K6483" s="80">
        <v>0.989031078610603</v>
      </c>
      <c r="L6483" s="80" t="s">
        <v>64</v>
      </c>
    </row>
    <row r="6484">
      <c r="A6484" s="80" t="s">
        <v>5134</v>
      </c>
      <c r="B6484" s="81" t="str">
        <f>HYPERLINK("https://www.youtube.com/channel/UCGq7xle9PrLHpmdxrk0IlLw", "磚加專家 Danny Ching Top10%地產局金牌經紀百萬圓桌")</f>
        <v>磚加專家 Danny Ching Top10%地產局金牌經紀百萬圓桌</v>
      </c>
      <c r="C6484" s="80" t="s">
        <v>7008</v>
      </c>
      <c r="D6484" s="81" t="str">
        <f>HYPERLINK("https://youtube.com/watch?v=_fFGf36iVWs", "【温哥華地產】Burqville 80萬 城市屋 秒殺:二手價錢 最大1200呎 Burquitlam車站5分鐘步程 瘋癲呎價@約$8XX/呎 步2025樓花 ~4月20號包場預覽 [立即登記]~")</f>
        <v>【温哥華地產】Burqville 80萬 城市屋 秒殺:二手價錢 最大1200呎 Burquitlam車站5分鐘步程 瘋癲呎價@約$8XX/呎 步2025樓花 ~4月20號包場預覽 [立即登記]~</v>
      </c>
      <c r="E6484" s="82">
        <v>45029.0</v>
      </c>
      <c r="F6484" s="80">
        <v>1952.0</v>
      </c>
      <c r="G6484" s="80" t="s">
        <v>63</v>
      </c>
      <c r="I6484" s="80" t="s">
        <v>63</v>
      </c>
      <c r="J6484" s="80">
        <v>6598.0</v>
      </c>
      <c r="K6484" s="80">
        <v>0.716473015528287</v>
      </c>
      <c r="L6484" s="80" t="s">
        <v>102</v>
      </c>
    </row>
    <row r="6485">
      <c r="A6485" s="80" t="s">
        <v>3139</v>
      </c>
      <c r="B6485" s="81" t="str">
        <f>HYPERLINK("https://www.youtube.com/channel/UCThO2xnH7XMg6plE8OgJm_w", "choyuen草原")</f>
        <v>choyuen草原</v>
      </c>
      <c r="C6485" s="80" t="s">
        <v>7009</v>
      </c>
      <c r="D6485" s="81" t="str">
        <f>HYPERLINK("https://youtube.com/watch?v=LAwzysNp8Zg", "V即是R : 3. 雙縫實驗 (A. 觸不到的波動)    VR actually : 3. Double slit experiment (A. Untouchable wave)")</f>
        <v>V即是R : 3. 雙縫實驗 (A. 觸不到的波動)    VR actually : 3. Double slit experiment (A. Untouchable wave)</v>
      </c>
      <c r="E6485" s="82">
        <v>44984.0</v>
      </c>
      <c r="F6485" s="80">
        <v>423.0</v>
      </c>
      <c r="G6485" s="80" t="s">
        <v>63</v>
      </c>
      <c r="I6485" s="80" t="s">
        <v>63</v>
      </c>
      <c r="J6485" s="80">
        <v>1125.0</v>
      </c>
      <c r="K6485" s="80">
        <v>0.793370944992947</v>
      </c>
      <c r="L6485" s="80" t="s">
        <v>64</v>
      </c>
    </row>
    <row r="6486">
      <c r="A6486" s="80" t="s">
        <v>5702</v>
      </c>
      <c r="B6486" s="81" t="str">
        <f>HYPERLINK("https://www.youtube.com/channel/UC249m2fxYzK-NnfH06YNP3A", "Siu Mei小美")</f>
        <v>Siu Mei小美</v>
      </c>
      <c r="C6486" s="80" t="s">
        <v>7010</v>
      </c>
      <c r="D6486" s="81" t="str">
        <f>HYPERLINK("https://youtube.com/watch?v=UQe7t65w2Vg", "🇯🇵日本購物樂來了！萬元報復式消費🔥Celine平過香港幾多❓成功用3折入手中古Tiffany👀三井outlet執平貨✨小美")</f>
        <v>🇯🇵日本購物樂來了！萬元報復式消費🔥Celine平過香港幾多❓成功用3折入手中古Tiffany👀三井outlet執平貨✨小美</v>
      </c>
      <c r="E6486" s="82">
        <v>45017.0</v>
      </c>
      <c r="F6486" s="80">
        <v>803.0</v>
      </c>
      <c r="G6486" s="80" t="s">
        <v>63</v>
      </c>
      <c r="I6486" s="80" t="s">
        <v>63</v>
      </c>
      <c r="J6486" s="80">
        <v>3779.0</v>
      </c>
      <c r="K6486" s="80">
        <v>0.867339912784025</v>
      </c>
      <c r="L6486" s="80" t="s">
        <v>64</v>
      </c>
    </row>
    <row r="6487">
      <c r="A6487" s="80" t="s">
        <v>248</v>
      </c>
      <c r="B6487" s="81" t="str">
        <f>HYPERLINK("https://www.youtube.com/channel/UCUEJok-GiWaGlv5nIPwk-GQ", "Price.com.hk 香港格價網")</f>
        <v>Price.com.hk 香港格價網</v>
      </c>
      <c r="C6487" s="80" t="s">
        <v>7011</v>
      </c>
      <c r="D6487" s="81" t="str">
        <f>HYPERLINK("https://youtube.com/watch?v=3u5c3lKTto8", "Galaxy S23 Ultra配備2億像素鏡頭、Panasonic新洗碗碟機主打一人用、傳Netflix 4 月起推新監測措施｜廣東話【Price Weekly #152 2023年2月 】")</f>
        <v>Galaxy S23 Ultra配備2億像素鏡頭、Panasonic新洗碗碟機主打一人用、傳Netflix 4 月起推新監測措施｜廣東話【Price Weekly #152 2023年2月 】</v>
      </c>
      <c r="E6487" s="82">
        <v>44961.0</v>
      </c>
      <c r="F6487" s="80">
        <v>571.0</v>
      </c>
      <c r="G6487" s="80" t="s">
        <v>63</v>
      </c>
      <c r="I6487" s="80" t="s">
        <v>63</v>
      </c>
      <c r="J6487" s="80">
        <v>2060.0</v>
      </c>
      <c r="K6487" s="80">
        <v>0.69477234401349</v>
      </c>
      <c r="L6487" s="80" t="s">
        <v>64</v>
      </c>
    </row>
    <row r="6488">
      <c r="A6488" s="80" t="s">
        <v>217</v>
      </c>
      <c r="B6488" s="81" t="str">
        <f>HYPERLINK("https://www.youtube.com/channel/UCXKg0qPRz32bs5Z4mTGF3TQ", "Stormtrooper白兵")</f>
        <v>Stormtrooper白兵</v>
      </c>
      <c r="C6488" s="80" t="s">
        <v>7012</v>
      </c>
      <c r="D6488" s="81" t="str">
        <f>HYPERLINK("https://youtube.com/watch?v=qV5kkTYLp58", "[不是陰謀論]肥胖荷爾蒙－胰島素｜點解有人天生食極唔肥，有人飲水都肥？解構人體荷爾蒙運作｜肥底點減肥？｜中文字幕")</f>
        <v>[不是陰謀論]肥胖荷爾蒙－胰島素｜點解有人天生食極唔肥，有人飲水都肥？解構人體荷爾蒙運作｜肥底點減肥？｜中文字幕</v>
      </c>
      <c r="E6488" s="82">
        <v>45029.0</v>
      </c>
      <c r="F6488" s="80">
        <v>1077.0</v>
      </c>
      <c r="G6488" s="80" t="s">
        <v>63</v>
      </c>
      <c r="I6488" s="80" t="s">
        <v>63</v>
      </c>
      <c r="J6488" s="80">
        <v>4014.0</v>
      </c>
      <c r="K6488" s="80">
        <v>0.94424841213832</v>
      </c>
      <c r="L6488" s="80" t="s">
        <v>64</v>
      </c>
    </row>
    <row r="6489">
      <c r="A6489" s="80" t="s">
        <v>5854</v>
      </c>
      <c r="B6489" s="81" t="str">
        <f>HYPERLINK("https://www.youtube.com/channel/UCiJnCs2K5gP-DXnMxlstC9A", "毛記電視")</f>
        <v>毛記電視</v>
      </c>
      <c r="C6489" s="80" t="s">
        <v>7013</v>
      </c>
      <c r="D6489" s="81" t="str">
        <f>HYPERLINK("https://youtube.com/watch?v=NecpuiZ0r3A", "$98上海理髮包洗剪吹&amp;剃鬚✂️！？復刻經典油頭💇🏻‍♂️！9/3《Terry遊學團》第4集 - 上海國際理髮公司💈")</f>
        <v>$98上海理髮包洗剪吹&amp;剃鬚✂️！？復刻經典油頭💇🏻‍♂️！9/3《Terry遊學團》第4集 - 上海國際理髮公司💈</v>
      </c>
      <c r="E6489" s="82">
        <v>44994.0</v>
      </c>
      <c r="F6489" s="80">
        <v>757.0</v>
      </c>
      <c r="G6489" s="80" t="s">
        <v>63</v>
      </c>
      <c r="I6489" s="80" t="s">
        <v>63</v>
      </c>
      <c r="J6489" s="80">
        <v>3207.0</v>
      </c>
      <c r="K6489" s="80">
        <v>0.946017699115044</v>
      </c>
      <c r="L6489" s="80" t="s">
        <v>102</v>
      </c>
    </row>
    <row r="6490">
      <c r="A6490" s="80" t="s">
        <v>3139</v>
      </c>
      <c r="B6490" s="81" t="str">
        <f>HYPERLINK("https://www.youtube.com/channel/UCThO2xnH7XMg6plE8OgJm_w", "choyuen草原")</f>
        <v>choyuen草原</v>
      </c>
      <c r="C6490" s="80" t="s">
        <v>7014</v>
      </c>
      <c r="D6490" s="81" t="str">
        <f>HYPERLINK("https://youtube.com/watch?v=J_Ww5SEoCgI", "聯匯靜雞雞脫勾  , 台灣靜靜雞統一     HKD and Taiwan under Xi era")</f>
        <v>聯匯靜雞雞脫勾  , 台灣靜靜雞統一     HKD and Taiwan under Xi era</v>
      </c>
      <c r="E6490" s="82">
        <v>45015.0</v>
      </c>
      <c r="F6490" s="80">
        <v>576.0</v>
      </c>
      <c r="G6490" s="80" t="s">
        <v>63</v>
      </c>
      <c r="I6490" s="80" t="s">
        <v>63</v>
      </c>
      <c r="J6490" s="80">
        <v>1752.0</v>
      </c>
      <c r="K6490" s="80">
        <v>0.9642267473858</v>
      </c>
      <c r="L6490" s="80" t="s">
        <v>64</v>
      </c>
    </row>
    <row r="6491">
      <c r="A6491" s="80" t="s">
        <v>6960</v>
      </c>
      <c r="B6491" s="81" t="str">
        <f>HYPERLINK("https://www.youtube.com/channel/UCQS2_zzisMq5C_FggxsQwTQ", "Comprehensible Cantonese")</f>
        <v>Comprehensible Cantonese</v>
      </c>
      <c r="C6491" s="80" t="s">
        <v>7015</v>
      </c>
      <c r="D6491" s="81" t="str">
        <f>HYPERLINK("https://youtube.com/watch?v=1mBRAMXp2Hs", "Candy's Neighborhood [CC]  (Advanced Beginner Cantonese)")</f>
        <v>Candy's Neighborhood [CC]  (Advanced Beginner Cantonese)</v>
      </c>
      <c r="E6491" s="82">
        <v>44997.0</v>
      </c>
      <c r="F6491" s="80">
        <v>98.0</v>
      </c>
      <c r="G6491" s="80" t="s">
        <v>63</v>
      </c>
      <c r="I6491" s="80" t="s">
        <v>63</v>
      </c>
      <c r="J6491" s="80">
        <v>256.0</v>
      </c>
      <c r="K6491" s="80">
        <v>0.977099236641221</v>
      </c>
      <c r="L6491" s="80" t="s">
        <v>102</v>
      </c>
    </row>
    <row r="6492">
      <c r="A6492" s="80" t="s">
        <v>248</v>
      </c>
      <c r="B6492" s="81" t="str">
        <f>HYPERLINK("https://www.youtube.com/channel/UCUEJok-GiWaGlv5nIPwk-GQ", "Price.com.hk 香港格價網")</f>
        <v>Price.com.hk 香港格價網</v>
      </c>
      <c r="C6492" s="80" t="s">
        <v>7016</v>
      </c>
      <c r="D6492" s="81" t="str">
        <f>HYPERLINK("https://youtube.com/watch?v=9bcrlxi4omY", "UV 殺菌空氣淨化！格力雙黑鑽變頻窗口冷氣 2.0｜內外黑鑽塗層唔怕生銹｜R32 環保雪種｜WiFi 遙距操作｜特約專題｜廣東話【Price.com.hk 產品介紹】")</f>
        <v>UV 殺菌空氣淨化！格力雙黑鑽變頻窗口冷氣 2.0｜內外黑鑽塗層唔怕生銹｜R32 環保雪種｜WiFi 遙距操作｜特約專題｜廣東話【Price.com.hk 產品介紹】</v>
      </c>
      <c r="E6492" s="82">
        <v>45027.0</v>
      </c>
      <c r="F6492" s="80">
        <v>295.0</v>
      </c>
      <c r="G6492" s="80" t="s">
        <v>63</v>
      </c>
      <c r="I6492" s="80" t="s">
        <v>63</v>
      </c>
      <c r="J6492" s="80">
        <v>1168.0</v>
      </c>
      <c r="K6492" s="80">
        <v>0.913928012519561</v>
      </c>
      <c r="L6492" s="80" t="s">
        <v>64</v>
      </c>
    </row>
    <row r="6493">
      <c r="A6493" s="80" t="s">
        <v>6238</v>
      </c>
      <c r="B6493" s="81" t="str">
        <f>HYPERLINK("https://www.youtube.com/channel/UC_ogl0qjBdXrTiZZJ6ltsQQ", "Flat Out 地板油")</f>
        <v>Flat Out 地板油</v>
      </c>
      <c r="C6493" s="80" t="s">
        <v>7017</v>
      </c>
      <c r="D6493" s="81" t="str">
        <f>HYPERLINK("https://youtube.com/watch?v=zxN2mxtg1Gw", "元朗三大飯堂推介！肥To自創「天龍咖喱薯餅」冇得輸？港式焗豬扒飯夠惹味！揚州炒飯即炒夠鑊氣！| Flat Out DineNDrive #肥To為食遊 #地板油")</f>
        <v>元朗三大飯堂推介！肥To自創「天龍咖喱薯餅」冇得輸？港式焗豬扒飯夠惹味！揚州炒飯即炒夠鑊氣！| Flat Out DineNDrive #肥To為食遊 #地板油</v>
      </c>
      <c r="E6493" s="82">
        <v>44967.0</v>
      </c>
      <c r="F6493" s="80">
        <v>869.0</v>
      </c>
      <c r="G6493" s="80" t="s">
        <v>63</v>
      </c>
      <c r="I6493" s="80" t="s">
        <v>63</v>
      </c>
      <c r="J6493" s="80">
        <v>2122.0</v>
      </c>
      <c r="K6493" s="80">
        <v>0.920607375271149</v>
      </c>
      <c r="L6493" s="80" t="s">
        <v>64</v>
      </c>
    </row>
    <row r="6494">
      <c r="A6494" s="80" t="s">
        <v>6892</v>
      </c>
      <c r="B6494" s="81" t="str">
        <f>HYPERLINK("https://www.youtube.com/channel/UC8_hxeY0nDCL-8ETbcGUZ9g", "PT食為先")</f>
        <v>PT食為先</v>
      </c>
      <c r="C6494" s="80" t="s">
        <v>7018</v>
      </c>
      <c r="D6494" s="81" t="str">
        <f>HYPERLINK("https://youtube.com/watch?v=YIM5azZA3I0", "[PT自費食評] 點心放題 CP值超高 早3星期訂位！新開幕中菜餐廳 未有Youtuber介紹 週末限定自助餐 Brunch Buffet 送你魚翅龍蝦 蝦餃燒賣 灣仔飲茶 永8舫 WIN 8")</f>
        <v>[PT自費食評] 點心放題 CP值超高 早3星期訂位！新開幕中菜餐廳 未有Youtuber介紹 週末限定自助餐 Brunch Buffet 送你魚翅龍蝦 蝦餃燒賣 灣仔飲茶 永8舫 WIN 8</v>
      </c>
      <c r="E6494" s="82">
        <v>45008.0</v>
      </c>
      <c r="F6494" s="80">
        <v>955.0</v>
      </c>
      <c r="G6494" s="80" t="s">
        <v>63</v>
      </c>
      <c r="I6494" s="80" t="s">
        <v>63</v>
      </c>
      <c r="J6494" s="80">
        <v>2284.0</v>
      </c>
      <c r="K6494" s="80">
        <v>0.969851380042462</v>
      </c>
      <c r="L6494" s="80" t="s">
        <v>64</v>
      </c>
    </row>
    <row r="6495">
      <c r="A6495" s="80" t="s">
        <v>248</v>
      </c>
      <c r="B6495" s="81" t="str">
        <f>HYPERLINK("https://www.youtube.com/channel/UCUEJok-GiWaGlv5nIPwk-GQ", "Price.com.hk 香港格價網")</f>
        <v>Price.com.hk 香港格價網</v>
      </c>
      <c r="C6495" s="80" t="s">
        <v>7019</v>
      </c>
      <c r="D6495" s="81" t="str">
        <f>HYPERLINK("https://youtube.com/watch?v=7aaQuDepzZY", "Price送禮！TP-Link Tapo RV30掃拖機械人｜LiDAR光學雷達｜4200Pa吸力｜掃拖二合一｜5000mAh連續3hr清掃｜全系列型號比較｜廣東話【Price.com.hk產品介紹】")</f>
        <v>Price送禮！TP-Link Tapo RV30掃拖機械人｜LiDAR光學雷達｜4200Pa吸力｜掃拖二合一｜5000mAh連續3hr清掃｜全系列型號比較｜廣東話【Price.com.hk產品介紹】</v>
      </c>
      <c r="E6495" s="82">
        <v>45037.0</v>
      </c>
      <c r="F6495" s="80">
        <v>416.0</v>
      </c>
      <c r="G6495" s="80" t="s">
        <v>63</v>
      </c>
      <c r="I6495" s="80" t="s">
        <v>63</v>
      </c>
      <c r="J6495" s="80">
        <v>1672.0</v>
      </c>
      <c r="K6495" s="80">
        <v>0.84830035514967</v>
      </c>
      <c r="L6495" s="80" t="s">
        <v>64</v>
      </c>
    </row>
    <row r="6496">
      <c r="A6496" s="80" t="s">
        <v>217</v>
      </c>
      <c r="B6496" s="81" t="str">
        <f>HYPERLINK("https://www.youtube.com/channel/UCXKg0qPRz32bs5Z4mTGF3TQ", "Stormtrooper白兵")</f>
        <v>Stormtrooper白兵</v>
      </c>
      <c r="C6496" s="80" t="s">
        <v>7020</v>
      </c>
      <c r="D6496" s="81" t="str">
        <f>HYPERLINK("https://youtube.com/watch?v=xQzAbZLZpSc", "[不是陰謀論]好味又有益｜古代聖物如何改善心血管、抗抑鬱、防癌？｜可可百分比、份量如何進食才有最大效益？｜粵語中字")</f>
        <v>[不是陰謀論]好味又有益｜古代聖物如何改善心血管、抗抑鬱、防癌？｜可可百分比、份量如何進食才有最大效益？｜粵語中字</v>
      </c>
      <c r="E6496" s="82">
        <v>44994.0</v>
      </c>
      <c r="F6496" s="80">
        <v>853.0</v>
      </c>
      <c r="G6496" s="80" t="s">
        <v>63</v>
      </c>
      <c r="I6496" s="80" t="s">
        <v>63</v>
      </c>
      <c r="J6496" s="80">
        <v>3195.0</v>
      </c>
      <c r="K6496" s="80">
        <v>0.926086956521739</v>
      </c>
      <c r="L6496" s="80" t="s">
        <v>64</v>
      </c>
    </row>
    <row r="6497">
      <c r="A6497" s="80" t="s">
        <v>5702</v>
      </c>
      <c r="B6497" s="81" t="str">
        <f>HYPERLINK("https://www.youtube.com/channel/UC249m2fxYzK-NnfH06YNP3A", "Siu Mei小美")</f>
        <v>Siu Mei小美</v>
      </c>
      <c r="C6497" s="80" t="s">
        <v>7021</v>
      </c>
      <c r="D6497" s="81" t="str">
        <f>HYPERLINK("https://youtube.com/watch?v=tdnKL8P9mac", "🧧CNY穿搭攻略！3套網購開箱試穿￼🔥成熟御姐風💃🏻見長輩專用乖乖女LOOK👑 甜美小公主造型🧚🏻‍♀️ 🔥穿上必被問的熊熊外套🧸高質小香風編織短裙ft.Love Bonito")</f>
        <v>🧧CNY穿搭攻略！3套網購開箱試穿￼🔥成熟御姐風💃🏻見長輩專用乖乖女LOOK👑 甜美小公主造型🧚🏻‍♀️ 🔥穿上必被問的熊熊外套🧸高質小香風編織短裙ft.Love Bonito</v>
      </c>
      <c r="E6497" s="82">
        <v>44943.0</v>
      </c>
      <c r="F6497" s="80">
        <v>713.0</v>
      </c>
      <c r="G6497" s="80" t="s">
        <v>63</v>
      </c>
      <c r="I6497" s="80" t="s">
        <v>63</v>
      </c>
      <c r="J6497" s="80">
        <v>3539.0</v>
      </c>
      <c r="K6497" s="80">
        <v>0.891885080645161</v>
      </c>
      <c r="L6497" s="80" t="s">
        <v>64</v>
      </c>
    </row>
    <row r="6498">
      <c r="A6498" s="80" t="s">
        <v>6919</v>
      </c>
      <c r="B6498" s="81" t="str">
        <f>HYPERLINK("https://www.youtube.com/channel/UCF6M5AH_OALkimFGKdlWfCw", "采姐姐的故事王國 Lillian's Story Kingdom")</f>
        <v>采姐姐的故事王國 Lillian's Story Kingdom</v>
      </c>
      <c r="C6498" s="80" t="s">
        <v>7022</v>
      </c>
      <c r="D6498" s="81" t="str">
        <f>HYPERLINK("https://youtube.com/watch?v=MgUHXb8GqZ4", "【偽動畫故事】我有好多話要說！| Lacey Walker, Nonstop Talker | 學習聆聽 - 粵語  (有字幕)")</f>
        <v>【偽動畫故事】我有好多話要說！| Lacey Walker, Nonstop Talker | 學習聆聽 - 粵語  (有字幕)</v>
      </c>
      <c r="E6498" s="82">
        <v>44983.0</v>
      </c>
      <c r="F6498" s="80">
        <v>465.0</v>
      </c>
      <c r="G6498" s="80" t="s">
        <v>63</v>
      </c>
      <c r="I6498" s="80" t="s">
        <v>63</v>
      </c>
      <c r="J6498" s="80">
        <v>1305.0</v>
      </c>
      <c r="K6498" s="80">
        <v>0.97752808988764</v>
      </c>
      <c r="L6498" s="80" t="s">
        <v>64</v>
      </c>
    </row>
    <row r="6499">
      <c r="A6499" s="80" t="s">
        <v>248</v>
      </c>
      <c r="B6499" s="81" t="str">
        <f>HYPERLINK("https://www.youtube.com/channel/UCUEJok-GiWaGlv5nIPwk-GQ", "Price.com.hk 香港格價網")</f>
        <v>Price.com.hk 香港格價網</v>
      </c>
      <c r="C6499" s="80" t="s">
        <v>7023</v>
      </c>
      <c r="D6499" s="81" t="str">
        <f>HYPERLINK("https://youtube.com/watch?v=ad8SZjTVzsA", "飲水要留意！RO逆滲透並非百分百過濾｜長期飲用會營養不足？｜附解決方法｜廣東話｜【 Price Wiki #EP10】")</f>
        <v>飲水要留意！RO逆滲透並非百分百過濾｜長期飲用會營養不足？｜附解決方法｜廣東話｜【 Price Wiki #EP10】</v>
      </c>
      <c r="E6499" s="82">
        <v>45035.0</v>
      </c>
      <c r="F6499" s="80">
        <v>195.0</v>
      </c>
      <c r="G6499" s="80" t="s">
        <v>63</v>
      </c>
      <c r="I6499" s="80" t="s">
        <v>63</v>
      </c>
      <c r="J6499" s="80">
        <v>761.0</v>
      </c>
      <c r="K6499" s="80">
        <v>0.907032181168057</v>
      </c>
      <c r="L6499" s="80" t="s">
        <v>64</v>
      </c>
    </row>
    <row r="6500">
      <c r="A6500" s="80" t="s">
        <v>6919</v>
      </c>
      <c r="B6500" s="81" t="str">
        <f>HYPERLINK("https://www.youtube.com/channel/UCF6M5AH_OALkimFGKdlWfCw", "采姐姐的故事王國 Lillian's Story Kingdom")</f>
        <v>采姐姐的故事王國 Lillian's Story Kingdom</v>
      </c>
      <c r="C6500" s="80" t="s">
        <v>7024</v>
      </c>
      <c r="D6500" s="81" t="str">
        <f>HYPERLINK("https://youtube.com/watch?v=Cf9ULkkWrU0", "【偽動畫故事】考試卷離家出走 | Exam Paper's Runaway | 勇敢面對未知的挑戰 - 粵語 (有字幕)")</f>
        <v>【偽動畫故事】考試卷離家出走 | Exam Paper's Runaway | 勇敢面對未知的挑戰 - 粵語 (有字幕)</v>
      </c>
      <c r="E6500" s="82">
        <v>44997.0</v>
      </c>
      <c r="F6500" s="80">
        <v>760.0</v>
      </c>
      <c r="G6500" s="80" t="s">
        <v>63</v>
      </c>
      <c r="I6500" s="80" t="s">
        <v>63</v>
      </c>
      <c r="J6500" s="80">
        <v>2120.0</v>
      </c>
      <c r="K6500" s="80">
        <v>0.996240601503759</v>
      </c>
      <c r="L6500" s="80" t="s">
        <v>64</v>
      </c>
    </row>
    <row r="6501">
      <c r="A6501" s="80" t="s">
        <v>7025</v>
      </c>
      <c r="B6501" s="81" t="str">
        <f>HYPERLINK("https://www.youtube.com/channel/UCFOV-oWYewHOXKuZP-yNsmw", "CoverDog")</f>
        <v>CoverDog</v>
      </c>
      <c r="C6501" s="80" t="s">
        <v>7026</v>
      </c>
      <c r="D6501" s="81" t="str">
        <f>HYPERLINK("https://youtube.com/watch?v=UyAja2xD4Ow", "KALAI x CoverDog | This Is Our Time | Hook Factory |")</f>
        <v>KALAI x CoverDog | This Is Our Time | Hook Factory |</v>
      </c>
      <c r="E6501" s="82">
        <v>45029.0</v>
      </c>
      <c r="F6501" s="80">
        <v>305.0</v>
      </c>
      <c r="G6501" s="80" t="s">
        <v>63</v>
      </c>
      <c r="I6501" s="80" t="s">
        <v>63</v>
      </c>
      <c r="J6501" s="80">
        <v>319.0</v>
      </c>
      <c r="K6501" s="80">
        <v>0.411082474226804</v>
      </c>
      <c r="L6501" s="80" t="s">
        <v>102</v>
      </c>
    </row>
    <row r="6502">
      <c r="A6502" s="80" t="s">
        <v>248</v>
      </c>
      <c r="B6502" s="81" t="str">
        <f>HYPERLINK("https://www.youtube.com/channel/UCUEJok-GiWaGlv5nIPwk-GQ", "Price.com.hk 香港格價網")</f>
        <v>Price.com.hk 香港格價網</v>
      </c>
      <c r="C6502" s="80" t="s">
        <v>7027</v>
      </c>
      <c r="D6502" s="81" t="str">
        <f>HYPERLINK("https://youtube.com/watch?v=tCUClSJCvdU", "網民質疑月亮相造假Samsung認靠AI幫手、Makita充電式微波爐只靠2粒電、Amazfit新錶GTR Mini夠長氣玩足20日｜廣東話【Price Weekly #158 2023年3月 】")</f>
        <v>網民質疑月亮相造假Samsung認靠AI幫手、Makita充電式微波爐只靠2粒電、Amazfit新錶GTR Mini夠長氣玩足20日｜廣東話【Price Weekly #158 2023年3月 】</v>
      </c>
      <c r="E6502" s="82">
        <v>45003.0</v>
      </c>
      <c r="F6502" s="80">
        <v>583.0</v>
      </c>
      <c r="G6502" s="80" t="s">
        <v>63</v>
      </c>
      <c r="I6502" s="80" t="s">
        <v>63</v>
      </c>
      <c r="J6502" s="80">
        <v>2198.0</v>
      </c>
      <c r="K6502" s="80">
        <v>0.772040744643484</v>
      </c>
      <c r="L6502" s="80" t="s">
        <v>64</v>
      </c>
    </row>
    <row r="6503">
      <c r="A6503" s="80" t="s">
        <v>2829</v>
      </c>
      <c r="B6503" s="81" t="str">
        <f>HYPERLINK("https://www.youtube.com/channel/UC7GnES6AEQlDzaP04UqtyjA", "SOLID IDEA")</f>
        <v>SOLID IDEA</v>
      </c>
      <c r="C6503" s="80" t="s">
        <v>7028</v>
      </c>
      <c r="D6503" s="81" t="str">
        <f>HYPERLINK("https://youtube.com/watch?v=lYRyiBZdqBQ", "開放式廚房點防油煙？ 設計 • idea | ｜Solid Idea｜室內設計｜家居規劃｜星級設計｜［CC字幕］")</f>
        <v>開放式廚房點防油煙？ 設計 • idea | ｜Solid Idea｜室內設計｜家居規劃｜星級設計｜［CC字幕］</v>
      </c>
      <c r="E6503" s="82">
        <v>44985.0</v>
      </c>
      <c r="F6503" s="80">
        <v>118.0</v>
      </c>
      <c r="G6503" s="80" t="s">
        <v>63</v>
      </c>
      <c r="I6503" s="80" t="s">
        <v>63</v>
      </c>
      <c r="J6503" s="80">
        <v>471.0</v>
      </c>
      <c r="K6503" s="80">
        <v>0.977178423236514</v>
      </c>
      <c r="L6503" s="80" t="s">
        <v>64</v>
      </c>
    </row>
    <row r="6504">
      <c r="A6504" s="80" t="s">
        <v>2800</v>
      </c>
      <c r="B6504" s="81" t="str">
        <f>HYPERLINK("https://www.youtube.com/channel/UCMqrlsr-AECPc6_3oDr8m9w", "Unicorn 獸哥")</f>
        <v>Unicorn 獸哥</v>
      </c>
      <c r="C6504" s="80" t="s">
        <v>7029</v>
      </c>
      <c r="D6504" s="81" t="str">
        <f>HYPERLINK("https://youtube.com/watch?v=1o09RyAstvE", "【game評】接近完美的重製遊戲 Resident Evil 4 Remake CC字幕")</f>
        <v>【game評】接近完美的重製遊戲 Resident Evil 4 Remake CC字幕</v>
      </c>
      <c r="E6504" s="82">
        <v>45023.0</v>
      </c>
      <c r="F6504" s="80">
        <v>405.0</v>
      </c>
      <c r="G6504" s="80" t="s">
        <v>63</v>
      </c>
      <c r="I6504" s="80" t="s">
        <v>63</v>
      </c>
      <c r="J6504" s="80">
        <v>1628.0</v>
      </c>
      <c r="K6504" s="80">
        <v>0.86228813559322</v>
      </c>
      <c r="L6504" s="80" t="s">
        <v>64</v>
      </c>
    </row>
    <row r="6505">
      <c r="A6505" s="80" t="s">
        <v>5868</v>
      </c>
      <c r="B6505" s="81" t="str">
        <f>HYPERLINK("https://www.youtube.com/channel/UCVvdX8wGBmCM9KerhiVu_Ig", "McFatty 麥花田")</f>
        <v>McFatty 麥花田</v>
      </c>
      <c r="C6505" s="80" t="s">
        <v>7030</v>
      </c>
      <c r="D6505" s="81" t="str">
        <f>HYPERLINK("https://youtube.com/watch?v=UbE8kHR2g6c", "花田眼中最嘥錢嘅廚具電器？ 附廣東話字幕 Ep147")</f>
        <v>花田眼中最嘥錢嘅廚具電器？ 附廣東話字幕 Ep147</v>
      </c>
      <c r="E6505" s="82">
        <v>45006.0</v>
      </c>
      <c r="F6505" s="80">
        <v>941.0</v>
      </c>
      <c r="G6505" s="80" t="s">
        <v>63</v>
      </c>
      <c r="I6505" s="80" t="s">
        <v>63</v>
      </c>
      <c r="J6505" s="80">
        <v>3311.0</v>
      </c>
      <c r="K6505" s="80">
        <v>0.900707290533188</v>
      </c>
      <c r="L6505" s="80" t="s">
        <v>102</v>
      </c>
    </row>
    <row r="6506">
      <c r="A6506" s="80" t="s">
        <v>5702</v>
      </c>
      <c r="B6506" s="81" t="str">
        <f>HYPERLINK("https://www.youtube.com/channel/UC249m2fxYzK-NnfH06YNP3A", "Siu Mei小美")</f>
        <v>Siu Mei小美</v>
      </c>
      <c r="C6506" s="80" t="s">
        <v>7031</v>
      </c>
      <c r="D6506" s="81" t="str">
        <f>HYPERLINK("https://youtube.com/watch?v=Z6-MEms8OxM", "【2022年度空瓶賞上集】接近30件產品🔥 大量頭髮身體護理 無限回購美瞳款+超詳細分享✨｜敏感乾燥肌的卸妝好物｜小美")</f>
        <v>【2022年度空瓶賞上集】接近30件產品🔥 大量頭髮身體護理 無限回購美瞳款+超詳細分享✨｜敏感乾燥肌的卸妝好物｜小美</v>
      </c>
      <c r="E6506" s="82">
        <v>44931.0</v>
      </c>
      <c r="F6506" s="80">
        <v>1072.0</v>
      </c>
      <c r="G6506" s="80" t="s">
        <v>63</v>
      </c>
      <c r="I6506" s="80" t="s">
        <v>63</v>
      </c>
      <c r="J6506" s="80">
        <v>5325.0</v>
      </c>
      <c r="K6506" s="80">
        <v>0.87943848059455</v>
      </c>
      <c r="L6506" s="80" t="s">
        <v>64</v>
      </c>
    </row>
    <row r="6507">
      <c r="A6507" s="80" t="s">
        <v>248</v>
      </c>
      <c r="B6507" s="81" t="str">
        <f t="shared" ref="B6507:B6508" si="374">HYPERLINK("https://www.youtube.com/channel/UCUEJok-GiWaGlv5nIPwk-GQ", "Price.com.hk 香港格價網")</f>
        <v>Price.com.hk 香港格價網</v>
      </c>
      <c r="C6507" s="80" t="s">
        <v>7032</v>
      </c>
      <c r="D6507" s="81" t="str">
        <f>HYPERLINK("https://youtube.com/watch?v=GQ_c4lSh4Ms", "$500 電腦枱改造計劃！簡約乾淨只需要一隻Monitor Arm？｜增高架 Vs 熒幕支架｜Desk Setup｜入手指南｜廣東話【Price.com.hk 產品介紹】")</f>
        <v>$500 電腦枱改造計劃！簡約乾淨只需要一隻Monitor Arm？｜增高架 Vs 熒幕支架｜Desk Setup｜入手指南｜廣東話【Price.com.hk 產品介紹】</v>
      </c>
      <c r="E6507" s="82">
        <v>45001.0</v>
      </c>
      <c r="F6507" s="80">
        <v>278.0</v>
      </c>
      <c r="G6507" s="80" t="s">
        <v>63</v>
      </c>
      <c r="I6507" s="80" t="s">
        <v>63</v>
      </c>
      <c r="J6507" s="80">
        <v>1167.0</v>
      </c>
      <c r="K6507" s="80">
        <v>0.791186440677966</v>
      </c>
      <c r="L6507" s="80" t="s">
        <v>64</v>
      </c>
    </row>
    <row r="6508">
      <c r="A6508" s="80" t="s">
        <v>248</v>
      </c>
      <c r="B6508" s="81" t="str">
        <f t="shared" si="374"/>
        <v>Price.com.hk 香港格價網</v>
      </c>
      <c r="C6508" s="80" t="s">
        <v>7033</v>
      </c>
      <c r="D6508" s="81" t="str">
        <f>HYPERLINK("https://youtube.com/watch?v=4_xkt655z1w", "10 款電子門鎖功能講解｜推拉式、把手式入手攻略｜安裝要點｜實用特色功能｜解鎖方式全面睇｜廣東話【Price.com.hk 產品評測】")</f>
        <v>10 款電子門鎖功能講解｜推拉式、把手式入手攻略｜安裝要點｜實用特色功能｜解鎖方式全面睇｜廣東話【Price.com.hk 產品評測】</v>
      </c>
      <c r="E6508" s="82">
        <v>44964.0</v>
      </c>
      <c r="F6508" s="80">
        <v>502.0</v>
      </c>
      <c r="G6508" s="80" t="s">
        <v>63</v>
      </c>
      <c r="I6508" s="80" t="s">
        <v>63</v>
      </c>
      <c r="J6508" s="80">
        <v>1949.0</v>
      </c>
      <c r="K6508" s="80">
        <v>0.885506587914584</v>
      </c>
      <c r="L6508" s="80" t="s">
        <v>64</v>
      </c>
    </row>
    <row r="6509">
      <c r="A6509" s="80" t="s">
        <v>5854</v>
      </c>
      <c r="B6509" s="81" t="str">
        <f>HYPERLINK("https://www.youtube.com/channel/UCiJnCs2K5gP-DXnMxlstC9A", "毛記電視")</f>
        <v>毛記電視</v>
      </c>
      <c r="C6509" s="80" t="s">
        <v>7034</v>
      </c>
      <c r="D6509" s="81" t="str">
        <f>HYPERLINK("https://youtube.com/watch?v=oVa66nCiAEo", "香港電影點解衰落？🎬跟Hebe朝聖經典港產片場景！🍿英雄本色、古惑仔、無間道 23/3《Terry遊學團》第5集 - 香港電影興衰史")</f>
        <v>香港電影點解衰落？🎬跟Hebe朝聖經典港產片場景！🍿英雄本色、古惑仔、無間道 23/3《Terry遊學團》第5集 - 香港電影興衰史</v>
      </c>
      <c r="E6509" s="82">
        <v>45008.0</v>
      </c>
      <c r="F6509" s="80">
        <v>790.0</v>
      </c>
      <c r="G6509" s="80" t="s">
        <v>63</v>
      </c>
      <c r="I6509" s="80" t="s">
        <v>63</v>
      </c>
      <c r="J6509" s="80">
        <v>3620.0</v>
      </c>
      <c r="K6509" s="80">
        <v>0.96072186836518</v>
      </c>
      <c r="L6509" s="80" t="s">
        <v>102</v>
      </c>
    </row>
    <row r="6510">
      <c r="A6510" s="80" t="s">
        <v>124</v>
      </c>
      <c r="B6510" s="81" t="str">
        <f t="shared" ref="B6510:B6511" si="375">HYPERLINK("https://www.youtube.com/channel/UCg0vuSE0fBF_NvodyYhMcWg", "Wallace Studio HK")</f>
        <v>Wallace Studio HK</v>
      </c>
      <c r="C6510" s="80" t="s">
        <v>7035</v>
      </c>
      <c r="D6510" s="81" t="str">
        <f>HYPERLINK("https://youtube.com/watch?v=JmVHg6u0vgI", "Honor Magic 5 Pro 隆重登場! 強大鹰眼相機系統, AI Motion Sensing Capture, 螢幕護眼技術提升!")</f>
        <v>Honor Magic 5 Pro 隆重登場! 強大鹰眼相機系統, AI Motion Sensing Capture, 螢幕護眼技術提升!</v>
      </c>
      <c r="E6510" s="82">
        <v>45032.0</v>
      </c>
      <c r="F6510" s="80">
        <v>433.0</v>
      </c>
      <c r="G6510" s="80" t="s">
        <v>63</v>
      </c>
      <c r="I6510" s="80" t="s">
        <v>63</v>
      </c>
      <c r="J6510" s="80">
        <v>1560.0</v>
      </c>
      <c r="K6510" s="80">
        <v>0.821917808219178</v>
      </c>
      <c r="L6510" s="80" t="s">
        <v>64</v>
      </c>
    </row>
    <row r="6511">
      <c r="A6511" s="80" t="s">
        <v>124</v>
      </c>
      <c r="B6511" s="81" t="str">
        <f t="shared" si="375"/>
        <v>Wallace Studio HK</v>
      </c>
      <c r="C6511" s="80" t="s">
        <v>7036</v>
      </c>
      <c r="D6511" s="81" t="str">
        <f>HYPERLINK("https://youtube.com/watch?v=6yqwz0YNeIc", "Galaxy Book 3 系列規格分析，極度無奈，喊出黎，竟然得一部推得過！")</f>
        <v>Galaxy Book 3 系列規格分析，極度無奈，喊出黎，竟然得一部推得過！</v>
      </c>
      <c r="E6511" s="82">
        <v>44969.0</v>
      </c>
      <c r="F6511" s="80">
        <v>419.0</v>
      </c>
      <c r="G6511" s="80" t="s">
        <v>63</v>
      </c>
      <c r="H6511" s="80" t="s">
        <v>63</v>
      </c>
      <c r="I6511" s="80" t="s">
        <v>63</v>
      </c>
      <c r="J6511" s="80">
        <v>1487.0</v>
      </c>
      <c r="K6511" s="80">
        <v>0.712216320618059</v>
      </c>
      <c r="L6511" s="80" t="s">
        <v>86</v>
      </c>
    </row>
    <row r="6512">
      <c r="A6512" s="80" t="s">
        <v>248</v>
      </c>
      <c r="B6512" s="81" t="str">
        <f>HYPERLINK("https://www.youtube.com/channel/UCUEJok-GiWaGlv5nIPwk-GQ", "Price.com.hk 香港格價網")</f>
        <v>Price.com.hk 香港格價網</v>
      </c>
      <c r="C6512" s="80" t="s">
        <v>7037</v>
      </c>
      <c r="D6512" s="81" t="str">
        <f>HYPERLINK("https://youtube.com/watch?v=c0qgt8GGprE", "Logitech 第 10 代 iPad 鍵盤保護殼｜更輕、更薄、多角度展示｜Price 獨家優惠｜廣東話【Price.com.hk產品介紹】")</f>
        <v>Logitech 第 10 代 iPad 鍵盤保護殼｜更輕、更薄、多角度展示｜Price 獨家優惠｜廣東話【Price.com.hk產品介紹】</v>
      </c>
      <c r="E6512" s="82">
        <v>44986.0</v>
      </c>
      <c r="F6512" s="80">
        <v>304.0</v>
      </c>
      <c r="G6512" s="80" t="s">
        <v>63</v>
      </c>
      <c r="I6512" s="80" t="s">
        <v>63</v>
      </c>
      <c r="J6512" s="80">
        <v>1071.0</v>
      </c>
      <c r="K6512" s="80">
        <v>0.6787072243346</v>
      </c>
      <c r="L6512" s="80" t="s">
        <v>64</v>
      </c>
    </row>
    <row r="6513">
      <c r="A6513" s="80" t="s">
        <v>6591</v>
      </c>
      <c r="B6513" s="81" t="str">
        <f>HYPERLINK("https://www.youtube.com/channel/UC0DpBgpq_gR7TaNDIvJYZag", "TalkFood")</f>
        <v>TalkFood</v>
      </c>
      <c r="C6513" s="80" t="s">
        <v>7038</v>
      </c>
      <c r="D6513" s="81" t="str">
        <f>HYPERLINK("https://youtube.com/watch?v=0BeZWbt_e2o", "【18區搵食 一年一度情人節 打卡系日式梳乎厘班戟伏唔伏？！】氹女朋友系列｜男友friendly全黑梳乎厘｜No.1空氣感滿分梳乎厘｜瀑布梳乎厘｜平價後巷梳乎厘｜#真實食評冇廣告")</f>
        <v>【18區搵食 一年一度情人節 打卡系日式梳乎厘班戟伏唔伏？！】氹女朋友系列｜男友friendly全黑梳乎厘｜No.1空氣感滿分梳乎厘｜瀑布梳乎厘｜平價後巷梳乎厘｜#真實食評冇廣告</v>
      </c>
      <c r="E6513" s="82">
        <v>44966.0</v>
      </c>
      <c r="F6513" s="80">
        <v>870.0</v>
      </c>
      <c r="G6513" s="80" t="s">
        <v>63</v>
      </c>
      <c r="I6513" s="80" t="s">
        <v>63</v>
      </c>
      <c r="J6513" s="80">
        <v>2823.0</v>
      </c>
      <c r="K6513" s="80">
        <v>0.934768211920529</v>
      </c>
      <c r="L6513" s="80" t="s">
        <v>91</v>
      </c>
    </row>
    <row r="6514">
      <c r="A6514" s="80" t="s">
        <v>755</v>
      </c>
      <c r="B6514" s="81" t="str">
        <f>HYPERLINK("https://www.youtube.com/channel/UCBiJDTc82IM68KVH873VeAw", "Live in Kwangsi廣西人·情·味")</f>
        <v>Live in Kwangsi廣西人·情·味</v>
      </c>
      <c r="C6514" s="80" t="s">
        <v>7039</v>
      </c>
      <c r="D6514" s="81" t="str">
        <f>HYPERLINK("https://youtube.com/watch?v=d3TSiwKQqJA", "登上位於市中心嘅靈峰山（馬峯岩）呢度睇到晒成個賀州市區｜廣西日常實拍 20230216")</f>
        <v>登上位於市中心嘅靈峰山（馬峯岩）呢度睇到晒成個賀州市區｜廣西日常實拍 20230216</v>
      </c>
      <c r="E6514" s="82">
        <v>44974.0</v>
      </c>
      <c r="F6514" s="80">
        <v>2147.0</v>
      </c>
      <c r="G6514" s="80" t="s">
        <v>63</v>
      </c>
      <c r="I6514" s="80" t="s">
        <v>63</v>
      </c>
      <c r="J6514" s="80">
        <v>103.0</v>
      </c>
      <c r="K6514" s="80">
        <v>1.0</v>
      </c>
      <c r="L6514" s="80" t="s">
        <v>757</v>
      </c>
    </row>
    <row r="6515">
      <c r="A6515" s="80" t="s">
        <v>6276</v>
      </c>
      <c r="B6515" s="81" t="str">
        <f>HYPERLINK("https://www.youtube.com/channel/UCExSyW50ydvz6p4FioP58zw", "Mike Yuen 袁竣鋒")</f>
        <v>Mike Yuen 袁竣鋒</v>
      </c>
      <c r="C6515" s="80" t="s">
        <v>7040</v>
      </c>
      <c r="D6515" s="81" t="str">
        <f>HYPERLINK("https://youtube.com/watch?v=_CoLf9EcTY8", "【濟州飲食全記錄】韓式大排檔/東門市場/韓式炸雞(世上最熱氣)/樹木園夜市/人蔘雞/牙帶魚 /便利店飯卷 #mikeyuen #grandhyatt #濟州 #韓國")</f>
        <v>【濟州飲食全記錄】韓式大排檔/東門市場/韓式炸雞(世上最熱氣)/樹木園夜市/人蔘雞/牙帶魚 /便利店飯卷 #mikeyuen #grandhyatt #濟州 #韓國</v>
      </c>
      <c r="E6515" s="82">
        <v>45001.0</v>
      </c>
      <c r="F6515" s="80">
        <v>1736.0</v>
      </c>
      <c r="G6515" s="80" t="s">
        <v>63</v>
      </c>
      <c r="I6515" s="80" t="s">
        <v>63</v>
      </c>
      <c r="J6515" s="80">
        <v>4606.0</v>
      </c>
      <c r="K6515" s="80">
        <v>0.915159944367176</v>
      </c>
      <c r="L6515" s="80" t="s">
        <v>64</v>
      </c>
    </row>
    <row r="6516">
      <c r="A6516" s="80" t="s">
        <v>248</v>
      </c>
      <c r="B6516" s="81" t="str">
        <f>HYPERLINK("https://www.youtube.com/channel/UCUEJok-GiWaGlv5nIPwk-GQ", "Price.com.hk 香港格價網")</f>
        <v>Price.com.hk 香港格價網</v>
      </c>
      <c r="C6516" s="80" t="s">
        <v>7041</v>
      </c>
      <c r="D6516" s="81" t="str">
        <f>HYPERLINK("https://youtube.com/watch?v=X5LK0RmawPE", "Price送禮 日本製造 YA-MAN RF射頻電鬚刨 試用全新旗艦級M22全方位美顏儀｜M22-YL-2｜YJEC0B-1｜Giveaway｜特約專題｜廣東話【Price.com.hk 產品介紹】")</f>
        <v>Price送禮 日本製造 YA-MAN RF射頻電鬚刨 試用全新旗艦級M22全方位美顏儀｜M22-YL-2｜YJEC0B-1｜Giveaway｜特約專題｜廣東話【Price.com.hk 產品介紹】</v>
      </c>
      <c r="E6516" s="82">
        <v>44995.0</v>
      </c>
      <c r="F6516" s="80">
        <v>382.0</v>
      </c>
      <c r="G6516" s="80" t="s">
        <v>63</v>
      </c>
      <c r="I6516" s="80" t="s">
        <v>63</v>
      </c>
      <c r="J6516" s="80">
        <v>1443.0</v>
      </c>
      <c r="K6516" s="80">
        <v>0.865107913669064</v>
      </c>
      <c r="L6516" s="80" t="s">
        <v>64</v>
      </c>
    </row>
    <row r="6517">
      <c r="A6517" s="80" t="s">
        <v>755</v>
      </c>
      <c r="B6517" s="81" t="str">
        <f>HYPERLINK("https://www.youtube.com/channel/UCBiJDTc82IM68KVH873VeAw", "Live in Kwangsi廣西人·情·味")</f>
        <v>Live in Kwangsi廣西人·情·味</v>
      </c>
      <c r="C6517" s="80" t="s">
        <v>7042</v>
      </c>
      <c r="D6517" s="81" t="str">
        <f>HYPERLINK("https://youtube.com/watch?v=lqY129c-96w", "夜遊黃姚古鎮、放煙花 又有唔少新變化｜廣西日常實拍 20230201")</f>
        <v>夜遊黃姚古鎮、放煙花 又有唔少新變化｜廣西日常實拍 20230201</v>
      </c>
      <c r="E6517" s="82">
        <v>44961.0</v>
      </c>
      <c r="F6517" s="80">
        <v>1053.0</v>
      </c>
      <c r="G6517" s="80" t="s">
        <v>63</v>
      </c>
      <c r="I6517" s="80" t="s">
        <v>63</v>
      </c>
      <c r="J6517" s="80">
        <v>201.0</v>
      </c>
      <c r="K6517" s="80">
        <v>1.0</v>
      </c>
      <c r="L6517" s="80" t="s">
        <v>757</v>
      </c>
    </row>
    <row r="6518">
      <c r="A6518" s="80" t="s">
        <v>5546</v>
      </c>
      <c r="B6518" s="81" t="str">
        <f>HYPERLINK("https://www.youtube.com/channel/UCpE6V9kRImKY0HX3THRgYpw", "InspirLang")</f>
        <v>InspirLang</v>
      </c>
      <c r="C6518" s="80" t="s">
        <v>7043</v>
      </c>
      <c r="D6518" s="81" t="str">
        <f>HYPERLINK("https://youtube.com/watch?v=XLrTCqw7noo", "$20 Challenge | 8th AVE, Brooklyn, Food, Drink, Souvenirs")</f>
        <v>$20 Challenge | 8th AVE, Brooklyn, Food, Drink, Souvenirs</v>
      </c>
      <c r="E6518" s="82">
        <v>45043.0</v>
      </c>
      <c r="F6518" s="80">
        <v>794.0</v>
      </c>
      <c r="G6518" s="80" t="s">
        <v>63</v>
      </c>
      <c r="I6518" s="80" t="s">
        <v>63</v>
      </c>
      <c r="J6518" s="80">
        <v>1639.0</v>
      </c>
      <c r="K6518" s="80">
        <v>0.966961651917404</v>
      </c>
      <c r="L6518" s="80" t="s">
        <v>426</v>
      </c>
    </row>
    <row r="6519">
      <c r="A6519" s="80" t="s">
        <v>242</v>
      </c>
      <c r="B6519" s="81" t="str">
        <f>HYPERLINK("https://www.youtube.com/channel/UCZGVB6g74LXWtkR3fX50ykg", "Edwin H.")</f>
        <v>Edwin H.</v>
      </c>
      <c r="C6519" s="80" t="s">
        <v>7044</v>
      </c>
      <c r="D6519" s="81" t="str">
        <f>HYPERLINK("https://youtube.com/watch?v=S2wQVlAbdmo", "AI大爆發！👯‍♀️ SONY 豆豆第五代！🎧  40件必睇科技新品  2月3月 有趣科技新聞")</f>
        <v>AI大爆發！👯‍♀️ SONY 豆豆第五代！🎧  40件必睇科技新品  2月3月 有趣科技新聞</v>
      </c>
      <c r="E6519" s="82">
        <v>44994.0</v>
      </c>
      <c r="F6519" s="80">
        <v>987.0</v>
      </c>
      <c r="G6519" s="80" t="s">
        <v>63</v>
      </c>
      <c r="I6519" s="80" t="s">
        <v>63</v>
      </c>
      <c r="J6519" s="80">
        <v>3835.0</v>
      </c>
      <c r="K6519" s="80">
        <v>0.725775927327782</v>
      </c>
      <c r="L6519" s="80" t="s">
        <v>64</v>
      </c>
    </row>
    <row r="6520">
      <c r="A6520" s="80" t="s">
        <v>2766</v>
      </c>
      <c r="B6520" s="81" t="str">
        <f>HYPERLINK("https://www.youtube.com/channel/UCrZG5sGryxwgSDQSlHgmZTw", "GadgetGang HK")</f>
        <v>GadgetGang HK</v>
      </c>
      <c r="C6520" s="80" t="s">
        <v>7045</v>
      </c>
      <c r="D6520" s="81" t="str">
        <f>HYPERLINK("https://youtube.com/watch?v=MTuvUF-P-78", "科技新G丨ChatGPT進化GPT-4丨 Samsung A54 A34 高性價比登場丨豐澤聯乘GG 家電新節目 丨 海洋公園搞 高達之父‧大河原邦男50周年展?丨迪士尼展示星戰可伸縮光劍丨AV大事件")</f>
        <v>科技新G丨ChatGPT進化GPT-4丨 Samsung A54 A34 高性價比登場丨豐澤聯乘GG 家電新節目 丨 海洋公園搞 高達之父‧大河原邦男50周年展?丨迪士尼展示星戰可伸縮光劍丨AV大事件</v>
      </c>
      <c r="E6520" s="82">
        <v>45004.0</v>
      </c>
      <c r="F6520" s="80">
        <v>590.0</v>
      </c>
      <c r="G6520" s="80" t="s">
        <v>63</v>
      </c>
      <c r="I6520" s="80" t="s">
        <v>63</v>
      </c>
      <c r="J6520" s="80">
        <v>2163.0</v>
      </c>
      <c r="K6520" s="80">
        <v>0.826834862385321</v>
      </c>
      <c r="L6520" s="80" t="s">
        <v>64</v>
      </c>
    </row>
    <row r="6521">
      <c r="A6521" s="80" t="s">
        <v>108</v>
      </c>
      <c r="B6521" s="81" t="str">
        <f>HYPERLINK("https://www.youtube.com/channel/UCZL6QN6Xs-ZrKY3y6Pv6Emg", "廢青 - 日賺3000")</f>
        <v>廢青 - 日賺3000</v>
      </c>
      <c r="C6521" s="80" t="s">
        <v>7046</v>
      </c>
      <c r="D6521" s="81" t="str">
        <f>HYPERLINK("https://youtube.com/watch?v=YNmNkM-MN4I", "823 領展咁買法，必贏 !?? | #五供一 #領展 #Reit【點CC看中文字幕】")</f>
        <v>823 領展咁買法，必贏 !?? | #五供一 #領展 #Reit【點CC看中文字幕】</v>
      </c>
      <c r="E6521" s="82">
        <v>44976.0</v>
      </c>
      <c r="F6521" s="80">
        <v>1046.0</v>
      </c>
      <c r="G6521" s="80" t="s">
        <v>63</v>
      </c>
      <c r="I6521" s="80" t="s">
        <v>63</v>
      </c>
      <c r="J6521" s="80">
        <v>4448.0</v>
      </c>
      <c r="K6521" s="80">
        <v>0.916735366859027</v>
      </c>
      <c r="L6521" s="80" t="s">
        <v>64</v>
      </c>
    </row>
    <row r="6522">
      <c r="A6522" s="80" t="s">
        <v>248</v>
      </c>
      <c r="B6522" s="81" t="str">
        <f>HYPERLINK("https://www.youtube.com/channel/UCUEJok-GiWaGlv5nIPwk-GQ", "Price.com.hk 香港格價網")</f>
        <v>Price.com.hk 香港格價網</v>
      </c>
      <c r="C6522" s="80" t="s">
        <v>7047</v>
      </c>
      <c r="D6522" s="81" t="str">
        <f>HYPERLINK("https://youtube.com/watch?v=G6fSc74p61c", "ROG發表ALLY手提遊戲機力撼Steam Deck、微軟新Dock支援Thunderbolt 4、微軟新Xbox手掣講環保｜廣東話【Price Weekly #161 2023年4月 】")</f>
        <v>ROG發表ALLY手提遊戲機力撼Steam Deck、微軟新Dock支援Thunderbolt 4、微軟新Xbox手掣講環保｜廣東話【Price Weekly #161 2023年4月 】</v>
      </c>
      <c r="E6522" s="82">
        <v>45024.0</v>
      </c>
      <c r="F6522" s="80">
        <v>546.0</v>
      </c>
      <c r="G6522" s="80" t="s">
        <v>63</v>
      </c>
      <c r="I6522" s="80" t="s">
        <v>63</v>
      </c>
      <c r="J6522" s="80">
        <v>2012.0</v>
      </c>
      <c r="K6522" s="80">
        <v>0.73216885007278</v>
      </c>
      <c r="L6522" s="80" t="s">
        <v>64</v>
      </c>
    </row>
    <row r="6523">
      <c r="A6523" s="80" t="s">
        <v>6892</v>
      </c>
      <c r="B6523" s="81" t="str">
        <f>HYPERLINK("https://www.youtube.com/channel/UC8_hxeY0nDCL-8ETbcGUZ9g", "PT食為先")</f>
        <v>PT食為先</v>
      </c>
      <c r="C6523" s="80" t="s">
        <v>7048</v>
      </c>
      <c r="D6523" s="81" t="str">
        <f>HYPERLINK("https://youtube.com/watch?v=8GkTtA_975s", "#摘星之旅 米芝蓮1星精緻泰國菜 食足3小時 就在唐人街附近！｜80/20 Eighty Twenty Talat Noi Bangkok")</f>
        <v>#摘星之旅 米芝蓮1星精緻泰國菜 食足3小時 就在唐人街附近！｜80/20 Eighty Twenty Talat Noi Bangkok</v>
      </c>
      <c r="E6523" s="82">
        <v>45053.0</v>
      </c>
      <c r="F6523" s="80">
        <v>912.0</v>
      </c>
      <c r="G6523" s="80" t="s">
        <v>63</v>
      </c>
      <c r="I6523" s="80" t="s">
        <v>63</v>
      </c>
      <c r="J6523" s="80">
        <v>2205.0</v>
      </c>
      <c r="K6523" s="80">
        <v>0.888396454472199</v>
      </c>
      <c r="L6523" s="80" t="s">
        <v>64</v>
      </c>
    </row>
    <row r="6524">
      <c r="A6524" s="80" t="s">
        <v>248</v>
      </c>
      <c r="B6524" s="81" t="str">
        <f>HYPERLINK("https://www.youtube.com/channel/UCUEJok-GiWaGlv5nIPwk-GQ", "Price.com.hk 香港格價網")</f>
        <v>Price.com.hk 香港格價網</v>
      </c>
      <c r="C6524" s="80" t="s">
        <v>7049</v>
      </c>
      <c r="D6524" s="81" t="str">
        <f>HYPERLINK("https://youtube.com/watch?v=G1AVBhZ5UKo", "母親節送乜好？8大實用、高質、CP高 禮物推薦！｜2023 Mother’s Day｜抵買產品精選｜產品｜實物開箱｜中文字幕 | 廣東話【Price.com.hk產品介紹】")</f>
        <v>母親節送乜好？8大實用、高質、CP高 禮物推薦！｜2023 Mother’s Day｜抵買產品精選｜產品｜實物開箱｜中文字幕 | 廣東話【Price.com.hk產品介紹】</v>
      </c>
      <c r="E6524" s="82">
        <v>45051.0</v>
      </c>
      <c r="F6524" s="80">
        <v>342.0</v>
      </c>
      <c r="G6524" s="80" t="s">
        <v>63</v>
      </c>
      <c r="I6524" s="80" t="s">
        <v>63</v>
      </c>
      <c r="J6524" s="80">
        <v>1287.0</v>
      </c>
      <c r="K6524" s="80">
        <v>0.816624365482233</v>
      </c>
      <c r="L6524" s="80" t="s">
        <v>64</v>
      </c>
    </row>
    <row r="6525">
      <c r="A6525" s="80" t="s">
        <v>755</v>
      </c>
      <c r="B6525" s="81" t="str">
        <f>HYPERLINK("https://www.youtube.com/channel/UCBiJDTc82IM68KVH873VeAw", "Live in Kwangsi廣西人·情·味")</f>
        <v>Live in Kwangsi廣西人·情·味</v>
      </c>
      <c r="C6525" s="80" t="s">
        <v>7050</v>
      </c>
      <c r="D6525" s="81" t="str">
        <f>HYPERLINK("https://youtube.com/watch?v=3OkyzF1bNHs", "喺肇慶市中心行街，由牌坊廣場行路至印象滙停車場｜廣東日常實拍 20230311")</f>
        <v>喺肇慶市中心行街，由牌坊廣場行路至印象滙停車場｜廣東日常實拍 20230311</v>
      </c>
      <c r="E6525" s="82">
        <v>44997.0</v>
      </c>
      <c r="F6525" s="80">
        <v>853.0</v>
      </c>
      <c r="G6525" s="80" t="s">
        <v>63</v>
      </c>
      <c r="I6525" s="80" t="s">
        <v>63</v>
      </c>
      <c r="J6525" s="80">
        <v>58.0</v>
      </c>
      <c r="K6525" s="80">
        <v>1.0</v>
      </c>
      <c r="L6525" s="80" t="s">
        <v>757</v>
      </c>
    </row>
    <row r="6526">
      <c r="A6526" s="80" t="s">
        <v>1594</v>
      </c>
      <c r="B6526" s="81" t="str">
        <f>HYPERLINK("https://www.youtube.com/channel/UCUtm1awT2EO9D7uJ2OlMcTQ", "黐住這一家 Sticky Love Family")</f>
        <v>黐住這一家 Sticky Love Family</v>
      </c>
      <c r="C6526" s="80" t="s">
        <v>7051</v>
      </c>
      <c r="D6526" s="81" t="str">
        <f>HYPERLINK("https://youtube.com/watch?v=pLKix85rfAE", "【粵語 | 廣東話 兒童經典故事】3分鐘講 ❝ 白鴿和螞蟻 ❞ ! 配音員媽媽一家演繹！ [ Eng Sub CC | 中文字幕 ]")</f>
        <v>【粵語 | 廣東話 兒童經典故事】3分鐘講 ❝ 白鴿和螞蟻 ❞ ! 配音員媽媽一家演繹！ [ Eng Sub CC | 中文字幕 ]</v>
      </c>
      <c r="E6526" s="82">
        <v>44975.0</v>
      </c>
      <c r="F6526" s="80">
        <v>171.0</v>
      </c>
      <c r="G6526" s="80" t="s">
        <v>63</v>
      </c>
      <c r="H6526" s="80" t="s">
        <v>63</v>
      </c>
      <c r="I6526" s="80" t="s">
        <v>63</v>
      </c>
      <c r="J6526" s="80">
        <v>601.0</v>
      </c>
      <c r="K6526" s="80">
        <v>1.0</v>
      </c>
      <c r="L6526" s="80" t="s">
        <v>1596</v>
      </c>
    </row>
    <row r="6527">
      <c r="A6527" s="80" t="s">
        <v>6892</v>
      </c>
      <c r="B6527" s="81" t="str">
        <f>HYPERLINK("https://www.youtube.com/channel/UC8_hxeY0nDCL-8ETbcGUZ9g", "PT食為先")</f>
        <v>PT食為先</v>
      </c>
      <c r="C6527" s="80" t="s">
        <v>7052</v>
      </c>
      <c r="D6527" s="81" t="str">
        <f>HYPERLINK("https://youtube.com/watch?v=2uSPL-qGDMM", "[PT自費食評] 家庭聚會 熱門之選 新派中菜餐廳超多打卡位 ｜$48乳鴿最抵食｜雪茄春卷 火焰菠蘿｜中西合璧fusion菜｜土瓜灣 屯門市廣場 聚聚都有分店")</f>
        <v>[PT自費食評] 家庭聚會 熱門之選 新派中菜餐廳超多打卡位 ｜$48乳鴿最抵食｜雪茄春卷 火焰菠蘿｜中西合璧fusion菜｜土瓜灣 屯門市廣場 聚聚都有分店</v>
      </c>
      <c r="E6527" s="82">
        <v>45023.0</v>
      </c>
      <c r="F6527" s="80">
        <v>638.0</v>
      </c>
      <c r="G6527" s="80" t="s">
        <v>63</v>
      </c>
      <c r="I6527" s="80" t="s">
        <v>63</v>
      </c>
      <c r="J6527" s="80">
        <v>1796.0</v>
      </c>
      <c r="K6527" s="80">
        <v>0.977681001633097</v>
      </c>
      <c r="L6527" s="80" t="s">
        <v>64</v>
      </c>
    </row>
    <row r="6528">
      <c r="A6528" s="80" t="s">
        <v>5702</v>
      </c>
      <c r="B6528" s="81" t="str">
        <f>HYPERLINK("https://www.youtube.com/channel/UC249m2fxYzK-NnfH06YNP3A", "Siu Mei小美")</f>
        <v>Siu Mei小美</v>
      </c>
      <c r="C6528" s="80" t="s">
        <v>7053</v>
      </c>
      <c r="D6528" s="81" t="str">
        <f>HYPERLINK("https://youtube.com/watch?v=VLrHNQWV4Ak", "🎄節日大餐急救術 ‼️你還在這樣減肥嗎？佳節前後幫你無痛減重💨💨 600元以內配好一套全效減肥方案！㊙️㊙️")</f>
        <v>🎄節日大餐急救術 ‼️你還在這樣減肥嗎？佳節前後幫你無痛減重💨💨 600元以內配好一套全效減肥方案！㊙️㊙️</v>
      </c>
      <c r="E6528" s="82">
        <v>44919.0</v>
      </c>
      <c r="F6528" s="80">
        <v>870.0</v>
      </c>
      <c r="G6528" s="80" t="s">
        <v>63</v>
      </c>
      <c r="I6528" s="80" t="s">
        <v>63</v>
      </c>
      <c r="J6528" s="80">
        <v>4257.0</v>
      </c>
      <c r="K6528" s="80">
        <v>0.905166914735275</v>
      </c>
      <c r="L6528" s="80" t="s">
        <v>64</v>
      </c>
    </row>
    <row r="6529">
      <c r="A6529" s="80" t="s">
        <v>2761</v>
      </c>
      <c r="B6529" s="81" t="str">
        <f>HYPERLINK("https://www.youtube.com/channel/UCr_L9cZdbBU_XDsKDHBBlew", "am730")</f>
        <v>am730</v>
      </c>
      <c r="C6529" s="80" t="s">
        <v>7054</v>
      </c>
      <c r="D6529" s="81" t="str">
        <f>HYPERLINK("https://youtube.com/watch?v=8mkCWqxiVFE", "靈異丨香港02：彌敦道上嘅日本兵丨小紅帽聲音專欄")</f>
        <v>靈異丨香港02：彌敦道上嘅日本兵丨小紅帽聲音專欄</v>
      </c>
      <c r="E6529" s="82">
        <v>45036.0</v>
      </c>
      <c r="F6529" s="80">
        <v>688.0</v>
      </c>
      <c r="G6529" s="80" t="s">
        <v>63</v>
      </c>
      <c r="I6529" s="80" t="s">
        <v>63</v>
      </c>
      <c r="J6529" s="80">
        <v>2354.0</v>
      </c>
      <c r="K6529" s="80">
        <v>0.967529798602548</v>
      </c>
      <c r="L6529" s="80" t="s">
        <v>91</v>
      </c>
    </row>
    <row r="6530">
      <c r="A6530" s="80" t="s">
        <v>2829</v>
      </c>
      <c r="B6530" s="81" t="str">
        <f>HYPERLINK("https://www.youtube.com/channel/UC7GnES6AEQlDzaP04UqtyjA", "SOLID IDEA")</f>
        <v>SOLID IDEA</v>
      </c>
      <c r="C6530" s="80" t="s">
        <v>7055</v>
      </c>
      <c r="D6530" s="81" t="str">
        <f>HYPERLINK("https://youtube.com/watch?v=bSmGLZ_bH60", "本身唔夠位整鞋櫃，但又可以放到幾十對鞋！？ 設計 • idea | ｜Solid Idea｜室內設計｜家居規劃｜星級設計｜［CC字幕］")</f>
        <v>本身唔夠位整鞋櫃，但又可以放到幾十對鞋！？ 設計 • idea | ｜Solid Idea｜室內設計｜家居規劃｜星級設計｜［CC字幕］</v>
      </c>
      <c r="E6530" s="82">
        <v>44992.0</v>
      </c>
      <c r="F6530" s="80">
        <v>151.0</v>
      </c>
      <c r="G6530" s="80" t="s">
        <v>63</v>
      </c>
      <c r="I6530" s="80" t="s">
        <v>63</v>
      </c>
      <c r="J6530" s="80">
        <v>633.0</v>
      </c>
      <c r="K6530" s="80">
        <v>0.998422712933754</v>
      </c>
      <c r="L6530" s="80" t="s">
        <v>64</v>
      </c>
    </row>
    <row r="6531">
      <c r="A6531" s="80" t="s">
        <v>6919</v>
      </c>
      <c r="B6531" s="81" t="str">
        <f>HYPERLINK("https://www.youtube.com/channel/UCF6M5AH_OALkimFGKdlWfCw", "采姐姐的故事王國 Lillian's Story Kingdom")</f>
        <v>采姐姐的故事王國 Lillian's Story Kingdom</v>
      </c>
      <c r="C6531" s="80" t="s">
        <v>7056</v>
      </c>
      <c r="D6531" s="81" t="str">
        <f>HYPERLINK("https://youtube.com/watch?v=IWqYDOqREoE", "【偽動畫故事】當一隻懶蟲不容易! | It's Not Easy Being A Lazy Bug | 成長為一個負責任的人 - 粵語 (有字幕)")</f>
        <v>【偽動畫故事】當一隻懶蟲不容易! | It's Not Easy Being A Lazy Bug | 成長為一個負責任的人 - 粵語 (有字幕)</v>
      </c>
      <c r="E6531" s="82">
        <v>45046.0</v>
      </c>
      <c r="F6531" s="80">
        <v>701.0</v>
      </c>
      <c r="G6531" s="80" t="s">
        <v>63</v>
      </c>
      <c r="I6531" s="80" t="s">
        <v>63</v>
      </c>
      <c r="J6531" s="80">
        <v>1888.0</v>
      </c>
      <c r="K6531" s="80">
        <v>0.986415882967607</v>
      </c>
      <c r="L6531" s="80" t="s">
        <v>64</v>
      </c>
    </row>
    <row r="6532">
      <c r="A6532" s="80" t="s">
        <v>124</v>
      </c>
      <c r="B6532" s="81" t="str">
        <f>HYPERLINK("https://www.youtube.com/channel/UCg0vuSE0fBF_NvodyYhMcWg", "Wallace Studio HK")</f>
        <v>Wallace Studio HK</v>
      </c>
      <c r="C6532" s="80" t="s">
        <v>7057</v>
      </c>
      <c r="D6532" s="81" t="str">
        <f>HYPERLINK("https://youtube.com/watch?v=F0P8fB48fWI", "Gigabyte AERO 16 BSF 2023! 更輕薄，更好用，但效能表現呢?? (i713700H, RTX4070 Laptop 105W)")</f>
        <v>Gigabyte AERO 16 BSF 2023! 更輕薄，更好用，但效能表現呢?? (i713700H, RTX4070 Laptop 105W)</v>
      </c>
      <c r="E6532" s="82">
        <v>45011.0</v>
      </c>
      <c r="F6532" s="80">
        <v>675.0</v>
      </c>
      <c r="G6532" s="80" t="s">
        <v>63</v>
      </c>
      <c r="H6532" s="80" t="s">
        <v>63</v>
      </c>
      <c r="I6532" s="80" t="s">
        <v>63</v>
      </c>
      <c r="J6532" s="80">
        <v>2390.0</v>
      </c>
      <c r="K6532" s="80">
        <v>0.714712918660287</v>
      </c>
      <c r="L6532" s="80" t="s">
        <v>4980</v>
      </c>
    </row>
    <row r="6533">
      <c r="A6533" s="80" t="s">
        <v>6892</v>
      </c>
      <c r="B6533" s="81" t="str">
        <f>HYPERLINK("https://www.youtube.com/channel/UC8_hxeY0nDCL-8ETbcGUZ9g", "PT食為先")</f>
        <v>PT食為先</v>
      </c>
      <c r="C6533" s="80" t="s">
        <v>7058</v>
      </c>
      <c r="D6533" s="81" t="str">
        <f>HYPERLINK("https://youtube.com/watch?v=CFkecFHYiC8", "[PT食為先] 死神雞煲辣到要簽生死狀？芫茜牛肉卷茜到冇朋友！灣仔新火鍋店 龍蝦湯 瑤柱群翅雞湯 紅酒豬頸肉｜尚上下夏2.8 - 養生雞煲火鍋x冰室")</f>
        <v>[PT食為先] 死神雞煲辣到要簽生死狀？芫茜牛肉卷茜到冇朋友！灣仔新火鍋店 龍蝦湯 瑤柱群翅雞湯 紅酒豬頸肉｜尚上下夏2.8 - 養生雞煲火鍋x冰室</v>
      </c>
      <c r="E6533" s="82">
        <v>45016.0</v>
      </c>
      <c r="F6533" s="80">
        <v>689.0</v>
      </c>
      <c r="G6533" s="80" t="s">
        <v>63</v>
      </c>
      <c r="I6533" s="80" t="s">
        <v>63</v>
      </c>
      <c r="J6533" s="80">
        <v>1800.0</v>
      </c>
      <c r="K6533" s="80">
        <v>0.97879282218597</v>
      </c>
      <c r="L6533" s="80" t="s">
        <v>64</v>
      </c>
    </row>
    <row r="6534">
      <c r="A6534" s="80" t="s">
        <v>248</v>
      </c>
      <c r="B6534" s="81" t="str">
        <f t="shared" ref="B6534:B6535" si="376">HYPERLINK("https://www.youtube.com/channel/UCUEJok-GiWaGlv5nIPwk-GQ", "Price.com.hk 香港格價網")</f>
        <v>Price.com.hk 香港格價網</v>
      </c>
      <c r="C6534" s="80" t="s">
        <v>7059</v>
      </c>
      <c r="D6534" s="81" t="str">
        <f>HYPERLINK("https://youtube.com/watch?v=r8cPHIopGoM", "PSVR2 值得入手買？$4580定價太高？開箱試玩護航作《地平線：山之呼喚》!｜遊戲體驗｜劇院模式｜廣東話【Price.com.hk產品評測】")</f>
        <v>PSVR2 值得入手買？$4580定價太高？開箱試玩護航作《地平線：山之呼喚》!｜遊戲體驗｜劇院模式｜廣東話【Price.com.hk產品評測】</v>
      </c>
      <c r="E6534" s="82">
        <v>44988.0</v>
      </c>
      <c r="F6534" s="80">
        <v>359.0</v>
      </c>
      <c r="G6534" s="80" t="s">
        <v>63</v>
      </c>
      <c r="I6534" s="80" t="s">
        <v>63</v>
      </c>
      <c r="J6534" s="80">
        <v>1355.0</v>
      </c>
      <c r="K6534" s="80">
        <v>0.78368999421631</v>
      </c>
      <c r="L6534" s="80" t="s">
        <v>64</v>
      </c>
    </row>
    <row r="6535">
      <c r="A6535" s="80" t="s">
        <v>248</v>
      </c>
      <c r="B6535" s="81" t="str">
        <f t="shared" si="376"/>
        <v>Price.com.hk 香港格價網</v>
      </c>
      <c r="C6535" s="80" t="s">
        <v>7060</v>
      </c>
      <c r="D6535" s="81" t="str">
        <f>HYPERLINK("https://youtube.com/watch?v=rOYRmUle69M", "Samsung Galaxy S23 Ultra現奇怪倒影、Apple Watch研監測血糖技術、Sony降噪頭戴耳機 配旗艦級V1晶片｜廣東話【Price Weekly #155 2023年2月 】")</f>
        <v>Samsung Galaxy S23 Ultra現奇怪倒影、Apple Watch研監測血糖技術、Sony降噪頭戴耳機 配旗艦級V1晶片｜廣東話【Price Weekly #155 2023年2月 】</v>
      </c>
      <c r="E6535" s="82">
        <v>44982.0</v>
      </c>
      <c r="F6535" s="80">
        <v>413.0</v>
      </c>
      <c r="G6535" s="80" t="s">
        <v>63</v>
      </c>
      <c r="I6535" s="80" t="s">
        <v>63</v>
      </c>
      <c r="J6535" s="80">
        <v>1627.0</v>
      </c>
      <c r="K6535" s="80">
        <v>0.733874605322507</v>
      </c>
      <c r="L6535" s="80" t="s">
        <v>64</v>
      </c>
    </row>
    <row r="6536">
      <c r="A6536" s="80" t="s">
        <v>217</v>
      </c>
      <c r="B6536" s="81" t="str">
        <f>HYPERLINK("https://www.youtube.com/channel/UCXKg0qPRz32bs5Z4mTGF3TQ", "Stormtrooper白兵")</f>
        <v>Stormtrooper白兵</v>
      </c>
      <c r="C6536" s="80" t="s">
        <v>7061</v>
      </c>
      <c r="D6536" s="81" t="str">
        <f>HYPERLINK("https://youtube.com/watch?v=qxIVQ83w21s", "[不是陰謀論]由機器潤滑油，變成營養食油？｜ 芥花籽油、棕櫚油有害？ ｜心臟病唔關動物油事？｜粵語中字")</f>
        <v>[不是陰謀論]由機器潤滑油，變成營養食油？｜ 芥花籽油、棕櫚油有害？ ｜心臟病唔關動物油事？｜粵語中字</v>
      </c>
      <c r="E6536" s="82">
        <v>44973.0</v>
      </c>
      <c r="F6536" s="80">
        <v>875.0</v>
      </c>
      <c r="G6536" s="80" t="s">
        <v>63</v>
      </c>
      <c r="I6536" s="80" t="s">
        <v>63</v>
      </c>
      <c r="J6536" s="80">
        <v>3409.0</v>
      </c>
      <c r="K6536" s="80">
        <v>0.93602416254805</v>
      </c>
      <c r="L6536" s="80" t="s">
        <v>64</v>
      </c>
    </row>
    <row r="6537">
      <c r="A6537" s="80" t="s">
        <v>2829</v>
      </c>
      <c r="B6537" s="81" t="str">
        <f t="shared" ref="B6537:B6538" si="377">HYPERLINK("https://www.youtube.com/channel/UC7GnES6AEQlDzaP04UqtyjA", "SOLID IDEA")</f>
        <v>SOLID IDEA</v>
      </c>
      <c r="C6537" s="80" t="s">
        <v>7062</v>
      </c>
      <c r="D6537" s="81" t="str">
        <f>HYPERLINK("https://youtube.com/watch?v=MSaMxI8zXs4", "新樓常見問題，由我哋公開解決既方法！｜設計 • idea｜Solid Idea｜室內設計｜家居規劃｜星級設計｜［CC字幕］")</f>
        <v>新樓常見問題，由我哋公開解決既方法！｜設計 • idea｜Solid Idea｜室內設計｜家居規劃｜星級設計｜［CC字幕］</v>
      </c>
      <c r="E6537" s="82">
        <v>45034.0</v>
      </c>
      <c r="F6537" s="80">
        <v>182.0</v>
      </c>
      <c r="G6537" s="80" t="s">
        <v>63</v>
      </c>
      <c r="I6537" s="80" t="s">
        <v>63</v>
      </c>
      <c r="J6537" s="80">
        <v>680.0</v>
      </c>
      <c r="K6537" s="80">
        <v>0.98981077147016</v>
      </c>
      <c r="L6537" s="80" t="s">
        <v>64</v>
      </c>
    </row>
    <row r="6538">
      <c r="A6538" s="80" t="s">
        <v>2829</v>
      </c>
      <c r="B6538" s="81" t="str">
        <f t="shared" si="377"/>
        <v>SOLID IDEA</v>
      </c>
      <c r="C6538" s="80" t="s">
        <v>7063</v>
      </c>
      <c r="D6538" s="81" t="str">
        <f>HYPERLINK("https://youtube.com/watch?v=lGr-WcueZGw", "無印風格配寵物家居，真係一個唔錯選擇｜設計 • idea｜Solid Idea｜室內設計｜家居規劃｜星級設計｜［CC字幕］")</f>
        <v>無印風格配寵物家居，真係一個唔錯選擇｜設計 • idea｜Solid Idea｜室內設計｜家居規劃｜星級設計｜［CC字幕］</v>
      </c>
      <c r="E6538" s="82">
        <v>45041.0</v>
      </c>
      <c r="F6538" s="80">
        <v>187.0</v>
      </c>
      <c r="G6538" s="80" t="s">
        <v>63</v>
      </c>
      <c r="I6538" s="80" t="s">
        <v>63</v>
      </c>
      <c r="J6538" s="80">
        <v>732.0</v>
      </c>
      <c r="K6538" s="80">
        <v>0.948186528497409</v>
      </c>
      <c r="L6538" s="80" t="s">
        <v>64</v>
      </c>
    </row>
    <row r="6539">
      <c r="A6539" s="80" t="s">
        <v>6919</v>
      </c>
      <c r="B6539" s="81" t="str">
        <f>HYPERLINK("https://www.youtube.com/channel/UCF6M5AH_OALkimFGKdlWfCw", "采姐姐的故事王國 Lillian's Story Kingdom")</f>
        <v>采姐姐的故事王國 Lillian's Story Kingdom</v>
      </c>
      <c r="C6539" s="80" t="s">
        <v>7064</v>
      </c>
      <c r="D6539" s="81" t="str">
        <f>HYPERLINK("https://youtube.com/watch?v=KY_e51itelo", "【偽動畫故事】一定是貓做的！| Must Be The Cat! | 一場充滿幽默的偵查 - 粵語 (有字幕)")</f>
        <v>【偽動畫故事】一定是貓做的！| Must Be The Cat! | 一場充滿幽默的偵查 - 粵語 (有字幕)</v>
      </c>
      <c r="E6539" s="82">
        <v>45004.0</v>
      </c>
      <c r="F6539" s="80">
        <v>429.0</v>
      </c>
      <c r="G6539" s="80" t="s">
        <v>63</v>
      </c>
      <c r="I6539" s="80" t="s">
        <v>63</v>
      </c>
      <c r="J6539" s="80">
        <v>1140.0</v>
      </c>
      <c r="K6539" s="80">
        <v>0.979381443298969</v>
      </c>
      <c r="L6539" s="80" t="s">
        <v>64</v>
      </c>
    </row>
    <row r="6540">
      <c r="A6540" s="80" t="s">
        <v>5134</v>
      </c>
      <c r="B6540" s="81" t="str">
        <f>HYPERLINK("https://www.youtube.com/channel/UCGq7xle9PrLHpmdxrk0IlLw", "磚加專家 Danny Ching Top10%地產局金牌經紀百萬圓桌")</f>
        <v>磚加專家 Danny Ching Top10%地產局金牌經紀百萬圓桌</v>
      </c>
      <c r="C6540" s="80" t="s">
        <v>7065</v>
      </c>
      <c r="D6540" s="81" t="str">
        <f>HYPERLINK("https://youtube.com/watch?v=CRLWGTSTz9w", "【磗加分析】第4集 特發❗️重磅消息 財困爆煲 大型發展商 宣布債務重組 影響16個項目 樓花影響 系統性問題定係個別? 詳細分析 深入了解 當中細節 箇中橋妙 好好地都出事 加息禍害：同SVB一樣？")</f>
        <v>【磗加分析】第4集 特發❗️重磅消息 財困爆煲 大型發展商 宣布債務重組 影響16個項目 樓花影響 系統性問題定係個別? 詳細分析 深入了解 當中細節 箇中橋妙 好好地都出事 加息禍害：同SVB一樣？</v>
      </c>
      <c r="E6540" s="82">
        <v>45012.0</v>
      </c>
      <c r="F6540" s="80">
        <v>512.0</v>
      </c>
      <c r="G6540" s="80" t="s">
        <v>63</v>
      </c>
      <c r="I6540" s="80" t="s">
        <v>63</v>
      </c>
      <c r="J6540" s="80">
        <v>2003.0</v>
      </c>
      <c r="K6540" s="80">
        <v>0.764503816793893</v>
      </c>
      <c r="L6540" s="80" t="s">
        <v>102</v>
      </c>
    </row>
    <row r="6541">
      <c r="A6541" s="80" t="s">
        <v>755</v>
      </c>
      <c r="B6541" s="81" t="str">
        <f>HYPERLINK("https://www.youtube.com/channel/UCBiJDTc82IM68KVH873VeAw", "Live in Kwangsi廣西人·情·味")</f>
        <v>Live in Kwangsi廣西人·情·味</v>
      </c>
      <c r="C6541" s="80" t="s">
        <v>7066</v>
      </c>
      <c r="D6541" s="81" t="str">
        <f>HYPERLINK("https://youtube.com/watch?v=91luA7Kt354", "梧州市客運站前地嘅夜市 星火市集｜廣西日常實拍 20221029")</f>
        <v>梧州市客運站前地嘅夜市 星火市集｜廣西日常實拍 20221029</v>
      </c>
      <c r="E6541" s="82">
        <v>44967.0</v>
      </c>
      <c r="F6541" s="80">
        <v>161.0</v>
      </c>
      <c r="G6541" s="80" t="s">
        <v>63</v>
      </c>
      <c r="I6541" s="80" t="s">
        <v>63</v>
      </c>
      <c r="J6541" s="80">
        <v>35.0</v>
      </c>
      <c r="K6541" s="80">
        <v>1.0</v>
      </c>
      <c r="L6541" s="80" t="s">
        <v>757</v>
      </c>
    </row>
    <row r="6542">
      <c r="A6542" s="80" t="s">
        <v>5868</v>
      </c>
      <c r="B6542" s="81" t="str">
        <f>HYPERLINK("https://www.youtube.com/channel/UCVvdX8wGBmCM9KerhiVu_Ig", "McFatty 麥花田")</f>
        <v>McFatty 麥花田</v>
      </c>
      <c r="C6542" s="80" t="s">
        <v>7067</v>
      </c>
      <c r="D6542" s="81" t="str">
        <f>HYPERLINK("https://youtube.com/watch?v=JKusumO6Y84", "隻隻都係鹽！ 究竟點揀？ 附廣東話字幕 Ep152")</f>
        <v>隻隻都係鹽！ 究竟點揀？ 附廣東話字幕 Ep152</v>
      </c>
      <c r="E6542" s="82">
        <v>45045.0</v>
      </c>
      <c r="F6542" s="80">
        <v>629.0</v>
      </c>
      <c r="G6542" s="80" t="s">
        <v>63</v>
      </c>
      <c r="I6542" s="80" t="s">
        <v>63</v>
      </c>
      <c r="J6542" s="80">
        <v>2488.0</v>
      </c>
      <c r="K6542" s="80">
        <v>0.953987730061349</v>
      </c>
      <c r="L6542" s="80" t="s">
        <v>102</v>
      </c>
    </row>
    <row r="6543">
      <c r="A6543" s="80" t="s">
        <v>248</v>
      </c>
      <c r="B6543" s="81" t="str">
        <f>HYPERLINK("https://www.youtube.com/channel/UCUEJok-GiWaGlv5nIPwk-GQ", "Price.com.hk 香港格價網")</f>
        <v>Price.com.hk 香港格價網</v>
      </c>
      <c r="C6543" s="80" t="s">
        <v>7068</v>
      </c>
      <c r="D6543" s="81" t="str">
        <f>HYPERLINK("https://youtube.com/watch?v=y4IrBv1hG0w", "SHARP Healsio 水波爐｜All IN ONE自動感測 多種食材同步烹調｜0 微波金屬器皿照入爐｜廣東話【Price.com.hk 特約專題】")</f>
        <v>SHARP Healsio 水波爐｜All IN ONE自動感測 多種食材同步烹調｜0 微波金屬器皿照入爐｜廣東話【Price.com.hk 特約專題】</v>
      </c>
      <c r="E6543" s="82">
        <v>44973.0</v>
      </c>
      <c r="F6543" s="80">
        <v>326.0</v>
      </c>
      <c r="G6543" s="80" t="s">
        <v>63</v>
      </c>
      <c r="I6543" s="80" t="s">
        <v>63</v>
      </c>
      <c r="J6543" s="80">
        <v>1237.0</v>
      </c>
      <c r="K6543" s="80">
        <v>0.921072226358898</v>
      </c>
      <c r="L6543" s="80" t="s">
        <v>64</v>
      </c>
    </row>
    <row r="6544">
      <c r="A6544" s="80" t="s">
        <v>1594</v>
      </c>
      <c r="B6544" s="81" t="str">
        <f>HYPERLINK("https://www.youtube.com/channel/UCUtm1awT2EO9D7uJ2OlMcTQ", "黐住這一家 Sticky Love Family")</f>
        <v>黐住這一家 Sticky Love Family</v>
      </c>
      <c r="C6544" s="80" t="s">
        <v>7069</v>
      </c>
      <c r="D6544" s="81" t="str">
        <f>HYPERLINK("https://youtube.com/watch?v=Dltp2Dib1t0", "【Sticky媽咪VLOG❤️】香港灣仔海濱長廊放電?! 半價踩鴨仔船🐤🚢➕維港飄逸電動車自駕遊🚗🏁～ 超多 Chocolate Rain 主題打卡位！🤳🌟")</f>
        <v>【Sticky媽咪VLOG❤️】香港灣仔海濱長廊放電?! 半價踩鴨仔船🐤🚢➕維港飄逸電動車自駕遊🚗🏁～ 超多 Chocolate Rain 主題打卡位！🤳🌟</v>
      </c>
      <c r="E6544" s="82">
        <v>45023.0</v>
      </c>
      <c r="F6544" s="80">
        <v>156.0</v>
      </c>
      <c r="G6544" s="80" t="s">
        <v>63</v>
      </c>
      <c r="I6544" s="80" t="s">
        <v>63</v>
      </c>
      <c r="J6544" s="80">
        <v>558.0</v>
      </c>
      <c r="K6544" s="80">
        <v>0.919275123558484</v>
      </c>
      <c r="L6544" s="80" t="s">
        <v>287</v>
      </c>
    </row>
    <row r="6545">
      <c r="A6545" s="80" t="s">
        <v>1373</v>
      </c>
      <c r="B6545" s="81" t="str">
        <f>HYPERLINK("https://www.youtube.com/channel/UCNsL7xLGZvocrljHcCJ71VA", "漏墨佬")</f>
        <v>漏墨佬</v>
      </c>
      <c r="C6545" s="80" t="s">
        <v>7070</v>
      </c>
      <c r="D6545" s="81" t="str">
        <f>HYPERLINK("https://youtube.com/watch?v=dXHNKIayQdA", "令你成為姜粉的四個原因!!姜濤有的定冇的? PS.有字幕")</f>
        <v>令你成為姜粉的四個原因!!姜濤有的定冇的? PS.有字幕</v>
      </c>
      <c r="E6545" s="82">
        <v>44961.0</v>
      </c>
      <c r="F6545" s="80">
        <v>377.0</v>
      </c>
      <c r="G6545" s="80" t="s">
        <v>63</v>
      </c>
      <c r="I6545" s="80" t="s">
        <v>63</v>
      </c>
      <c r="J6545" s="80">
        <v>1658.0</v>
      </c>
      <c r="K6545" s="80">
        <v>0.980484920165582</v>
      </c>
      <c r="L6545" s="80" t="s">
        <v>745</v>
      </c>
    </row>
    <row r="6546">
      <c r="A6546" s="80" t="s">
        <v>6063</v>
      </c>
      <c r="B6546" s="81" t="str">
        <f>HYPERLINK("https://www.youtube.com/channel/UCFhqo-h29TVyrRFcIIBwr7w", "Realistic records")</f>
        <v>Realistic records</v>
      </c>
      <c r="C6546" s="80" t="s">
        <v>7071</v>
      </c>
      <c r="D6546" s="81" t="str">
        <f>HYPERLINK("https://youtube.com/watch?v=LVWVxEBo_ys", "Drag.C - Hello Nice To Meet You")</f>
        <v>Drag.C - Hello Nice To Meet You</v>
      </c>
      <c r="E6546" s="82">
        <v>44966.0</v>
      </c>
      <c r="F6546" s="80">
        <v>209.0</v>
      </c>
      <c r="G6546" s="80" t="s">
        <v>63</v>
      </c>
      <c r="I6546" s="80" t="s">
        <v>63</v>
      </c>
      <c r="J6546" s="80">
        <v>525.0</v>
      </c>
      <c r="K6546" s="80">
        <v>0.380710659898477</v>
      </c>
      <c r="L6546" s="80" t="s">
        <v>64</v>
      </c>
    </row>
    <row r="6547">
      <c r="A6547" s="80" t="s">
        <v>217</v>
      </c>
      <c r="B6547" s="81" t="str">
        <f>HYPERLINK("https://www.youtube.com/channel/UCXKg0qPRz32bs5Z4mTGF3TQ", "Stormtrooper白兵")</f>
        <v>Stormtrooper白兵</v>
      </c>
      <c r="C6547" s="80" t="s">
        <v>7072</v>
      </c>
      <c r="D6547" s="81" t="str">
        <f>HYPERLINK("https://youtube.com/watch?v=PPok4FXwsAs", "[不是陰謀論]飯後果會致癌、痛風、高血壓？｜點解猩猩食得，你唔食得？果糖成魔之路｜最恐怖原來唔係水果！｜中文字幕")</f>
        <v>[不是陰謀論]飯後果會致癌、痛風、高血壓？｜點解猩猩食得，你唔食得？果糖成魔之路｜最恐怖原來唔係水果！｜中文字幕</v>
      </c>
      <c r="E6547" s="82">
        <v>45043.0</v>
      </c>
      <c r="F6547" s="80">
        <v>1147.0</v>
      </c>
      <c r="G6547" s="80" t="s">
        <v>63</v>
      </c>
      <c r="I6547" s="80" t="s">
        <v>63</v>
      </c>
      <c r="J6547" s="80">
        <v>4689.0</v>
      </c>
      <c r="K6547" s="80">
        <v>0.920675436874141</v>
      </c>
      <c r="L6547" s="80" t="s">
        <v>64</v>
      </c>
    </row>
    <row r="6548">
      <c r="A6548" s="80" t="s">
        <v>2829</v>
      </c>
      <c r="B6548" s="81" t="str">
        <f>HYPERLINK("https://www.youtube.com/channel/UC7GnES6AEQlDzaP04UqtyjA", "SOLID IDEA")</f>
        <v>SOLID IDEA</v>
      </c>
      <c r="C6548" s="80" t="s">
        <v>7073</v>
      </c>
      <c r="D6548" s="81" t="str">
        <f>HYPERLINK("https://youtube.com/watch?v=qIfUsD-JG3w", "間屋大可以有啲咩搞作？ 私人健身玻璃房！設計 • idea | ｜Solid Idea｜室內設計｜家居規劃｜星級設計｜［CC字幕］")</f>
        <v>間屋大可以有啲咩搞作？ 私人健身玻璃房！設計 • idea | ｜Solid Idea｜室內設計｜家居規劃｜星級設計｜［CC字幕］</v>
      </c>
      <c r="E6548" s="82">
        <v>44999.0</v>
      </c>
      <c r="F6548" s="80">
        <v>141.0</v>
      </c>
      <c r="G6548" s="80" t="s">
        <v>63</v>
      </c>
      <c r="I6548" s="80" t="s">
        <v>63</v>
      </c>
      <c r="J6548" s="80">
        <v>563.0</v>
      </c>
      <c r="K6548" s="80">
        <v>0.99822695035461</v>
      </c>
      <c r="L6548" s="80" t="s">
        <v>64</v>
      </c>
    </row>
    <row r="6549">
      <c r="A6549" s="80" t="s">
        <v>248</v>
      </c>
      <c r="B6549" s="81" t="str">
        <f>HYPERLINK("https://www.youtube.com/channel/UCUEJok-GiWaGlv5nIPwk-GQ", "Price.com.hk 香港格價網")</f>
        <v>Price.com.hk 香港格價網</v>
      </c>
      <c r="C6549" s="80" t="s">
        <v>7074</v>
      </c>
      <c r="D6549" s="81" t="str">
        <f>HYPERLINK("https://youtube.com/watch?v=mOit_2kjC5c", "呢兩種人最值得入手Nothing Ear(2)｜全面對比 Ear (1)、AirPods Pro 2｜音色、通話、佩戴感深入測試｜廣東話｜【Price.com.hk 產品評測】")</f>
        <v>呢兩種人最值得入手Nothing Ear(2)｜全面對比 Ear (1)、AirPods Pro 2｜音色、通話、佩戴感深入測試｜廣東話｜【Price.com.hk 產品評測】</v>
      </c>
      <c r="E6549" s="82">
        <v>45015.0</v>
      </c>
      <c r="F6549" s="80">
        <v>467.0</v>
      </c>
      <c r="G6549" s="80" t="s">
        <v>63</v>
      </c>
      <c r="I6549" s="80" t="s">
        <v>63</v>
      </c>
      <c r="J6549" s="80">
        <v>1589.0</v>
      </c>
      <c r="K6549" s="80">
        <v>0.781219272369714</v>
      </c>
      <c r="L6549" s="80" t="s">
        <v>64</v>
      </c>
    </row>
    <row r="6550">
      <c r="A6550" s="80" t="s">
        <v>6919</v>
      </c>
      <c r="B6550" s="81" t="str">
        <f>HYPERLINK("https://www.youtube.com/channel/UCF6M5AH_OALkimFGKdlWfCw", "采姐姐的故事王國 Lillian's Story Kingdom")</f>
        <v>采姐姐的故事王國 Lillian's Story Kingdom</v>
      </c>
      <c r="C6550" s="80" t="s">
        <v>7075</v>
      </c>
      <c r="D6550" s="81" t="str">
        <f>HYPERLINK("https://youtube.com/watch?v=iEyiSQpThPk", "【成語故事】此地無銀 | Here Is No Money, Trust Me | 越想掩飾事實，反而暴露了 - 粵語 (有字幕)")</f>
        <v>【成語故事】此地無銀 | Here Is No Money, Trust Me | 越想掩飾事實，反而暴露了 - 粵語 (有字幕)</v>
      </c>
      <c r="E6550" s="82">
        <v>44977.0</v>
      </c>
      <c r="F6550" s="80">
        <v>510.0</v>
      </c>
      <c r="G6550" s="80" t="s">
        <v>63</v>
      </c>
      <c r="I6550" s="80" t="s">
        <v>63</v>
      </c>
      <c r="J6550" s="80">
        <v>1276.0</v>
      </c>
      <c r="K6550" s="80">
        <v>0.987616099071207</v>
      </c>
      <c r="L6550" s="80" t="s">
        <v>64</v>
      </c>
    </row>
    <row r="6551">
      <c r="A6551" s="80" t="s">
        <v>248</v>
      </c>
      <c r="B6551" s="81" t="str">
        <f>HYPERLINK("https://www.youtube.com/channel/UCUEJok-GiWaGlv5nIPwk-GQ", "Price.com.hk 香港格價網")</f>
        <v>Price.com.hk 香港格價網</v>
      </c>
      <c r="C6551" s="80" t="s">
        <v>7076</v>
      </c>
      <c r="D6551" s="81" t="str">
        <f>HYPERLINK("https://youtube.com/watch?v=kRMDiQpapxU", "Sennheiser全新Soundbar AMBEO Plus開箱、Sony L系列電視出爐、Moto RIZR捲芒概念機5吋芒變6.5吋｜廣東話【Price Weekly #156 2023年3月】")</f>
        <v>Sennheiser全新Soundbar AMBEO Plus開箱、Sony L系列電視出爐、Moto RIZR捲芒概念機5吋芒變6.5吋｜廣東話【Price Weekly #156 2023年3月】</v>
      </c>
      <c r="E6551" s="82">
        <v>44989.0</v>
      </c>
      <c r="F6551" s="80">
        <v>560.0</v>
      </c>
      <c r="G6551" s="80" t="s">
        <v>63</v>
      </c>
      <c r="I6551" s="80" t="s">
        <v>63</v>
      </c>
      <c r="J6551" s="80">
        <v>2508.0</v>
      </c>
      <c r="K6551" s="80">
        <v>0.745098039215686</v>
      </c>
      <c r="L6551" s="80" t="s">
        <v>64</v>
      </c>
    </row>
    <row r="6552">
      <c r="A6552" s="80" t="s">
        <v>6591</v>
      </c>
      <c r="B6552" s="81" t="str">
        <f>HYPERLINK("https://www.youtube.com/channel/UC0DpBgpq_gR7TaNDIvJYZag", "TalkFood")</f>
        <v>TalkFood</v>
      </c>
      <c r="C6552" s="80" t="s">
        <v>7077</v>
      </c>
      <c r="D6552" s="81" t="str">
        <f>HYPERLINK("https://youtube.com/watch?v=3aNmRHFcVEI", "【18區搵食-九龍城偽泰國之旅x泰國雜貨鋪爆買唔知乜東東零食】呢排勁紅泰國雜貨店尋寶記｜零食串燒甜品咩都有｜2間泰國人推薦嘅口袋名單｜入泰國餐廳仲可以叫「泰國口味」？｜一秒返泰國｜連骨都食得嘅芒果魚")</f>
        <v>【18區搵食-九龍城偽泰國之旅x泰國雜貨鋪爆買唔知乜東東零食】呢排勁紅泰國雜貨店尋寶記｜零食串燒甜品咩都有｜2間泰國人推薦嘅口袋名單｜入泰國餐廳仲可以叫「泰國口味」？｜一秒返泰國｜連骨都食得嘅芒果魚</v>
      </c>
      <c r="E6552" s="82">
        <v>44980.0</v>
      </c>
      <c r="F6552" s="80">
        <v>1579.0</v>
      </c>
      <c r="G6552" s="80" t="s">
        <v>63</v>
      </c>
      <c r="I6552" s="80" t="s">
        <v>63</v>
      </c>
      <c r="J6552" s="80">
        <v>4743.0</v>
      </c>
      <c r="K6552" s="80">
        <v>0.98016119032858</v>
      </c>
      <c r="L6552" s="80" t="s">
        <v>91</v>
      </c>
    </row>
    <row r="6553">
      <c r="A6553" s="80" t="s">
        <v>248</v>
      </c>
      <c r="B6553" s="81" t="str">
        <f>HYPERLINK("https://www.youtube.com/channel/UCUEJok-GiWaGlv5nIPwk-GQ", "Price.com.hk 香港格價網")</f>
        <v>Price.com.hk 香港格價網</v>
      </c>
      <c r="C6553" s="80" t="s">
        <v>7078</v>
      </c>
      <c r="D6553" s="81" t="str">
        <f>HYPERLINK("https://youtube.com/watch?v=FuN2RGS42yw", "B&amp;W 旗艦真無線耳機續作 Pi7 S2 ｜上代不足逐項改？最實用的升級｜廣東話｜【Price.com.hk 產品評測】")</f>
        <v>B&amp;W 旗艦真無線耳機續作 Pi7 S2 ｜上代不足逐項改？最實用的升級｜廣東話｜【Price.com.hk 產品評測】</v>
      </c>
      <c r="E6553" s="82">
        <v>45041.0</v>
      </c>
      <c r="F6553" s="80">
        <v>561.0</v>
      </c>
      <c r="G6553" s="80" t="s">
        <v>63</v>
      </c>
      <c r="I6553" s="80" t="s">
        <v>63</v>
      </c>
      <c r="J6553" s="80">
        <v>1735.0</v>
      </c>
      <c r="K6553" s="80">
        <v>0.832134292565947</v>
      </c>
      <c r="L6553" s="80" t="s">
        <v>64</v>
      </c>
    </row>
    <row r="6554">
      <c r="A6554" s="80" t="s">
        <v>7079</v>
      </c>
      <c r="B6554" s="81" t="str">
        <f>HYPERLINK("https://www.youtube.com/channel/UCxuIEqky_1Y1jvkEPZ4j94g", "ERROR")</f>
        <v>ERROR</v>
      </c>
      <c r="C6554" s="80" t="s">
        <v>7080</v>
      </c>
      <c r="D6554" s="81" t="str">
        <f>HYPERLINK("https://youtube.com/watch?v=7S8JBPidvpU", "Fatboy 《Phat N Fresh》Official Music Video")</f>
        <v>Fatboy 《Phat N Fresh》Official Music Video</v>
      </c>
      <c r="E6554" s="82">
        <v>45047.0</v>
      </c>
      <c r="F6554" s="80">
        <v>210.0</v>
      </c>
      <c r="G6554" s="80" t="s">
        <v>63</v>
      </c>
      <c r="I6554" s="80" t="s">
        <v>63</v>
      </c>
      <c r="J6554" s="80">
        <v>294.0</v>
      </c>
      <c r="K6554" s="80">
        <v>0.354644149577804</v>
      </c>
      <c r="L6554" s="80" t="s">
        <v>64</v>
      </c>
    </row>
    <row r="6555">
      <c r="A6555" s="80" t="s">
        <v>217</v>
      </c>
      <c r="B6555" s="81" t="str">
        <f>HYPERLINK("https://www.youtube.com/channel/UCXKg0qPRz32bs5Z4mTGF3TQ", "Stormtrooper白兵")</f>
        <v>Stormtrooper白兵</v>
      </c>
      <c r="C6555" s="80" t="s">
        <v>7081</v>
      </c>
      <c r="D6555" s="81" t="str">
        <f>HYPERLINK("https://youtube.com/watch?v=8SVfHQCYxTo", "[不是陰謀論]胰島素原本唔洗錢！？｜糖尿病ii可以根治，重點原來係個肝？｜盡早發現，越易逆轉！｜粵語中字")</f>
        <v>[不是陰謀論]胰島素原本唔洗錢！？｜糖尿病ii可以根治，重點原來係個肝？｜盡早發現，越易逆轉！｜粵語中字</v>
      </c>
      <c r="E6555" s="82">
        <v>45001.0</v>
      </c>
      <c r="F6555" s="80">
        <v>797.0</v>
      </c>
      <c r="G6555" s="80" t="s">
        <v>63</v>
      </c>
      <c r="I6555" s="80" t="s">
        <v>63</v>
      </c>
      <c r="J6555" s="80">
        <v>3065.0</v>
      </c>
      <c r="K6555" s="80">
        <v>0.925702204771972</v>
      </c>
      <c r="L6555" s="80" t="s">
        <v>64</v>
      </c>
    </row>
    <row r="6556">
      <c r="A6556" s="80" t="s">
        <v>248</v>
      </c>
      <c r="B6556" s="81" t="str">
        <f>HYPERLINK("https://www.youtube.com/channel/UCUEJok-GiWaGlv5nIPwk-GQ", "Price.com.hk 香港格價網")</f>
        <v>Price.com.hk 香港格價網</v>
      </c>
      <c r="C6556" s="80" t="s">
        <v>7082</v>
      </c>
      <c r="D6556" s="81" t="str">
        <f>HYPERLINK("https://youtube.com/watch?v=bdGaE3b7YSs", "15 吋 Macbook Air已投產?! 全球最輕VR眼鏡面世、聯發科中階處理器 Dimensity 7200 預計今年首季推出｜廣東話【Price Weekly #154 2023年2月 】")</f>
        <v>15 吋 Macbook Air已投產?! 全球最輕VR眼鏡面世、聯發科中階處理器 Dimensity 7200 預計今年首季推出｜廣東話【Price Weekly #154 2023年2月 】</v>
      </c>
      <c r="E6556" s="82">
        <v>44975.0</v>
      </c>
      <c r="F6556" s="80">
        <v>422.0</v>
      </c>
      <c r="G6556" s="80" t="s">
        <v>63</v>
      </c>
      <c r="I6556" s="80" t="s">
        <v>63</v>
      </c>
      <c r="J6556" s="80">
        <v>1571.0</v>
      </c>
      <c r="K6556" s="80">
        <v>0.778107974244675</v>
      </c>
      <c r="L6556" s="80" t="s">
        <v>64</v>
      </c>
    </row>
    <row r="6557">
      <c r="A6557" s="80" t="s">
        <v>2800</v>
      </c>
      <c r="B6557" s="81" t="str">
        <f>HYPERLINK("https://www.youtube.com/channel/UCMqrlsr-AECPc6_3oDr8m9w", "Unicorn 獸哥")</f>
        <v>Unicorn 獸哥</v>
      </c>
      <c r="C6557" s="80" t="s">
        <v>7083</v>
      </c>
      <c r="D6557" s="81" t="str">
        <f>HYPERLINK("https://youtube.com/watch?v=rVzfm6NFZk0", "【game評】一隻表皮華麗 但毫無誠意的西game Dead Island 2")</f>
        <v>【game評】一隻表皮華麗 但毫無誠意的西game Dead Island 2</v>
      </c>
      <c r="E6557" s="82">
        <v>45047.0</v>
      </c>
      <c r="F6557" s="80">
        <v>617.0</v>
      </c>
      <c r="G6557" s="80" t="s">
        <v>63</v>
      </c>
      <c r="I6557" s="80" t="s">
        <v>63</v>
      </c>
      <c r="J6557" s="80">
        <v>2653.0</v>
      </c>
      <c r="K6557" s="80">
        <v>0.870692484410896</v>
      </c>
      <c r="L6557" s="80" t="s">
        <v>64</v>
      </c>
    </row>
    <row r="6558">
      <c r="A6558" s="80" t="s">
        <v>5134</v>
      </c>
      <c r="B6558" s="81" t="str">
        <f>HYPERLINK("https://www.youtube.com/channel/UCGq7xle9PrLHpmdxrk0IlLw", "磚加專家 Danny Ching Top10%地產局金牌經紀百萬圓桌")</f>
        <v>磚加專家 Danny Ching Top10%地產局金牌經紀百萬圓桌</v>
      </c>
      <c r="C6558" s="80" t="s">
        <v>7084</v>
      </c>
      <c r="D6558" s="81" t="str">
        <f>HYPERLINK("https://youtube.com/watch?v=HEHl291obxo", "【温哥華地產】唔使急最緊要快 放寬外國人買樓禁令 工簽183日有效期OK 即睇百餘萬海景屋 陽光燦爛""桃花城"" Tsawwassen Broadwalk by Aquilini 列治文12分鐘車程")</f>
        <v>【温哥華地產】唔使急最緊要快 放寬外國人買樓禁令 工簽183日有效期OK 即睇百餘萬海景屋 陽光燦爛"桃花城" Tsawwassen Broadwalk by Aquilini 列治文12分鐘車程</v>
      </c>
      <c r="E6558" s="82">
        <v>45015.0</v>
      </c>
      <c r="F6558" s="80">
        <v>1387.0</v>
      </c>
      <c r="G6558" s="80" t="s">
        <v>63</v>
      </c>
      <c r="I6558" s="80" t="s">
        <v>63</v>
      </c>
      <c r="J6558" s="80">
        <v>4688.0</v>
      </c>
      <c r="K6558" s="80">
        <v>0.684179801517805</v>
      </c>
      <c r="L6558" s="80" t="s">
        <v>102</v>
      </c>
    </row>
    <row r="6559">
      <c r="A6559" s="80" t="s">
        <v>124</v>
      </c>
      <c r="B6559" s="81" t="str">
        <f>HYPERLINK("https://www.youtube.com/channel/UCg0vuSE0fBF_NvodyYhMcWg", "Wallace Studio HK")</f>
        <v>Wallace Studio HK</v>
      </c>
      <c r="C6559" s="80" t="s">
        <v>7085</v>
      </c>
      <c r="D6559" s="81" t="str">
        <f>HYPERLINK("https://youtube.com/watch?v=8XOtplsOgvY", "Predator Helios 16 詳細評測，效能卓越！")</f>
        <v>Predator Helios 16 詳細評測，效能卓越！</v>
      </c>
      <c r="E6559" s="82">
        <v>45046.0</v>
      </c>
      <c r="F6559" s="80">
        <v>631.0</v>
      </c>
      <c r="G6559" s="80" t="s">
        <v>63</v>
      </c>
      <c r="H6559" s="80" t="s">
        <v>63</v>
      </c>
      <c r="I6559" s="80" t="s">
        <v>63</v>
      </c>
      <c r="J6559" s="80">
        <v>2268.0</v>
      </c>
      <c r="K6559" s="80">
        <v>0.717267552182163</v>
      </c>
      <c r="L6559" s="80" t="s">
        <v>4980</v>
      </c>
    </row>
    <row r="6560">
      <c r="A6560" s="80" t="s">
        <v>248</v>
      </c>
      <c r="B6560" s="81" t="str">
        <f>HYPERLINK("https://www.youtube.com/channel/UCUEJok-GiWaGlv5nIPwk-GQ", "Price.com.hk 香港格價網")</f>
        <v>Price.com.hk 香港格價網</v>
      </c>
      <c r="C6560" s="80" t="s">
        <v>7086</v>
      </c>
      <c r="D6560" s="81" t="str">
        <f>HYPERLINK("https://youtube.com/watch?v=yD5Z3lG3jWY", "40系電競Laptop邊個Spec最抵玩？4050 vs 4060 vs 4070｜規格・跑分・遊戲測試｜廣東話【Price.com.hk 產品評測】")</f>
        <v>40系電競Laptop邊個Spec最抵玩？4050 vs 4060 vs 4070｜規格・跑分・遊戲測試｜廣東話【Price.com.hk 產品評測】</v>
      </c>
      <c r="E6560" s="82">
        <v>45022.0</v>
      </c>
      <c r="F6560" s="80">
        <v>333.0</v>
      </c>
      <c r="G6560" s="80" t="s">
        <v>63</v>
      </c>
      <c r="I6560" s="80" t="s">
        <v>63</v>
      </c>
      <c r="J6560" s="80">
        <v>1158.0</v>
      </c>
      <c r="K6560" s="80">
        <v>0.774064171122994</v>
      </c>
      <c r="L6560" s="80" t="s">
        <v>64</v>
      </c>
    </row>
    <row r="6561">
      <c r="A6561" s="80" t="s">
        <v>260</v>
      </c>
      <c r="B6561" s="81" t="str">
        <f>HYPERLINK("https://www.youtube.com/channel/UC-HXOikkLx7BGEfILGIpYOg", "港短 . 英移")</f>
        <v>港短 . 英移</v>
      </c>
      <c r="C6561" s="80" t="s">
        <v>7087</v>
      </c>
      <c r="D6561" s="81" t="str">
        <f>HYPERLINK("https://youtube.com/watch?v=LQxLjUkStgk", "英國大學夢境研究- 為何經常夢見自己高空墮下| 港短.英移")</f>
        <v>英國大學夢境研究- 為何經常夢見自己高空墮下| 港短.英移</v>
      </c>
      <c r="E6561" s="82">
        <v>44995.0</v>
      </c>
      <c r="F6561" s="80">
        <v>521.0</v>
      </c>
      <c r="G6561" s="80" t="s">
        <v>63</v>
      </c>
      <c r="I6561" s="80" t="s">
        <v>63</v>
      </c>
      <c r="J6561" s="80">
        <v>2337.0</v>
      </c>
      <c r="K6561" s="80">
        <v>0.97741530740276</v>
      </c>
      <c r="L6561" s="80" t="s">
        <v>102</v>
      </c>
    </row>
    <row r="6562">
      <c r="A6562" s="80" t="s">
        <v>5134</v>
      </c>
      <c r="B6562" s="81" t="str">
        <f>HYPERLINK("https://www.youtube.com/channel/UCGq7xle9PrLHpmdxrk0IlLw", "磚加專家 Danny Ching Top10%地產局金牌經紀百萬圓桌")</f>
        <v>磚加專家 Danny Ching Top10%地產局金牌經紀百萬圓桌</v>
      </c>
      <c r="C6562" s="80" t="s">
        <v>7088</v>
      </c>
      <c r="D6562" s="81" t="str">
        <f>HYPERLINK("https://youtube.com/watch?v=ZC3_dIcxSsI", "【磗加分析】 第2 集 「加息到樓市影響」加國央行經過8次瘋狂加息 後遺症及對樓市影響 深入了解 淺出分析 展望未來息口方向 ￼3￼月8￼號沒再加，是否經濟有問題？ 今集內容會講到 敬請留意")</f>
        <v>【磗加分析】 第2 集 「加息到樓市影響」加國央行經過8次瘋狂加息 後遺症及對樓市影響 深入了解 淺出分析 展望未來息口方向 ￼3￼月8￼號沒再加，是否經濟有問題？ 今集內容會講到 敬請留意</v>
      </c>
      <c r="E6562" s="82">
        <v>45004.0</v>
      </c>
      <c r="F6562" s="80">
        <v>668.0</v>
      </c>
      <c r="G6562" s="80" t="s">
        <v>63</v>
      </c>
      <c r="I6562" s="80" t="s">
        <v>63</v>
      </c>
      <c r="J6562" s="80">
        <v>2727.0</v>
      </c>
      <c r="K6562" s="80">
        <v>0.865439543002221</v>
      </c>
      <c r="L6562" s="80" t="s">
        <v>102</v>
      </c>
    </row>
    <row r="6563">
      <c r="A6563" s="80" t="s">
        <v>6919</v>
      </c>
      <c r="B6563" s="81" t="str">
        <f>HYPERLINK("https://www.youtube.com/channel/UCF6M5AH_OALkimFGKdlWfCw", "采姐姐的故事王國 Lillian's Story Kingdom")</f>
        <v>采姐姐的故事王國 Lillian's Story Kingdom</v>
      </c>
      <c r="C6563" s="80" t="s">
        <v>7089</v>
      </c>
      <c r="D6563" s="81" t="str">
        <f>HYPERLINK("https://youtube.com/watch?v=lbmu8Hjko5s", "【偽動畫故事】幸福小兔 | Family | 幸福的定義 - 粵語 (有字幕)")</f>
        <v>【偽動畫故事】幸福小兔 | Family | 幸福的定義 - 粵語 (有字幕)</v>
      </c>
      <c r="E6563" s="82">
        <v>45025.0</v>
      </c>
      <c r="F6563" s="80">
        <v>648.0</v>
      </c>
      <c r="G6563" s="80" t="s">
        <v>63</v>
      </c>
      <c r="I6563" s="80" t="s">
        <v>63</v>
      </c>
      <c r="J6563" s="80">
        <v>1841.0</v>
      </c>
      <c r="K6563" s="80">
        <v>0.988721804511278</v>
      </c>
      <c r="L6563" s="80" t="s">
        <v>64</v>
      </c>
    </row>
    <row r="6564">
      <c r="A6564" s="80" t="s">
        <v>6892</v>
      </c>
      <c r="B6564" s="81" t="str">
        <f>HYPERLINK("https://www.youtube.com/channel/UC8_hxeY0nDCL-8ETbcGUZ9g", "PT食為先")</f>
        <v>PT食為先</v>
      </c>
      <c r="C6564" s="80" t="s">
        <v>7090</v>
      </c>
      <c r="D6564" s="81" t="str">
        <f>HYPERLINK("https://youtube.com/watch?v=oJ4FqHwqZ2A", "[PT自費實測] 摩登日式串燒店！雞心雞肝雞甲狀腺都有得食🐤仲要威到攞米芝蓮一星？")</f>
        <v>[PT自費實測] 摩登日式串燒店！雞心雞肝雞甲狀腺都有得食🐤仲要威到攞米芝蓮一星？</v>
      </c>
      <c r="E6564" s="82">
        <v>44993.0</v>
      </c>
      <c r="F6564" s="80">
        <v>855.0</v>
      </c>
      <c r="G6564" s="80" t="s">
        <v>63</v>
      </c>
      <c r="I6564" s="80" t="s">
        <v>63</v>
      </c>
      <c r="J6564" s="80">
        <v>1893.0</v>
      </c>
      <c r="K6564" s="80">
        <v>0.909221902017291</v>
      </c>
      <c r="L6564" s="80" t="s">
        <v>64</v>
      </c>
    </row>
    <row r="6565">
      <c r="A6565" s="80" t="s">
        <v>217</v>
      </c>
      <c r="B6565" s="81" t="str">
        <f>HYPERLINK("https://www.youtube.com/channel/UCXKg0qPRz32bs5Z4mTGF3TQ", "Stormtrooper白兵")</f>
        <v>Stormtrooper白兵</v>
      </c>
      <c r="C6565" s="80" t="s">
        <v>7091</v>
      </c>
      <c r="D6565" s="81" t="str">
        <f>HYPERLINK("https://youtube.com/watch?v=fHffMg9026k", "[不是陰謀論]工業生產後，牛奶已喪失營養兼致癌？｜教你簡單補鈣方法｜全球狂熱全因大量科學造假、收買政府！｜粵語中字")</f>
        <v>[不是陰謀論]工業生產後，牛奶已喪失營養兼致癌？｜教你簡單補鈣方法｜全球狂熱全因大量科學造假、收買政府！｜粵語中字</v>
      </c>
      <c r="E6565" s="82">
        <v>44980.0</v>
      </c>
      <c r="F6565" s="80">
        <v>924.0</v>
      </c>
      <c r="G6565" s="80" t="s">
        <v>63</v>
      </c>
      <c r="I6565" s="80" t="s">
        <v>63</v>
      </c>
      <c r="J6565" s="80">
        <v>3935.0</v>
      </c>
      <c r="K6565" s="80">
        <v>0.959054350475262</v>
      </c>
      <c r="L6565" s="80" t="s">
        <v>64</v>
      </c>
    </row>
    <row r="6566">
      <c r="A6566" s="80" t="s">
        <v>1606</v>
      </c>
      <c r="B6566" s="81" t="str">
        <f>HYPERLINK("https://www.youtube.com/channel/UCk25FUc8pLiP3A6Zniknxbg", "希治閣【遊戲情報科】")</f>
        <v>希治閣【遊戲情報科】</v>
      </c>
      <c r="C6566" s="80" t="s">
        <v>7092</v>
      </c>
      <c r="D6566" s="81" t="str">
        <f>HYPERLINK("https://youtube.com/watch?v=mdfObVYQ4V0", "【講經】 ８年慢評！ Review 情報科！")</f>
        <v>【講經】 ８年慢評！ Review 情報科！</v>
      </c>
      <c r="E6566" s="82">
        <v>45045.0</v>
      </c>
      <c r="F6566" s="80">
        <v>577.0</v>
      </c>
      <c r="G6566" s="80" t="s">
        <v>63</v>
      </c>
      <c r="I6566" s="80" t="s">
        <v>63</v>
      </c>
      <c r="J6566" s="80">
        <v>2228.0</v>
      </c>
      <c r="K6566" s="80">
        <v>0.877856579984239</v>
      </c>
      <c r="L6566" s="80" t="s">
        <v>64</v>
      </c>
    </row>
    <row r="6567">
      <c r="A6567" s="80" t="s">
        <v>1594</v>
      </c>
      <c r="B6567" s="81" t="str">
        <f>HYPERLINK("https://www.youtube.com/channel/UCUtm1awT2EO9D7uJ2OlMcTQ", "黐住這一家 Sticky Love Family")</f>
        <v>黐住這一家 Sticky Love Family</v>
      </c>
      <c r="C6567" s="80" t="s">
        <v>7093</v>
      </c>
      <c r="D6567" s="81" t="str">
        <f>HYPERLINK("https://youtube.com/watch?v=Aeti-ZzGi2I", "【靜心時間☁️】㊙️鎮定育兒的秘密🧡：5分鐘學會腹式呼吸！💛 從混亂到平靜，掌握腹式呼吸，輕鬆緩解壓力！")</f>
        <v>【靜心時間☁️】㊙️鎮定育兒的秘密🧡：5分鐘學會腹式呼吸！💛 從混亂到平靜，掌握腹式呼吸，輕鬆緩解壓力！</v>
      </c>
      <c r="E6567" s="82">
        <v>45047.0</v>
      </c>
      <c r="F6567" s="80">
        <v>289.0</v>
      </c>
      <c r="G6567" s="80" t="s">
        <v>63</v>
      </c>
      <c r="H6567" s="80" t="s">
        <v>63</v>
      </c>
      <c r="I6567" s="80" t="s">
        <v>63</v>
      </c>
      <c r="J6567" s="80">
        <v>721.0</v>
      </c>
      <c r="K6567" s="80">
        <v>1.0</v>
      </c>
      <c r="L6567" s="80" t="s">
        <v>1596</v>
      </c>
    </row>
    <row r="6568">
      <c r="A6568" s="80" t="s">
        <v>755</v>
      </c>
      <c r="B6568" s="81" t="str">
        <f>HYPERLINK("https://www.youtube.com/channel/UCBiJDTc82IM68KVH873VeAw", "Live in Kwangsi廣西人·情·味")</f>
        <v>Live in Kwangsi廣西人·情·味</v>
      </c>
      <c r="C6568" s="80" t="s">
        <v>7094</v>
      </c>
      <c r="D6568" s="81" t="str">
        <f>HYPERLINK("https://youtube.com/watch?v=bLiCVdPatMQ", "喺肇慶市中心行街，由宋城牆行路至牌坊廣場 ｜廣東日常實拍 20230311")</f>
        <v>喺肇慶市中心行街，由宋城牆行路至牌坊廣場 ｜廣東日常實拍 20230311</v>
      </c>
      <c r="E6568" s="82">
        <v>44997.0</v>
      </c>
      <c r="F6568" s="80">
        <v>1320.0</v>
      </c>
      <c r="G6568" s="80" t="s">
        <v>63</v>
      </c>
      <c r="I6568" s="80" t="s">
        <v>63</v>
      </c>
      <c r="J6568" s="80">
        <v>41.0</v>
      </c>
      <c r="K6568" s="80">
        <v>1.0</v>
      </c>
      <c r="L6568" s="80" t="s">
        <v>757</v>
      </c>
    </row>
    <row r="6569">
      <c r="A6569" s="80" t="s">
        <v>248</v>
      </c>
      <c r="B6569" s="81" t="str">
        <f>HYPERLINK("https://www.youtube.com/channel/UCUEJok-GiWaGlv5nIPwk-GQ", "Price.com.hk 香港格價網")</f>
        <v>Price.com.hk 香港格價網</v>
      </c>
      <c r="C6569" s="80" t="s">
        <v>7095</v>
      </c>
      <c r="D6569" s="81" t="str">
        <f>HYPERLINK("https://youtube.com/watch?v=8rXHrvqqLX8", "飛利浦 RO 純淨飲水機 三秒即熱 輕鬆享用純淨水！｜Philips｜ADD6901｜特約專題｜廣東話【Price.com.hk 產品介紹】")</f>
        <v>飛利浦 RO 純淨飲水機 三秒即熱 輕鬆享用純淨水！｜Philips｜ADD6901｜特約專題｜廣東話【Price.com.hk 產品介紹】</v>
      </c>
      <c r="E6569" s="82">
        <v>45029.0</v>
      </c>
      <c r="F6569" s="80">
        <v>238.0</v>
      </c>
      <c r="G6569" s="80" t="s">
        <v>63</v>
      </c>
      <c r="I6569" s="80" t="s">
        <v>63</v>
      </c>
      <c r="J6569" s="80">
        <v>821.0</v>
      </c>
      <c r="K6569" s="80">
        <v>0.850777202072538</v>
      </c>
      <c r="L6569" s="80" t="s">
        <v>64</v>
      </c>
    </row>
    <row r="6570">
      <c r="A6570" s="80" t="s">
        <v>5134</v>
      </c>
      <c r="B6570" s="81" t="str">
        <f>HYPERLINK("https://www.youtube.com/channel/UCGq7xle9PrLHpmdxrk0IlLw", "磚加專家 Danny Ching Top10%地產局金牌經紀百萬圓桌")</f>
        <v>磚加專家 Danny Ching Top10%地產局金牌經紀百萬圓桌</v>
      </c>
      <c r="C6570" s="80" t="s">
        <v>7096</v>
      </c>
      <c r="D6570" s="81" t="str">
        <f>HYPERLINK("https://youtube.com/watch?v=JssQX1ZXja4", "【温哥華er(香港)地產】 示範單位 會所詳細介紹 NOVOLAND by 新鴻基地產 屯門 睇人賣樓係點 中原地產 美聯地產 冇人請我 屯馬線出九龍 學吓YouTube King 胡說樓市 無聊出片")</f>
        <v>【温哥華er(香港)地產】 示範單位 會所詳細介紹 NOVOLAND by 新鴻基地產 屯門 睇人賣樓係點 中原地產 美聯地產 冇人請我 屯馬線出九龍 學吓YouTube King 胡說樓市 無聊出片</v>
      </c>
      <c r="E6570" s="82">
        <v>45024.0</v>
      </c>
      <c r="F6570" s="80">
        <v>1027.0</v>
      </c>
      <c r="G6570" s="80" t="s">
        <v>63</v>
      </c>
      <c r="I6570" s="80" t="s">
        <v>63</v>
      </c>
      <c r="J6570" s="80">
        <v>3713.0</v>
      </c>
      <c r="K6570" s="80">
        <v>0.857902033271719</v>
      </c>
      <c r="L6570" s="80" t="s">
        <v>102</v>
      </c>
    </row>
    <row r="6571">
      <c r="A6571" s="80" t="s">
        <v>6591</v>
      </c>
      <c r="B6571" s="81" t="str">
        <f>HYPERLINK("https://www.youtube.com/channel/UC0DpBgpq_gR7TaNDIvJYZag", "TalkFood")</f>
        <v>TalkFood</v>
      </c>
      <c r="C6571" s="80" t="s">
        <v>7097</v>
      </c>
      <c r="D6571" s="81" t="str">
        <f>HYPERLINK("https://youtube.com/watch?v=D7evsgn7zjY", "#TalkFood【#18區搵食—上水是個好地方！媲美澳牛光速鮮牛肉通+全港最好味冰柱紅豆冰＋關注組力推好好味流心班尼迪蛋】老字號廣成冰室｜必食名物紅豆冰｜仲有蛋香十足厚蛋治")</f>
        <v>#TalkFood【#18區搵食—上水是個好地方！媲美澳牛光速鮮牛肉通+全港最好味冰柱紅豆冰＋關注組力推好好味流心班尼迪蛋】老字號廣成冰室｜必食名物紅豆冰｜仲有蛋香十足厚蛋治</v>
      </c>
      <c r="E6571" s="82">
        <v>45057.0</v>
      </c>
      <c r="F6571" s="80">
        <v>1450.0</v>
      </c>
      <c r="G6571" s="80" t="s">
        <v>63</v>
      </c>
      <c r="I6571" s="80" t="s">
        <v>63</v>
      </c>
      <c r="J6571" s="80">
        <v>3873.0</v>
      </c>
      <c r="K6571" s="80">
        <v>0.959138187221396</v>
      </c>
      <c r="L6571" s="80" t="s">
        <v>91</v>
      </c>
    </row>
    <row r="6572">
      <c r="A6572" s="80" t="s">
        <v>217</v>
      </c>
      <c r="B6572" s="81" t="str">
        <f>HYPERLINK("https://www.youtube.com/channel/UCXKg0qPRz32bs5Z4mTGF3TQ", "Stormtrooper白兵")</f>
        <v>Stormtrooper白兵</v>
      </c>
      <c r="C6572" s="80" t="s">
        <v>7098</v>
      </c>
      <c r="D6572" s="81" t="str">
        <f>HYPERLINK("https://youtube.com/watch?v=wvU07H9yYw4", "[不是陰謀論]千年古老減重祕訣－斷食｜完全不同節食，能輕鬆減肥、逆齡、排毒、醫病、提升心智及靈性修煉｜中文字幕")</f>
        <v>[不是陰謀論]千年古老減重祕訣－斷食｜完全不同節食，能輕鬆減肥、逆齡、排毒、醫病、提升心智及靈性修煉｜中文字幕</v>
      </c>
      <c r="E6572" s="82">
        <v>45057.0</v>
      </c>
      <c r="F6572" s="80">
        <v>966.0</v>
      </c>
      <c r="G6572" s="80" t="s">
        <v>63</v>
      </c>
      <c r="I6572" s="80" t="s">
        <v>63</v>
      </c>
      <c r="J6572" s="80">
        <v>3650.0</v>
      </c>
      <c r="K6572" s="80">
        <v>0.943640124095139</v>
      </c>
      <c r="L6572" s="80" t="s">
        <v>64</v>
      </c>
    </row>
    <row r="6573">
      <c r="A6573" s="80" t="s">
        <v>7099</v>
      </c>
      <c r="B6573" s="81" t="str">
        <f t="shared" ref="B6573:B6574" si="378">HYPERLINK("https://www.youtube.com/channel/UCBwfrMS785JyWDUBRhOQkjw", "Karenly :")</f>
        <v>Karenly :</v>
      </c>
      <c r="C6573" s="80" t="s">
        <v>7100</v>
      </c>
      <c r="D6573" s="81" t="str">
        <f>HYPERLINK("https://youtube.com/watch?v=OGdwlzU7qzI", "2022年12月31日Karen給大家的信：")</f>
        <v>2022年12月31日Karen給大家的信：</v>
      </c>
      <c r="E6573" s="82">
        <v>44926.0</v>
      </c>
      <c r="F6573" s="80">
        <v>30.0</v>
      </c>
      <c r="G6573" s="80" t="s">
        <v>63</v>
      </c>
      <c r="I6573" s="80" t="s">
        <v>63</v>
      </c>
      <c r="J6573" s="80">
        <v>62.0</v>
      </c>
      <c r="K6573" s="80">
        <v>0.639175257731958</v>
      </c>
      <c r="L6573" s="80" t="s">
        <v>91</v>
      </c>
    </row>
    <row r="6574">
      <c r="A6574" s="80" t="s">
        <v>7099</v>
      </c>
      <c r="B6574" s="81" t="str">
        <f t="shared" si="378"/>
        <v>Karenly :</v>
      </c>
      <c r="C6574" s="80" t="s">
        <v>7101</v>
      </c>
      <c r="D6574" s="81" t="str">
        <f>HYPERLINK("https://youtube.com/watch?v=GNJMmXubqUw", "$89 vs $1,199 行動電源！憑咩賣貴13倍？尿袋點揀好？｜繁中字幕｜Karenly:｜廣東話【平貴對決】")</f>
        <v>$89 vs $1,199 行動電源！憑咩賣貴13倍？尿袋點揀好？｜繁中字幕｜Karenly:｜廣東話【平貴對決】</v>
      </c>
      <c r="E6574" s="82">
        <v>45028.0</v>
      </c>
      <c r="F6574" s="80">
        <v>461.0</v>
      </c>
      <c r="G6574" s="80" t="s">
        <v>63</v>
      </c>
      <c r="I6574" s="80" t="s">
        <v>63</v>
      </c>
      <c r="J6574" s="80">
        <v>1931.0</v>
      </c>
      <c r="K6574" s="80">
        <v>0.864755933721451</v>
      </c>
      <c r="L6574" s="80" t="s">
        <v>64</v>
      </c>
    </row>
    <row r="6575">
      <c r="A6575" s="80" t="s">
        <v>5868</v>
      </c>
      <c r="B6575" s="81" t="str">
        <f>HYPERLINK("https://www.youtube.com/channel/UCVvdX8wGBmCM9KerhiVu_Ig", "McFatty 麥花田")</f>
        <v>McFatty 麥花田</v>
      </c>
      <c r="C6575" s="80" t="s">
        <v>7102</v>
      </c>
      <c r="D6575" s="81" t="str">
        <f>HYPERLINK("https://youtube.com/watch?v=bt9d1Hxd4TQ", "減醣電飯煲係陷阱? 附廣東話字幕 Ep155")</f>
        <v>減醣電飯煲係陷阱? 附廣東話字幕 Ep155</v>
      </c>
      <c r="E6575" s="82">
        <v>45067.0</v>
      </c>
      <c r="F6575" s="80">
        <v>686.0</v>
      </c>
      <c r="G6575" s="80" t="s">
        <v>63</v>
      </c>
      <c r="I6575" s="80" t="s">
        <v>63</v>
      </c>
      <c r="J6575" s="80">
        <v>2389.0</v>
      </c>
      <c r="K6575" s="80">
        <v>0.960981496379726</v>
      </c>
      <c r="L6575" s="80" t="s">
        <v>102</v>
      </c>
    </row>
    <row r="6576">
      <c r="A6576" s="80" t="s">
        <v>217</v>
      </c>
      <c r="B6576" s="81" t="str">
        <f>HYPERLINK("https://www.youtube.com/channel/UCXKg0qPRz32bs5Z4mTGF3TQ", "Stormtrooper白兵")</f>
        <v>Stormtrooper白兵</v>
      </c>
      <c r="C6576" s="80" t="s">
        <v>7103</v>
      </c>
      <c r="D6576" s="81" t="str">
        <f>HYPERLINK("https://youtube.com/watch?v=pWBUSNBjH0s", "[不是陰謀論]一招生髮，禿頭原來係因為__ __?｜女人都會雄禿？｜生髮藥問題｜植髮有冇用？｜中文字幕")</f>
        <v>[不是陰謀論]一招生髮，禿頭原來係因為__ __?｜女人都會雄禿？｜生髮藥問題｜植髮有冇用？｜中文字幕</v>
      </c>
      <c r="E6576" s="82">
        <v>45064.0</v>
      </c>
      <c r="F6576" s="80">
        <v>888.0</v>
      </c>
      <c r="G6576" s="80" t="s">
        <v>63</v>
      </c>
      <c r="I6576" s="80" t="s">
        <v>63</v>
      </c>
      <c r="J6576" s="80">
        <v>3360.0</v>
      </c>
      <c r="K6576" s="80">
        <v>0.914036996735582</v>
      </c>
      <c r="L6576" s="80" t="s">
        <v>64</v>
      </c>
    </row>
    <row r="6577">
      <c r="A6577" s="80" t="s">
        <v>248</v>
      </c>
      <c r="B6577" s="81" t="str">
        <f>HYPERLINK("https://www.youtube.com/channel/UCUEJok-GiWaGlv5nIPwk-GQ", "Price.com.hk 香港格價網")</f>
        <v>Price.com.hk 香港格價網</v>
      </c>
      <c r="C6577" s="80" t="s">
        <v>7104</v>
      </c>
      <c r="D6577" s="81" t="str">
        <f>HYPERLINK("https://youtube.com/watch?v=jqZumP-ImQk", "iPhone15詳細規格曝光｜NVIDIA發佈RTX 4060Ti｜SONY平價Soundbar｜GARMIN Instinct2X Solar太陽能充電｜廣東話【Price Weekly#167 】")</f>
        <v>iPhone15詳細規格曝光｜NVIDIA發佈RTX 4060Ti｜SONY平價Soundbar｜GARMIN Instinct2X Solar太陽能充電｜廣東話【Price Weekly#167 】</v>
      </c>
      <c r="E6577" s="82">
        <v>45066.0</v>
      </c>
      <c r="F6577" s="80">
        <v>452.0</v>
      </c>
      <c r="G6577" s="80" t="s">
        <v>63</v>
      </c>
      <c r="I6577" s="80" t="s">
        <v>63</v>
      </c>
      <c r="J6577" s="80">
        <v>1479.0</v>
      </c>
      <c r="K6577" s="80">
        <v>0.689832089552238</v>
      </c>
      <c r="L6577" s="80" t="s">
        <v>64</v>
      </c>
    </row>
    <row r="6578">
      <c r="A6578" s="80" t="s">
        <v>1260</v>
      </c>
      <c r="B6578" s="81" t="str">
        <f>HYPERLINK("https://www.youtube.com/channel/UCh1k4i86BpiXEO3nzJIYynw", "The Wave")</f>
        <v>The Wave</v>
      </c>
      <c r="C6578" s="80" t="s">
        <v>7105</v>
      </c>
      <c r="D6578" s="81" t="str">
        <f>HYPERLINK("https://youtube.com/watch?v=R9DaEdSBBjk", "TheWave | Xperia 1 V 正式發佈")</f>
        <v>TheWave | Xperia 1 V 正式發佈</v>
      </c>
      <c r="E6578" s="82">
        <v>45057.0</v>
      </c>
      <c r="F6578" s="80">
        <v>146.0</v>
      </c>
      <c r="G6578" s="80" t="s">
        <v>63</v>
      </c>
      <c r="H6578" s="80" t="s">
        <v>63</v>
      </c>
      <c r="I6578" s="80" t="s">
        <v>63</v>
      </c>
      <c r="J6578" s="80">
        <v>308.0</v>
      </c>
      <c r="K6578" s="80">
        <v>0.682926829268292</v>
      </c>
      <c r="L6578" s="80" t="s">
        <v>1634</v>
      </c>
    </row>
    <row r="6579">
      <c r="A6579" s="80" t="s">
        <v>248</v>
      </c>
      <c r="B6579" s="81" t="str">
        <f>HYPERLINK("https://www.youtube.com/channel/UCUEJok-GiWaGlv5nIPwk-GQ", "Price.com.hk 香港格價網")</f>
        <v>Price.com.hk 香港格價網</v>
      </c>
      <c r="C6579" s="80" t="s">
        <v>7106</v>
      </c>
      <c r="D6579" s="81" t="str">
        <f>HYPERLINK("https://youtube.com/watch?v=N5eutZ8MyWY", "Google I/O 2023懶人包｜iPhone 15外觀徹底流出｜Canon推Vlogger新相機｜聯發科發表天璣9200+｜廣東話【Price Weekly # 166】")</f>
        <v>Google I/O 2023懶人包｜iPhone 15外觀徹底流出｜Canon推Vlogger新相機｜聯發科發表天璣9200+｜廣東話【Price Weekly # 166】</v>
      </c>
      <c r="E6579" s="82">
        <v>45059.0</v>
      </c>
      <c r="F6579" s="80">
        <v>580.0</v>
      </c>
      <c r="G6579" s="80" t="s">
        <v>63</v>
      </c>
      <c r="I6579" s="80" t="s">
        <v>63</v>
      </c>
      <c r="J6579" s="80">
        <v>3173.0</v>
      </c>
      <c r="K6579" s="80">
        <v>0.675393784589186</v>
      </c>
      <c r="L6579" s="80" t="s">
        <v>64</v>
      </c>
    </row>
    <row r="6580">
      <c r="A6580" s="80" t="s">
        <v>6892</v>
      </c>
      <c r="B6580" s="81" t="str">
        <f>HYPERLINK("https://www.youtube.com/channel/UC8_hxeY0nDCL-8ETbcGUZ9g", "PT食為先")</f>
        <v>PT食為先</v>
      </c>
      <c r="C6580" s="80" t="s">
        <v>7107</v>
      </c>
      <c r="D6580" s="81" t="str">
        <f>HYPERLINK("https://youtube.com/watch?v=CrFBBePMbyc", "[PT自費食評] 一次試勻2間天婦羅飯🍤本土天丼小店 必食流心蛋 性價比爆燈｜過江龍價格親民 竟然有刺身級帆立貝？")</f>
        <v>[PT自費食評] 一次試勻2間天婦羅飯🍤本土天丼小店 必食流心蛋 性價比爆燈｜過江龍價格親民 竟然有刺身級帆立貝？</v>
      </c>
      <c r="E6580" s="82">
        <v>45057.0</v>
      </c>
      <c r="F6580" s="80">
        <v>494.0</v>
      </c>
      <c r="G6580" s="80" t="s">
        <v>63</v>
      </c>
      <c r="I6580" s="80" t="s">
        <v>63</v>
      </c>
      <c r="J6580" s="80">
        <v>1166.0</v>
      </c>
      <c r="K6580" s="80">
        <v>0.94184168012924</v>
      </c>
      <c r="L6580" s="80" t="s">
        <v>64</v>
      </c>
    </row>
    <row r="6581">
      <c r="A6581" s="80" t="s">
        <v>414</v>
      </c>
      <c r="B6581" s="81" t="str">
        <f>HYPERLINK("https://www.youtube.com/channel/UCCVn38j5xSJZN-II-TeyomA", "Uncle Calvin Cantonese Class")</f>
        <v>Uncle Calvin Cantonese Class</v>
      </c>
      <c r="C6581" s="80" t="s">
        <v>7108</v>
      </c>
      <c r="D6581" s="81" t="str">
        <f>HYPERLINK("https://youtube.com/watch?v=EKYmMIomVXs", "【遊樂香港機場】KIDs facilities in the HKIA I 幼童廣東話遊學團 Kids Cantonese Tour I 廣東話教室 I  字幕")</f>
        <v>【遊樂香港機場】KIDs facilities in the HKIA I 幼童廣東話遊學團 Kids Cantonese Tour I 廣東話教室 I  字幕</v>
      </c>
      <c r="E6581" s="82">
        <v>45063.0</v>
      </c>
      <c r="F6581" s="80">
        <v>512.0</v>
      </c>
      <c r="G6581" s="80" t="s">
        <v>63</v>
      </c>
      <c r="H6581" s="80" t="s">
        <v>63</v>
      </c>
      <c r="I6581" s="80" t="s">
        <v>63</v>
      </c>
      <c r="J6581" s="80">
        <v>1169.0</v>
      </c>
      <c r="K6581" s="80">
        <v>0.923939151321056</v>
      </c>
      <c r="L6581" s="80" t="s">
        <v>240</v>
      </c>
    </row>
    <row r="6582">
      <c r="A6582" s="80" t="s">
        <v>2766</v>
      </c>
      <c r="B6582" s="81" t="str">
        <f>HYPERLINK("https://www.youtube.com/channel/UCrZG5sGryxwgSDQSlHgmZTw", "GadgetGang HK")</f>
        <v>GadgetGang HK</v>
      </c>
      <c r="C6582" s="80" t="s">
        <v>7109</v>
      </c>
      <c r="D6582" s="81" t="str">
        <f>HYPERLINK("https://youtube.com/watch?v=1147vU-rC64", "科技新G〡Gmail 大清洗帳戶！〡Samsung 7.26 發佈新摺機 + 旗艦平板〡ChatGPT 官方App推出〡Beats Studio Buds+ 透明現身〡Nikon Z8 上手實試")</f>
        <v>科技新G〡Gmail 大清洗帳戶！〡Samsung 7.26 發佈新摺機 + 旗艦平板〡ChatGPT 官方App推出〡Beats Studio Buds+ 透明現身〡Nikon Z8 上手實試</v>
      </c>
      <c r="E6582" s="82">
        <v>45067.0</v>
      </c>
      <c r="F6582" s="80">
        <v>611.0</v>
      </c>
      <c r="G6582" s="80" t="s">
        <v>63</v>
      </c>
      <c r="I6582" s="80" t="s">
        <v>63</v>
      </c>
      <c r="J6582" s="80">
        <v>2087.0</v>
      </c>
      <c r="K6582" s="80">
        <v>0.78018691588785</v>
      </c>
      <c r="L6582" s="80" t="s">
        <v>64</v>
      </c>
    </row>
    <row r="6583">
      <c r="A6583" s="80" t="s">
        <v>242</v>
      </c>
      <c r="B6583" s="81" t="str">
        <f>HYPERLINK("https://www.youtube.com/channel/UCZGVB6g74LXWtkR3fX50ykg", "Edwin H.")</f>
        <v>Edwin H.</v>
      </c>
      <c r="C6583" s="80" t="s">
        <v>7110</v>
      </c>
      <c r="D6583" s="81" t="str">
        <f>HYPERLINK("https://youtube.com/watch?v=oE5mx_fj56M", "Bard打殘ChatGPT？ 9分鐘精華 Google I/O 發佈會📲  總結 懶人包  Pixel Fold 🤳🏻 Pixel 7a 👯‍♀️ Bard AI 大升級 中文")</f>
        <v>Bard打殘ChatGPT？ 9分鐘精華 Google I/O 發佈會📲  總結 懶人包  Pixel Fold 🤳🏻 Pixel 7a 👯‍♀️ Bard AI 大升級 中文</v>
      </c>
      <c r="E6583" s="82">
        <v>45057.0</v>
      </c>
      <c r="F6583" s="80">
        <v>552.0</v>
      </c>
      <c r="G6583" s="80" t="s">
        <v>63</v>
      </c>
      <c r="I6583" s="80" t="s">
        <v>63</v>
      </c>
      <c r="J6583" s="80">
        <v>2437.0</v>
      </c>
      <c r="K6583" s="80">
        <v>0.724219910846953</v>
      </c>
      <c r="L6583" s="80" t="s">
        <v>64</v>
      </c>
    </row>
    <row r="6584">
      <c r="A6584" s="80" t="s">
        <v>6919</v>
      </c>
      <c r="B6584" s="81" t="str">
        <f>HYPERLINK("https://www.youtube.com/channel/UCF6M5AH_OALkimFGKdlWfCw", "采姐姐的故事王國 Lillian's Story Kingdom")</f>
        <v>采姐姐的故事王國 Lillian's Story Kingdom</v>
      </c>
      <c r="C6584" s="80" t="s">
        <v>7111</v>
      </c>
      <c r="D6584" s="81" t="str">
        <f>HYPERLINK("https://youtube.com/watch?v=TFEnSqPWt7I", "【偽動畫故事】我媽媽才是超級英雄 | My Mama Is The Superhero! | 每個獨一無二的英雄媽媽 - 粵語 (有字幕)")</f>
        <v>【偽動畫故事】我媽媽才是超級英雄 | My Mama Is The Superhero! | 每個獨一無二的英雄媽媽 - 粵語 (有字幕)</v>
      </c>
      <c r="E6584" s="82">
        <v>45060.0</v>
      </c>
      <c r="F6584" s="80">
        <v>586.0</v>
      </c>
      <c r="G6584" s="80" t="s">
        <v>63</v>
      </c>
      <c r="I6584" s="80" t="s">
        <v>63</v>
      </c>
      <c r="J6584" s="80">
        <v>1577.0</v>
      </c>
      <c r="K6584" s="80">
        <v>0.964525993883792</v>
      </c>
      <c r="L6584" s="80" t="s">
        <v>64</v>
      </c>
    </row>
    <row r="6585">
      <c r="A6585" s="80" t="s">
        <v>248</v>
      </c>
      <c r="B6585" s="81" t="str">
        <f>HYPERLINK("https://www.youtube.com/channel/UCUEJok-GiWaGlv5nIPwk-GQ", "Price.com.hk 香港格價網")</f>
        <v>Price.com.hk 香港格價網</v>
      </c>
      <c r="C6585" s="80" t="s">
        <v>7112</v>
      </c>
      <c r="D6585" s="81" t="str">
        <f>HYPERLINK("https://youtube.com/watch?v=xRrVgJ8AfAw", "唔怕吹到頭赤赤！TCL 全新 Gentle Cool 柔風冷氣系列｜CleanXpress 自動清潔｜1級能源效益｜App／電視控制｜特約專題｜廣東話【Price.com.hk 產品介紹】")</f>
        <v>唔怕吹到頭赤赤！TCL 全新 Gentle Cool 柔風冷氣系列｜CleanXpress 自動清潔｜1級能源效益｜App／電視控制｜特約專題｜廣東話【Price.com.hk 產品介紹】</v>
      </c>
      <c r="E6585" s="82">
        <v>45068.0</v>
      </c>
      <c r="F6585" s="80">
        <v>341.0</v>
      </c>
      <c r="G6585" s="80" t="s">
        <v>63</v>
      </c>
      <c r="I6585" s="80" t="s">
        <v>63</v>
      </c>
      <c r="J6585" s="80">
        <v>1166.0</v>
      </c>
      <c r="K6585" s="80">
        <v>0.888719512195121</v>
      </c>
      <c r="L6585" s="80" t="s">
        <v>64</v>
      </c>
    </row>
    <row r="6586">
      <c r="A6586" s="80" t="s">
        <v>124</v>
      </c>
      <c r="B6586" s="81" t="str">
        <f>HYPERLINK("https://www.youtube.com/channel/UCg0vuSE0fBF_NvodyYhMcWg", "Wallace Studio HK")</f>
        <v>Wallace Studio HK</v>
      </c>
      <c r="C6586" s="80" t="s">
        <v>7113</v>
      </c>
      <c r="D6586" s="81" t="str">
        <f>HYPERLINK("https://youtube.com/watch?v=Z6an4CZYelA", "Vivo X90 Pro 詳細評測! 拍攝出色，好用！不過定位尷尬")</f>
        <v>Vivo X90 Pro 詳細評測! 拍攝出色，好用！不過定位尷尬</v>
      </c>
      <c r="E6586" s="82">
        <v>45059.0</v>
      </c>
      <c r="F6586" s="80">
        <v>541.0</v>
      </c>
      <c r="G6586" s="80" t="s">
        <v>63</v>
      </c>
      <c r="H6586" s="80" t="s">
        <v>63</v>
      </c>
      <c r="I6586" s="80" t="s">
        <v>63</v>
      </c>
      <c r="J6586" s="80">
        <v>2041.0</v>
      </c>
      <c r="K6586" s="80">
        <v>0.798201016816582</v>
      </c>
      <c r="L6586" s="80" t="s">
        <v>86</v>
      </c>
    </row>
    <row r="6587">
      <c r="A6587" s="80" t="s">
        <v>248</v>
      </c>
      <c r="B6587" s="81" t="str">
        <f>HYPERLINK("https://www.youtube.com/channel/UCUEJok-GiWaGlv5nIPwk-GQ", "Price.com.hk 香港格價網")</f>
        <v>Price.com.hk 香港格價網</v>
      </c>
      <c r="C6587" s="80" t="s">
        <v>7114</v>
      </c>
      <c r="D6587" s="81" t="str">
        <f>HYPERLINK("https://youtube.com/watch?v=lhDZJgwrUqE", "RTX 4070 係目前最抵買嘅N卡？舊機升級&amp;ITX玩家之選！｜顯示卡唔同版本點揀好？｜廣東話【Price.com.hk 產品評測】")</f>
        <v>RTX 4070 係目前最抵買嘅N卡？舊機升級&amp;ITX玩家之選！｜顯示卡唔同版本點揀好？｜廣東話【Price.com.hk 產品評測】</v>
      </c>
      <c r="E6587" s="82">
        <v>45062.0</v>
      </c>
      <c r="F6587" s="80">
        <v>409.0</v>
      </c>
      <c r="G6587" s="80" t="s">
        <v>63</v>
      </c>
      <c r="I6587" s="80" t="s">
        <v>63</v>
      </c>
      <c r="J6587" s="80">
        <v>1411.0</v>
      </c>
      <c r="K6587" s="80">
        <v>0.798076923076923</v>
      </c>
      <c r="L6587" s="80" t="s">
        <v>64</v>
      </c>
    </row>
    <row r="6588">
      <c r="A6588" s="80" t="s">
        <v>5868</v>
      </c>
      <c r="B6588" s="81" t="str">
        <f>HYPERLINK("https://www.youtube.com/channel/UCVvdX8wGBmCM9KerhiVu_Ig", "McFatty 麥花田")</f>
        <v>McFatty 麥花田</v>
      </c>
      <c r="C6588" s="80" t="s">
        <v>7115</v>
      </c>
      <c r="D6588" s="81" t="str">
        <f>HYPERLINK("https://youtube.com/watch?v=WsN9EbsMtJU", "15分鐘開餐之花田宵夜 三絲麻辣炒烏冬 蕃茄青醬大蝦炒意粉 自家製漢堡包 附廣東話字幕  Ep154")</f>
        <v>15分鐘開餐之花田宵夜 三絲麻辣炒烏冬 蕃茄青醬大蝦炒意粉 自家製漢堡包 附廣東話字幕  Ep154</v>
      </c>
      <c r="E6588" s="82">
        <v>45060.0</v>
      </c>
      <c r="F6588" s="80">
        <v>1231.0</v>
      </c>
      <c r="G6588" s="80" t="s">
        <v>63</v>
      </c>
      <c r="I6588" s="80" t="s">
        <v>63</v>
      </c>
      <c r="J6588" s="80">
        <v>4345.0</v>
      </c>
      <c r="K6588" s="80">
        <v>0.964698046181172</v>
      </c>
      <c r="L6588" s="80" t="s">
        <v>102</v>
      </c>
    </row>
    <row r="6589">
      <c r="A6589" s="80" t="s">
        <v>2785</v>
      </c>
      <c r="B6589" s="81" t="str">
        <f>HYPERLINK("https://www.youtube.com/channel/UC_w7pV_Xz9XO0ChNFxMtV0w", "MPWeekly明周")</f>
        <v>MPWeekly明周</v>
      </c>
      <c r="C6589" s="80" t="s">
        <v>7116</v>
      </c>
      <c r="D6589" s="81" t="str">
        <f>HYPERLINK("https://youtube.com/watch?v=zYgbjqsgde4", "吳幸美出道被封「翻版版吳美珩」│「東張女神」為大眾發聲│回想亡父崩潰痛哭")</f>
        <v>吳幸美出道被封「翻版版吳美珩」│「東張女神」為大眾發聲│回想亡父崩潰痛哭</v>
      </c>
      <c r="E6589" s="82">
        <v>45078.0</v>
      </c>
      <c r="F6589" s="80">
        <v>679.0</v>
      </c>
      <c r="G6589" s="80" t="s">
        <v>63</v>
      </c>
      <c r="I6589" s="80" t="s">
        <v>63</v>
      </c>
      <c r="J6589" s="80">
        <v>2234.0</v>
      </c>
      <c r="K6589" s="80">
        <v>0.98762157382847</v>
      </c>
      <c r="L6589" s="80" t="s">
        <v>64</v>
      </c>
    </row>
    <row r="6590">
      <c r="A6590" s="80" t="s">
        <v>248</v>
      </c>
      <c r="B6590" s="81" t="str">
        <f>HYPERLINK("https://www.youtube.com/channel/UCUEJok-GiWaGlv5nIPwk-GQ", "Price.com.hk 香港格價網")</f>
        <v>Price.com.hk 香港格價網</v>
      </c>
      <c r="C6590" s="80" t="s">
        <v>7117</v>
      </c>
      <c r="D6590" s="81" t="str">
        <f>HYPERLINK("https://youtube.com/watch?v=tuTUzhCUe1o", "蘋果VR裝置玩法流出｜Lenovo Yoga Book 9i開箱｜Technics耳機連接三裝置｜Motorola新摺機下月發表｜廣東話【Price Weekly #168 2023年5月 】")</f>
        <v>蘋果VR裝置玩法流出｜Lenovo Yoga Book 9i開箱｜Technics耳機連接三裝置｜Motorola新摺機下月發表｜廣東話【Price Weekly #168 2023年5月 】</v>
      </c>
      <c r="E6590" s="82">
        <v>45073.0</v>
      </c>
      <c r="F6590" s="80">
        <v>490.0</v>
      </c>
      <c r="G6590" s="80" t="s">
        <v>63</v>
      </c>
      <c r="I6590" s="80" t="s">
        <v>63</v>
      </c>
      <c r="J6590" s="80">
        <v>1768.0</v>
      </c>
      <c r="K6590" s="80">
        <v>0.702423520063567</v>
      </c>
      <c r="L6590" s="80" t="s">
        <v>64</v>
      </c>
    </row>
    <row r="6591">
      <c r="A6591" s="80" t="s">
        <v>217</v>
      </c>
      <c r="B6591" s="81" t="str">
        <f>HYPERLINK("https://www.youtube.com/channel/UCXKg0qPRz32bs5Z4mTGF3TQ", "Stormtrooper白兵")</f>
        <v>Stormtrooper白兵</v>
      </c>
      <c r="C6591" s="80" t="s">
        <v>7118</v>
      </c>
      <c r="D6591" s="81" t="str">
        <f>HYPERLINK("https://youtube.com/watch?v=iaqG1wK2Ldg", "[不是陰謀論]大豆蛋白質含量高但冇用？｜豆漿豆奶會阻礙吸引營養！｜大豆製品超詳細分析！一招分辯食唔食得？｜蛋白質都有分好多種！｜中文字幕")</f>
        <v>[不是陰謀論]大豆蛋白質含量高但冇用？｜豆漿豆奶會阻礙吸引營養！｜大豆製品超詳細分析！一招分辯食唔食得？｜蛋白質都有分好多種！｜中文字幕</v>
      </c>
      <c r="E6591" s="82">
        <v>45071.0</v>
      </c>
      <c r="F6591" s="80">
        <v>942.0</v>
      </c>
      <c r="G6591" s="80" t="s">
        <v>63</v>
      </c>
      <c r="I6591" s="80" t="s">
        <v>63</v>
      </c>
      <c r="J6591" s="80">
        <v>3823.0</v>
      </c>
      <c r="K6591" s="80">
        <v>0.95052212829438</v>
      </c>
      <c r="L6591" s="80" t="s">
        <v>64</v>
      </c>
    </row>
    <row r="6592">
      <c r="A6592" s="80" t="s">
        <v>6892</v>
      </c>
      <c r="B6592" s="81" t="str">
        <f>HYPERLINK("https://www.youtube.com/channel/UC8_hxeY0nDCL-8ETbcGUZ9g", "PT食為先")</f>
        <v>PT食為先</v>
      </c>
      <c r="C6592" s="80" t="s">
        <v>7119</v>
      </c>
      <c r="D6592" s="81" t="str">
        <f>HYPERLINK("https://youtube.com/watch?v=mLtKQLdEd-M", "[PT自費食評] 拍拖約會／聚會生日飯餐廳推薦！銅鑼灣親民價食西班牙菜🥘高質燒墨魚 炸豬耳 西班牙海鮮飯 Pici同集團新開餐廳 #calleocho")</f>
        <v>[PT自費食評] 拍拖約會／聚會生日飯餐廳推薦！銅鑼灣親民價食西班牙菜🥘高質燒墨魚 炸豬耳 西班牙海鮮飯 Pici同集團新開餐廳 #calleocho</v>
      </c>
      <c r="E6592" s="82">
        <v>45070.0</v>
      </c>
      <c r="F6592" s="80">
        <v>610.0</v>
      </c>
      <c r="G6592" s="80" t="s">
        <v>63</v>
      </c>
      <c r="I6592" s="80" t="s">
        <v>63</v>
      </c>
      <c r="J6592" s="80">
        <v>1657.0</v>
      </c>
      <c r="K6592" s="80">
        <v>0.947398513436249</v>
      </c>
      <c r="L6592" s="80" t="s">
        <v>64</v>
      </c>
    </row>
    <row r="6593">
      <c r="A6593" s="80" t="s">
        <v>7099</v>
      </c>
      <c r="B6593" s="81" t="str">
        <f>HYPERLINK("https://www.youtube.com/channel/UCBwfrMS785JyWDUBRhOQkjw", "Karenly :")</f>
        <v>Karenly :</v>
      </c>
      <c r="C6593" s="80" t="s">
        <v>7120</v>
      </c>
      <c r="D6593" s="81" t="str">
        <f>HYPERLINK("https://youtube.com/watch?v=KKIlRstOkMA", "ASUS特約 雙2.5G Lan＋專屬Gaming Port TUF Gaming AX6000 電競路由器｜繁中字幕｜廣東話【Karenly:】")</f>
        <v>ASUS特約 雙2.5G Lan＋專屬Gaming Port TUF Gaming AX6000 電競路由器｜繁中字幕｜廣東話【Karenly:】</v>
      </c>
      <c r="E6593" s="82">
        <v>45061.0</v>
      </c>
      <c r="F6593" s="80">
        <v>335.0</v>
      </c>
      <c r="G6593" s="80" t="s">
        <v>63</v>
      </c>
      <c r="I6593" s="80" t="s">
        <v>63</v>
      </c>
      <c r="J6593" s="80">
        <v>1229.0</v>
      </c>
      <c r="K6593" s="80">
        <v>0.66504329004329</v>
      </c>
      <c r="L6593" s="80" t="s">
        <v>64</v>
      </c>
    </row>
    <row r="6594">
      <c r="A6594" s="80" t="s">
        <v>6482</v>
      </c>
      <c r="B6594" s="81" t="str">
        <f>HYPERLINK("https://www.youtube.com/channel/UCuxWbKfRuvuKtxTfvFwm5ow", "Cheungtinn")</f>
        <v>Cheungtinn</v>
      </c>
      <c r="C6594" s="80" t="s">
        <v>7121</v>
      </c>
      <c r="D6594" s="81" t="str">
        <f>HYPERLINK("https://youtube.com/watch?v=jEZv19a3dxw", "[Cancer Update- 838 Day ] 2023最新病況- 突發手術｜即時入院｜ 情況比以前差了!")</f>
        <v>[Cancer Update- 838 Day ] 2023最新病況- 突發手術｜即時入院｜ 情況比以前差了!</v>
      </c>
      <c r="E6594" s="82">
        <v>45063.0</v>
      </c>
      <c r="F6594" s="80">
        <v>678.0</v>
      </c>
      <c r="G6594" s="80" t="s">
        <v>63</v>
      </c>
      <c r="I6594" s="80" t="s">
        <v>63</v>
      </c>
      <c r="J6594" s="80">
        <v>2429.0</v>
      </c>
      <c r="K6594" s="80">
        <v>0.966958598726114</v>
      </c>
      <c r="L6594" s="80" t="s">
        <v>102</v>
      </c>
    </row>
    <row r="6595">
      <c r="A6595" s="80" t="s">
        <v>2508</v>
      </c>
      <c r="B6595" s="81" t="str">
        <f>HYPERLINK("https://www.youtube.com/channel/UC0eKbQhA3WQMYatHo36y1Fg", "DS")</f>
        <v>DS</v>
      </c>
      <c r="C6595" s="80" t="s">
        <v>7122</v>
      </c>
      <c r="D6595" s="81" t="str">
        <f>HYPERLINK("https://youtube.com/watch?v=ae_Nc4DAAek", "【アイドル】粵語翻唱『idol』【DS】")</f>
        <v>【アイドル】粵語翻唱『idol』【DS】</v>
      </c>
      <c r="E6595" s="82">
        <v>45060.0</v>
      </c>
      <c r="F6595" s="80">
        <v>214.0</v>
      </c>
      <c r="G6595" s="80" t="s">
        <v>63</v>
      </c>
      <c r="I6595" s="80" t="s">
        <v>63</v>
      </c>
      <c r="J6595" s="80">
        <v>777.0</v>
      </c>
      <c r="K6595" s="80">
        <v>0.972465581977471</v>
      </c>
      <c r="L6595" s="80" t="s">
        <v>64</v>
      </c>
    </row>
    <row r="6596">
      <c r="A6596" s="80" t="s">
        <v>5868</v>
      </c>
      <c r="B6596" s="81" t="str">
        <f>HYPERLINK("https://www.youtube.com/channel/UCVvdX8wGBmCM9KerhiVu_Ig", "McFatty 麥花田")</f>
        <v>McFatty 麥花田</v>
      </c>
      <c r="C6596" s="80" t="s">
        <v>7123</v>
      </c>
      <c r="D6596" s="81" t="str">
        <f>HYPERLINK("https://youtube.com/watch?v=wjNfqqPlQbo", "呢啲廚具法寶淘寶先買到? 附廣東話字幕 Ep156")</f>
        <v>呢啲廚具法寶淘寶先買到? 附廣東話字幕 Ep156</v>
      </c>
      <c r="E6596" s="82">
        <v>45074.0</v>
      </c>
      <c r="F6596" s="80">
        <v>986.0</v>
      </c>
      <c r="G6596" s="80" t="s">
        <v>63</v>
      </c>
      <c r="I6596" s="80" t="s">
        <v>63</v>
      </c>
      <c r="J6596" s="80">
        <v>4024.0</v>
      </c>
      <c r="K6596" s="80">
        <v>0.967540274104352</v>
      </c>
      <c r="L6596" s="80" t="s">
        <v>102</v>
      </c>
    </row>
    <row r="6597">
      <c r="A6597" s="80" t="s">
        <v>6892</v>
      </c>
      <c r="B6597" s="81" t="str">
        <f>HYPERLINK("https://www.youtube.com/channel/UC8_hxeY0nDCL-8ETbcGUZ9g", "PT食為先")</f>
        <v>PT食為先</v>
      </c>
      <c r="C6597" s="80" t="s">
        <v>7124</v>
      </c>
      <c r="D6597" s="81" t="str">
        <f>HYPERLINK("https://youtube.com/watch?v=QNVsmhrmNDg", "[PT自費食評] 接近4小時任食！生蠔龍蝦免排隊🦞Marriott 萬豪酒店 海鮮自助餐竟然有6折優惠？")</f>
        <v>[PT自費食評] 接近4小時任食！生蠔龍蝦免排隊🦞Marriott 萬豪酒店 海鮮自助餐竟然有6折優惠？</v>
      </c>
      <c r="E6597" s="82">
        <v>45074.0</v>
      </c>
      <c r="F6597" s="80">
        <v>1144.0</v>
      </c>
      <c r="G6597" s="80" t="s">
        <v>63</v>
      </c>
      <c r="I6597" s="80" t="s">
        <v>63</v>
      </c>
      <c r="J6597" s="80">
        <v>2663.0</v>
      </c>
      <c r="K6597" s="80">
        <v>0.939661256175017</v>
      </c>
      <c r="L6597" s="80" t="s">
        <v>64</v>
      </c>
    </row>
    <row r="6598">
      <c r="A6598" s="80" t="s">
        <v>2041</v>
      </c>
      <c r="B6598" s="81" t="str">
        <f>HYPERLINK("https://www.youtube.com/channel/UCO6pB-ZN4XJ6MVkibvuEe0A", "SingSingTracker 星昇財經指標")</f>
        <v>SingSingTracker 星昇財經指標</v>
      </c>
      <c r="C6598" s="80" t="s">
        <v>7125</v>
      </c>
      <c r="D6598" s="81" t="str">
        <f>HYPERLINK("https://youtube.com/watch?v=KW72-ZaWwDE", "《AI 女主持-小Sing🌸》分享【5月22日-5月25日盈利回顧💰】[講解追蹤🔍未來股市動向📈] #ai主播 #人工智能 #熱門 #3dmodeling #投資 #股票 #外匯 #致富 #黃金")</f>
        <v>《AI 女主持-小Sing🌸》分享【5月22日-5月25日盈利回顧💰】[講解追蹤🔍未來股市動向📈] #ai主播 #人工智能 #熱門 #3dmodeling #投資 #股票 #外匯 #致富 #黃金</v>
      </c>
      <c r="E6598" s="82">
        <v>45077.0</v>
      </c>
      <c r="F6598" s="80">
        <v>193.0</v>
      </c>
      <c r="G6598" s="80" t="s">
        <v>63</v>
      </c>
      <c r="I6598" s="80" t="s">
        <v>63</v>
      </c>
      <c r="J6598" s="80">
        <v>731.0</v>
      </c>
      <c r="K6598" s="80">
        <v>0.973368841544607</v>
      </c>
      <c r="L6598" s="80" t="s">
        <v>91</v>
      </c>
    </row>
    <row r="6599">
      <c r="A6599" s="80" t="s">
        <v>293</v>
      </c>
      <c r="B6599" s="81" t="str">
        <f>HYPERLINK("https://www.youtube.com/channel/UCXRcbXqjORdIvl63I7MtOLQ", "趁熱 Kerry 's kitchen")</f>
        <v>趁熱 Kerry 's kitchen</v>
      </c>
      <c r="C6599" s="80" t="s">
        <v>7126</v>
      </c>
      <c r="D6599" s="81" t="str">
        <f>HYPERLINK("https://youtube.com/watch?v=asc9cbfbyHo", "豬潤湯通粉/極鮮甜/簡單補身/增強抵抗力/收工做都得/新手 入門/粵語/中字")</f>
        <v>豬潤湯通粉/極鮮甜/簡單補身/增強抵抗力/收工做都得/新手 入門/粵語/中字</v>
      </c>
      <c r="E6599" s="82">
        <v>45072.0</v>
      </c>
      <c r="F6599" s="80">
        <v>586.0</v>
      </c>
      <c r="G6599" s="80" t="s">
        <v>63</v>
      </c>
      <c r="I6599" s="80" t="s">
        <v>63</v>
      </c>
      <c r="J6599" s="80">
        <v>1585.0</v>
      </c>
      <c r="K6599" s="80">
        <v>0.982641041537507</v>
      </c>
      <c r="L6599" s="80" t="s">
        <v>64</v>
      </c>
    </row>
    <row r="6600">
      <c r="A6600" s="80" t="s">
        <v>6591</v>
      </c>
      <c r="B6600" s="81" t="str">
        <f>HYPERLINK("https://www.youtube.com/channel/UC0DpBgpq_gR7TaNDIvJYZag", "TalkFood")</f>
        <v>TalkFood</v>
      </c>
      <c r="C6600" s="80" t="s">
        <v>7127</v>
      </c>
      <c r="D6600" s="81" t="str">
        <f>HYPERLINK("https://youtube.com/watch?v=0_obD9b_q78", "#TalkFood【#18區搵食—沿海18號巴士路線出發西營盤搵食 尖叫10秒超近無敵海景！】TF夏季小旅行｜西營盤3.0｜夏天就係要望海｜儀式感不能少｜爆餡流心紫薯西多士伏唔伏｜極香口超厚蝦多士")</f>
        <v>#TalkFood【#18區搵食—沿海18號巴士路線出發西營盤搵食 尖叫10秒超近無敵海景！】TF夏季小旅行｜西營盤3.0｜夏天就係要望海｜儀式感不能少｜爆餡流心紫薯西多士伏唔伏｜極香口超厚蝦多士</v>
      </c>
      <c r="E6600" s="82">
        <v>45071.0</v>
      </c>
      <c r="F6600" s="80">
        <v>1435.0</v>
      </c>
      <c r="G6600" s="80" t="s">
        <v>63</v>
      </c>
      <c r="I6600" s="80" t="s">
        <v>63</v>
      </c>
      <c r="J6600" s="80">
        <v>3652.0</v>
      </c>
      <c r="K6600" s="80">
        <v>0.969986719787516</v>
      </c>
      <c r="L6600" s="80" t="s">
        <v>91</v>
      </c>
    </row>
    <row r="6601">
      <c r="A6601" s="80" t="s">
        <v>6919</v>
      </c>
      <c r="B6601" s="81" t="str">
        <f>HYPERLINK("https://www.youtube.com/channel/UCF6M5AH_OALkimFGKdlWfCw", "采姐姐的故事王國 Lillian's Story Kingdom")</f>
        <v>采姐姐的故事王國 Lillian's Story Kingdom</v>
      </c>
      <c r="C6601" s="80" t="s">
        <v>7128</v>
      </c>
      <c r="D6601" s="81" t="str">
        <f>HYPERLINK("https://youtube.com/watch?v=0wynws-dnWI", "【偽動畫故事】最勇敢的人 | The Bravest One | 什麼是勇敢？ - 粵語")</f>
        <v>【偽動畫故事】最勇敢的人 | The Bravest One | 什麼是勇敢？ - 粵語</v>
      </c>
      <c r="E6601" s="82">
        <v>45074.0</v>
      </c>
      <c r="F6601" s="80">
        <v>660.0</v>
      </c>
      <c r="G6601" s="80" t="s">
        <v>63</v>
      </c>
      <c r="I6601" s="80" t="s">
        <v>63</v>
      </c>
      <c r="J6601" s="80">
        <v>1825.0</v>
      </c>
      <c r="K6601" s="80">
        <v>0.996723102129983</v>
      </c>
      <c r="L6601" s="80" t="s">
        <v>64</v>
      </c>
    </row>
    <row r="6602">
      <c r="A6602" s="80" t="s">
        <v>7099</v>
      </c>
      <c r="B6602" s="81" t="str">
        <f>HYPERLINK("https://www.youtube.com/channel/UCBwfrMS785JyWDUBRhOQkjw", "Karenly :")</f>
        <v>Karenly :</v>
      </c>
      <c r="C6602" s="80" t="s">
        <v>7129</v>
      </c>
      <c r="D6602" s="81" t="str">
        <f>HYPERLINK("https://youtube.com/watch?v=32093jJwJDo", "曼谷🇹🇭40°C熱浪中工作＋觀光｜深宵對話好物分享環節｜喬德夜市跳跳蝦．紅大哥水門雞飯．Swensen's香蕉船｜shot on Sony ZV-E1【Karenly:】")</f>
        <v>曼谷🇹🇭40°C熱浪中工作＋觀光｜深宵對話好物分享環節｜喬德夜市跳跳蝦．紅大哥水門雞飯．Swensen's香蕉船｜shot on Sony ZV-E1【Karenly:】</v>
      </c>
      <c r="E6602" s="82">
        <v>45079.0</v>
      </c>
      <c r="F6602" s="80">
        <v>897.0</v>
      </c>
      <c r="G6602" s="80" t="s">
        <v>63</v>
      </c>
      <c r="I6602" s="80" t="s">
        <v>63</v>
      </c>
      <c r="J6602" s="80">
        <v>2560.0</v>
      </c>
      <c r="K6602" s="80">
        <v>0.899508081517919</v>
      </c>
      <c r="L6602" s="80" t="s">
        <v>64</v>
      </c>
    </row>
    <row r="6603">
      <c r="A6603" s="80" t="s">
        <v>1594</v>
      </c>
      <c r="B6603" s="81" t="str">
        <f>HYPERLINK("https://www.youtube.com/channel/UCUtm1awT2EO9D7uJ2OlMcTQ", "黐住這一家 Sticky Love Family")</f>
        <v>黐住這一家 Sticky Love Family</v>
      </c>
      <c r="C6603" s="80" t="s">
        <v>7130</v>
      </c>
      <c r="D6603" s="81" t="str">
        <f>HYPERLINK("https://youtube.com/watch?v=a6KAJ_pzdY4", "【情商故事系列💙】🏆❝我唔怕輸❞🙅🏻 - 培養強大逆商，對挫折說沒關係！👌🏻 [ Eng Sub| 繁簡粵語字幕 ]")</f>
        <v>【情商故事系列💙】🏆❝我唔怕輸❞🙅🏻 - 培養強大逆商，對挫折說沒關係！👌🏻 [ Eng Sub| 繁簡粵語字幕 ]</v>
      </c>
      <c r="E6603" s="82">
        <v>45058.0</v>
      </c>
      <c r="F6603" s="80">
        <v>257.0</v>
      </c>
      <c r="G6603" s="80" t="s">
        <v>63</v>
      </c>
      <c r="H6603" s="80" t="s">
        <v>63</v>
      </c>
      <c r="I6603" s="80" t="s">
        <v>63</v>
      </c>
      <c r="J6603" s="80">
        <v>897.0</v>
      </c>
      <c r="K6603" s="80">
        <v>0.994363021420518</v>
      </c>
      <c r="L6603" s="80" t="s">
        <v>7131</v>
      </c>
    </row>
    <row r="6604">
      <c r="A6604" s="80" t="s">
        <v>248</v>
      </c>
      <c r="B6604" s="81" t="str">
        <f t="shared" ref="B6604:B6605" si="379">HYPERLINK("https://www.youtube.com/channel/UCUEJok-GiWaGlv5nIPwk-GQ", "Price.com.hk 香港格價網")</f>
        <v>Price.com.hk 香港格價網</v>
      </c>
      <c r="C6604" s="80" t="s">
        <v>7132</v>
      </c>
      <c r="D6604" s="81" t="str">
        <f>HYPERLINK("https://youtube.com/watch?v=Hv4bcxy_c9s", "Dyson 旗艦空氣清新機｜一機解決鼻敏感、寵物皮屑、細菌病毒｜冷暖淨化三合一｜甲醛分解｜空氣淨化科技｜特約專題｜廣東話【Price.com.hk 產品介紹】")</f>
        <v>Dyson 旗艦空氣清新機｜一機解決鼻敏感、寵物皮屑、細菌病毒｜冷暖淨化三合一｜甲醛分解｜空氣淨化科技｜特約專題｜廣東話【Price.com.hk 產品介紹】</v>
      </c>
      <c r="E6604" s="82">
        <v>45075.0</v>
      </c>
      <c r="F6604" s="80">
        <v>508.0</v>
      </c>
      <c r="G6604" s="80" t="s">
        <v>63</v>
      </c>
      <c r="I6604" s="80" t="s">
        <v>63</v>
      </c>
      <c r="J6604" s="80">
        <v>1960.0</v>
      </c>
      <c r="K6604" s="80">
        <v>0.888888888888888</v>
      </c>
      <c r="L6604" s="80" t="s">
        <v>64</v>
      </c>
    </row>
    <row r="6605">
      <c r="A6605" s="80" t="s">
        <v>248</v>
      </c>
      <c r="B6605" s="81" t="str">
        <f t="shared" si="379"/>
        <v>Price.com.hk 香港格價網</v>
      </c>
      <c r="C6605" s="80" t="s">
        <v>7133</v>
      </c>
      <c r="D6605" s="81" t="str">
        <f>HYPERLINK("https://youtube.com/watch?v=menrGe9Fivo", "NVIDIA超級電腦 科技巨頭爭住買｜ROG水冷RTX 4090｜Garmin新錶半年續航力｜3家電遭機電署禁售｜廣東話【Price Weekly 2023 年 6月 #169 】")</f>
        <v>NVIDIA超級電腦 科技巨頭爭住買｜ROG水冷RTX 4090｜Garmin新錶半年續航力｜3家電遭機電署禁售｜廣東話【Price Weekly 2023 年 6月 #169 】</v>
      </c>
      <c r="E6605" s="82">
        <v>45080.0</v>
      </c>
      <c r="F6605" s="80">
        <v>467.0</v>
      </c>
      <c r="G6605" s="80" t="s">
        <v>63</v>
      </c>
      <c r="I6605" s="80" t="s">
        <v>63</v>
      </c>
      <c r="J6605" s="80">
        <v>1525.0</v>
      </c>
      <c r="K6605" s="80">
        <v>0.664488017429194</v>
      </c>
      <c r="L6605" s="80" t="s">
        <v>64</v>
      </c>
    </row>
    <row r="6606">
      <c r="A6606" s="80" t="s">
        <v>978</v>
      </c>
      <c r="B6606" s="81" t="str">
        <f>HYPERLINK("https://www.youtube.com/channel/UCDMd6CHdLs8FoqZJoRHkJGQ", "Ray Ho")</f>
        <v>Ray Ho</v>
      </c>
      <c r="C6606" s="80" t="s">
        <v>7134</v>
      </c>
      <c r="D6606" s="81" t="str">
        <f>HYPERLINK("https://youtube.com/watch?v=--oQID09ce0", "外賣仔體驗日！直踩19小時送外賣比觀眾！送到全日唔停手！【青蛙星人挑戰日🐸💥005】")</f>
        <v>外賣仔體驗日！直踩19小時送外賣比觀眾！送到全日唔停手！【青蛙星人挑戰日🐸💥005】</v>
      </c>
      <c r="E6606" s="82">
        <v>45080.0</v>
      </c>
      <c r="F6606" s="80">
        <v>1065.0</v>
      </c>
      <c r="G6606" s="80" t="s">
        <v>63</v>
      </c>
      <c r="I6606" s="80" t="s">
        <v>63</v>
      </c>
      <c r="J6606" s="80">
        <v>1233.0</v>
      </c>
      <c r="K6606" s="80">
        <v>0.861033519553072</v>
      </c>
      <c r="L6606" s="80" t="s">
        <v>64</v>
      </c>
    </row>
    <row r="6607">
      <c r="A6607" s="80" t="s">
        <v>2785</v>
      </c>
      <c r="B6607" s="81" t="str">
        <f>HYPERLINK("https://www.youtube.com/channel/UC_w7pV_Xz9XO0ChNFxMtV0w", "MPWeekly明周")</f>
        <v>MPWeekly明周</v>
      </c>
      <c r="C6607" s="80" t="s">
        <v>7135</v>
      </c>
      <c r="D6607" s="81" t="str">
        <f>HYPERLINK("https://youtube.com/watch?v=pq5WM08YtJ8", "回想照顧亡父點滴 吳幸美崩潰痛哭│吳幸美專訪")</f>
        <v>回想照顧亡父點滴 吳幸美崩潰痛哭│吳幸美專訪</v>
      </c>
      <c r="E6607" s="82">
        <v>45077.0</v>
      </c>
      <c r="F6607" s="80">
        <v>307.0</v>
      </c>
      <c r="G6607" s="80" t="s">
        <v>63</v>
      </c>
      <c r="I6607" s="80" t="s">
        <v>63</v>
      </c>
      <c r="J6607" s="80">
        <v>889.0</v>
      </c>
      <c r="K6607" s="80">
        <v>1.0</v>
      </c>
      <c r="L6607" s="80" t="s">
        <v>64</v>
      </c>
    </row>
    <row r="6608">
      <c r="A6608" s="80" t="s">
        <v>248</v>
      </c>
      <c r="B6608" s="81" t="str">
        <f t="shared" ref="B6608:B6609" si="380">HYPERLINK("https://www.youtube.com/channel/UCUEJok-GiWaGlv5nIPwk-GQ", "Price.com.hk 香港格價網")</f>
        <v>Price.com.hk 香港格價網</v>
      </c>
      <c r="C6608" s="80" t="s">
        <v>7136</v>
      </c>
      <c r="D6608" s="81" t="str">
        <f>HYPERLINK("https://youtube.com/watch?v=k1cSvU-Z_Ig", "父親節禮物推介｜打機、聽歌、手錶、生活品味｜優惠碼超抵買｜2023 Father’s Day｜產品精選｜實物開箱｜中文字幕 | 廣東話【Price.com.hk產品介紹】")</f>
        <v>父親節禮物推介｜打機、聽歌、手錶、生活品味｜優惠碼超抵買｜2023 Father’s Day｜產品精選｜實物開箱｜中文字幕 | 廣東話【Price.com.hk產品介紹】</v>
      </c>
      <c r="E6608" s="82">
        <v>45079.0</v>
      </c>
      <c r="F6608" s="80">
        <v>492.0</v>
      </c>
      <c r="G6608" s="80" t="s">
        <v>63</v>
      </c>
      <c r="I6608" s="80" t="s">
        <v>63</v>
      </c>
      <c r="J6608" s="80">
        <v>1750.0</v>
      </c>
      <c r="K6608" s="80">
        <v>0.733445096395641</v>
      </c>
      <c r="L6608" s="80" t="s">
        <v>64</v>
      </c>
    </row>
    <row r="6609">
      <c r="A6609" s="80" t="s">
        <v>248</v>
      </c>
      <c r="B6609" s="81" t="str">
        <f t="shared" si="380"/>
        <v>Price.com.hk 香港格價網</v>
      </c>
      <c r="C6609" s="80" t="s">
        <v>7137</v>
      </c>
      <c r="D6609" s="81" t="str">
        <f>HYPERLINK("https://youtube.com/watch?v=kOWvZHcS4eI", "Price送禮 ！夏日散熱 風扇選購攻略｜松井升降鴻運扇｜無葉噴霧風扇｜木紋系列金屬座枱風扇｜左右送風循環扇｜特約專題｜廣東話【Price.com.hk 產品介紹】")</f>
        <v>Price送禮 ！夏日散熱 風扇選購攻略｜松井升降鴻運扇｜無葉噴霧風扇｜木紋系列金屬座枱風扇｜左右送風循環扇｜特約專題｜廣東話【Price.com.hk 產品介紹】</v>
      </c>
      <c r="E6609" s="82">
        <v>45069.0</v>
      </c>
      <c r="F6609" s="80">
        <v>257.0</v>
      </c>
      <c r="G6609" s="80" t="s">
        <v>63</v>
      </c>
      <c r="I6609" s="80" t="s">
        <v>63</v>
      </c>
      <c r="J6609" s="80">
        <v>1031.0</v>
      </c>
      <c r="K6609" s="80">
        <v>0.898866608544027</v>
      </c>
      <c r="L6609" s="80" t="s">
        <v>64</v>
      </c>
    </row>
    <row r="6610">
      <c r="A6610" s="80" t="s">
        <v>6892</v>
      </c>
      <c r="B6610" s="81" t="str">
        <f>HYPERLINK("https://www.youtube.com/channel/UC8_hxeY0nDCL-8ETbcGUZ9g", "PT食為先")</f>
        <v>PT食為先</v>
      </c>
      <c r="C6610" s="80" t="s">
        <v>7138</v>
      </c>
      <c r="D6610" s="81" t="str">
        <f>HYPERLINK("https://youtube.com/watch?v=AeSjUNZmVw0", "[PT自費食評] 新張優惠免加一！前菜 餐湯 甜品任食👍肉眼牛扒3成熟超滑嫩🥩銅鑼灣 5星級酒店 新開扒房 Carver 半自助午餐")</f>
        <v>[PT自費食評] 新張優惠免加一！前菜 餐湯 甜品任食👍肉眼牛扒3成熟超滑嫩🥩銅鑼灣 5星級酒店 新開扒房 Carver 半自助午餐</v>
      </c>
      <c r="E6610" s="82">
        <v>45079.0</v>
      </c>
      <c r="F6610" s="80">
        <v>859.0</v>
      </c>
      <c r="G6610" s="80" t="s">
        <v>63</v>
      </c>
      <c r="I6610" s="80" t="s">
        <v>63</v>
      </c>
      <c r="J6610" s="80">
        <v>1780.0</v>
      </c>
      <c r="K6610" s="80">
        <v>0.89</v>
      </c>
      <c r="L6610" s="80" t="s">
        <v>64</v>
      </c>
    </row>
    <row r="6611">
      <c r="A6611" s="80" t="s">
        <v>124</v>
      </c>
      <c r="B6611" s="81" t="str">
        <f>HYPERLINK("https://www.youtube.com/channel/UCg0vuSE0fBF_NvodyYhMcWg", "Wallace Studio HK")</f>
        <v>Wallace Studio HK</v>
      </c>
      <c r="C6611" s="80" t="s">
        <v>7139</v>
      </c>
      <c r="D6611" s="81" t="str">
        <f>HYPERLINK("https://youtube.com/watch?v=AA0TRYdLwlg", "Steam Deck 用戶評測: 基配版普通用戶抵用！雖然ROG Ally 好勁，但其實Steam Deck 都唔差")</f>
        <v>Steam Deck 用戶評測: 基配版普通用戶抵用！雖然ROG Ally 好勁，但其實Steam Deck 都唔差</v>
      </c>
      <c r="E6611" s="82">
        <v>45080.0</v>
      </c>
      <c r="F6611" s="80">
        <v>472.0</v>
      </c>
      <c r="G6611" s="80" t="s">
        <v>63</v>
      </c>
      <c r="H6611" s="80" t="s">
        <v>63</v>
      </c>
      <c r="I6611" s="80" t="s">
        <v>63</v>
      </c>
      <c r="J6611" s="80">
        <v>2173.0</v>
      </c>
      <c r="K6611" s="80">
        <v>0.779132305485837</v>
      </c>
      <c r="L6611" s="80" t="s">
        <v>86</v>
      </c>
    </row>
    <row r="6612">
      <c r="A6612" s="80" t="s">
        <v>2785</v>
      </c>
      <c r="B6612" s="81" t="str">
        <f>HYPERLINK("https://www.youtube.com/channel/UC_w7pV_Xz9XO0ChNFxMtV0w", "MPWeekly明周")</f>
        <v>MPWeekly明周</v>
      </c>
      <c r="C6612" s="80" t="s">
        <v>7140</v>
      </c>
      <c r="D6612" s="81" t="str">
        <f>HYPERLINK("https://youtube.com/watch?v=_YHu36l8B3E", "選完港姐翌日即有工作 吳幸美出道被封「翻版版吳美珩」│ 吳幸美專訪")</f>
        <v>選完港姐翌日即有工作 吳幸美出道被封「翻版版吳美珩」│ 吳幸美專訪</v>
      </c>
      <c r="E6612" s="82">
        <v>45075.0</v>
      </c>
      <c r="F6612" s="80">
        <v>247.0</v>
      </c>
      <c r="G6612" s="80" t="s">
        <v>63</v>
      </c>
      <c r="I6612" s="80" t="s">
        <v>63</v>
      </c>
      <c r="J6612" s="80">
        <v>788.0</v>
      </c>
      <c r="K6612" s="80">
        <v>0.965686274509803</v>
      </c>
      <c r="L6612" s="80" t="s">
        <v>64</v>
      </c>
    </row>
    <row r="6613">
      <c r="A6613" s="80" t="s">
        <v>5134</v>
      </c>
      <c r="B6613" s="81" t="str">
        <f>HYPERLINK("https://www.youtube.com/channel/UCGq7xle9PrLHpmdxrk0IlLw", "磚加專家 Danny Ching Top10%地產局金牌經紀百萬圓桌")</f>
        <v>磚加專家 Danny Ching Top10%地產局金牌經紀百萬圓桌</v>
      </c>
      <c r="C6613" s="80" t="s">
        <v>7141</v>
      </c>
      <c r="D6613" s="81" t="str">
        <f>HYPERLINK("https://youtube.com/watch?v=HcYeCCnMQp4", "[獨家代理] 1房單位 免GST5% 只須印花稅1.8% 二手市場 Nanamo &amp; Kingsway 2013年新 1車位 T&amp;T 商場及食肆附近 *OPEN HOUSE Sat Jun 3*")</f>
        <v>[獨家代理] 1房單位 免GST5% 只須印花稅1.8% 二手市場 Nanamo &amp; Kingsway 2013年新 1車位 T&amp;T 商場及食肆附近 *OPEN HOUSE Sat Jun 3*</v>
      </c>
      <c r="E6613" s="82">
        <v>45069.0</v>
      </c>
      <c r="F6613" s="80">
        <v>908.0</v>
      </c>
      <c r="G6613" s="80" t="s">
        <v>63</v>
      </c>
      <c r="I6613" s="80" t="s">
        <v>63</v>
      </c>
      <c r="J6613" s="80">
        <v>3057.0</v>
      </c>
      <c r="K6613" s="80">
        <v>0.769443745280644</v>
      </c>
      <c r="L6613" s="80" t="s">
        <v>102</v>
      </c>
    </row>
    <row r="6614">
      <c r="A6614" s="80" t="s">
        <v>217</v>
      </c>
      <c r="B6614" s="81" t="str">
        <f>HYPERLINK("https://www.youtube.com/channel/UCXKg0qPRz32bs5Z4mTGF3TQ", "Stormtrooper白兵")</f>
        <v>Stormtrooper白兵</v>
      </c>
      <c r="C6614" s="80" t="s">
        <v>7142</v>
      </c>
      <c r="D6614" s="81" t="str">
        <f>HYPERLINK("https://youtube.com/watch?v=OJZqgjUiYZs", "[不是陰謀論]高血壓－想唔食一世西藥，必先理解背後複雜的成因、西醫的盲點、西藥的問題｜中文字幕")</f>
        <v>[不是陰謀論]高血壓－想唔食一世西藥，必先理解背後複雜的成因、西醫的盲點、西藥的問題｜中文字幕</v>
      </c>
      <c r="E6614" s="82">
        <v>45078.0</v>
      </c>
      <c r="F6614" s="80">
        <v>729.0</v>
      </c>
      <c r="G6614" s="80" t="s">
        <v>63</v>
      </c>
      <c r="I6614" s="80" t="s">
        <v>63</v>
      </c>
      <c r="J6614" s="80">
        <v>3078.0</v>
      </c>
      <c r="K6614" s="80">
        <v>0.957983193277311</v>
      </c>
      <c r="L6614" s="80" t="s">
        <v>64</v>
      </c>
    </row>
    <row r="6615">
      <c r="A6615" s="80" t="s">
        <v>7099</v>
      </c>
      <c r="B6615" s="81" t="str">
        <f>HYPERLINK("https://www.youtube.com/channel/UCBwfrMS785JyWDUBRhOQkjw", "Karenly :")</f>
        <v>Karenly :</v>
      </c>
      <c r="C6615" s="80" t="s">
        <v>7143</v>
      </c>
      <c r="D6615" s="81" t="str">
        <f>HYPERLINK("https://youtube.com/watch?v=8idrcRoPPNk", "友和特約 傳統風扇．循環風扇大不同？Siroca 聲控風扇．IRIS OHYAMA 循環風扇｜日本家電｜內附優惠碼｜繁中字幕｜廣東話｜【Karenly:】")</f>
        <v>友和特約 傳統風扇．循環風扇大不同？Siroca 聲控風扇．IRIS OHYAMA 循環風扇｜日本家電｜內附優惠碼｜繁中字幕｜廣東話｜【Karenly:】</v>
      </c>
      <c r="E6615" s="82">
        <v>45065.0</v>
      </c>
      <c r="F6615" s="80">
        <v>336.0</v>
      </c>
      <c r="G6615" s="80" t="s">
        <v>63</v>
      </c>
      <c r="I6615" s="80" t="s">
        <v>63</v>
      </c>
      <c r="J6615" s="80">
        <v>1344.0</v>
      </c>
      <c r="K6615" s="80">
        <v>0.851711026615969</v>
      </c>
      <c r="L6615" s="80" t="s">
        <v>64</v>
      </c>
    </row>
    <row r="6616">
      <c r="A6616" s="80" t="s">
        <v>6892</v>
      </c>
      <c r="B6616" s="81" t="str">
        <f>HYPERLINK("https://www.youtube.com/channel/UC8_hxeY0nDCL-8ETbcGUZ9g", "PT食為先")</f>
        <v>PT食為先</v>
      </c>
      <c r="C6616" s="80" t="s">
        <v>7144</v>
      </c>
      <c r="D6616" s="81" t="str">
        <f>HYPERLINK("https://youtube.com/watch?v=S453YP8e-M0", "[PT自費遊記] XXDay定Xlook好？超平價包車、包導遊、包司機！最後景點先嚟中伏？丹嫩莎朵水上市場｜美功鐵路市集｜Jodd Fairs 喬德夜市｜曼谷｜Central Rama 9")</f>
        <v>[PT自費遊記] XXDay定Xlook好？超平價包車、包導遊、包司機！最後景點先嚟中伏？丹嫩莎朵水上市場｜美功鐵路市集｜Jodd Fairs 喬德夜市｜曼谷｜Central Rama 9</v>
      </c>
      <c r="E6616" s="82">
        <v>45083.0</v>
      </c>
      <c r="F6616" s="80">
        <v>855.0</v>
      </c>
      <c r="G6616" s="80" t="s">
        <v>63</v>
      </c>
      <c r="I6616" s="80" t="s">
        <v>63</v>
      </c>
      <c r="J6616" s="80">
        <v>2265.0</v>
      </c>
      <c r="K6616" s="80">
        <v>0.889980353634577</v>
      </c>
      <c r="L6616" s="80" t="s">
        <v>64</v>
      </c>
    </row>
    <row r="6617">
      <c r="A6617" s="80" t="s">
        <v>2829</v>
      </c>
      <c r="B6617" s="81" t="str">
        <f>HYPERLINK("https://www.youtube.com/channel/UC7GnES6AEQlDzaP04UqtyjA", "SOLID IDEA")</f>
        <v>SOLID IDEA</v>
      </c>
      <c r="C6617" s="80" t="s">
        <v>7145</v>
      </c>
      <c r="D6617" s="81" t="str">
        <f>HYPERLINK("https://youtube.com/watch?v=ZXfpPVd-4cE", "2023居屋裝修攻略｜設計 • idea ｜Solid Idea｜室內設計｜家居規劃｜星級設計｜［CC字幕］")</f>
        <v>2023居屋裝修攻略｜設計 • idea ｜Solid Idea｜室內設計｜家居規劃｜星級設計｜［CC字幕］</v>
      </c>
      <c r="E6617" s="82">
        <v>45083.0</v>
      </c>
      <c r="F6617" s="80">
        <v>129.0</v>
      </c>
      <c r="G6617" s="80" t="s">
        <v>63</v>
      </c>
      <c r="I6617" s="80" t="s">
        <v>63</v>
      </c>
      <c r="J6617" s="80">
        <v>438.0</v>
      </c>
      <c r="K6617" s="80">
        <v>0.988713318284424</v>
      </c>
      <c r="L6617" s="80" t="s">
        <v>64</v>
      </c>
    </row>
    <row r="6618">
      <c r="A6618" s="80" t="s">
        <v>2804</v>
      </c>
      <c r="B6618" s="81" t="str">
        <f>HYPERLINK("https://www.youtube.com/channel/UCrFrg50t0JqgqV2dkIrH5Hg", "投智財女 GirlbossInvest 創業投資智慧")</f>
        <v>投智財女 GirlbossInvest 創業投資智慧</v>
      </c>
      <c r="C6618" s="80" t="s">
        <v>7146</v>
      </c>
      <c r="D6618" s="81" t="str">
        <f>HYPERLINK("https://youtube.com/watch?v=_5B-MwVcj7o", "銀行不敢教你的3大信用卡秘密 | 無年薪開卡日日收息 6.2 厘？#信用卡 #信用額度 #無年薪可開 #慳錢 #退休理財")</f>
        <v>銀行不敢教你的3大信用卡秘密 | 無年薪開卡日日收息 6.2 厘？#信用卡 #信用額度 #無年薪可開 #慳錢 #退休理財</v>
      </c>
      <c r="E6618" s="82">
        <v>45083.0</v>
      </c>
      <c r="F6618" s="80">
        <v>804.0</v>
      </c>
      <c r="G6618" s="80" t="s">
        <v>63</v>
      </c>
      <c r="I6618" s="80" t="s">
        <v>63</v>
      </c>
      <c r="J6618" s="80">
        <v>3072.0</v>
      </c>
      <c r="K6618" s="80">
        <v>0.962707615167659</v>
      </c>
      <c r="L6618" s="80" t="s">
        <v>102</v>
      </c>
    </row>
    <row r="6619">
      <c r="A6619" s="80" t="s">
        <v>96</v>
      </c>
      <c r="B6619" s="81" t="str">
        <f>HYPERLINK("https://www.youtube.com/channel/UCGtyHJ-L_4RDIHe3XaLofQQ", "Anson Cheung")</f>
        <v>Anson Cheung</v>
      </c>
      <c r="C6619" s="80" t="s">
        <v>7147</v>
      </c>
      <c r="D6619" s="81" t="str">
        <f>HYPERLINK("https://youtube.com/watch?v=KxptmLh2zqs", "我本身冇諗住拍呢條片⋯｜TCL 亞洲區發佈會實況")</f>
        <v>我本身冇諗住拍呢條片⋯｜TCL 亞洲區發佈會實況</v>
      </c>
      <c r="E6619" s="82">
        <v>45084.0</v>
      </c>
      <c r="F6619" s="80">
        <v>313.0</v>
      </c>
      <c r="G6619" s="80" t="s">
        <v>63</v>
      </c>
      <c r="I6619" s="80" t="s">
        <v>63</v>
      </c>
      <c r="J6619" s="80">
        <v>1202.0</v>
      </c>
      <c r="K6619" s="80">
        <v>0.726723095525997</v>
      </c>
      <c r="L6619" s="80" t="s">
        <v>102</v>
      </c>
    </row>
    <row r="6620">
      <c r="A6620" s="80" t="s">
        <v>2041</v>
      </c>
      <c r="B6620" s="81" t="str">
        <f>HYPERLINK("https://www.youtube.com/channel/UCO6pB-ZN4XJ6MVkibvuEe0A", "SingSingTracker 星昇財經指標")</f>
        <v>SingSingTracker 星昇財經指標</v>
      </c>
      <c r="C6620" s="80" t="s">
        <v>7148</v>
      </c>
      <c r="D6620" s="81" t="str">
        <f>HYPERLINK("https://youtube.com/watch?v=e-aYer23Oq8", "《AI 女主持-小Sing🌸》分享【5月29日-6月2日盈利回顧💰】[講解追蹤🔍未來股市動向📈] #ai主播 #人工智能 #熱門 #火爆 #投資 #股票 #外匯 #致富 #黃金")</f>
        <v>《AI 女主持-小Sing🌸》分享【5月29日-6月2日盈利回顧💰】[講解追蹤🔍未來股市動向📈] #ai主播 #人工智能 #熱門 #火爆 #投資 #股票 #外匯 #致富 #黃金</v>
      </c>
      <c r="E6620" s="82">
        <v>45084.0</v>
      </c>
      <c r="F6620" s="80">
        <v>250.0</v>
      </c>
      <c r="G6620" s="80" t="s">
        <v>63</v>
      </c>
      <c r="I6620" s="80" t="s">
        <v>63</v>
      </c>
      <c r="J6620" s="80">
        <v>976.0</v>
      </c>
      <c r="K6620" s="80">
        <v>0.974051896207584</v>
      </c>
      <c r="L6620" s="80" t="s">
        <v>64</v>
      </c>
    </row>
    <row r="6621">
      <c r="A6621" s="80" t="s">
        <v>96</v>
      </c>
      <c r="B6621" s="81" t="str">
        <f>HYPERLINK("https://www.youtube.com/channel/UCGtyHJ-L_4RDIHe3XaLofQQ", "Anson Cheung")</f>
        <v>Anson Cheung</v>
      </c>
      <c r="C6621" s="80" t="s">
        <v>7149</v>
      </c>
      <c r="D6621" s="81" t="str">
        <f>HYPERLINK("https://youtube.com/watch?v=qcc4_6GasmI", "我極期待Apple Vision Pro⋯但我唔相信佢係未來嘅主流｜Apple WWDC 2023 Keynote 後感")</f>
        <v>我極期待Apple Vision Pro⋯但我唔相信佢係未來嘅主流｜Apple WWDC 2023 Keynote 後感</v>
      </c>
      <c r="E6621" s="82">
        <v>45086.0</v>
      </c>
      <c r="F6621" s="80">
        <v>852.0</v>
      </c>
      <c r="G6621" s="80" t="s">
        <v>63</v>
      </c>
      <c r="I6621" s="80" t="s">
        <v>63</v>
      </c>
      <c r="J6621" s="80">
        <v>3289.0</v>
      </c>
      <c r="K6621" s="80">
        <v>0.651545166402535</v>
      </c>
      <c r="L6621" s="80" t="s">
        <v>102</v>
      </c>
    </row>
    <row r="6622">
      <c r="A6622" s="80" t="s">
        <v>124</v>
      </c>
      <c r="B6622" s="81" t="str">
        <f>HYPERLINK("https://www.youtube.com/channel/UCg0vuSE0fBF_NvodyYhMcWg", "Wallace Studio HK")</f>
        <v>Wallace Studio HK</v>
      </c>
      <c r="C6622" s="80" t="s">
        <v>7150</v>
      </c>
      <c r="D6622" s="81" t="str">
        <f>HYPERLINK("https://youtube.com/watch?v=d2N3Mgmbhls", "iPad Pro Final Cut Pro入門教學：超容易學，超快上手！ （廣東話）")</f>
        <v>iPad Pro Final Cut Pro入門教學：超容易學，超快上手！ （廣東話）</v>
      </c>
      <c r="E6622" s="82">
        <v>45081.0</v>
      </c>
      <c r="F6622" s="80">
        <v>1331.0</v>
      </c>
      <c r="G6622" s="80" t="s">
        <v>63</v>
      </c>
      <c r="I6622" s="80" t="s">
        <v>63</v>
      </c>
      <c r="J6622" s="80">
        <v>4918.0</v>
      </c>
      <c r="K6622" s="80">
        <v>0.681163434903047</v>
      </c>
      <c r="L6622" s="80" t="s">
        <v>64</v>
      </c>
    </row>
    <row r="6623">
      <c r="A6623" s="80" t="s">
        <v>217</v>
      </c>
      <c r="B6623" s="81" t="str">
        <f>HYPERLINK("https://www.youtube.com/channel/UCXKg0qPRz32bs5Z4mTGF3TQ", "Stormtrooper白兵")</f>
        <v>Stormtrooper白兵</v>
      </c>
      <c r="C6623" s="80" t="s">
        <v>7151</v>
      </c>
      <c r="D6623" s="81" t="str">
        <f>HYPERLINK("https://youtube.com/watch?v=vIJJ3t7N-kE", "[不是陰謀論]穀物是食糧還是政治工具？？｜狩獵者更高大健康＋自由，農民只有奴役＋營養不良｜中文字幕")</f>
        <v>[不是陰謀論]穀物是食糧還是政治工具？？｜狩獵者更高大健康＋自由，農民只有奴役＋營養不良｜中文字幕</v>
      </c>
      <c r="E6623" s="82">
        <v>45085.0</v>
      </c>
      <c r="F6623" s="80">
        <v>999.0</v>
      </c>
      <c r="G6623" s="80" t="s">
        <v>63</v>
      </c>
      <c r="I6623" s="80" t="s">
        <v>63</v>
      </c>
      <c r="J6623" s="80">
        <v>3847.0</v>
      </c>
      <c r="K6623" s="80">
        <v>0.983384458077709</v>
      </c>
      <c r="L6623" s="80" t="s">
        <v>64</v>
      </c>
    </row>
    <row r="6624">
      <c r="A6624" s="80" t="s">
        <v>96</v>
      </c>
      <c r="B6624" s="81" t="str">
        <f>HYPERLINK("https://www.youtube.com/channel/UCGtyHJ-L_4RDIHe3XaLofQQ", "Anson Cheung")</f>
        <v>Anson Cheung</v>
      </c>
      <c r="C6624" s="80" t="s">
        <v>7152</v>
      </c>
      <c r="D6624" s="81" t="str">
        <f>HYPERLINK("https://youtube.com/watch?v=wuDsEq0ez9I", "以前嘅OnePlus 真係番咗嚟？｜OnePlus 11 評測")</f>
        <v>以前嘅OnePlus 真係番咗嚟？｜OnePlus 11 評測</v>
      </c>
      <c r="E6624" s="82">
        <v>45086.0</v>
      </c>
      <c r="F6624" s="80">
        <v>724.0</v>
      </c>
      <c r="G6624" s="80" t="s">
        <v>63</v>
      </c>
      <c r="I6624" s="80" t="s">
        <v>63</v>
      </c>
      <c r="J6624" s="80">
        <v>2633.0</v>
      </c>
      <c r="K6624" s="80">
        <v>0.60878612716763</v>
      </c>
      <c r="L6624" s="80" t="s">
        <v>240</v>
      </c>
    </row>
    <row r="6625">
      <c r="A6625" s="80" t="s">
        <v>6892</v>
      </c>
      <c r="B6625" s="81" t="str">
        <f>HYPERLINK("https://www.youtube.com/channel/UC8_hxeY0nDCL-8ETbcGUZ9g", "PT食為先")</f>
        <v>PT食為先</v>
      </c>
      <c r="C6625" s="80" t="s">
        <v>7153</v>
      </c>
      <c r="D6625" s="81" t="str">
        <f>HYPERLINK("https://youtube.com/watch?v=pWhB6niRYWw", "[PT自費食評] 跟名人搵食🍽人人都啱食嘅素菜餐廳～泰國咖哩金麵＋擔擔炒意粉！再同你去金鐘地鐵站睇大黃鴨主題出口🐤必去打卡位")</f>
        <v>[PT自費食評] 跟名人搵食🍽人人都啱食嘅素菜餐廳～泰國咖哩金麵＋擔擔炒意粉！再同你去金鐘地鐵站睇大黃鴨主題出口🐤必去打卡位</v>
      </c>
      <c r="E6625" s="82">
        <v>45086.0</v>
      </c>
      <c r="F6625" s="80">
        <v>617.0</v>
      </c>
      <c r="G6625" s="80" t="s">
        <v>63</v>
      </c>
      <c r="I6625" s="80" t="s">
        <v>63</v>
      </c>
      <c r="J6625" s="80">
        <v>1592.0</v>
      </c>
      <c r="K6625" s="80">
        <v>0.949314251639833</v>
      </c>
      <c r="L6625" s="80" t="s">
        <v>64</v>
      </c>
    </row>
    <row r="6626">
      <c r="A6626" s="80" t="s">
        <v>7025</v>
      </c>
      <c r="B6626" s="81" t="str">
        <f>HYPERLINK("https://www.youtube.com/channel/UCFOV-oWYewHOXKuZP-yNsmw", "CoverDog")</f>
        <v>CoverDog</v>
      </c>
      <c r="C6626" s="80" t="s">
        <v>7154</v>
      </c>
      <c r="D6626" s="81" t="str">
        <f>HYPERLINK("https://youtube.com/watch?v=Qp0BqGwcN-M", "YE AHS x CoverDog 封面狗《singalone song》 | Hook Factory")</f>
        <v>YE AHS x CoverDog 封面狗《singalone song》 | Hook Factory</v>
      </c>
      <c r="E6626" s="82">
        <v>45084.0</v>
      </c>
      <c r="F6626" s="80">
        <v>271.0</v>
      </c>
      <c r="G6626" s="80" t="s">
        <v>63</v>
      </c>
      <c r="I6626" s="80" t="s">
        <v>63</v>
      </c>
      <c r="J6626" s="80">
        <v>525.0</v>
      </c>
      <c r="K6626" s="80">
        <v>0.777777777777777</v>
      </c>
      <c r="L6626" s="80" t="s">
        <v>102</v>
      </c>
    </row>
    <row r="6627">
      <c r="A6627" s="80" t="s">
        <v>2829</v>
      </c>
      <c r="B6627" s="81" t="str">
        <f>HYPERLINK("https://www.youtube.com/channel/UC7GnES6AEQlDzaP04UqtyjA", "SOLID IDEA")</f>
        <v>SOLID IDEA</v>
      </c>
      <c r="C6627" s="80" t="s">
        <v>7155</v>
      </c>
      <c r="D6627" s="81" t="str">
        <f>HYPERLINK("https://youtube.com/watch?v=vHONZXI2vBQ", "舊樓全爆有咩新意搞？｜設計 • idea ｜Solid Idea｜室內設計｜家居規劃｜星級設計｜［CC字幕］")</f>
        <v>舊樓全爆有咩新意搞？｜設計 • idea ｜Solid Idea｜室內設計｜家居規劃｜星級設計｜［CC字幕］</v>
      </c>
      <c r="E6627" s="82">
        <v>45069.0</v>
      </c>
      <c r="F6627" s="80">
        <v>159.0</v>
      </c>
      <c r="G6627" s="80" t="s">
        <v>63</v>
      </c>
      <c r="I6627" s="80" t="s">
        <v>63</v>
      </c>
      <c r="J6627" s="80">
        <v>543.0</v>
      </c>
      <c r="K6627" s="80">
        <v>0.998161764705882</v>
      </c>
      <c r="L6627" s="80" t="s">
        <v>64</v>
      </c>
    </row>
    <row r="6628">
      <c r="A6628" s="80" t="s">
        <v>96</v>
      </c>
      <c r="B6628" s="81" t="str">
        <f>HYPERLINK("https://www.youtube.com/channel/UCGtyHJ-L_4RDIHe3XaLofQQ", "Anson Cheung")</f>
        <v>Anson Cheung</v>
      </c>
      <c r="C6628" s="80" t="s">
        <v>7156</v>
      </c>
      <c r="D6628" s="81" t="str">
        <f>HYPERLINK("https://youtube.com/watch?v=gSOyuMHB3n0", "$3000 耳機冇ANC？到底發生了甚麼事？｜Noble Fokus Mystique")</f>
        <v>$3000 耳機冇ANC？到底發生了甚麼事？｜Noble Fokus Mystique</v>
      </c>
      <c r="E6628" s="82">
        <v>45073.0</v>
      </c>
      <c r="F6628" s="80">
        <v>538.0</v>
      </c>
      <c r="G6628" s="80" t="s">
        <v>63</v>
      </c>
      <c r="I6628" s="80" t="s">
        <v>63</v>
      </c>
      <c r="J6628" s="80">
        <v>2020.0</v>
      </c>
      <c r="K6628" s="80">
        <v>0.706293706293706</v>
      </c>
      <c r="L6628" s="80" t="s">
        <v>64</v>
      </c>
    </row>
    <row r="6629">
      <c r="A6629" s="80" t="s">
        <v>6919</v>
      </c>
      <c r="B6629" s="81" t="str">
        <f t="shared" ref="B6629:B6630" si="381">HYPERLINK("https://www.youtube.com/channel/UCF6M5AH_OALkimFGKdlWfCw", "采姐姐的故事王國 Lillian's Story Kingdom")</f>
        <v>采姐姐的故事王國 Lillian's Story Kingdom</v>
      </c>
      <c r="C6629" s="80" t="s">
        <v>7157</v>
      </c>
      <c r="D6629" s="81" t="str">
        <f>HYPERLINK("https://youtube.com/watch?v=NMWJ7mlhPKY", "【偽動畫故事】小兔子學花錢 | Spend It! | 如何理性消費、建立正確金錢觀 - 粵語 (有字幕)")</f>
        <v>【偽動畫故事】小兔子學花錢 | Spend It! | 如何理性消費、建立正確金錢觀 - 粵語 (有字幕)</v>
      </c>
      <c r="E6629" s="82">
        <v>45081.0</v>
      </c>
      <c r="F6629" s="80">
        <v>410.0</v>
      </c>
      <c r="G6629" s="80" t="s">
        <v>63</v>
      </c>
      <c r="I6629" s="80" t="s">
        <v>63</v>
      </c>
      <c r="J6629" s="80">
        <v>1098.0</v>
      </c>
      <c r="K6629" s="80">
        <v>0.981233243967828</v>
      </c>
      <c r="L6629" s="80" t="s">
        <v>64</v>
      </c>
    </row>
    <row r="6630">
      <c r="A6630" s="80" t="s">
        <v>6919</v>
      </c>
      <c r="B6630" s="81" t="str">
        <f t="shared" si="381"/>
        <v>采姐姐的故事王國 Lillian's Story Kingdom</v>
      </c>
      <c r="C6630" s="80" t="s">
        <v>7158</v>
      </c>
      <c r="D6630" s="81" t="str">
        <f>HYPERLINK("https://youtube.com/watch?v=tCHmNWR-WWI", "【偽動畫故事】老婆婆與醫生 | The Old Lady And The Doctor | 若要人不知, 除非己莫為 - 粵語 (有字幕)")</f>
        <v>【偽動畫故事】老婆婆與醫生 | The Old Lady And The Doctor | 若要人不知, 除非己莫為 - 粵語 (有字幕)</v>
      </c>
      <c r="E6630" s="82">
        <v>45088.0</v>
      </c>
      <c r="F6630" s="80">
        <v>261.0</v>
      </c>
      <c r="G6630" s="80" t="s">
        <v>63</v>
      </c>
      <c r="I6630" s="80" t="s">
        <v>63</v>
      </c>
      <c r="J6630" s="80">
        <v>702.0</v>
      </c>
      <c r="K6630" s="80">
        <v>0.983193277310924</v>
      </c>
      <c r="L6630" s="80" t="s">
        <v>64</v>
      </c>
    </row>
    <row r="6631">
      <c r="A6631" s="80" t="s">
        <v>242</v>
      </c>
      <c r="B6631" s="81" t="str">
        <f>HYPERLINK("https://www.youtube.com/channel/UCZGVB6g74LXWtkR3fX50ykg", "Edwin H.")</f>
        <v>Edwin H.</v>
      </c>
      <c r="C6631" s="80" t="s">
        <v>7159</v>
      </c>
      <c r="D6631" s="81" t="str">
        <f>HYPERLINK("https://youtube.com/watch?v=ulEK_WnSdYI", "12分鐘廣東話精華 Apple  Vision Pro 🍎 iOS 17 發佈會 💻 WWDC 2023 懶人包 中文 MacBook Air 15"" Mac Pro Sonoma")</f>
        <v>12分鐘廣東話精華 Apple  Vision Pro 🍎 iOS 17 發佈會 💻 WWDC 2023 懶人包 中文 MacBook Air 15" Mac Pro Sonoma</v>
      </c>
      <c r="E6631" s="82">
        <v>45083.0</v>
      </c>
      <c r="F6631" s="80">
        <v>762.0</v>
      </c>
      <c r="G6631" s="80" t="s">
        <v>63</v>
      </c>
      <c r="I6631" s="80" t="s">
        <v>63</v>
      </c>
      <c r="J6631" s="80">
        <v>3174.0</v>
      </c>
      <c r="K6631" s="80">
        <v>0.694377597899803</v>
      </c>
      <c r="L6631" s="80" t="s">
        <v>64</v>
      </c>
    </row>
    <row r="6632">
      <c r="A6632" s="80" t="s">
        <v>2766</v>
      </c>
      <c r="B6632" s="81" t="str">
        <f>HYPERLINK("https://www.youtube.com/channel/UCrZG5sGryxwgSDQSlHgmZTw", "GadgetGang HK")</f>
        <v>GadgetGang HK</v>
      </c>
      <c r="C6632" s="80" t="s">
        <v>7160</v>
      </c>
      <c r="D6632" s="81" t="str">
        <f>HYPERLINK("https://youtube.com/watch?v=v6OGr03PNVE", "科技新G〡Photoshop AI功能一鍵換衫換樣〡Amazfit抵玩長氣運動智能錶〡實試Boya 八嚿水無線咪 〡HYDRAGUN 發燒關節按摩器〡 Corsair iCue Link砌機執線無煩惱")</f>
        <v>科技新G〡Photoshop AI功能一鍵換衫換樣〡Amazfit抵玩長氣運動智能錶〡實試Boya 八嚿水無線咪 〡HYDRAGUN 發燒關節按摩器〡 Corsair iCue Link砌機執線無煩惱</v>
      </c>
      <c r="E6632" s="82">
        <v>45081.0</v>
      </c>
      <c r="F6632" s="80">
        <v>747.0</v>
      </c>
      <c r="G6632" s="80" t="s">
        <v>63</v>
      </c>
      <c r="I6632" s="80" t="s">
        <v>63</v>
      </c>
      <c r="J6632" s="80">
        <v>2541.0</v>
      </c>
      <c r="K6632" s="80">
        <v>0.803097345132743</v>
      </c>
      <c r="L6632" s="80" t="s">
        <v>64</v>
      </c>
    </row>
    <row r="6633">
      <c r="A6633" s="80" t="s">
        <v>96</v>
      </c>
      <c r="B6633" s="81" t="str">
        <f>HYPERLINK("https://www.youtube.com/channel/UCGtyHJ-L_4RDIHe3XaLofQQ", "Anson Cheung")</f>
        <v>Anson Cheung</v>
      </c>
      <c r="C6633" s="80" t="s">
        <v>7161</v>
      </c>
      <c r="D6633" s="81" t="str">
        <f>HYPERLINK("https://youtube.com/watch?v=px3szUrtnmw", "解答七個 iPad 版 Final Cut Pro 疑問/迷思：點解未可以同 Mac 版互通？可唔可以support plug-ins？點睇訂閱制收費？")</f>
        <v>解答七個 iPad 版 Final Cut Pro 疑問/迷思：點解未可以同 Mac 版互通？可唔可以support plug-ins？點睇訂閱制收費？</v>
      </c>
      <c r="E6633" s="82">
        <v>45070.0</v>
      </c>
      <c r="F6633" s="80">
        <v>683.0</v>
      </c>
      <c r="G6633" s="80" t="s">
        <v>63</v>
      </c>
      <c r="I6633" s="80" t="s">
        <v>63</v>
      </c>
      <c r="J6633" s="80">
        <v>2475.0</v>
      </c>
      <c r="K6633" s="80">
        <v>0.557306912857464</v>
      </c>
      <c r="L6633" s="80" t="s">
        <v>64</v>
      </c>
    </row>
    <row r="6634">
      <c r="A6634" s="80" t="s">
        <v>2766</v>
      </c>
      <c r="B6634" s="81" t="str">
        <f>HYPERLINK("https://www.youtube.com/channel/UCrZG5sGryxwgSDQSlHgmZTw", "GadgetGang HK")</f>
        <v>GadgetGang HK</v>
      </c>
      <c r="C6634" s="80" t="s">
        <v>7162</v>
      </c>
      <c r="D6634" s="81" t="str">
        <f>HYPERLINK("https://youtube.com/watch?v=48m3TGITLAU", "WWDC 23〡Vision Pro 實機細睇 優點 缺點分析 〡 15” MacBook Air 實機比較 13吋 MBA〡 Apple Park 內部揭秘 總部都有人認得阿聰？〡實測行一圈要幾耐？")</f>
        <v>WWDC 23〡Vision Pro 實機細睇 優點 缺點分析 〡 15” MacBook Air 實機比較 13吋 MBA〡 Apple Park 內部揭秘 總部都有人認得阿聰？〡實測行一圈要幾耐？</v>
      </c>
      <c r="E6634" s="82">
        <v>45083.0</v>
      </c>
      <c r="F6634" s="80">
        <v>763.0</v>
      </c>
      <c r="G6634" s="80" t="s">
        <v>63</v>
      </c>
      <c r="I6634" s="80" t="s">
        <v>63</v>
      </c>
      <c r="J6634" s="80">
        <v>2677.0</v>
      </c>
      <c r="K6634" s="80">
        <v>0.819406183042546</v>
      </c>
      <c r="L6634" s="80" t="s">
        <v>64</v>
      </c>
    </row>
    <row r="6635">
      <c r="A6635" s="80" t="s">
        <v>2829</v>
      </c>
      <c r="B6635" s="81" t="str">
        <f>HYPERLINK("https://www.youtube.com/channel/UC7GnES6AEQlDzaP04UqtyjA", "SOLID IDEA")</f>
        <v>SOLID IDEA</v>
      </c>
      <c r="C6635" s="80" t="s">
        <v>7163</v>
      </c>
      <c r="D6635" s="81" t="str">
        <f>HYPERLINK("https://youtube.com/watch?v=I1QpPNVltXI", "中島不單設置係廚房！｜設計 • idea | ｜Solid Idea｜室內設計｜家居規劃｜星級設計｜［CC字幕］")</f>
        <v>中島不單設置係廚房！｜設計 • idea | ｜Solid Idea｜室內設計｜家居規劃｜星級設計｜［CC字幕］</v>
      </c>
      <c r="E6635" s="82">
        <v>45055.0</v>
      </c>
      <c r="F6635" s="80">
        <v>167.0</v>
      </c>
      <c r="G6635" s="80" t="s">
        <v>63</v>
      </c>
      <c r="I6635" s="80" t="s">
        <v>63</v>
      </c>
      <c r="J6635" s="80">
        <v>582.0</v>
      </c>
      <c r="K6635" s="80">
        <v>0.978151260504201</v>
      </c>
      <c r="L6635" s="80" t="s">
        <v>64</v>
      </c>
    </row>
    <row r="6636">
      <c r="A6636" s="80" t="s">
        <v>124</v>
      </c>
      <c r="B6636" s="81" t="str">
        <f>HYPERLINK("https://www.youtube.com/channel/UCg0vuSE0fBF_NvodyYhMcWg", "Wallace Studio HK")</f>
        <v>Wallace Studio HK</v>
      </c>
      <c r="C6636" s="80" t="s">
        <v>7164</v>
      </c>
      <c r="D6636" s="81" t="str">
        <f>HYPERLINK("https://youtube.com/watch?v=GS7falOg78o", "Apple WWDC2023 Vision Pro首次亮相，科技未來已經到來！")</f>
        <v>Apple WWDC2023 Vision Pro首次亮相，科技未來已經到來！</v>
      </c>
      <c r="E6636" s="82">
        <v>45087.0</v>
      </c>
      <c r="F6636" s="80">
        <v>324.0</v>
      </c>
      <c r="G6636" s="80" t="s">
        <v>63</v>
      </c>
      <c r="H6636" s="80" t="s">
        <v>63</v>
      </c>
      <c r="I6636" s="80" t="s">
        <v>63</v>
      </c>
      <c r="J6636" s="80">
        <v>1365.0</v>
      </c>
      <c r="K6636" s="80">
        <v>0.804360636417206</v>
      </c>
      <c r="L6636" s="80" t="s">
        <v>4980</v>
      </c>
    </row>
    <row r="6637">
      <c r="A6637" s="80" t="s">
        <v>5868</v>
      </c>
      <c r="B6637" s="81" t="str">
        <f>HYPERLINK("https://www.youtube.com/channel/UCVvdX8wGBmCM9KerhiVu_Ig", "McFatty 麥花田")</f>
        <v>McFatty 麥花田</v>
      </c>
      <c r="C6637" s="80" t="s">
        <v>7165</v>
      </c>
      <c r="D6637" s="81" t="str">
        <f>HYPERLINK("https://youtube.com/watch?v=e2-ovQi0qxc", "夜冷尋寶 買完都唔知買咗咩? 附廣東話字幕 Ep157")</f>
        <v>夜冷尋寶 買完都唔知買咗咩? 附廣東話字幕 Ep157</v>
      </c>
      <c r="E6637" s="82">
        <v>45081.0</v>
      </c>
      <c r="F6637" s="80">
        <v>1326.0</v>
      </c>
      <c r="G6637" s="80" t="s">
        <v>63</v>
      </c>
      <c r="I6637" s="80" t="s">
        <v>63</v>
      </c>
      <c r="J6637" s="80">
        <v>4903.0</v>
      </c>
      <c r="K6637" s="80">
        <v>0.920232732732732</v>
      </c>
      <c r="L6637" s="80" t="s">
        <v>102</v>
      </c>
    </row>
    <row r="6638">
      <c r="A6638" s="80" t="s">
        <v>248</v>
      </c>
      <c r="B6638" s="81" t="str">
        <f t="shared" ref="B6638:B6639" si="382">HYPERLINK("https://www.youtube.com/channel/UCUEJok-GiWaGlv5nIPwk-GQ", "Price.com.hk 香港格價網")</f>
        <v>Price.com.hk 香港格價網</v>
      </c>
      <c r="C6638" s="80" t="s">
        <v>7166</v>
      </c>
      <c r="D6638" s="81" t="str">
        <f>HYPERLINK("https://youtube.com/watch?v=mkzAYzjUcjQ", "WWDC23懶人包｜ 震撼性新眼罩VisionPro現身｜15吋MacBook Air｜M2 Ultra MacPro、Mac Studio｜全線新OS｜廣東話【Price.com.hk 產品情報】")</f>
        <v>WWDC23懶人包｜ 震撼性新眼罩VisionPro現身｜15吋MacBook Air｜M2 Ultra MacPro、Mac Studio｜全線新OS｜廣東話【Price.com.hk 產品情報】</v>
      </c>
      <c r="E6638" s="82">
        <v>45083.0</v>
      </c>
      <c r="F6638" s="80">
        <v>648.0</v>
      </c>
      <c r="G6638" s="80" t="s">
        <v>63</v>
      </c>
      <c r="I6638" s="80" t="s">
        <v>63</v>
      </c>
      <c r="J6638" s="80">
        <v>2066.0</v>
      </c>
      <c r="K6638" s="80">
        <v>0.647851991219818</v>
      </c>
      <c r="L6638" s="80" t="s">
        <v>64</v>
      </c>
    </row>
    <row r="6639">
      <c r="A6639" s="80" t="s">
        <v>248</v>
      </c>
      <c r="B6639" s="81" t="str">
        <f t="shared" si="382"/>
        <v>Price.com.hk 香港格價網</v>
      </c>
      <c r="C6639" s="80" t="s">
        <v>7167</v>
      </c>
      <c r="D6639" s="81" t="str">
        <f>HYPERLINK("https://youtube.com/watch?v=mHjW0ZrUWFQ", "Apple WWDC沒有話你知的事Vision Pro出年殺入VR市場、Meta Quest 3 秋季開賣、無鏡頭AI相機、WF-1000XM5規格曝光｜廣東話【Price Weekly #170 】")</f>
        <v>Apple WWDC沒有話你知的事Vision Pro出年殺入VR市場、Meta Quest 3 秋季開賣、無鏡頭AI相機、WF-1000XM5規格曝光｜廣東話【Price Weekly #170 】</v>
      </c>
      <c r="E6639" s="82">
        <v>45087.0</v>
      </c>
      <c r="F6639" s="80">
        <v>449.0</v>
      </c>
      <c r="G6639" s="80" t="s">
        <v>63</v>
      </c>
      <c r="I6639" s="80" t="s">
        <v>63</v>
      </c>
      <c r="J6639" s="80">
        <v>1732.0</v>
      </c>
      <c r="K6639" s="80">
        <v>0.750433275563258</v>
      </c>
      <c r="L6639" s="80" t="s">
        <v>64</v>
      </c>
    </row>
    <row r="6640">
      <c r="A6640" s="80" t="s">
        <v>124</v>
      </c>
      <c r="B6640" s="81" t="str">
        <f>HYPERLINK("https://www.youtube.com/channel/UCg0vuSE0fBF_NvodyYhMcWg", "Wallace Studio HK")</f>
        <v>Wallace Studio HK</v>
      </c>
      <c r="C6640" s="80" t="s">
        <v>7168</v>
      </c>
      <c r="D6640" s="81" t="str">
        <f>HYPERLINK("https://youtube.com/watch?v=0cno05JXm-Y", "Macbook Air 15 發佈! VS 13吋Air， 14 吋Macbook Pro 點揀好!?  (Apple WWDC2023)")</f>
        <v>Macbook Air 15 發佈! VS 13吋Air， 14 吋Macbook Pro 點揀好!?  (Apple WWDC2023)</v>
      </c>
      <c r="E6640" s="82">
        <v>45088.0</v>
      </c>
      <c r="F6640" s="80">
        <v>270.0</v>
      </c>
      <c r="G6640" s="80" t="s">
        <v>63</v>
      </c>
      <c r="H6640" s="80" t="s">
        <v>63</v>
      </c>
      <c r="I6640" s="80" t="s">
        <v>63</v>
      </c>
      <c r="J6640" s="80">
        <v>837.0</v>
      </c>
      <c r="K6640" s="80">
        <v>0.604768786127167</v>
      </c>
      <c r="L6640" s="80" t="s">
        <v>4980</v>
      </c>
    </row>
    <row r="6641">
      <c r="A6641" s="80" t="s">
        <v>242</v>
      </c>
      <c r="B6641" s="81" t="str">
        <f>HYPERLINK("https://www.youtube.com/channel/UCZGVB6g74LXWtkR3fX50ykg", "Edwin H.")</f>
        <v>Edwin H.</v>
      </c>
      <c r="C6641" s="80" t="s">
        <v>7169</v>
      </c>
      <c r="D6641" s="81" t="str">
        <f>HYPERLINK("https://youtube.com/watch?v=RL1c7L7VwKk", "Apple發佈會 🍎 誠實豆沙包版  Vision Pro 懶人包 iOS 17 WWDC 2023 中文 MacOS Sonoma")</f>
        <v>Apple發佈會 🍎 誠實豆沙包版  Vision Pro 懶人包 iOS 17 WWDC 2023 中文 MacOS Sonoma</v>
      </c>
      <c r="E6641" s="82">
        <v>45084.0</v>
      </c>
      <c r="F6641" s="80">
        <v>1069.0</v>
      </c>
      <c r="G6641" s="80" t="s">
        <v>63</v>
      </c>
      <c r="I6641" s="80" t="s">
        <v>63</v>
      </c>
      <c r="J6641" s="80">
        <v>3247.0</v>
      </c>
      <c r="K6641" s="80">
        <v>0.758113471865514</v>
      </c>
      <c r="L6641" s="80" t="s">
        <v>64</v>
      </c>
    </row>
    <row r="6642">
      <c r="A6642" s="80" t="s">
        <v>260</v>
      </c>
      <c r="B6642" s="81" t="str">
        <f>HYPERLINK("https://www.youtube.com/channel/UC-HXOikkLx7BGEfILGIpYOg", "港短 . 英移")</f>
        <v>港短 . 英移</v>
      </c>
      <c r="C6642" s="80" t="s">
        <v>7170</v>
      </c>
      <c r="D6642" s="81" t="str">
        <f>HYPERLINK("https://youtube.com/watch?v=L5gpQqXC-j0", "6個超越「必去」倫敦在地推薦｜不為人知倫敦另類景點  第2集| 港短英移")</f>
        <v>6個超越「必去」倫敦在地推薦｜不為人知倫敦另類景點  第2集| 港短英移</v>
      </c>
      <c r="E6642" s="82">
        <v>45142.0</v>
      </c>
      <c r="F6642" s="80">
        <v>420.0</v>
      </c>
      <c r="G6642" s="80" t="s">
        <v>63</v>
      </c>
      <c r="I6642" s="80" t="s">
        <v>63</v>
      </c>
      <c r="J6642" s="80">
        <v>1595.0</v>
      </c>
      <c r="K6642" s="80">
        <v>0.799098196392785</v>
      </c>
      <c r="L6642" s="80" t="s">
        <v>102</v>
      </c>
    </row>
    <row r="6643">
      <c r="A6643" s="80" t="s">
        <v>248</v>
      </c>
      <c r="B6643" s="81" t="str">
        <f>HYPERLINK("https://www.youtube.com/channel/UCUEJok-GiWaGlv5nIPwk-GQ", "Price.com.hk 香港格價網")</f>
        <v>Price.com.hk 香港格價網</v>
      </c>
      <c r="C6643" s="80" t="s">
        <v>7171</v>
      </c>
      <c r="D6643" s="81" t="str">
        <f>HYPERLINK("https://youtube.com/watch?v=5tD4iSC4Fkk", "AI創作有冇版權？Razer剃鬚刀竟然冇呢個功能｜日本機械人賣2千萬｜真人版海賊王點睇？Mario Luigi Wario 27年配音全部係佢？廣東話 #PriceWeeklySE")</f>
        <v>AI創作有冇版權？Razer剃鬚刀竟然冇呢個功能｜日本機械人賣2千萬｜真人版海賊王點睇？Mario Luigi Wario 27年配音全部係佢？廣東話 #PriceWeeklySE</v>
      </c>
      <c r="E6643" s="82">
        <v>45168.0</v>
      </c>
      <c r="F6643" s="80">
        <v>411.0</v>
      </c>
      <c r="G6643" s="80" t="s">
        <v>63</v>
      </c>
      <c r="I6643" s="80" t="s">
        <v>63</v>
      </c>
      <c r="J6643" s="80">
        <v>1904.0</v>
      </c>
      <c r="K6643" s="80">
        <v>0.840247131509267</v>
      </c>
      <c r="L6643" s="80" t="s">
        <v>64</v>
      </c>
    </row>
    <row r="6644">
      <c r="A6644" s="80" t="s">
        <v>242</v>
      </c>
      <c r="B6644" s="81" t="str">
        <f>HYPERLINK("https://www.youtube.com/channel/UCZGVB6g74LXWtkR3fX50ykg", "Edwin H.")</f>
        <v>Edwin H.</v>
      </c>
      <c r="C6644" s="80" t="s">
        <v>7172</v>
      </c>
      <c r="D6644" s="81" t="str">
        <f>HYPERLINK("https://youtube.com/watch?v=KhEGdUwKRJw", "🎌 日本車站有新科技！ 🇰🇷 LK-99改變世界？ |  40件必睇科技新品  7月8月 有趣科技新聞")</f>
        <v>🎌 日本車站有新科技！ 🇰🇷 LK-99改變世界？ |  40件必睇科技新品  7月8月 有趣科技新聞</v>
      </c>
      <c r="E6644" s="82">
        <v>45149.0</v>
      </c>
      <c r="F6644" s="80">
        <v>862.0</v>
      </c>
      <c r="G6644" s="80" t="s">
        <v>63</v>
      </c>
      <c r="I6644" s="80" t="s">
        <v>63</v>
      </c>
      <c r="J6644" s="80">
        <v>3228.0</v>
      </c>
      <c r="K6644" s="80">
        <v>0.760244936410739</v>
      </c>
      <c r="L6644" s="80" t="s">
        <v>64</v>
      </c>
    </row>
    <row r="6645">
      <c r="A6645" s="80" t="s">
        <v>6054</v>
      </c>
      <c r="B6645" s="81" t="str">
        <f>HYPERLINK("https://www.youtube.com/channel/UCZc-RwRZUYVuwu3A9pVBISg", "ToNick")</f>
        <v>ToNick</v>
      </c>
      <c r="C6645" s="80" t="s">
        <v>7173</v>
      </c>
      <c r="D6645" s="81" t="str">
        <f>HYPERLINK("https://youtube.com/watch?v=aeoPVlwFqMU", "MC SH x DJ.R - 浪漫GT King (Official Lyrics MV)")</f>
        <v>MC SH x DJ.R - 浪漫GT King (Official Lyrics MV)</v>
      </c>
      <c r="E6645" s="82">
        <v>45167.0</v>
      </c>
      <c r="F6645" s="80">
        <v>194.0</v>
      </c>
      <c r="G6645" s="80" t="s">
        <v>63</v>
      </c>
      <c r="I6645" s="80" t="s">
        <v>63</v>
      </c>
      <c r="J6645" s="80">
        <v>406.0</v>
      </c>
      <c r="K6645" s="80">
        <v>0.674418604651162</v>
      </c>
      <c r="L6645" s="80" t="s">
        <v>64</v>
      </c>
    </row>
    <row r="6646">
      <c r="A6646" s="80" t="s">
        <v>248</v>
      </c>
      <c r="B6646" s="81" t="str">
        <f t="shared" ref="B6646:B6648" si="383">HYPERLINK("https://www.youtube.com/channel/UCUEJok-GiWaGlv5nIPwk-GQ", "Price.com.hk 香港格價網")</f>
        <v>Price.com.hk 香港格價網</v>
      </c>
      <c r="C6646" s="80" t="s">
        <v>7174</v>
      </c>
      <c r="D6646" s="81" t="str">
        <f>HYPERLINK("https://youtube.com/watch?v=L29dB4uMHLI", "iPhone 15原廠線唔會再壞？第一款4K 240Hz OLED電競螢幕！Sony可攜式影院系統｜2023香港電腦節開鑼｜【Price Weekly 181】")</f>
        <v>iPhone 15原廠線唔會再壞？第一款4K 240Hz OLED電競螢幕！Sony可攜式影院系統｜2023香港電腦節開鑼｜【Price Weekly 181】</v>
      </c>
      <c r="E6646" s="82">
        <v>45163.0</v>
      </c>
      <c r="F6646" s="80">
        <v>502.0</v>
      </c>
      <c r="G6646" s="80" t="s">
        <v>63</v>
      </c>
      <c r="I6646" s="80" t="s">
        <v>63</v>
      </c>
      <c r="J6646" s="80">
        <v>1807.0</v>
      </c>
      <c r="K6646" s="80">
        <v>0.766977928692699</v>
      </c>
      <c r="L6646" s="80" t="s">
        <v>64</v>
      </c>
    </row>
    <row r="6647">
      <c r="A6647" s="80" t="s">
        <v>248</v>
      </c>
      <c r="B6647" s="81" t="str">
        <f t="shared" si="383"/>
        <v>Price.com.hk 香港格價網</v>
      </c>
      <c r="C6647" s="80" t="s">
        <v>7175</v>
      </c>
      <c r="D6647" s="81" t="str">
        <f>HYPERLINK("https://youtube.com/watch?v=wZWqI2DoP0A", "三原色 OLED 子像素 畫面更細緻 對比更鮮明｜SAMSUNG S95C QD-OLED 4K 電視｜特約專題｜廣東話【Price.com.hk 產品介紹】")</f>
        <v>三原色 OLED 子像素 畫面更細緻 對比更鮮明｜SAMSUNG S95C QD-OLED 4K 電視｜特約專題｜廣東話【Price.com.hk 產品介紹】</v>
      </c>
      <c r="E6647" s="82">
        <v>45107.0</v>
      </c>
      <c r="F6647" s="80">
        <v>284.0</v>
      </c>
      <c r="G6647" s="80" t="s">
        <v>63</v>
      </c>
      <c r="I6647" s="80" t="s">
        <v>63</v>
      </c>
      <c r="J6647" s="80">
        <v>919.0</v>
      </c>
      <c r="K6647" s="80">
        <v>0.74412955465587</v>
      </c>
      <c r="L6647" s="80" t="s">
        <v>64</v>
      </c>
    </row>
    <row r="6648">
      <c r="A6648" s="80" t="s">
        <v>248</v>
      </c>
      <c r="B6648" s="81" t="str">
        <f t="shared" si="383"/>
        <v>Price.com.hk 香港格價網</v>
      </c>
      <c r="C6648" s="80" t="s">
        <v>7176</v>
      </c>
      <c r="D6648" s="81" t="str">
        <f>HYPERLINK("https://youtube.com/watch?v=1Eu_WAlNklY", "零經驗用手機拍出電影級運鏡！上手玩Insta360 Flow三軸穩定器｜AI智慧追蹤｜12小時超長續航｜特約專題｜廣東話 #產品介紹")</f>
        <v>零經驗用手機拍出電影級運鏡！上手玩Insta360 Flow三軸穩定器｜AI智慧追蹤｜12小時超長續航｜特約專題｜廣東話 #產品介紹</v>
      </c>
      <c r="E6648" s="82">
        <v>45170.0</v>
      </c>
      <c r="F6648" s="80">
        <v>412.0</v>
      </c>
      <c r="G6648" s="80" t="s">
        <v>63</v>
      </c>
      <c r="I6648" s="80" t="s">
        <v>63</v>
      </c>
      <c r="J6648" s="80">
        <v>1588.0</v>
      </c>
      <c r="K6648" s="80">
        <v>0.789656887120835</v>
      </c>
      <c r="L6648" s="80" t="s">
        <v>64</v>
      </c>
    </row>
    <row r="6649">
      <c r="A6649" s="80" t="s">
        <v>7177</v>
      </c>
      <c r="B6649" s="81" t="str">
        <f>HYPERLINK("https://www.youtube.com/channel/UCKGRyWaeRl-TrJKSG4OkEhA", "古巨基 Leo Ku")</f>
        <v>古巨基 Leo Ku</v>
      </c>
      <c r="C6649" s="80" t="s">
        <v>7178</v>
      </c>
      <c r="D6649" s="81" t="str">
        <f>HYPERLINK("https://youtube.com/watch?v=DHuKbmYM950", "古巨基 Delta T《有少少愛》(Love a little) [Official MV]")</f>
        <v>古巨基 Delta T《有少少愛》(Love a little) [Official MV]</v>
      </c>
      <c r="E6649" s="82">
        <v>45119.0</v>
      </c>
      <c r="F6649" s="80">
        <v>191.0</v>
      </c>
      <c r="G6649" s="80" t="s">
        <v>63</v>
      </c>
      <c r="I6649" s="80" t="s">
        <v>63</v>
      </c>
      <c r="J6649" s="80">
        <v>344.0</v>
      </c>
      <c r="K6649" s="80">
        <v>0.551282051282051</v>
      </c>
      <c r="L6649" s="80" t="s">
        <v>64</v>
      </c>
    </row>
    <row r="6650">
      <c r="A6650" s="80" t="s">
        <v>2041</v>
      </c>
      <c r="B6650" s="81" t="str">
        <f>HYPERLINK("https://www.youtube.com/channel/UCO6pB-ZN4XJ6MVkibvuEe0A", "SingSingTracker 星昇財經指標")</f>
        <v>SingSingTracker 星昇財經指標</v>
      </c>
      <c r="C6650" s="80" t="s">
        <v>7179</v>
      </c>
      <c r="D6650" s="81" t="str">
        <f>HYPERLINK("https://youtube.com/watch?v=7B9_hjHwWSA", "分享【🕶呢一星期賺超過$4萬？！？！】[講解追蹤🔍未來股市動向📈] 《AI 女主持-小Sing🌸》#ai主播 #人工智能 #vtuber #投資 #股票 #外匯 #致富 #女主播 #aigirl")</f>
        <v>分享【🕶呢一星期賺超過$4萬？！？！】[講解追蹤🔍未來股市動向📈] 《AI 女主持-小Sing🌸》#ai主播 #人工智能 #vtuber #投資 #股票 #外匯 #致富 #女主播 #aigirl</v>
      </c>
      <c r="E6650" s="82">
        <v>45133.0</v>
      </c>
      <c r="F6650" s="80">
        <v>271.0</v>
      </c>
      <c r="G6650" s="80" t="s">
        <v>63</v>
      </c>
      <c r="I6650" s="80" t="s">
        <v>63</v>
      </c>
      <c r="J6650" s="80">
        <v>1029.0</v>
      </c>
      <c r="K6650" s="80">
        <v>0.971671388101983</v>
      </c>
      <c r="L6650" s="80" t="s">
        <v>64</v>
      </c>
    </row>
    <row r="6651">
      <c r="A6651" s="80" t="s">
        <v>6591</v>
      </c>
      <c r="B6651" s="81" t="str">
        <f>HYPERLINK("https://www.youtube.com/channel/UC0DpBgpq_gR7TaNDIvJYZag", "TalkFood")</f>
        <v>TalkFood</v>
      </c>
      <c r="C6651" s="80" t="s">
        <v>7180</v>
      </c>
      <c r="D6651" s="81" t="str">
        <f>HYPERLINK("https://youtube.com/watch?v=8YJrK9_5KFY", "#TalkFood【#18區搵食—TF衝出香港 下集台灣繼續食！狼狽落大雨赤腳行】台南傳統宴席菜份量大震驚｜初嚐原住民fine dining｜行程the best高雄法式料理｜鹿肉原來比XX更好食？！")</f>
        <v>#TalkFood【#18區搵食—TF衝出香港 下集台灣繼續食！狼狽落大雨赤腳行】台南傳統宴席菜份量大震驚｜初嚐原住民fine dining｜行程the best高雄法式料理｜鹿肉原來比XX更好食？！</v>
      </c>
      <c r="E6651" s="82">
        <v>45148.0</v>
      </c>
      <c r="F6651" s="80">
        <v>1352.0</v>
      </c>
      <c r="G6651" s="80" t="s">
        <v>63</v>
      </c>
      <c r="I6651" s="80" t="s">
        <v>63</v>
      </c>
      <c r="J6651" s="80">
        <v>3414.0</v>
      </c>
      <c r="K6651" s="80">
        <v>0.914056224899598</v>
      </c>
      <c r="L6651" s="80" t="s">
        <v>91</v>
      </c>
    </row>
    <row r="6652">
      <c r="A6652" s="80" t="s">
        <v>2829</v>
      </c>
      <c r="B6652" s="81" t="str">
        <f>HYPERLINK("https://www.youtube.com/channel/UC7GnES6AEQlDzaP04UqtyjA", "SOLID IDEA")</f>
        <v>SOLID IDEA</v>
      </c>
      <c r="C6652" s="80" t="s">
        <v>7181</v>
      </c>
      <c r="D6652" s="81" t="str">
        <f>HYPERLINK("https://youtube.com/watch?v=3G9Bj3Od0Us", "【新樓 • idea】沙田．名日‧九肚山 |  505呎 | 輕裝修係唔係求其放啲傢俬入去？ 設計 • idea｜Solid Idea｜室內設計｜家居規劃｜星級設計｜［CC字幕］")</f>
        <v>【新樓 • idea】沙田．名日‧九肚山 |  505呎 | 輕裝修係唔係求其放啲傢俬入去？ 設計 • idea｜Solid Idea｜室內設計｜家居規劃｜星級設計｜［CC字幕］</v>
      </c>
      <c r="E6652" s="82">
        <v>45146.0</v>
      </c>
      <c r="F6652" s="80">
        <v>162.0</v>
      </c>
      <c r="G6652" s="80" t="s">
        <v>63</v>
      </c>
      <c r="I6652" s="80" t="s">
        <v>63</v>
      </c>
      <c r="J6652" s="80">
        <v>612.0</v>
      </c>
      <c r="K6652" s="80">
        <v>0.987096774193548</v>
      </c>
      <c r="L6652" s="80" t="s">
        <v>64</v>
      </c>
    </row>
    <row r="6653">
      <c r="A6653" s="80" t="s">
        <v>7182</v>
      </c>
      <c r="B6653" s="81" t="str">
        <f>HYPERLINK("https://www.youtube.com/channel/UC9xosUh_LZUdQv-kw38RehA", "Manki Cantonese")</f>
        <v>Manki Cantonese</v>
      </c>
      <c r="C6653" s="80" t="s">
        <v>7183</v>
      </c>
      <c r="D6653" s="81" t="str">
        <f>HYPERLINK("https://youtube.com/watch?v=NVMxMEfLRNQ", "Storybook: Cornelius - Intermediate Comprehensible Cantonese")</f>
        <v>Storybook: Cornelius - Intermediate Comprehensible Cantonese</v>
      </c>
      <c r="E6653" s="82">
        <v>45099.0</v>
      </c>
      <c r="F6653" s="80">
        <v>385.0</v>
      </c>
      <c r="G6653" s="80" t="s">
        <v>63</v>
      </c>
      <c r="I6653" s="80" t="s">
        <v>63</v>
      </c>
      <c r="J6653" s="80">
        <v>759.0</v>
      </c>
      <c r="K6653" s="80">
        <v>0.814377682403433</v>
      </c>
      <c r="L6653" s="80" t="s">
        <v>64</v>
      </c>
    </row>
    <row r="6654">
      <c r="A6654" s="80" t="s">
        <v>5301</v>
      </c>
      <c r="B6654" s="81" t="str">
        <f>HYPERLINK("https://www.youtube.com/channel/UCTH_IecfGTuKdew5dTb_D6A", "BOYS' CHOIR")</f>
        <v>BOYS' CHOIR</v>
      </c>
      <c r="C6654" s="80" t="s">
        <v>7184</v>
      </c>
      <c r="D6654" s="81" t="str">
        <f>HYPERLINK("https://youtube.com/watch?v=E5cpVun0wcw", "Yung Raise - MEET UP THE JEWELLER (Feat. Stanrighthere)")</f>
        <v>Yung Raise - MEET UP THE JEWELLER (Feat. Stanrighthere)</v>
      </c>
      <c r="E6654" s="82">
        <v>45108.0</v>
      </c>
      <c r="F6654" s="80">
        <v>173.0</v>
      </c>
      <c r="G6654" s="80" t="s">
        <v>63</v>
      </c>
      <c r="I6654" s="80" t="s">
        <v>63</v>
      </c>
      <c r="J6654" s="80">
        <v>200.0</v>
      </c>
      <c r="K6654" s="80">
        <v>0.119617224880382</v>
      </c>
      <c r="L6654" s="80" t="s">
        <v>64</v>
      </c>
    </row>
    <row r="6655">
      <c r="A6655" s="80" t="s">
        <v>7185</v>
      </c>
      <c r="B6655" s="81" t="str">
        <f>HYPERLINK("https://www.youtube.com/channel/UCBdOfjR-IWU0ANEbCoUgYLw", "Acrubbish Radio動漫廢物電台")</f>
        <v>Acrubbish Radio動漫廢物電台</v>
      </c>
      <c r="C6655" s="80" t="s">
        <v>7186</v>
      </c>
      <c r="D6655" s="81" t="str">
        <f>HYPERLINK("https://youtube.com/watch?v=nOAB9SkVhLs", "4分半鐘明晒 漫畫 全能人廢能事")</f>
        <v>4分半鐘明晒 漫畫 全能人廢能事</v>
      </c>
      <c r="E6655" s="82">
        <v>42374.0</v>
      </c>
      <c r="F6655" s="80">
        <v>288.0</v>
      </c>
      <c r="G6655" s="80" t="s">
        <v>63</v>
      </c>
      <c r="I6655" s="80" t="s">
        <v>63</v>
      </c>
      <c r="J6655" s="80">
        <v>1403.0</v>
      </c>
      <c r="K6655" s="80">
        <v>0.892493638676844</v>
      </c>
      <c r="L6655" s="80" t="s">
        <v>64</v>
      </c>
    </row>
    <row r="6656">
      <c r="A6656" s="80" t="s">
        <v>7099</v>
      </c>
      <c r="B6656" s="81" t="str">
        <f>HYPERLINK("https://www.youtube.com/channel/UCBwfrMS785JyWDUBRhOQkjw", "Karenly :")</f>
        <v>Karenly :</v>
      </c>
      <c r="C6656" s="80" t="s">
        <v>7187</v>
      </c>
      <c r="D6656" s="81" t="str">
        <f>HYPERLINK("https://youtube.com/watch?v=OymV760F-5g", "送你Router！2000M寬頻來了！｜Giveaway ｜Archer AX72 Pro ｜HKBN｜特約｜繁中字幕｜廣東話【Karenly:】")</f>
        <v>送你Router！2000M寬頻來了！｜Giveaway ｜Archer AX72 Pro ｜HKBN｜特約｜繁中字幕｜廣東話【Karenly:】</v>
      </c>
      <c r="E6656" s="82">
        <v>45166.0</v>
      </c>
      <c r="F6656" s="80">
        <v>356.0</v>
      </c>
      <c r="G6656" s="80" t="s">
        <v>63</v>
      </c>
      <c r="I6656" s="80" t="s">
        <v>63</v>
      </c>
      <c r="J6656" s="80">
        <v>1226.0</v>
      </c>
      <c r="K6656" s="80">
        <v>0.735011990407673</v>
      </c>
      <c r="L6656" s="80" t="s">
        <v>64</v>
      </c>
    </row>
    <row r="6657">
      <c r="A6657" s="80" t="s">
        <v>248</v>
      </c>
      <c r="B6657" s="81" t="str">
        <f t="shared" ref="B6657:B6659" si="384">HYPERLINK("https://www.youtube.com/channel/UCUEJok-GiWaGlv5nIPwk-GQ", "Price.com.hk 香港格價網")</f>
        <v>Price.com.hk 香港格價網</v>
      </c>
      <c r="C6657" s="80" t="s">
        <v>7188</v>
      </c>
      <c r="D6657" s="81" t="str">
        <f>HYPERLINK("https://youtube.com/watch?v=ynw4o8hVa94", "6重過濾！開利2合1空氣淨化變頻抽濕機｜HEPA+正負離子+UV-C殺菌淨化｜手機遙控｜變頻慳電｜特約專題｜廣東話【Price.com.hk 產品介紹】")</f>
        <v>6重過濾！開利2合1空氣淨化變頻抽濕機｜HEPA+正負離子+UV-C殺菌淨化｜手機遙控｜變頻慳電｜特約專題｜廣東話【Price.com.hk 產品介紹】</v>
      </c>
      <c r="E6657" s="82">
        <v>45110.0</v>
      </c>
      <c r="F6657" s="80">
        <v>361.0</v>
      </c>
      <c r="G6657" s="80" t="s">
        <v>63</v>
      </c>
      <c r="I6657" s="80" t="s">
        <v>63</v>
      </c>
      <c r="J6657" s="80">
        <v>1267.0</v>
      </c>
      <c r="K6657" s="80">
        <v>0.924142961342086</v>
      </c>
      <c r="L6657" s="80" t="s">
        <v>64</v>
      </c>
    </row>
    <row r="6658">
      <c r="A6658" s="80" t="s">
        <v>248</v>
      </c>
      <c r="B6658" s="81" t="str">
        <f t="shared" si="384"/>
        <v>Price.com.hk 香港格價網</v>
      </c>
      <c r="C6658" s="80" t="s">
        <v>7189</v>
      </c>
      <c r="D6658" s="81" t="str">
        <f>HYPERLINK("https://youtube.com/watch?v=5WrxGM1iCdU", "換大電視唔使拆牆搬屋｜65吋幾遠先啱睇？｜電視升級方案｜附電視推薦評價｜TCL C645 QLED/P745 4K電視｜廣東話【特約專題】")</f>
        <v>換大電視唔使拆牆搬屋｜65吋幾遠先啱睇？｜電視升級方案｜附電視推薦評價｜TCL C645 QLED/P745 4K電視｜廣東話【特約專題】</v>
      </c>
      <c r="E6658" s="82">
        <v>45142.0</v>
      </c>
      <c r="F6658" s="80">
        <v>507.0</v>
      </c>
      <c r="G6658" s="80" t="s">
        <v>63</v>
      </c>
      <c r="I6658" s="80" t="s">
        <v>63</v>
      </c>
      <c r="J6658" s="80">
        <v>1567.0</v>
      </c>
      <c r="K6658" s="80">
        <v>0.792615073343449</v>
      </c>
      <c r="L6658" s="80" t="s">
        <v>64</v>
      </c>
    </row>
    <row r="6659">
      <c r="A6659" s="80" t="s">
        <v>248</v>
      </c>
      <c r="B6659" s="81" t="str">
        <f t="shared" si="384"/>
        <v>Price.com.hk 香港格價網</v>
      </c>
      <c r="C6659" s="80" t="s">
        <v>7190</v>
      </c>
      <c r="D6659" s="81" t="str">
        <f>HYPERLINK("https://youtube.com/watch?v=87FteISBUec", "【GIVEAWAY】Netvigator 網上行2500M光纖入屋寬頻！Linksys Hydra Pro 6E Mesh Router｜低干擾+2500MB高速寬頻連線｜廣東話｜特約專題【產品評測】")</f>
        <v>【GIVEAWAY】Netvigator 網上行2500M光纖入屋寬頻！Linksys Hydra Pro 6E Mesh Router｜低干擾+2500MB高速寬頻連線｜廣東話｜特約專題【產品評測】</v>
      </c>
      <c r="E6659" s="82">
        <v>45134.0</v>
      </c>
      <c r="F6659" s="80">
        <v>377.0</v>
      </c>
      <c r="G6659" s="80" t="s">
        <v>63</v>
      </c>
      <c r="I6659" s="80" t="s">
        <v>63</v>
      </c>
      <c r="J6659" s="80">
        <v>1196.0</v>
      </c>
      <c r="K6659" s="80">
        <v>0.64683612763656</v>
      </c>
      <c r="L6659" s="80" t="s">
        <v>64</v>
      </c>
    </row>
    <row r="6660">
      <c r="A6660" s="80" t="s">
        <v>414</v>
      </c>
      <c r="B6660" s="81" t="str">
        <f>HYPERLINK("https://www.youtube.com/channel/UCCVn38j5xSJZN-II-TeyomA", "Uncle Calvin Cantonese Class")</f>
        <v>Uncle Calvin Cantonese Class</v>
      </c>
      <c r="C6660" s="80" t="s">
        <v>7191</v>
      </c>
      <c r="D6660" s="81" t="str">
        <f>HYPERLINK("https://youtube.com/watch?v=ODatu8QE6Tk", "【保護我的身體】Protect my Body in Cantonese I PG家長指引 I 性教育 I 啟蒙 I 私密部位 I 防止性暴力 I 幼童健康 for Toddlers I 廣東話教室")</f>
        <v>【保護我的身體】Protect my Body in Cantonese I PG家長指引 I 性教育 I 啟蒙 I 私密部位 I 防止性暴力 I 幼童健康 for Toddlers I 廣東話教室</v>
      </c>
      <c r="E6660" s="82">
        <v>45087.0</v>
      </c>
      <c r="F6660" s="80">
        <v>490.0</v>
      </c>
      <c r="G6660" s="80" t="s">
        <v>63</v>
      </c>
      <c r="H6660" s="80" t="s">
        <v>63</v>
      </c>
      <c r="I6660" s="80" t="s">
        <v>63</v>
      </c>
      <c r="J6660" s="80">
        <v>1262.0</v>
      </c>
      <c r="K6660" s="80">
        <v>0.938289962825278</v>
      </c>
      <c r="L6660" s="80" t="s">
        <v>240</v>
      </c>
    </row>
    <row r="6661">
      <c r="A6661" s="80" t="s">
        <v>6248</v>
      </c>
      <c r="B6661" s="81" t="str">
        <f>HYPERLINK("https://www.youtube.com/channel/UCmlr1is6e9bV34fgg3u0xng", "Ruby.S")</f>
        <v>Ruby.S</v>
      </c>
      <c r="C6661" s="80" t="s">
        <v>7192</v>
      </c>
      <c r="D6661" s="81" t="str">
        <f>HYPERLINK("https://youtube.com/watch?v=ObPEGkUP3XQ", "⁠@Rubys426 探屯門十字星石+ 豬仔石🐷2.2KM路線行到中暑|夏天行山要小心 | beame箍牙有幾抵？箍牙流程公開｜KOL背後有幾衰？")</f>
        <v>⁠@Rubys426 探屯門十字星石+ 豬仔石🐷2.2KM路線行到中暑|夏天行山要小心 | beame箍牙有幾抵？箍牙流程公開｜KOL背後有幾衰？</v>
      </c>
      <c r="E6661" s="82">
        <v>45162.0</v>
      </c>
      <c r="F6661" s="80">
        <v>1994.0</v>
      </c>
      <c r="G6661" s="80" t="s">
        <v>63</v>
      </c>
      <c r="I6661" s="80" t="s">
        <v>63</v>
      </c>
      <c r="J6661" s="80">
        <v>2517.0</v>
      </c>
      <c r="K6661" s="80">
        <v>0.96510736196319</v>
      </c>
      <c r="L6661" s="80" t="s">
        <v>64</v>
      </c>
    </row>
    <row r="6662">
      <c r="A6662" s="80" t="s">
        <v>248</v>
      </c>
      <c r="B6662" s="81" t="str">
        <f>HYPERLINK("https://www.youtube.com/channel/UCUEJok-GiWaGlv5nIPwk-GQ", "Price.com.hk 香港格價網")</f>
        <v>Price.com.hk 香港格價網</v>
      </c>
      <c r="C6662" s="80" t="s">
        <v>7193</v>
      </c>
      <c r="D6662" s="81" t="str">
        <f>HYPERLINK("https://youtube.com/watch?v=viXxQ6qKMy0", "【日日送PS5】Price網上電腦節2023｜今晚由TechiCardia同你公佈遊戲玩法")</f>
        <v>【日日送PS5】Price網上電腦節2023｜今晚由TechiCardia同你公佈遊戲玩法</v>
      </c>
      <c r="E6662" s="82">
        <v>45155.0</v>
      </c>
      <c r="F6662" s="80">
        <v>31.0</v>
      </c>
      <c r="G6662" s="80" t="s">
        <v>63</v>
      </c>
      <c r="I6662" s="80" t="s">
        <v>63</v>
      </c>
      <c r="J6662" s="80">
        <v>99.0</v>
      </c>
      <c r="K6662" s="80">
        <v>0.66</v>
      </c>
      <c r="L6662" s="80" t="s">
        <v>64</v>
      </c>
    </row>
    <row r="6663">
      <c r="A6663" s="80" t="s">
        <v>1533</v>
      </c>
      <c r="B6663" s="81" t="str">
        <f>HYPERLINK("https://www.youtube.com/channel/UC8KiyunvRWgmUb9OmisoBug", "3分鐘教學")</f>
        <v>3分鐘教學</v>
      </c>
      <c r="C6663" s="80" t="s">
        <v>7194</v>
      </c>
      <c r="D6663" s="81" t="str">
        <f>HYPERLINK("https://youtube.com/watch?v=nH7RX67QZ38", "仲慢慢打字幕/transcript？廣東話AI工具幫你快速上書面語/口語字幕！實測香港人的廣東話字幕AI Subanana 字幕𠹌！(廣東話，兩款中文字幕)")</f>
        <v>仲慢慢打字幕/transcript？廣東話AI工具幫你快速上書面語/口語字幕！實測香港人的廣東話字幕AI Subanana 字幕𠹌！(廣東話，兩款中文字幕)</v>
      </c>
      <c r="E6663" s="82">
        <v>45086.0</v>
      </c>
      <c r="F6663" s="80">
        <v>790.0</v>
      </c>
      <c r="G6663" s="80" t="s">
        <v>63</v>
      </c>
      <c r="H6663" s="80" t="s">
        <v>63</v>
      </c>
      <c r="I6663" s="80" t="s">
        <v>63</v>
      </c>
      <c r="J6663" s="80">
        <v>3971.0</v>
      </c>
      <c r="K6663" s="80">
        <v>0.905784650630011</v>
      </c>
      <c r="L6663" s="80" t="s">
        <v>66</v>
      </c>
    </row>
    <row r="6664">
      <c r="A6664" s="80" t="s">
        <v>755</v>
      </c>
      <c r="B6664" s="81" t="str">
        <f>HYPERLINK("https://www.youtube.com/channel/UCBiJDTc82IM68KVH873VeAw", "Live in Kwangsi廣西人·情·味")</f>
        <v>Live in Kwangsi廣西人·情·味</v>
      </c>
      <c r="C6664" s="80" t="s">
        <v>7195</v>
      </c>
      <c r="D6664" s="81" t="str">
        <f>HYPERLINK("https://youtube.com/watch?v=bX4lGG2s7ss", "喺廣州搭巴士經過獵德大橋記錄下啲景色｜廣東日常實拍 20230722")</f>
        <v>喺廣州搭巴士經過獵德大橋記錄下啲景色｜廣東日常實拍 20230722</v>
      </c>
      <c r="E6664" s="82">
        <v>45130.0</v>
      </c>
      <c r="F6664" s="80">
        <v>190.0</v>
      </c>
      <c r="G6664" s="80" t="s">
        <v>63</v>
      </c>
      <c r="I6664" s="80" t="s">
        <v>63</v>
      </c>
      <c r="J6664" s="80">
        <v>23.0</v>
      </c>
      <c r="K6664" s="80">
        <v>1.0</v>
      </c>
      <c r="L6664" s="80" t="s">
        <v>757</v>
      </c>
    </row>
    <row r="6665">
      <c r="A6665" s="80" t="s">
        <v>2829</v>
      </c>
      <c r="B6665" s="81" t="str">
        <f>HYPERLINK("https://www.youtube.com/channel/UC7GnES6AEQlDzaP04UqtyjA", "SOLID IDEA")</f>
        <v>SOLID IDEA</v>
      </c>
      <c r="C6665" s="80" t="s">
        <v>7196</v>
      </c>
      <c r="D6665" s="81" t="str">
        <f>HYPERLINK("https://youtube.com/watch?v=1xupvfUYYcQ", "【設計 • idea】日出康城．領都 |  675呎 | 合法打拆工程，合理舒適空間｜設計 • idea｜Solid Idea｜室內設計｜家居規劃｜星級設計｜［CC字幕］")</f>
        <v>【設計 • idea】日出康城．領都 |  675呎 | 合法打拆工程，合理舒適空間｜設計 • idea｜Solid Idea｜室內設計｜家居規劃｜星級設計｜［CC字幕］</v>
      </c>
      <c r="E6665" s="82">
        <v>45097.0</v>
      </c>
      <c r="F6665" s="80">
        <v>135.0</v>
      </c>
      <c r="G6665" s="80" t="s">
        <v>63</v>
      </c>
      <c r="I6665" s="80" t="s">
        <v>63</v>
      </c>
      <c r="J6665" s="80">
        <v>538.0</v>
      </c>
      <c r="K6665" s="80">
        <v>0.952212389380531</v>
      </c>
      <c r="L6665" s="80" t="s">
        <v>64</v>
      </c>
    </row>
    <row r="6666">
      <c r="A6666" s="80" t="s">
        <v>414</v>
      </c>
      <c r="B6666" s="81" t="str">
        <f>HYPERLINK("https://www.youtube.com/channel/UCCVn38j5xSJZN-II-TeyomA", "Uncle Calvin Cantonese Class")</f>
        <v>Uncle Calvin Cantonese Class</v>
      </c>
      <c r="C6666" s="80" t="s">
        <v>7197</v>
      </c>
      <c r="D6666" s="81" t="str">
        <f>HYPERLINK("https://youtube.com/watch?v=EZKfQROzAmw", "【動物伏匿匿】Animals in Cantonese I 熊貓 北極熊 袋鼠 猩猩猴子 蝙蝠 樹懶 樹熊 松鼠 刺蝟 狐狸 狸貓 I 幼兒認字 for Toddlers I 廣東話教室 I 字幕")</f>
        <v>【動物伏匿匿】Animals in Cantonese I 熊貓 北極熊 袋鼠 猩猩猴子 蝙蝠 樹懶 樹熊 松鼠 刺蝟 狐狸 狸貓 I 幼兒認字 for Toddlers I 廣東話教室 I 字幕</v>
      </c>
      <c r="E6666" s="82">
        <v>45169.0</v>
      </c>
      <c r="F6666" s="80">
        <v>772.0</v>
      </c>
      <c r="G6666" s="80" t="s">
        <v>63</v>
      </c>
      <c r="H6666" s="80" t="s">
        <v>63</v>
      </c>
      <c r="I6666" s="80" t="s">
        <v>63</v>
      </c>
      <c r="J6666" s="80">
        <v>1035.0</v>
      </c>
      <c r="K6666" s="80">
        <v>0.757686676427525</v>
      </c>
      <c r="L6666" s="80" t="s">
        <v>240</v>
      </c>
    </row>
    <row r="6667">
      <c r="A6667" s="80" t="s">
        <v>755</v>
      </c>
      <c r="B6667" s="81" t="str">
        <f>HYPERLINK("https://www.youtube.com/channel/UCBiJDTc82IM68KVH873VeAw", "Live in Kwangsi廣西人·情·味")</f>
        <v>Live in Kwangsi廣西人·情·味</v>
      </c>
      <c r="C6667" s="80" t="s">
        <v>7198</v>
      </c>
      <c r="D6667" s="81" t="str">
        <f>HYPERLINK("https://youtube.com/watch?v=G8UR6K0h5YY", "喺賀州市合面獅小區食好嘢同埋遊覽 24年樓齡小區 間間屋有花園｜廣西日常實拍 20230630")</f>
        <v>喺賀州市合面獅小區食好嘢同埋遊覽 24年樓齡小區 間間屋有花園｜廣西日常實拍 20230630</v>
      </c>
      <c r="E6667" s="82">
        <v>45107.0</v>
      </c>
      <c r="F6667" s="80">
        <v>706.0</v>
      </c>
      <c r="G6667" s="80" t="s">
        <v>63</v>
      </c>
      <c r="I6667" s="80" t="s">
        <v>63</v>
      </c>
      <c r="J6667" s="80">
        <v>836.0</v>
      </c>
      <c r="K6667" s="80">
        <v>0.990521327014218</v>
      </c>
      <c r="L6667" s="80" t="s">
        <v>757</v>
      </c>
    </row>
    <row r="6668">
      <c r="A6668" s="80" t="s">
        <v>5868</v>
      </c>
      <c r="B6668" s="81" t="str">
        <f>HYPERLINK("https://www.youtube.com/channel/UCVvdX8wGBmCM9KerhiVu_Ig", "McFatty 麥花田")</f>
        <v>McFatty 麥花田</v>
      </c>
      <c r="C6668" s="80" t="s">
        <v>7199</v>
      </c>
      <c r="D6668" s="81" t="str">
        <f>HYPERLINK("https://youtube.com/watch?v=ZeTnLksCoWU", "花田淘寶實測 開心發現好產品 附廣東話字幕 Ep162")</f>
        <v>花田淘寶實測 開心發現好產品 附廣東話字幕 Ep162</v>
      </c>
      <c r="E6668" s="82">
        <v>45118.0</v>
      </c>
      <c r="F6668" s="80">
        <v>903.0</v>
      </c>
      <c r="G6668" s="80" t="s">
        <v>63</v>
      </c>
      <c r="I6668" s="80" t="s">
        <v>63</v>
      </c>
      <c r="J6668" s="80">
        <v>3799.0</v>
      </c>
      <c r="K6668" s="80">
        <v>0.898321116103097</v>
      </c>
      <c r="L6668" s="80" t="s">
        <v>102</v>
      </c>
    </row>
    <row r="6669">
      <c r="A6669" s="80" t="s">
        <v>2804</v>
      </c>
      <c r="B6669" s="81" t="str">
        <f>HYPERLINK("https://www.youtube.com/channel/UCrFrg50t0JqgqV2dkIrH5Hg", "投智財女 GirlbossInvest 創業投資智慧")</f>
        <v>投智財女 GirlbossInvest 創業投資智慧</v>
      </c>
      <c r="C6669" s="80" t="s">
        <v>7200</v>
      </c>
      <c r="D6669" s="81" t="str">
        <f>HYPERLINK("https://youtube.com/watch?v=QTgv-Mb4EA0", "港銀加息至5厘！又呃人已經到頂! 美國聯儲局議息證7月或重啟加息！ #美國加息 #定期存款 #虛擬銀行")</f>
        <v>港銀加息至5厘！又呃人已經到頂! 美國聯儲局議息證7月或重啟加息！ #美國加息 #定期存款 #虛擬銀行</v>
      </c>
      <c r="E6669" s="82">
        <v>45096.0</v>
      </c>
      <c r="F6669" s="80">
        <v>695.0</v>
      </c>
      <c r="G6669" s="80" t="s">
        <v>63</v>
      </c>
      <c r="I6669" s="80" t="s">
        <v>63</v>
      </c>
      <c r="J6669" s="80">
        <v>1388.0</v>
      </c>
      <c r="K6669" s="80">
        <v>0.964558721334259</v>
      </c>
      <c r="L6669" s="80" t="s">
        <v>1471</v>
      </c>
    </row>
    <row r="6670">
      <c r="A6670" s="80" t="s">
        <v>7185</v>
      </c>
      <c r="B6670" s="81" t="str">
        <f>HYPERLINK("https://www.youtube.com/channel/UCBdOfjR-IWU0ANEbCoUgYLw", "Acrubbish Radio動漫廢物電台")</f>
        <v>Acrubbish Radio動漫廢物電台</v>
      </c>
      <c r="C6670" s="80" t="s">
        <v>7201</v>
      </c>
      <c r="D6670" s="81" t="str">
        <f>HYPERLINK("https://youtube.com/watch?v=iJ_lV370Xpk", "【島耕作美食博覽會(課長篇) 】 @ 動廢幾分鐘")</f>
        <v>【島耕作美食博覽會(課長篇) 】 @ 動廢幾分鐘</v>
      </c>
      <c r="E6670" s="82">
        <v>42488.0</v>
      </c>
      <c r="F6670" s="80">
        <v>431.0</v>
      </c>
      <c r="G6670" s="80" t="s">
        <v>63</v>
      </c>
      <c r="I6670" s="80" t="s">
        <v>63</v>
      </c>
      <c r="J6670" s="80">
        <v>2135.0</v>
      </c>
      <c r="K6670" s="80">
        <v>0.964753727971079</v>
      </c>
      <c r="L6670" s="80" t="s">
        <v>7202</v>
      </c>
    </row>
    <row r="6671">
      <c r="A6671" s="80" t="s">
        <v>217</v>
      </c>
      <c r="B6671" s="81" t="str">
        <f>HYPERLINK("https://www.youtube.com/channel/UCXKg0qPRz32bs5Z4mTGF3TQ", "Stormtrooper白兵")</f>
        <v>Stormtrooper白兵</v>
      </c>
      <c r="C6671" s="80" t="s">
        <v>7203</v>
      </c>
      <c r="D6671" s="81" t="str">
        <f>HYPERLINK("https://youtube.com/watch?v=ePT9h1HNI3M", "Coke Zero仲衰過原味？代糖仲有咩害處？｜50年前的一場政治黑幕，揭開阿斯巴甜的真面目！｜不是陰謀論｜中文字幕")</f>
        <v>Coke Zero仲衰過原味？代糖仲有咩害處？｜50年前的一場政治黑幕，揭開阿斯巴甜的真面目！｜不是陰謀論｜中文字幕</v>
      </c>
      <c r="E6671" s="82">
        <v>45113.0</v>
      </c>
      <c r="F6671" s="80">
        <v>1201.0</v>
      </c>
      <c r="G6671" s="80" t="s">
        <v>63</v>
      </c>
      <c r="I6671" s="80" t="s">
        <v>63</v>
      </c>
      <c r="J6671" s="80">
        <v>4630.0</v>
      </c>
      <c r="K6671" s="80">
        <v>0.73259493670886</v>
      </c>
      <c r="L6671" s="80" t="s">
        <v>64</v>
      </c>
    </row>
    <row r="6672">
      <c r="A6672" s="80" t="s">
        <v>755</v>
      </c>
      <c r="B6672" s="81" t="str">
        <f>HYPERLINK("https://www.youtube.com/channel/UCBiJDTc82IM68KVH873VeAw", "Live in Kwangsi廣西人·情·味")</f>
        <v>Live in Kwangsi廣西人·情·味</v>
      </c>
      <c r="C6672" s="80" t="s">
        <v>7204</v>
      </c>
      <c r="D6672" s="81" t="str">
        <f>HYPERLINK("https://youtube.com/watch?v=gUi02Jbx7bE", "賀州市里松鎮白水帶：一個令人暫時忘記炎熱又可以同大自然親密接觸嘅避暑好去處！｜廣西美景 20230806")</f>
        <v>賀州市里松鎮白水帶：一個令人暫時忘記炎熱又可以同大自然親密接觸嘅避暑好去處！｜廣西美景 20230806</v>
      </c>
      <c r="E6672" s="82">
        <v>45148.0</v>
      </c>
      <c r="F6672" s="80">
        <v>401.0</v>
      </c>
      <c r="G6672" s="80" t="s">
        <v>63</v>
      </c>
      <c r="I6672" s="80" t="s">
        <v>63</v>
      </c>
      <c r="J6672" s="80">
        <v>862.0</v>
      </c>
      <c r="K6672" s="80">
        <v>0.990804597701149</v>
      </c>
      <c r="L6672" s="80" t="s">
        <v>757</v>
      </c>
    </row>
    <row r="6673">
      <c r="A6673" s="80" t="s">
        <v>124</v>
      </c>
      <c r="B6673" s="81" t="str">
        <f>HYPERLINK("https://www.youtube.com/channel/UCg0vuSE0fBF_NvodyYhMcWg", "Wallace Studio HK")</f>
        <v>Wallace Studio HK</v>
      </c>
      <c r="C6673" s="80" t="s">
        <v>7205</v>
      </c>
      <c r="D6673" s="81" t="str">
        <f>HYPERLINK("https://youtube.com/watch?v=lmrsL3im2fU", "鏡頭大升級! Honor 90，2億像素鏡頭喎!")</f>
        <v>鏡頭大升級! Honor 90，2億像素鏡頭喎!</v>
      </c>
      <c r="E6673" s="82">
        <v>45157.0</v>
      </c>
      <c r="F6673" s="80">
        <v>617.0</v>
      </c>
      <c r="G6673" s="80" t="s">
        <v>63</v>
      </c>
      <c r="I6673" s="80" t="s">
        <v>63</v>
      </c>
      <c r="J6673" s="80">
        <v>2482.0</v>
      </c>
      <c r="K6673" s="80">
        <v>0.823763690673747</v>
      </c>
      <c r="L6673" s="80" t="s">
        <v>64</v>
      </c>
    </row>
    <row r="6674">
      <c r="A6674" s="80" t="s">
        <v>248</v>
      </c>
      <c r="B6674" s="81" t="str">
        <f t="shared" ref="B6674:B6676" si="385">HYPERLINK("https://www.youtube.com/channel/UCUEJok-GiWaGlv5nIPwk-GQ", "Price.com.hk 香港格價網")</f>
        <v>Price.com.hk 香港格價網</v>
      </c>
      <c r="C6674" s="80" t="s">
        <v>7206</v>
      </c>
      <c r="D6674" s="81" t="str">
        <f>HYPERLINK("https://youtube.com/watch?v=U6hQW0WwdLM", "5 個或會令你入手iPhone 15的理由｜多$400買Xbox S 1TB版｜Samsung G9電競熒幕抵港｜消委會籲停用兩款循環扇｜廣東話【Price Weekly #171 】")</f>
        <v>5 個或會令你入手iPhone 15的理由｜多$400買Xbox S 1TB版｜Samsung G9電競熒幕抵港｜消委會籲停用兩款循環扇｜廣東話【Price Weekly #171 】</v>
      </c>
      <c r="E6674" s="82">
        <v>45094.0</v>
      </c>
      <c r="F6674" s="80">
        <v>543.0</v>
      </c>
      <c r="G6674" s="80" t="s">
        <v>63</v>
      </c>
      <c r="I6674" s="80" t="s">
        <v>63</v>
      </c>
      <c r="J6674" s="80">
        <v>1773.0</v>
      </c>
      <c r="K6674" s="80">
        <v>0.708067092651757</v>
      </c>
      <c r="L6674" s="80" t="s">
        <v>64</v>
      </c>
    </row>
    <row r="6675">
      <c r="A6675" s="80" t="s">
        <v>248</v>
      </c>
      <c r="B6675" s="81" t="str">
        <f t="shared" si="385"/>
        <v>Price.com.hk 香港格價網</v>
      </c>
      <c r="C6675" s="80" t="s">
        <v>7207</v>
      </c>
      <c r="D6675" s="81" t="str">
        <f>HYPERLINK("https://youtube.com/watch?v=RqdoEkP9Ogg", "Sony將推出WF-1000XM5？初代iPhone賣成124萬｜Samsung GDDR7面世｜Switch或焗推可換電版｜廣東話【Price Weekly 176】")</f>
        <v>Sony將推出WF-1000XM5？初代iPhone賣成124萬｜Samsung GDDR7面世｜Switch或焗推可換電版｜廣東話【Price Weekly 176】</v>
      </c>
      <c r="E6675" s="82">
        <v>45129.0</v>
      </c>
      <c r="F6675" s="80">
        <v>421.0</v>
      </c>
      <c r="G6675" s="80" t="s">
        <v>63</v>
      </c>
      <c r="I6675" s="80" t="s">
        <v>63</v>
      </c>
      <c r="J6675" s="80">
        <v>1550.0</v>
      </c>
      <c r="K6675" s="80">
        <v>0.699774266365688</v>
      </c>
      <c r="L6675" s="80" t="s">
        <v>64</v>
      </c>
    </row>
    <row r="6676">
      <c r="A6676" s="80" t="s">
        <v>248</v>
      </c>
      <c r="B6676" s="81" t="str">
        <f t="shared" si="385"/>
        <v>Price.com.hk 香港格價網</v>
      </c>
      <c r="C6676" s="80" t="s">
        <v>7208</v>
      </c>
      <c r="D6676" s="81" t="str">
        <f>HYPERLINK("https://youtube.com/watch?v=Udtp9_dx0Bs", "iOS 17 3個必玩新功能｜PS5 Slim機價US$399？Apple M2新機唔使$3800｜Intel第14代處理器十月賣街？廣東話【Price Weekly #175 】")</f>
        <v>iOS 17 3個必玩新功能｜PS5 Slim機價US$399？Apple M2新機唔使$3800｜Intel第14代處理器十月賣街？廣東話【Price Weekly #175 】</v>
      </c>
      <c r="E6676" s="82">
        <v>45122.0</v>
      </c>
      <c r="F6676" s="80">
        <v>408.0</v>
      </c>
      <c r="G6676" s="80" t="s">
        <v>63</v>
      </c>
      <c r="I6676" s="80" t="s">
        <v>63</v>
      </c>
      <c r="J6676" s="80">
        <v>1422.0</v>
      </c>
      <c r="K6676" s="80">
        <v>0.664796633941094</v>
      </c>
      <c r="L6676" s="80" t="s">
        <v>64</v>
      </c>
    </row>
    <row r="6677">
      <c r="A6677" s="80" t="s">
        <v>2041</v>
      </c>
      <c r="B6677" s="81" t="str">
        <f>HYPERLINK("https://www.youtube.com/channel/UCO6pB-ZN4XJ6MVkibvuEe0A", "SingSingTracker 星昇財經指標")</f>
        <v>SingSingTracker 星昇財經指標</v>
      </c>
      <c r="C6677" s="80" t="s">
        <v>7209</v>
      </c>
      <c r="D6677" s="81" t="str">
        <f>HYPERLINK("https://youtube.com/watch?v=ofL_apguCzo", "《AI 女主持-小Sing🌸》分享【上一星期又賺超過$2萬？】[講解追蹤未來股市動向📈] #ai主播 #3dmodeling #投資 #股票 #外匯 #致富 #女主播 #aigirl #美女")</f>
        <v>《AI 女主持-小Sing🌸》分享【上一星期又賺超過$2萬？】[講解追蹤未來股市動向📈] #ai主播 #3dmodeling #投資 #股票 #外匯 #致富 #女主播 #aigirl #美女</v>
      </c>
      <c r="E6677" s="82">
        <v>45126.0</v>
      </c>
      <c r="F6677" s="80">
        <v>232.0</v>
      </c>
      <c r="G6677" s="80" t="s">
        <v>63</v>
      </c>
      <c r="I6677" s="80" t="s">
        <v>63</v>
      </c>
      <c r="J6677" s="80">
        <v>860.0</v>
      </c>
      <c r="K6677" s="80">
        <v>0.979498861047836</v>
      </c>
      <c r="L6677" s="80" t="s">
        <v>64</v>
      </c>
    </row>
    <row r="6678">
      <c r="A6678" s="80" t="s">
        <v>260</v>
      </c>
      <c r="B6678" s="81" t="str">
        <f>HYPERLINK("https://www.youtube.com/channel/UC-HXOikkLx7BGEfILGIpYOg", "港短 . 英移")</f>
        <v>港短 . 英移</v>
      </c>
      <c r="C6678" s="80" t="s">
        <v>7210</v>
      </c>
      <c r="D6678" s="81" t="str">
        <f>HYPERLINK("https://youtube.com/watch?v=L4wwZF9HeE8", "倫敦另類景點 英國監獄成為倫敦最佳餐廳  當犯人打敗英國廚神 | 港短英移")</f>
        <v>倫敦另類景點 英國監獄成為倫敦最佳餐廳  當犯人打敗英國廚神 | 港短英移</v>
      </c>
      <c r="E6678" s="82">
        <v>45156.0</v>
      </c>
      <c r="F6678" s="80">
        <v>333.0</v>
      </c>
      <c r="G6678" s="80" t="s">
        <v>63</v>
      </c>
      <c r="I6678" s="80" t="s">
        <v>63</v>
      </c>
      <c r="J6678" s="80">
        <v>1529.0</v>
      </c>
      <c r="K6678" s="80">
        <v>0.93746167995095</v>
      </c>
      <c r="L6678" s="80" t="s">
        <v>102</v>
      </c>
    </row>
    <row r="6679">
      <c r="A6679" s="80" t="s">
        <v>6892</v>
      </c>
      <c r="B6679" s="81" t="str">
        <f>HYPERLINK("https://www.youtube.com/channel/UC8_hxeY0nDCL-8ETbcGUZ9g", "PT食為先")</f>
        <v>PT食為先</v>
      </c>
      <c r="C6679" s="80" t="s">
        <v>7211</v>
      </c>
      <c r="D6679" s="81" t="str">
        <f>HYPERLINK("https://youtube.com/watch?v=FyscplcKM48", "[PT自費食評] 酒店級點心放題75折優惠教學！帶你遊訊號山花園～望住海景嘆灌湯餃、燒賣、蝦餃！")</f>
        <v>[PT自費食評] 酒店級點心放題75折優惠教學！帶你遊訊號山花園～望住海景嘆灌湯餃、燒賣、蝦餃！</v>
      </c>
      <c r="E6679" s="82">
        <v>45142.0</v>
      </c>
      <c r="F6679" s="80">
        <v>798.0</v>
      </c>
      <c r="G6679" s="80" t="s">
        <v>63</v>
      </c>
      <c r="I6679" s="80" t="s">
        <v>63</v>
      </c>
      <c r="J6679" s="80">
        <v>2144.0</v>
      </c>
      <c r="K6679" s="80">
        <v>0.979890310786106</v>
      </c>
      <c r="L6679" s="80" t="s">
        <v>64</v>
      </c>
    </row>
    <row r="6680">
      <c r="A6680" s="80" t="s">
        <v>6960</v>
      </c>
      <c r="B6680" s="81" t="str">
        <f>HYPERLINK("https://www.youtube.com/channel/UCQS2_zzisMq5C_FggxsQwTQ", "Comprehensible Cantonese")</f>
        <v>Comprehensible Cantonese</v>
      </c>
      <c r="C6680" s="80" t="s">
        <v>7212</v>
      </c>
      <c r="D6680" s="81" t="str">
        <f>HYPERLINK("https://youtube.com/watch?v=5a_O91YCXJQ", "[CC] Cantonese Story: Where's My Kitten?  👀🐈 | Slow &amp; Easy Cantonese 廣東話 |  (Basic Beginner)")</f>
        <v>[CC] Cantonese Story: Where's My Kitten?  👀🐈 | Slow &amp; Easy Cantonese 廣東話 |  (Basic Beginner)</v>
      </c>
      <c r="E6680" s="82">
        <v>45163.0</v>
      </c>
      <c r="F6680" s="80">
        <v>162.0</v>
      </c>
      <c r="G6680" s="80" t="s">
        <v>63</v>
      </c>
      <c r="I6680" s="80" t="s">
        <v>63</v>
      </c>
      <c r="J6680" s="80">
        <v>303.0</v>
      </c>
      <c r="K6680" s="80">
        <v>0.949843260188087</v>
      </c>
      <c r="L6680" s="80" t="s">
        <v>102</v>
      </c>
    </row>
    <row r="6681">
      <c r="A6681" s="80" t="s">
        <v>6892</v>
      </c>
      <c r="B6681" s="81" t="str">
        <f>HYPERLINK("https://www.youtube.com/channel/UC8_hxeY0nDCL-8ETbcGUZ9g", "PT食為先")</f>
        <v>PT食為先</v>
      </c>
      <c r="C6681" s="80" t="s">
        <v>7213</v>
      </c>
      <c r="D6681" s="81" t="str">
        <f>HYPERLINK("https://youtube.com/watch?v=lqktxUDlRis", "[PT自費遊記] 全球唯一迪士尼海洋🌊唔識用Entry Request就蝕！Hotel Emion自助早餐啱食嗎？")</f>
        <v>[PT自費遊記] 全球唯一迪士尼海洋🌊唔識用Entry Request就蝕！Hotel Emion自助早餐啱食嗎？</v>
      </c>
      <c r="E6681" s="82">
        <v>45118.0</v>
      </c>
      <c r="F6681" s="80">
        <v>1108.0</v>
      </c>
      <c r="G6681" s="80" t="s">
        <v>63</v>
      </c>
      <c r="I6681" s="80" t="s">
        <v>63</v>
      </c>
      <c r="J6681" s="80">
        <v>2577.0</v>
      </c>
      <c r="K6681" s="80">
        <v>0.825961538461538</v>
      </c>
      <c r="L6681" s="80" t="s">
        <v>64</v>
      </c>
    </row>
    <row r="6682">
      <c r="A6682" s="80" t="s">
        <v>755</v>
      </c>
      <c r="B6682" s="81" t="str">
        <f t="shared" ref="B6682:B6683" si="386">HYPERLINK("https://www.youtube.com/channel/UCBiJDTc82IM68KVH873VeAw", "Live in Kwangsi廣西人·情·味")</f>
        <v>Live in Kwangsi廣西人·情·味</v>
      </c>
      <c r="C6682" s="80" t="s">
        <v>7214</v>
      </c>
      <c r="D6682" s="81" t="str">
        <f>HYPERLINK("https://youtube.com/watch?v=jC6yY3c6wmA", "南寧傳統茶樓萬國酒家 如今孭起推廣傳統文化重責")</f>
        <v>南寧傳統茶樓萬國酒家 如今孭起推廣傳統文化重責</v>
      </c>
      <c r="E6682" s="82">
        <v>45112.0</v>
      </c>
      <c r="F6682" s="80">
        <v>3170.0</v>
      </c>
      <c r="G6682" s="80" t="s">
        <v>63</v>
      </c>
      <c r="I6682" s="80" t="s">
        <v>63</v>
      </c>
      <c r="J6682" s="80">
        <v>4951.0</v>
      </c>
      <c r="K6682" s="80">
        <v>0.983903020667726</v>
      </c>
      <c r="L6682" s="80" t="s">
        <v>757</v>
      </c>
    </row>
    <row r="6683">
      <c r="A6683" s="80" t="s">
        <v>755</v>
      </c>
      <c r="B6683" s="81" t="str">
        <f t="shared" si="386"/>
        <v>Live in Kwangsi廣西人·情·味</v>
      </c>
      <c r="C6683" s="80" t="s">
        <v>7215</v>
      </c>
      <c r="D6683" s="81" t="str">
        <f>HYPERLINK("https://youtube.com/watch?v=EetA5_iNZyk", "賀州市十八水原生態景區 炎炎夏日市郊避暑勝地｜廣西美景 20230610")</f>
        <v>賀州市十八水原生態景區 炎炎夏日市郊避暑勝地｜廣西美景 20230610</v>
      </c>
      <c r="E6683" s="82">
        <v>45132.0</v>
      </c>
      <c r="F6683" s="80">
        <v>189.0</v>
      </c>
      <c r="G6683" s="80" t="s">
        <v>63</v>
      </c>
      <c r="I6683" s="80" t="s">
        <v>63</v>
      </c>
      <c r="J6683" s="80">
        <v>491.0</v>
      </c>
      <c r="K6683" s="80">
        <v>1.0</v>
      </c>
      <c r="L6683" s="80" t="s">
        <v>757</v>
      </c>
    </row>
    <row r="6684">
      <c r="A6684" s="80" t="s">
        <v>293</v>
      </c>
      <c r="B6684" s="81" t="str">
        <f>HYPERLINK("https://www.youtube.com/channel/UCXRcbXqjORdIvl63I7MtOLQ", "趁熱 Kerry 's kitchen")</f>
        <v>趁熱 Kerry 's kitchen</v>
      </c>
      <c r="C6684" s="80" t="s">
        <v>7216</v>
      </c>
      <c r="D6684" s="81" t="str">
        <f>HYPERLINK("https://youtube.com/watch?v=WWt427yL3q8", "絲瓜木耳炒肉片/經典住家菜/如何煮得好食/新手 入門/粵語/中字")</f>
        <v>絲瓜木耳炒肉片/經典住家菜/如何煮得好食/新手 入門/粵語/中字</v>
      </c>
      <c r="E6684" s="82">
        <v>45128.0</v>
      </c>
      <c r="F6684" s="80">
        <v>569.0</v>
      </c>
      <c r="G6684" s="80" t="s">
        <v>63</v>
      </c>
      <c r="I6684" s="80" t="s">
        <v>63</v>
      </c>
      <c r="J6684" s="80">
        <v>1819.0</v>
      </c>
      <c r="K6684" s="80">
        <v>0.981121898597626</v>
      </c>
      <c r="L6684" s="80" t="s">
        <v>64</v>
      </c>
    </row>
    <row r="6685">
      <c r="A6685" s="80" t="s">
        <v>2785</v>
      </c>
      <c r="B6685" s="81" t="str">
        <f>HYPERLINK("https://www.youtube.com/channel/UC_w7pV_Xz9XO0ChNFxMtV0w", "MPWeekly明周")</f>
        <v>MPWeekly明周</v>
      </c>
      <c r="C6685" s="80" t="s">
        <v>7217</v>
      </c>
      <c r="D6685" s="81" t="str">
        <f>HYPERLINK("https://youtube.com/watch?v=6ayx_oOJJPI", "第一次約會借藍奕邦 「過橋」 鄧小巧老公撐回流兼轉行")</f>
        <v>第一次約會借藍奕邦 「過橋」 鄧小巧老公撐回流兼轉行</v>
      </c>
      <c r="E6685" s="82">
        <v>45153.0</v>
      </c>
      <c r="F6685" s="80">
        <v>226.0</v>
      </c>
      <c r="G6685" s="80" t="s">
        <v>63</v>
      </c>
      <c r="I6685" s="80" t="s">
        <v>63</v>
      </c>
      <c r="J6685" s="80">
        <v>564.0</v>
      </c>
      <c r="K6685" s="80">
        <v>0.93687707641196</v>
      </c>
      <c r="L6685" s="80" t="s">
        <v>64</v>
      </c>
    </row>
    <row r="6686">
      <c r="A6686" s="80" t="s">
        <v>6591</v>
      </c>
      <c r="B6686" s="81" t="str">
        <f>HYPERLINK("https://www.youtube.com/channel/UC0DpBgpq_gR7TaNDIvJYZag", "TalkFood")</f>
        <v>TalkFood</v>
      </c>
      <c r="C6686" s="80" t="s">
        <v>7218</v>
      </c>
      <c r="D6686" s="81" t="str">
        <f>HYPERLINK("https://youtube.com/watch?v=mQQWZd-GbcA", "#TalkFood【#家姐系列：台灣家姐番外篇之台灣留學生 你以為好chill的台灣生活vs真正的台灣生活】每天要追垃圾車倒垃圾｜打邊爐係高消費｜返屋企要行樓梯｜8成都係踎厠｜大學生畢業起薪係幾多？")</f>
        <v>#TalkFood【#家姐系列：台灣家姐番外篇之台灣留學生 你以為好chill的台灣生活vs真正的台灣生活】每天要追垃圾車倒垃圾｜打邊爐係高消費｜返屋企要行樓梯｜8成都係踎厠｜大學生畢業起薪係幾多？</v>
      </c>
      <c r="E6686" s="82">
        <v>45162.0</v>
      </c>
      <c r="F6686" s="80">
        <v>1189.0</v>
      </c>
      <c r="G6686" s="80" t="s">
        <v>63</v>
      </c>
      <c r="I6686" s="80" t="s">
        <v>63</v>
      </c>
      <c r="J6686" s="80">
        <v>4758.0</v>
      </c>
      <c r="K6686" s="80">
        <v>0.981840693355344</v>
      </c>
      <c r="L6686" s="80" t="s">
        <v>64</v>
      </c>
    </row>
    <row r="6687">
      <c r="A6687" s="80" t="s">
        <v>755</v>
      </c>
      <c r="B6687" s="81" t="str">
        <f>HYPERLINK("https://www.youtube.com/channel/UCBiJDTc82IM68KVH873VeAw", "Live in Kwangsi廣西人·情·味")</f>
        <v>Live in Kwangsi廣西人·情·味</v>
      </c>
      <c r="C6687" s="80" t="s">
        <v>7219</v>
      </c>
      <c r="D6687" s="81" t="str">
        <f>HYPERLINK("https://youtube.com/watch?v=KOIZD1S6RvA", "廣州沙面島 嶺南最具歐陸風情嘅地方之一｜廣東日常實拍 20230623")</f>
        <v>廣州沙面島 嶺南最具歐陸風情嘅地方之一｜廣東日常實拍 20230623</v>
      </c>
      <c r="E6687" s="82">
        <v>45131.0</v>
      </c>
      <c r="F6687" s="80">
        <v>236.0</v>
      </c>
      <c r="G6687" s="80" t="s">
        <v>63</v>
      </c>
      <c r="I6687" s="80" t="s">
        <v>63</v>
      </c>
      <c r="J6687" s="80">
        <v>455.0</v>
      </c>
      <c r="K6687" s="80">
        <v>0.99562363238512</v>
      </c>
      <c r="L6687" s="80" t="s">
        <v>757</v>
      </c>
    </row>
    <row r="6688">
      <c r="A6688" s="80" t="s">
        <v>6711</v>
      </c>
      <c r="B6688" s="81" t="str">
        <f>HYPERLINK("https://www.youtube.com/channel/UCwAPo1PxfhC-CSSjsRtlY3A", "喜歡電影的人都有病 Movie Psychopath")</f>
        <v>喜歡電影的人都有病 Movie Psychopath</v>
      </c>
      <c r="C6688" s="80" t="s">
        <v>7220</v>
      </c>
      <c r="D6688" s="81" t="str">
        <f>HYPERLINK("https://youtube.com/watch?v=29yHtVyEnsI", "［有病訪談］《陰目偵信》導演梁國輝｜點解揀Error四子做主角？｜小太郎和伍佰良的親熱戲被刪？｜電影製作理念？｜粵語｜廣東話｜阿光｜阿影")</f>
        <v>［有病訪談］《陰目偵信》導演梁國輝｜點解揀Error四子做主角？｜小太郎和伍佰良的親熱戲被刪？｜電影製作理念？｜粵語｜廣東話｜阿光｜阿影</v>
      </c>
      <c r="E6688" s="82">
        <v>45149.0</v>
      </c>
      <c r="F6688" s="80">
        <v>1538.0</v>
      </c>
      <c r="G6688" s="80" t="s">
        <v>63</v>
      </c>
      <c r="I6688" s="80" t="s">
        <v>63</v>
      </c>
      <c r="J6688" s="80">
        <v>6569.0</v>
      </c>
      <c r="K6688" s="80">
        <v>0.959959082273856</v>
      </c>
      <c r="L6688" s="80" t="s">
        <v>64</v>
      </c>
    </row>
    <row r="6689">
      <c r="A6689" s="80" t="s">
        <v>242</v>
      </c>
      <c r="B6689" s="81" t="str">
        <f>HYPERLINK("https://www.youtube.com/channel/UCZGVB6g74LXWtkR3fX50ykg", "Edwin H.")</f>
        <v>Edwin H.</v>
      </c>
      <c r="C6689" s="80" t="s">
        <v>7221</v>
      </c>
      <c r="D6689" s="81" t="str">
        <f>HYPERLINK("https://youtube.com/watch?v=yM6hLMkak_Y", "PS5 Slim ""這個月""出？ 為何英國警察討厭Android？🇬🇧🚨👮🏻‍♀️ 33件必睇科技新品  6月7月 有趣科技新聞")</f>
        <v>PS5 Slim "這個月"出？ 為何英國警察討厭Android？🇬🇧🚨👮🏻‍♀️ 33件必睇科技新品  6月7月 有趣科技新聞</v>
      </c>
      <c r="E6689" s="82">
        <v>45121.0</v>
      </c>
      <c r="F6689" s="80">
        <v>883.0</v>
      </c>
      <c r="G6689" s="80" t="s">
        <v>63</v>
      </c>
      <c r="I6689" s="80" t="s">
        <v>63</v>
      </c>
      <c r="J6689" s="80">
        <v>3531.0</v>
      </c>
      <c r="K6689" s="80">
        <v>0.711464839814628</v>
      </c>
      <c r="L6689" s="80" t="s">
        <v>64</v>
      </c>
    </row>
    <row r="6690">
      <c r="A6690" s="80" t="s">
        <v>2041</v>
      </c>
      <c r="B6690" s="81" t="str">
        <f>HYPERLINK("https://www.youtube.com/channel/UCO6pB-ZN4XJ6MVkibvuEe0A", "SingSingTracker 星昇財經指標")</f>
        <v>SingSingTracker 星昇財經指標</v>
      </c>
      <c r="C6690" s="80" t="s">
        <v>7222</v>
      </c>
      <c r="D6690" s="81" t="str">
        <f>HYPERLINK("https://youtube.com/watch?v=No7-2yEKPWA", "《AI 女主持-小Sing🌸》分享【呢一星期又賺超過港幣2萬6？！】[講解追蹤🔍未來股市動向📈] 23/8/2023  #人工智能 #vtuber #aigirl")</f>
        <v>《AI 女主持-小Sing🌸》分享【呢一星期又賺超過港幣2萬6？！】[講解追蹤🔍未來股市動向📈] 23/8/2023  #人工智能 #vtuber #aigirl</v>
      </c>
      <c r="E6690" s="82">
        <v>45161.0</v>
      </c>
      <c r="F6690" s="80">
        <v>267.0</v>
      </c>
      <c r="G6690" s="80" t="s">
        <v>63</v>
      </c>
      <c r="I6690" s="80" t="s">
        <v>63</v>
      </c>
      <c r="J6690" s="80">
        <v>971.0</v>
      </c>
      <c r="K6690" s="80">
        <v>0.975879396984924</v>
      </c>
      <c r="L6690" s="80" t="s">
        <v>64</v>
      </c>
    </row>
    <row r="6691">
      <c r="A6691" s="80" t="s">
        <v>5992</v>
      </c>
      <c r="B6691" s="81" t="str">
        <f>HYPERLINK("https://www.youtube.com/channel/UCEuQ-0x3uMk1KghGiO1kTHg", "MIRROR")</f>
        <v>MIRROR</v>
      </c>
      <c r="C6691" s="80" t="s">
        <v>7223</v>
      </c>
      <c r="D6691" s="81" t="str">
        <f>HYPERLINK("https://youtube.com/watch?v=4tItnQMKLo4", "Anson Kong 江𤒹生《Keep Rollin’》Official Music Video")</f>
        <v>Anson Kong 江𤒹生《Keep Rollin’》Official Music Video</v>
      </c>
      <c r="E6691" s="82">
        <v>45096.0</v>
      </c>
      <c r="F6691" s="80">
        <v>204.0</v>
      </c>
      <c r="G6691" s="80" t="s">
        <v>63</v>
      </c>
      <c r="I6691" s="80" t="s">
        <v>63</v>
      </c>
      <c r="J6691" s="80">
        <v>476.0</v>
      </c>
      <c r="K6691" s="80">
        <v>0.753164556962025</v>
      </c>
      <c r="L6691" s="80" t="s">
        <v>64</v>
      </c>
    </row>
    <row r="6692">
      <c r="A6692" s="80" t="s">
        <v>7224</v>
      </c>
      <c r="B6692" s="81" t="str">
        <f>HYPERLINK("https://www.youtube.com/channel/UCfoF_al7B5iXAnYoUXFPF5w", "皮毛小知識")</f>
        <v>皮毛小知識</v>
      </c>
      <c r="C6692" s="80" t="s">
        <v>7225</v>
      </c>
      <c r="D6692" s="81" t="str">
        <f>HYPERLINK("https://youtube.com/watch?v=GCzw1KXQd5M", "1 個單字變出 40 個意思!? 有系統分析神奇的粵語語氣助詞!(繁體中文字幕)")</f>
        <v>1 個單字變出 40 個意思!? 有系統分析神奇的粵語語氣助詞!(繁體中文字幕)</v>
      </c>
      <c r="E6692" s="82">
        <v>45149.0</v>
      </c>
      <c r="F6692" s="80">
        <v>575.0</v>
      </c>
      <c r="G6692" s="80" t="s">
        <v>63</v>
      </c>
      <c r="I6692" s="80" t="s">
        <v>63</v>
      </c>
      <c r="J6692" s="80">
        <v>2065.0</v>
      </c>
      <c r="K6692" s="80">
        <v>0.958236658932714</v>
      </c>
      <c r="L6692" s="80" t="s">
        <v>91</v>
      </c>
    </row>
    <row r="6693">
      <c r="A6693" s="80" t="s">
        <v>414</v>
      </c>
      <c r="B6693" s="81" t="str">
        <f>HYPERLINK("https://www.youtube.com/channel/UCCVn38j5xSJZN-II-TeyomA", "Uncle Calvin Cantonese Class")</f>
        <v>Uncle Calvin Cantonese Class</v>
      </c>
      <c r="C6693" s="80" t="s">
        <v>7226</v>
      </c>
      <c r="D6693" s="81" t="str">
        <f>HYPERLINK("https://youtube.com/watch?v=7IH_RYhJ_mM", "【巨型橡皮鴨遊到維港】Double Ducks ""Swimming"" in Victoria Harbour I 黃鴨 I 公共藝術 I 兒童廣東話新聞報道 UCC News I 廣東話教室")</f>
        <v>【巨型橡皮鴨遊到維港】Double Ducks "Swimming" in Victoria Harbour I 黃鴨 I 公共藝術 I 兒童廣東話新聞報道 UCC News I 廣東話教室</v>
      </c>
      <c r="E6693" s="82">
        <v>45086.0</v>
      </c>
      <c r="F6693" s="80">
        <v>168.0</v>
      </c>
      <c r="G6693" s="80" t="s">
        <v>63</v>
      </c>
      <c r="H6693" s="80" t="s">
        <v>63</v>
      </c>
      <c r="I6693" s="80" t="s">
        <v>63</v>
      </c>
      <c r="J6693" s="80">
        <v>532.0</v>
      </c>
      <c r="K6693" s="80">
        <v>0.918402777777777</v>
      </c>
      <c r="L6693" s="80" t="s">
        <v>240</v>
      </c>
    </row>
    <row r="6694">
      <c r="A6694" s="80" t="s">
        <v>6892</v>
      </c>
      <c r="B6694" s="81" t="str">
        <f>HYPERLINK("https://www.youtube.com/channel/UC8_hxeY0nDCL-8ETbcGUZ9g", "PT食為先")</f>
        <v>PT食為先</v>
      </c>
      <c r="C6694" s="80" t="s">
        <v>7227</v>
      </c>
      <c r="D6694" s="81" t="str">
        <f>HYPERLINK("https://youtube.com/watch?v=hTQR-JhXA-Y", "[PT自費食評] $377晚市自助餐 買一送一 食龍蝦、蟹腳、扇貝！懷舊菜式重現老香港味道：菠蘿油、龍鬚糖、糖葱餅、飛機欖｜富豪機場酒店 藝廊咖啡室")</f>
        <v>[PT自費食評] $377晚市自助餐 買一送一 食龍蝦、蟹腳、扇貝！懷舊菜式重現老香港味道：菠蘿油、龍鬚糖、糖葱餅、飛機欖｜富豪機場酒店 藝廊咖啡室</v>
      </c>
      <c r="E6694" s="82">
        <v>45148.0</v>
      </c>
      <c r="F6694" s="80">
        <v>1196.0</v>
      </c>
      <c r="G6694" s="80" t="s">
        <v>63</v>
      </c>
      <c r="I6694" s="80" t="s">
        <v>63</v>
      </c>
      <c r="J6694" s="80">
        <v>2728.0</v>
      </c>
      <c r="K6694" s="80">
        <v>0.93296853625171</v>
      </c>
      <c r="L6694" s="80" t="s">
        <v>64</v>
      </c>
    </row>
    <row r="6695">
      <c r="A6695" s="80" t="s">
        <v>248</v>
      </c>
      <c r="B6695" s="81" t="str">
        <f>HYPERLINK("https://www.youtube.com/channel/UCUEJok-GiWaGlv5nIPwk-GQ", "Price.com.hk 香港格價網")</f>
        <v>Price.com.hk 香港格價網</v>
      </c>
      <c r="C6695" s="80" t="s">
        <v>7228</v>
      </c>
      <c r="D6695" s="81" t="str">
        <f>HYPERLINK("https://youtube.com/watch?v=wBlBmQvM0EA", "熱水洗布拖地更乾淨！ECOVACS T20 OMNI 熱水洗布全能掃拖機械人｜6000Pa 颶風吸力｜9mm 抹布抬升｜邊角深度清潔 ｜特約專題｜廣東話【Price.com.hk 產品介紹】")</f>
        <v>熱水洗布拖地更乾淨！ECOVACS T20 OMNI 熱水洗布全能掃拖機械人｜6000Pa 颶風吸力｜9mm 抹布抬升｜邊角深度清潔 ｜特約專題｜廣東話【Price.com.hk 產品介紹】</v>
      </c>
      <c r="E6695" s="82">
        <v>45100.0</v>
      </c>
      <c r="F6695" s="80">
        <v>335.0</v>
      </c>
      <c r="G6695" s="80" t="s">
        <v>63</v>
      </c>
      <c r="I6695" s="80" t="s">
        <v>63</v>
      </c>
      <c r="J6695" s="80">
        <v>1110.0</v>
      </c>
      <c r="K6695" s="80">
        <v>0.841546626231993</v>
      </c>
      <c r="L6695" s="80" t="s">
        <v>64</v>
      </c>
    </row>
    <row r="6696">
      <c r="A6696" s="80" t="s">
        <v>414</v>
      </c>
      <c r="B6696" s="81" t="str">
        <f>HYPERLINK("https://www.youtube.com/channel/UCCVn38j5xSJZN-II-TeyomA", "Uncle Calvin Cantonese Class")</f>
        <v>Uncle Calvin Cantonese Class</v>
      </c>
      <c r="C6696" s="80" t="s">
        <v>7229</v>
      </c>
      <c r="D6696" s="81" t="str">
        <f>HYPERLINK("https://youtube.com/watch?v=aSUgzrq8Lfo", "【畫黃鴨】Draw a Yellow Duck I 黃鴨 I 粉彩 I 橡皮鴨 I 幼童畫畫 Toddlers' Drawing I 廣東話教室")</f>
        <v>【畫黃鴨】Draw a Yellow Duck I 黃鴨 I 粉彩 I 橡皮鴨 I 幼童畫畫 Toddlers' Drawing I 廣東話教室</v>
      </c>
      <c r="E6696" s="82">
        <v>45096.0</v>
      </c>
      <c r="F6696" s="80">
        <v>459.0</v>
      </c>
      <c r="G6696" s="80" t="s">
        <v>63</v>
      </c>
      <c r="H6696" s="80" t="s">
        <v>63</v>
      </c>
      <c r="I6696" s="80" t="s">
        <v>63</v>
      </c>
      <c r="J6696" s="80">
        <v>799.0</v>
      </c>
      <c r="K6696" s="80">
        <v>0.932941176470588</v>
      </c>
      <c r="L6696" s="80" t="s">
        <v>240</v>
      </c>
    </row>
    <row r="6697">
      <c r="A6697" s="80" t="s">
        <v>7185</v>
      </c>
      <c r="B6697" s="81" t="str">
        <f>HYPERLINK("https://www.youtube.com/channel/UCBdOfjR-IWU0ANEbCoUgYLw", "Acrubbish Radio動漫廢物電台")</f>
        <v>Acrubbish Radio動漫廢物電台</v>
      </c>
      <c r="C6697" s="80" t="s">
        <v>7230</v>
      </c>
      <c r="D6697" s="81" t="str">
        <f>HYPERLINK("https://youtube.com/watch?v=r__wlBBf6x0", "【如果新著龍虎門世界入面有新聞報導】   @ 動廢幾分鐘")</f>
        <v>【如果新著龍虎門世界入面有新聞報導】   @ 動廢幾分鐘</v>
      </c>
      <c r="E6697" s="82">
        <v>42528.0</v>
      </c>
      <c r="F6697" s="80">
        <v>217.0</v>
      </c>
      <c r="G6697" s="80" t="s">
        <v>63</v>
      </c>
      <c r="I6697" s="80" t="s">
        <v>63</v>
      </c>
      <c r="J6697" s="80">
        <v>1068.0</v>
      </c>
      <c r="K6697" s="80">
        <v>0.987060998151571</v>
      </c>
      <c r="L6697" s="80" t="s">
        <v>2937</v>
      </c>
    </row>
    <row r="6698">
      <c r="A6698" s="80" t="s">
        <v>248</v>
      </c>
      <c r="B6698" s="81" t="str">
        <f>HYPERLINK("https://www.youtube.com/channel/UCUEJok-GiWaGlv5nIPwk-GQ", "Price.com.hk 香港格價網")</f>
        <v>Price.com.hk 香港格價網</v>
      </c>
      <c r="C6698" s="80" t="s">
        <v>7231</v>
      </c>
      <c r="D6698" s="81" t="str">
        <f>HYPERLINK("https://youtube.com/watch?v=Mr6XGt7h8pQ", "【日日送PS5】Price網上電腦節2023｜今晚有Van仔同你公佈遊戲玩法")</f>
        <v>【日日送PS5】Price網上電腦節2023｜今晚有Van仔同你公佈遊戲玩法</v>
      </c>
      <c r="E6698" s="82">
        <v>45158.0</v>
      </c>
      <c r="F6698" s="80">
        <v>32.0</v>
      </c>
      <c r="G6698" s="80" t="s">
        <v>63</v>
      </c>
      <c r="I6698" s="80" t="s">
        <v>63</v>
      </c>
      <c r="J6698" s="80">
        <v>97.0</v>
      </c>
      <c r="K6698" s="80">
        <v>0.692857142857142</v>
      </c>
      <c r="L6698" s="80" t="s">
        <v>64</v>
      </c>
    </row>
    <row r="6699">
      <c r="A6699" s="80" t="s">
        <v>7099</v>
      </c>
      <c r="B6699" s="81" t="str">
        <f>HYPERLINK("https://www.youtube.com/channel/UCBwfrMS785JyWDUBRhOQkjw", "Karenly :")</f>
        <v>Karenly :</v>
      </c>
      <c r="C6699" s="80" t="s">
        <v>7232</v>
      </c>
      <c r="D6699" s="81" t="str">
        <f>HYPERLINK("https://youtube.com/watch?v=j_tabEDJ1D8", "無懼任何天氣！家用跑步機 WalkingPad R2．X21 ｜優惠碼｜KingSmith｜友和特約 ｜繁中字幕｜廣東話【Karenly:】")</f>
        <v>無懼任何天氣！家用跑步機 WalkingPad R2．X21 ｜優惠碼｜KingSmith｜友和特約 ｜繁中字幕｜廣東話【Karenly:】</v>
      </c>
      <c r="E6699" s="82">
        <v>45096.0</v>
      </c>
      <c r="F6699" s="80">
        <v>372.0</v>
      </c>
      <c r="G6699" s="80" t="s">
        <v>63</v>
      </c>
      <c r="I6699" s="80" t="s">
        <v>63</v>
      </c>
      <c r="J6699" s="80">
        <v>1605.0</v>
      </c>
      <c r="K6699" s="80">
        <v>0.876570180229382</v>
      </c>
      <c r="L6699" s="80" t="s">
        <v>64</v>
      </c>
    </row>
    <row r="6700">
      <c r="A6700" s="80" t="s">
        <v>124</v>
      </c>
      <c r="B6700" s="81" t="str">
        <f>HYPERLINK("https://www.youtube.com/channel/UCg0vuSE0fBF_NvodyYhMcWg", "Wallace Studio HK")</f>
        <v>Wallace Studio HK</v>
      </c>
      <c r="C6700" s="80" t="s">
        <v>7233</v>
      </c>
      <c r="D6700" s="81" t="str">
        <f>HYPERLINK("https://youtube.com/watch?v=sALjD8y3Rtg", "iOS 17 &amp; iPad OS 17  - 11個主要實用功能!")</f>
        <v>iOS 17 &amp; iPad OS 17  - 11個主要實用功能!</v>
      </c>
      <c r="E6700" s="82">
        <v>45122.0</v>
      </c>
      <c r="F6700" s="80">
        <v>330.0</v>
      </c>
      <c r="G6700" s="80" t="s">
        <v>63</v>
      </c>
      <c r="I6700" s="80" t="s">
        <v>63</v>
      </c>
      <c r="J6700" s="80">
        <v>1327.0</v>
      </c>
      <c r="K6700" s="80">
        <v>0.707356076759061</v>
      </c>
      <c r="L6700" s="80" t="s">
        <v>64</v>
      </c>
    </row>
    <row r="6701">
      <c r="A6701" s="80" t="s">
        <v>248</v>
      </c>
      <c r="B6701" s="81" t="str">
        <f>HYPERLINK("https://www.youtube.com/channel/UCUEJok-GiWaGlv5nIPwk-GQ", "Price.com.hk 香港格價網")</f>
        <v>Price.com.hk 香港格價網</v>
      </c>
      <c r="C6701" s="80" t="s">
        <v>7234</v>
      </c>
      <c r="D6701" s="81" t="str">
        <f>HYPERLINK("https://youtube.com/watch?v=4re4AzTE8xg", "iPhone 15實機曝光！摺機極限測試 開合40萬次唔壞？Disney+加價27%｜Astell &amp; Kern UW100MKII發燒級TWS｜廣東話【Price Weekly 179】")</f>
        <v>iPhone 15實機曝光！摺機極限測試 開合40萬次唔壞？Disney+加價27%｜Astell &amp; Kern UW100MKII發燒級TWS｜廣東話【Price Weekly 179】</v>
      </c>
      <c r="E6701" s="82">
        <v>45150.0</v>
      </c>
      <c r="F6701" s="80">
        <v>339.0</v>
      </c>
      <c r="G6701" s="80" t="s">
        <v>63</v>
      </c>
      <c r="I6701" s="80" t="s">
        <v>63</v>
      </c>
      <c r="J6701" s="80">
        <v>1242.0</v>
      </c>
      <c r="K6701" s="80">
        <v>0.714203565267395</v>
      </c>
      <c r="L6701" s="80" t="s">
        <v>64</v>
      </c>
    </row>
    <row r="6702">
      <c r="A6702" s="80" t="s">
        <v>129</v>
      </c>
      <c r="B6702" s="81" t="str">
        <f>HYPERLINK("https://www.youtube.com/channel/UCBbTnorwzva0ZIMGW0ttwVA", "阿豬 Ah Ju")</f>
        <v>阿豬 Ah Ju</v>
      </c>
      <c r="C6702" s="80" t="s">
        <v>7235</v>
      </c>
      <c r="D6702" s="81" t="str">
        <f>HYPERLINK("https://youtube.com/watch?v=MfDlgRtmgpc", "誰是2023年新的領先股？#美股")</f>
        <v>誰是2023年新的領先股？#美股</v>
      </c>
      <c r="E6702" s="82">
        <v>45097.0</v>
      </c>
      <c r="F6702" s="80">
        <v>1059.0</v>
      </c>
      <c r="G6702" s="80" t="s">
        <v>63</v>
      </c>
      <c r="I6702" s="80" t="s">
        <v>63</v>
      </c>
      <c r="J6702" s="80">
        <v>4591.0</v>
      </c>
      <c r="K6702" s="80">
        <v>0.728614505634026</v>
      </c>
      <c r="L6702" s="80" t="s">
        <v>102</v>
      </c>
    </row>
    <row r="6703">
      <c r="A6703" s="80" t="s">
        <v>248</v>
      </c>
      <c r="B6703" s="81" t="str">
        <f>HYPERLINK("https://www.youtube.com/channel/UCUEJok-GiWaGlv5nIPwk-GQ", "Price.com.hk 香港格價網")</f>
        <v>Price.com.hk 香港格價網</v>
      </c>
      <c r="C6703" s="80" t="s">
        <v>7236</v>
      </c>
      <c r="D6703" s="81" t="str">
        <f>HYPERLINK("https://youtube.com/watch?v=aG_91l6FVpU", "開放式降噪真係得？6個原因好過入耳式｜1More Fit S50耳機｜1千元有找｜運動、眼鏡都兼容？廣東話【特約專題】｜廣東話【特約專題】")</f>
        <v>開放式降噪真係得？6個原因好過入耳式｜1More Fit S50耳機｜1千元有找｜運動、眼鏡都兼容？廣東話【特約專題】｜廣東話【特約專題】</v>
      </c>
      <c r="E6703" s="82">
        <v>45149.0</v>
      </c>
      <c r="F6703" s="80">
        <v>336.0</v>
      </c>
      <c r="G6703" s="80" t="s">
        <v>63</v>
      </c>
      <c r="I6703" s="80" t="s">
        <v>63</v>
      </c>
      <c r="J6703" s="80">
        <v>1219.0</v>
      </c>
      <c r="K6703" s="80">
        <v>0.920694864048338</v>
      </c>
      <c r="L6703" s="80" t="s">
        <v>64</v>
      </c>
    </row>
    <row r="6704">
      <c r="A6704" s="80" t="s">
        <v>217</v>
      </c>
      <c r="B6704" s="81" t="str">
        <f>HYPERLINK("https://www.youtube.com/channel/UCXKg0qPRz32bs5Z4mTGF3TQ", "Stormtrooper白兵")</f>
        <v>Stormtrooper白兵</v>
      </c>
      <c r="C6704" s="80" t="s">
        <v>7237</v>
      </c>
      <c r="D6704" s="81" t="str">
        <f>HYPERLINK("https://youtube.com/watch?v=eMDBd17mW9Q", "酒精好有營養價值？｜獨特、神奇、不能被取代的功能｜飲幾多先有益？｜不是陰謀論｜中文字幕")</f>
        <v>酒精好有營養價值？｜獨特、神奇、不能被取代的功能｜飲幾多先有益？｜不是陰謀論｜中文字幕</v>
      </c>
      <c r="E6704" s="82">
        <v>45155.0</v>
      </c>
      <c r="F6704" s="80">
        <v>979.0</v>
      </c>
      <c r="G6704" s="80" t="s">
        <v>63</v>
      </c>
      <c r="I6704" s="80" t="s">
        <v>63</v>
      </c>
      <c r="J6704" s="80">
        <v>3853.0</v>
      </c>
      <c r="K6704" s="80">
        <v>0.941363303200586</v>
      </c>
      <c r="L6704" s="80" t="s">
        <v>64</v>
      </c>
    </row>
    <row r="6705">
      <c r="A6705" s="80" t="s">
        <v>242</v>
      </c>
      <c r="B6705" s="81" t="str">
        <f>HYPERLINK("https://www.youtube.com/channel/UCZGVB6g74LXWtkR3fX50ykg", "Edwin H.")</f>
        <v>Edwin H.</v>
      </c>
      <c r="C6705" s="80" t="s">
        <v>7238</v>
      </c>
      <c r="D6705" s="81" t="str">
        <f>HYPERLINK("https://youtube.com/watch?v=GrW7DzidSS4", "20秒Samsung發佈會精華 Samsung Galaxy Flip5 Fold5 🖊 發佈會 誠實豆沙包版 🍤 | 懶人包 中文 📖 Galaxy Watch6 ✏️ Tab S9 Ultra 🍣")</f>
        <v>20秒Samsung發佈會精華 Samsung Galaxy Flip5 Fold5 🖊 發佈會 誠實豆沙包版 🍤 | 懶人包 中文 📖 Galaxy Watch6 ✏️ Tab S9 Ultra 🍣</v>
      </c>
      <c r="E6705" s="82">
        <v>45134.0</v>
      </c>
      <c r="F6705" s="80">
        <v>539.0</v>
      </c>
      <c r="G6705" s="80" t="s">
        <v>63</v>
      </c>
      <c r="I6705" s="80" t="s">
        <v>63</v>
      </c>
      <c r="J6705" s="80">
        <v>1579.0</v>
      </c>
      <c r="K6705" s="80">
        <v>0.778215869886643</v>
      </c>
      <c r="L6705" s="80" t="s">
        <v>64</v>
      </c>
    </row>
    <row r="6706">
      <c r="A6706" s="80" t="s">
        <v>124</v>
      </c>
      <c r="B6706" s="81" t="str">
        <f>HYPERLINK("https://www.youtube.com/channel/UCg0vuSE0fBF_NvodyYhMcWg", "Wallace Studio HK")</f>
        <v>Wallace Studio HK</v>
      </c>
      <c r="C6706" s="80" t="s">
        <v>7239</v>
      </c>
      <c r="D6706" s="81" t="str">
        <f>HYPERLINK("https://youtube.com/watch?v=bI4Bz9heKag", "Asustor NAS 監控設置，個人媒體空間設定，ADM4.2 (黑夜模式，WOL/WOW，Share Link，Dr. Asustor） (AS6704T)")</f>
        <v>Asustor NAS 監控設置，個人媒體空間設定，ADM4.2 (黑夜模式，WOL/WOW，Share Link，Dr. Asustor） (AS6704T)</v>
      </c>
      <c r="E6706" s="82">
        <v>45094.0</v>
      </c>
      <c r="F6706" s="80">
        <v>756.0</v>
      </c>
      <c r="G6706" s="80" t="s">
        <v>63</v>
      </c>
      <c r="H6706" s="80" t="s">
        <v>63</v>
      </c>
      <c r="I6706" s="80" t="s">
        <v>63</v>
      </c>
      <c r="J6706" s="80">
        <v>2589.0</v>
      </c>
      <c r="K6706" s="80">
        <v>0.595172413793103</v>
      </c>
      <c r="L6706" s="80" t="s">
        <v>86</v>
      </c>
    </row>
    <row r="6707">
      <c r="A6707" s="80" t="s">
        <v>755</v>
      </c>
      <c r="B6707" s="81" t="str">
        <f>HYPERLINK("https://www.youtube.com/channel/UCBiJDTc82IM68KVH873VeAw", "Live in Kwangsi廣西人·情·味")</f>
        <v>Live in Kwangsi廣西人·情·味</v>
      </c>
      <c r="C6707" s="80" t="s">
        <v>7240</v>
      </c>
      <c r="D6707" s="81" t="str">
        <f>HYPERLINK("https://youtube.com/watch?v=XKzidAe6KIg", "賀州市賀街鎮浮山景區｜廣西美景 20230509")</f>
        <v>賀州市賀街鎮浮山景區｜廣西美景 20230509</v>
      </c>
      <c r="E6707" s="82">
        <v>45104.0</v>
      </c>
      <c r="F6707" s="80">
        <v>218.0</v>
      </c>
      <c r="G6707" s="80" t="s">
        <v>63</v>
      </c>
      <c r="I6707" s="80" t="s">
        <v>63</v>
      </c>
      <c r="J6707" s="80">
        <v>349.0</v>
      </c>
      <c r="K6707" s="80">
        <v>0.985875706214689</v>
      </c>
      <c r="L6707" s="80" t="s">
        <v>757</v>
      </c>
    </row>
    <row r="6708">
      <c r="A6708" s="80" t="s">
        <v>2041</v>
      </c>
      <c r="B6708" s="81" t="str">
        <f>HYPERLINK("https://www.youtube.com/channel/UCO6pB-ZN4XJ6MVkibvuEe0A", "SingSingTracker 星昇財經指標")</f>
        <v>SingSingTracker 星昇財經指標</v>
      </c>
      <c r="C6708" s="80" t="s">
        <v>7241</v>
      </c>
      <c r="D6708" s="81" t="str">
        <f>HYPERLINK("https://youtube.com/watch?v=Z1aLdE4eZE0", "【如何一星期賺超過$2萬？!】[講解追蹤🔍未來股市動向📈]《AI 女主持-小Sing🌸》 #ai主播 #news #星昇  #投資 #股票 #外匯 #致富 #女主播 #aigirl #美女")</f>
        <v>【如何一星期賺超過$2萬？!】[講解追蹤🔍未來股市動向📈]《AI 女主持-小Sing🌸》 #ai主播 #news #星昇  #投資 #股票 #外匯 #致富 #女主播 #aigirl #美女</v>
      </c>
      <c r="E6708" s="82">
        <v>45127.0</v>
      </c>
      <c r="F6708" s="80">
        <v>180.0</v>
      </c>
      <c r="G6708" s="80" t="s">
        <v>63</v>
      </c>
      <c r="I6708" s="80" t="s">
        <v>63</v>
      </c>
      <c r="J6708" s="80">
        <v>636.0</v>
      </c>
      <c r="K6708" s="80">
        <v>0.976958525345622</v>
      </c>
      <c r="L6708" s="80" t="s">
        <v>64</v>
      </c>
    </row>
    <row r="6709">
      <c r="A6709" s="80" t="s">
        <v>7099</v>
      </c>
      <c r="B6709" s="81" t="str">
        <f>HYPERLINK("https://www.youtube.com/channel/UCBwfrMS785JyWDUBRhOQkjw", "Karenly :")</f>
        <v>Karenly :</v>
      </c>
      <c r="C6709" s="80" t="s">
        <v>7242</v>
      </c>
      <c r="D6709" s="81" t="str">
        <f>HYPERLINK("https://youtube.com/watch?v=scFmDoSXxNk", "WWDC 2023 懶人包  iOS17 AirDrop再進化！Siri唔使再喂？Vision Pro頭戴裝置 定價$3,499美金【Karenly:】")</f>
        <v>WWDC 2023 懶人包  iOS17 AirDrop再進化！Siri唔使再喂？Vision Pro頭戴裝置 定價$3,499美金【Karenly:】</v>
      </c>
      <c r="E6709" s="82">
        <v>45083.0</v>
      </c>
      <c r="F6709" s="80">
        <v>419.0</v>
      </c>
      <c r="G6709" s="80" t="s">
        <v>63</v>
      </c>
      <c r="I6709" s="80" t="s">
        <v>63</v>
      </c>
      <c r="J6709" s="80">
        <v>1535.0</v>
      </c>
      <c r="K6709" s="80">
        <v>0.677704194260485</v>
      </c>
      <c r="L6709" s="80" t="s">
        <v>64</v>
      </c>
    </row>
    <row r="6710">
      <c r="A6710" s="80" t="s">
        <v>267</v>
      </c>
      <c r="B6710" s="81" t="str">
        <f>HYPERLINK("https://www.youtube.com/channel/UCcrhFT95jH5XqVVPyBhRbrA", "JFFT")</f>
        <v>JFFT</v>
      </c>
      <c r="C6710" s="80" t="s">
        <v>7243</v>
      </c>
      <c r="D6710" s="81" t="str">
        <f>HYPERLINK("https://youtube.com/watch?v=VJ086QcRpbY", "[良少開房] 銀山溫泉 - 3000蚊一泊兩食 |包場一人溫泉 | 超有feel景色！(有字幕)")</f>
        <v>[良少開房] 銀山溫泉 - 3000蚊一泊兩食 |包場一人溫泉 | 超有feel景色！(有字幕)</v>
      </c>
      <c r="E6710" s="82">
        <v>45112.0</v>
      </c>
      <c r="F6710" s="80">
        <v>623.0</v>
      </c>
      <c r="G6710" s="80" t="s">
        <v>63</v>
      </c>
      <c r="I6710" s="80" t="s">
        <v>63</v>
      </c>
      <c r="J6710" s="80">
        <v>1141.0</v>
      </c>
      <c r="K6710" s="80">
        <v>0.954811715481171</v>
      </c>
      <c r="L6710" s="80" t="s">
        <v>64</v>
      </c>
    </row>
    <row r="6711">
      <c r="A6711" s="80" t="s">
        <v>2041</v>
      </c>
      <c r="B6711" s="81" t="str">
        <f>HYPERLINK("https://www.youtube.com/channel/UCO6pB-ZN4XJ6MVkibvuEe0A", "SingSingTracker 星昇財經指標")</f>
        <v>SingSingTracker 星昇財經指標</v>
      </c>
      <c r="C6711" s="80" t="s">
        <v>7244</v>
      </c>
      <c r="D6711" s="81" t="str">
        <f>HYPERLINK("https://youtube.com/watch?v=ck918gptb5w", "[講解追蹤🔍未來股市動向📈] 《AI 女主持-小Sing🌸》分享【呢一星期又賺超過$2萬!?】 #ai主播 #人工智能 #vtuber #投資 #股票 #外匯 #致富 #女主播 #aigirl #美女")</f>
        <v>[講解追蹤🔍未來股市動向📈] 《AI 女主持-小Sing🌸》分享【呢一星期又賺超過$2萬!?】 #ai主播 #人工智能 #vtuber #投資 #股票 #外匯 #致富 #女主播 #aigirl #美女</v>
      </c>
      <c r="E6711" s="82">
        <v>45168.0</v>
      </c>
      <c r="F6711" s="80">
        <v>257.0</v>
      </c>
      <c r="G6711" s="80" t="s">
        <v>63</v>
      </c>
      <c r="I6711" s="80" t="s">
        <v>63</v>
      </c>
      <c r="J6711" s="80">
        <v>927.0</v>
      </c>
      <c r="K6711" s="80">
        <v>0.973739495798319</v>
      </c>
      <c r="L6711" s="80" t="s">
        <v>64</v>
      </c>
    </row>
    <row r="6712">
      <c r="A6712" s="80" t="s">
        <v>217</v>
      </c>
      <c r="B6712" s="81" t="str">
        <f>HYPERLINK("https://www.youtube.com/channel/UCXKg0qPRz32bs5Z4mTGF3TQ", "Stormtrooper白兵")</f>
        <v>Stormtrooper白兵</v>
      </c>
      <c r="C6712" s="80" t="s">
        <v>7245</v>
      </c>
      <c r="D6712" s="81" t="str">
        <f>HYPERLINK("https://youtube.com/watch?v=KXUknipgdSE", "茶餐廳崛起之謎｜有咩食得？｜如何成為香港最重要的本土文化？｜中西文化會粹｜不是陰謀論｜中文字幕")</f>
        <v>茶餐廳崛起之謎｜有咩食得？｜如何成為香港最重要的本土文化？｜中西文化會粹｜不是陰謀論｜中文字幕</v>
      </c>
      <c r="E6712" s="82">
        <v>45134.0</v>
      </c>
      <c r="F6712" s="80">
        <v>944.0</v>
      </c>
      <c r="G6712" s="80" t="s">
        <v>63</v>
      </c>
      <c r="I6712" s="80" t="s">
        <v>63</v>
      </c>
      <c r="J6712" s="80">
        <v>3576.0</v>
      </c>
      <c r="K6712" s="80">
        <v>0.953345774460144</v>
      </c>
      <c r="L6712" s="80" t="s">
        <v>64</v>
      </c>
    </row>
    <row r="6713">
      <c r="A6713" s="80" t="s">
        <v>248</v>
      </c>
      <c r="B6713" s="81" t="str">
        <f t="shared" ref="B6713:B6715" si="387">HYPERLINK("https://www.youtube.com/channel/UCUEJok-GiWaGlv5nIPwk-GQ", "Price.com.hk 香港格價網")</f>
        <v>Price.com.hk 香港格價網</v>
      </c>
      <c r="C6713" s="80" t="s">
        <v>7246</v>
      </c>
      <c r="D6713" s="81" t="str">
        <f>HYPERLINK("https://youtube.com/watch?v=-hca3K133a0", "Nothing Special？透明手機再升級 大玩DIY燈效&amp;鈴聲！Nothing Phone (2) 重點速試｜廣東話【產品開箱】")</f>
        <v>Nothing Special？透明手機再升級 大玩DIY燈效&amp;鈴聲！Nothing Phone (2) 重點速試｜廣東話【產品開箱】</v>
      </c>
      <c r="E6713" s="82">
        <v>45118.0</v>
      </c>
      <c r="F6713" s="80">
        <v>384.0</v>
      </c>
      <c r="G6713" s="80" t="s">
        <v>63</v>
      </c>
      <c r="I6713" s="80" t="s">
        <v>63</v>
      </c>
      <c r="J6713" s="80">
        <v>1405.0</v>
      </c>
      <c r="K6713" s="80">
        <v>0.712836123795027</v>
      </c>
      <c r="L6713" s="80" t="s">
        <v>64</v>
      </c>
    </row>
    <row r="6714">
      <c r="A6714" s="80" t="s">
        <v>248</v>
      </c>
      <c r="B6714" s="81" t="str">
        <f t="shared" si="387"/>
        <v>Price.com.hk 香港格價網</v>
      </c>
      <c r="C6714" s="80" t="s">
        <v>7247</v>
      </c>
      <c r="D6714" s="81" t="str">
        <f>HYPERLINK("https://youtube.com/watch?v=XOh_yNyX5iA", "iPhone 15傳聞整合｜售價貴幾多? 新顏色．新型號．動態島下放．鈦合金邊框．潛望式長焦遠攝鏡｜廣東話【科技情報】")</f>
        <v>iPhone 15傳聞整合｜售價貴幾多? 新顏色．新型號．動態島下放．鈦合金邊框．潛望式長焦遠攝鏡｜廣東話【科技情報】</v>
      </c>
      <c r="E6714" s="82">
        <v>45125.0</v>
      </c>
      <c r="F6714" s="80">
        <v>304.0</v>
      </c>
      <c r="G6714" s="80" t="s">
        <v>63</v>
      </c>
      <c r="I6714" s="80" t="s">
        <v>63</v>
      </c>
      <c r="J6714" s="80">
        <v>1298.0</v>
      </c>
      <c r="K6714" s="80">
        <v>0.732919254658385</v>
      </c>
      <c r="L6714" s="80" t="s">
        <v>64</v>
      </c>
    </row>
    <row r="6715">
      <c r="A6715" s="80" t="s">
        <v>248</v>
      </c>
      <c r="B6715" s="81" t="str">
        <f t="shared" si="387"/>
        <v>Price.com.hk 香港格價網</v>
      </c>
      <c r="C6715" s="80" t="s">
        <v>7248</v>
      </c>
      <c r="D6715" s="81" t="str">
        <f>HYPERLINK("https://youtube.com/watch?v=-OozAbRR3ss", "Samsung Unpacked新機全面流出、平價Vision Pro資料曝光、行貨Motorola Razr40 Ultra、華碩19款路由器安全漏洞｜廣東話【Price Weekly #172 】")</f>
        <v>Samsung Unpacked新機全面流出、平價Vision Pro資料曝光、行貨Motorola Razr40 Ultra、華碩19款路由器安全漏洞｜廣東話【Price Weekly #172 】</v>
      </c>
      <c r="E6715" s="82">
        <v>45101.0</v>
      </c>
      <c r="F6715" s="80">
        <v>452.0</v>
      </c>
      <c r="G6715" s="80" t="s">
        <v>63</v>
      </c>
      <c r="I6715" s="80" t="s">
        <v>63</v>
      </c>
      <c r="J6715" s="80">
        <v>1540.0</v>
      </c>
      <c r="K6715" s="80">
        <v>0.693693693693693</v>
      </c>
      <c r="L6715" s="80" t="s">
        <v>64</v>
      </c>
    </row>
    <row r="6716">
      <c r="A6716" s="80" t="s">
        <v>5868</v>
      </c>
      <c r="B6716" s="81" t="str">
        <f>HYPERLINK("https://www.youtube.com/channel/UCVvdX8wGBmCM9KerhiVu_Ig", "McFatty 麥花田")</f>
        <v>McFatty 麥花田</v>
      </c>
      <c r="C6716" s="80" t="s">
        <v>7249</v>
      </c>
      <c r="D6716" s="81" t="str">
        <f>HYPERLINK("https://youtube.com/watch?v=gRgVjWyYr_Q", "花田做咩着到太空人咁? 【裝修必睇】McFatty X Blum 廚櫃五金深入研究  附廣東話字幕 Ep160")</f>
        <v>花田做咩着到太空人咁? 【裝修必睇】McFatty X Blum 廚櫃五金深入研究  附廣東話字幕 Ep160</v>
      </c>
      <c r="E6716" s="82">
        <v>45103.0</v>
      </c>
      <c r="F6716" s="80">
        <v>670.0</v>
      </c>
      <c r="G6716" s="80" t="s">
        <v>63</v>
      </c>
      <c r="I6716" s="80" t="s">
        <v>63</v>
      </c>
      <c r="J6716" s="80">
        <v>2777.0</v>
      </c>
      <c r="K6716" s="80">
        <v>0.908109875735775</v>
      </c>
      <c r="L6716" s="80" t="s">
        <v>102</v>
      </c>
    </row>
    <row r="6717">
      <c r="A6717" s="80" t="s">
        <v>98</v>
      </c>
      <c r="B6717" s="81" t="str">
        <f>HYPERLINK("https://www.youtube.com/channel/UCrquuQB6v1Ued2xyRKZreGQ", "Stephen Leung ")</f>
        <v>Stephen Leung </v>
      </c>
      <c r="C6717" s="80" t="s">
        <v>7250</v>
      </c>
      <c r="D6717" s="81" t="str">
        <f>HYPERLINK("https://youtube.com/watch?v=wlgzjfy01zU", "【大圍圍方】近年最矚目 大圍全新巨形商場開幕 圍方 首日直擊  | 苦等10年街坊超興奮 | 全新新界東商場 The Wai | 全新食肆邊間最抵食? 山本屋 | 超多咖啡店 | 小朋友天堂")</f>
        <v>【大圍圍方】近年最矚目 大圍全新巨形商場開幕 圍方 首日直擊  | 苦等10年街坊超興奮 | 全新新界東商場 The Wai | 全新食肆邊間最抵食? 山本屋 | 超多咖啡店 | 小朋友天堂</v>
      </c>
      <c r="E6717" s="82">
        <v>45129.0</v>
      </c>
      <c r="F6717" s="80">
        <v>1223.0</v>
      </c>
      <c r="G6717" s="80" t="s">
        <v>63</v>
      </c>
      <c r="I6717" s="80" t="s">
        <v>63</v>
      </c>
      <c r="J6717" s="80">
        <v>3015.0</v>
      </c>
      <c r="K6717" s="80">
        <v>0.900537634408602</v>
      </c>
      <c r="L6717" s="80" t="s">
        <v>64</v>
      </c>
    </row>
    <row r="6718">
      <c r="A6718" s="80" t="s">
        <v>414</v>
      </c>
      <c r="B6718" s="81" t="str">
        <f>HYPERLINK("https://www.youtube.com/channel/UCCVn38j5xSJZN-II-TeyomA", "Uncle Calvin Cantonese Class")</f>
        <v>Uncle Calvin Cantonese Class</v>
      </c>
      <c r="C6718" s="80" t="s">
        <v>7251</v>
      </c>
      <c r="D6718" s="81" t="str">
        <f>HYPERLINK("https://youtube.com/watch?v=gh32Jnesm54", "【動物派對】Animals in Cantonese I 狗貓 I 雞鴨 I 豬牛羊 I 兔鼠象 I 幼兒認字 for Toddlers I 廣東話教室 I 字幕")</f>
        <v>【動物派對】Animals in Cantonese I 狗貓 I 雞鴨 I 豬牛羊 I 兔鼠象 I 幼兒認字 for Toddlers I 廣東話教室 I 字幕</v>
      </c>
      <c r="E6718" s="82">
        <v>45123.0</v>
      </c>
      <c r="F6718" s="80">
        <v>606.0</v>
      </c>
      <c r="G6718" s="80" t="s">
        <v>63</v>
      </c>
      <c r="H6718" s="80" t="s">
        <v>63</v>
      </c>
      <c r="I6718" s="80" t="s">
        <v>63</v>
      </c>
      <c r="J6718" s="80">
        <v>1339.0</v>
      </c>
      <c r="K6718" s="80">
        <v>0.861477572559366</v>
      </c>
      <c r="L6718" s="80" t="s">
        <v>240</v>
      </c>
    </row>
    <row r="6719">
      <c r="A6719" s="80" t="s">
        <v>217</v>
      </c>
      <c r="B6719" s="81" t="str">
        <f>HYPERLINK("https://www.youtube.com/channel/UCXKg0qPRz32bs5Z4mTGF3TQ", "Stormtrooper白兵")</f>
        <v>Stormtrooper白兵</v>
      </c>
      <c r="C6719" s="80" t="s">
        <v>7252</v>
      </c>
      <c r="D6719" s="81" t="str">
        <f>HYPERLINK("https://youtube.com/watch?v=-N2nqg32p6Q", "食早餐為左令你唔打飛機！？｜一個人就能操控全國人民早餐食乜！｜早餐如何成為商業戰場？｜不是陰謀論｜中文字幕")</f>
        <v>食早餐為左令你唔打飛機！？｜一個人就能操控全國人民早餐食乜！｜早餐如何成為商業戰場？｜不是陰謀論｜中文字幕</v>
      </c>
      <c r="E6719" s="82">
        <v>45120.0</v>
      </c>
      <c r="F6719" s="80">
        <v>1058.0</v>
      </c>
      <c r="G6719" s="80" t="s">
        <v>63</v>
      </c>
      <c r="I6719" s="80" t="s">
        <v>63</v>
      </c>
      <c r="J6719" s="80">
        <v>3999.0</v>
      </c>
      <c r="K6719" s="80">
        <v>0.907625964593735</v>
      </c>
      <c r="L6719" s="80" t="s">
        <v>64</v>
      </c>
    </row>
    <row r="6720">
      <c r="A6720" s="80" t="s">
        <v>5868</v>
      </c>
      <c r="B6720" s="81" t="str">
        <f>HYPERLINK("https://www.youtube.com/channel/UCVvdX8wGBmCM9KerhiVu_Ig", "McFatty 麥花田")</f>
        <v>McFatty 麥花田</v>
      </c>
      <c r="C6720" s="80" t="s">
        <v>7253</v>
      </c>
      <c r="D6720" s="81" t="str">
        <f>HYPERLINK("https://youtube.com/watch?v=EvXHkJoX4AE", "花田二手市場遇險記「我知錯喇！」 附廣東話字幕 Ep161")</f>
        <v>花田二手市場遇險記「我知錯喇！」 附廣東話字幕 Ep161</v>
      </c>
      <c r="E6720" s="82">
        <v>45109.0</v>
      </c>
      <c r="F6720" s="80">
        <v>715.0</v>
      </c>
      <c r="G6720" s="80" t="s">
        <v>63</v>
      </c>
      <c r="I6720" s="80" t="s">
        <v>63</v>
      </c>
      <c r="J6720" s="80">
        <v>2812.0</v>
      </c>
      <c r="K6720" s="80">
        <v>0.883720930232558</v>
      </c>
      <c r="L6720" s="80" t="s">
        <v>102</v>
      </c>
    </row>
    <row r="6721">
      <c r="A6721" s="80" t="s">
        <v>248</v>
      </c>
      <c r="B6721" s="81" t="str">
        <f>HYPERLINK("https://www.youtube.com/channel/UCUEJok-GiWaGlv5nIPwk-GQ", "Price.com.hk 香港格價網")</f>
        <v>Price.com.hk 香港格價網</v>
      </c>
      <c r="C6721" s="80" t="s">
        <v>7254</v>
      </c>
      <c r="D6721" s="81" t="str">
        <f>HYPERLINK("https://youtube.com/watch?v=Fjhb1oCXjjs", "買Mon必睇！反應時間＜1ms真相｜咩係GtG？螢幕殘影、鬼影問題｜Response Time詳解｜廣東話【 Price Wiki EP12】")</f>
        <v>買Mon必睇！反應時間＜1ms真相｜咩係GtG？螢幕殘影、鬼影問題｜Response Time詳解｜廣東話【 Price Wiki EP12】</v>
      </c>
      <c r="E6721" s="82">
        <v>45141.0</v>
      </c>
      <c r="F6721" s="80">
        <v>225.0</v>
      </c>
      <c r="G6721" s="80" t="s">
        <v>63</v>
      </c>
      <c r="I6721" s="80" t="s">
        <v>63</v>
      </c>
      <c r="J6721" s="80">
        <v>953.0</v>
      </c>
      <c r="K6721" s="80">
        <v>0.821551724137931</v>
      </c>
      <c r="L6721" s="80" t="s">
        <v>64</v>
      </c>
    </row>
    <row r="6722">
      <c r="A6722" s="80" t="s">
        <v>7185</v>
      </c>
      <c r="B6722" s="81" t="str">
        <f>HYPERLINK("https://www.youtube.com/channel/UCBdOfjR-IWU0ANEbCoUgYLw", "Acrubbish Radio動漫廢物電台")</f>
        <v>Acrubbish Radio動漫廢物電台</v>
      </c>
      <c r="C6722" s="80" t="s">
        <v>7255</v>
      </c>
      <c r="D6722" s="81" t="str">
        <f>HYPERLINK("https://youtube.com/watch?v=GXt3UElQ5vg", "4分鐘同你懷念「橙路」Orange Road")</f>
        <v>4分鐘同你懷念「橙路」Orange Road</v>
      </c>
      <c r="E6722" s="82">
        <v>42415.0</v>
      </c>
      <c r="F6722" s="80">
        <v>263.0</v>
      </c>
      <c r="G6722" s="80" t="s">
        <v>63</v>
      </c>
      <c r="I6722" s="80" t="s">
        <v>63</v>
      </c>
      <c r="J6722" s="80">
        <v>1333.0</v>
      </c>
      <c r="K6722" s="80">
        <v>0.947405828002842</v>
      </c>
      <c r="L6722" s="80" t="s">
        <v>7256</v>
      </c>
    </row>
    <row r="6723">
      <c r="A6723" s="80" t="s">
        <v>2804</v>
      </c>
      <c r="B6723" s="81" t="str">
        <f>HYPERLINK("https://www.youtube.com/channel/UCrFrg50t0JqgqV2dkIrH5Hg", "投智財女 GirlbossInvest 創業投資智慧")</f>
        <v>投智財女 GirlbossInvest 創業投資智慧</v>
      </c>
      <c r="C6723" s="80" t="s">
        <v>7257</v>
      </c>
      <c r="D6723" s="81" t="str">
        <f>HYPERLINK("https://youtube.com/watch?v=cJNEZTXjbyg", "儲蓄7成的秘密？低薪月光族變小富婆的4大儲蓄步驟【送股票新手班】#儲錢 #儲蓄 #月光族 #股票")</f>
        <v>儲蓄7成的秘密？低薪月光族變小富婆的4大儲蓄步驟【送股票新手班】#儲錢 #儲蓄 #月光族 #股票</v>
      </c>
      <c r="E6723" s="82">
        <v>45125.0</v>
      </c>
      <c r="F6723" s="80">
        <v>808.0</v>
      </c>
      <c r="G6723" s="80" t="s">
        <v>63</v>
      </c>
      <c r="I6723" s="80" t="s">
        <v>63</v>
      </c>
      <c r="J6723" s="80">
        <v>3254.0</v>
      </c>
      <c r="K6723" s="80">
        <v>0.926010244735344</v>
      </c>
      <c r="L6723" s="80" t="s">
        <v>1153</v>
      </c>
    </row>
    <row r="6724">
      <c r="A6724" s="80" t="s">
        <v>248</v>
      </c>
      <c r="B6724" s="81" t="str">
        <f>HYPERLINK("https://www.youtube.com/channel/UCUEJok-GiWaGlv5nIPwk-GQ", "Price.com.hk 香港格價網")</f>
        <v>Price.com.hk 香港格價網</v>
      </c>
      <c r="C6724" s="80" t="s">
        <v>7258</v>
      </c>
      <c r="D6724" s="81" t="str">
        <f>HYPERLINK("https://youtube.com/watch?v=rxEhCH_lVPo", "【日日送PS5】Mavis雞蛋妹為你公佈遊戲玩法 | Price網上電腦節2023")</f>
        <v>【日日送PS5】Mavis雞蛋妹為你公佈遊戲玩法 | Price網上電腦節2023</v>
      </c>
      <c r="E6724" s="82">
        <v>45154.0</v>
      </c>
      <c r="F6724" s="80">
        <v>39.0</v>
      </c>
      <c r="G6724" s="80" t="s">
        <v>63</v>
      </c>
      <c r="I6724" s="80" t="s">
        <v>63</v>
      </c>
      <c r="J6724" s="80">
        <v>123.0</v>
      </c>
      <c r="K6724" s="80">
        <v>0.675824175824175</v>
      </c>
      <c r="L6724" s="80" t="s">
        <v>64</v>
      </c>
    </row>
    <row r="6725">
      <c r="A6725" s="80" t="s">
        <v>6960</v>
      </c>
      <c r="B6725" s="81" t="str">
        <f>HYPERLINK("https://www.youtube.com/channel/UCQS2_zzisMq5C_FggxsQwTQ", "Comprehensible Cantonese")</f>
        <v>Comprehensible Cantonese</v>
      </c>
      <c r="C6725" s="80" t="s">
        <v>7259</v>
      </c>
      <c r="D6725" s="81" t="str">
        <f>HYPERLINK("https://youtube.com/watch?v=SLAbK_zk_dM", "[CC] Let's play a game with Yan! 🤔| Slow &amp; Clear Cantonese| Easy Cantonese 廣東話  (Advanced Beginner)")</f>
        <v>[CC] Let's play a game with Yan! 🤔| Slow &amp; Clear Cantonese| Easy Cantonese 廣東話  (Advanced Beginner)</v>
      </c>
      <c r="E6725" s="82">
        <v>45155.0</v>
      </c>
      <c r="F6725" s="80">
        <v>549.0</v>
      </c>
      <c r="G6725" s="80" t="s">
        <v>63</v>
      </c>
      <c r="I6725" s="80" t="s">
        <v>63</v>
      </c>
      <c r="J6725" s="80">
        <v>1321.0</v>
      </c>
      <c r="K6725" s="80">
        <v>0.96705710102489</v>
      </c>
      <c r="L6725" s="80" t="s">
        <v>7260</v>
      </c>
    </row>
    <row r="6726">
      <c r="A6726" s="80" t="s">
        <v>2041</v>
      </c>
      <c r="B6726" s="81" t="str">
        <f>HYPERLINK("https://www.youtube.com/channel/UCO6pB-ZN4XJ6MVkibvuEe0A", "SingSingTracker 星昇財經指標")</f>
        <v>SingSingTracker 星昇財經指標</v>
      </c>
      <c r="C6726" s="80" t="s">
        <v>7261</v>
      </c>
      <c r="D6726" s="81" t="str">
        <f>HYPERLINK("https://youtube.com/watch?v=TliRrYn_ldc", "《AI 女主持-小Sing🌸》分享【呢一星期$2萬入袋】[講解追蹤🔍未來股市動向📈] #ai主播 #人工智能 #vtuber #投資 #股票 #外匯 #致富 #女主播 #aigirl")</f>
        <v>《AI 女主持-小Sing🌸》分享【呢一星期$2萬入袋】[講解追蹤🔍未來股市動向📈] #ai主播 #人工智能 #vtuber #投資 #股票 #外匯 #致富 #女主播 #aigirl</v>
      </c>
      <c r="E6726" s="82">
        <v>45105.0</v>
      </c>
      <c r="F6726" s="80">
        <v>233.0</v>
      </c>
      <c r="G6726" s="80" t="s">
        <v>63</v>
      </c>
      <c r="I6726" s="80" t="s">
        <v>63</v>
      </c>
      <c r="J6726" s="80">
        <v>901.0</v>
      </c>
      <c r="K6726" s="80">
        <v>0.986856516976998</v>
      </c>
      <c r="L6726" s="80" t="s">
        <v>64</v>
      </c>
    </row>
    <row r="6727">
      <c r="A6727" s="80" t="s">
        <v>414</v>
      </c>
      <c r="B6727" s="81" t="str">
        <f>HYPERLINK("https://www.youtube.com/channel/UCCVn38j5xSJZN-II-TeyomA", "Uncle Calvin Cantonese Class")</f>
        <v>Uncle Calvin Cantonese Class</v>
      </c>
      <c r="C6727" s="80" t="s">
        <v>7262</v>
      </c>
      <c r="D6727" s="81" t="str">
        <f>HYPERLINK("https://youtube.com/watch?v=5FzOimBgu4s", "【胡安米羅藝術展】Joan Miro Exhibition I 西班牙 I 藝術 I 創作啟發 I 香港藝術館 I 兒童新聞報道 UCC News I 廣東話教室")</f>
        <v>【胡安米羅藝術展】Joan Miro Exhibition I 西班牙 I 藝術 I 創作啟發 I 香港藝術館 I 兒童新聞報道 UCC News I 廣東話教室</v>
      </c>
      <c r="E6727" s="82">
        <v>45090.0</v>
      </c>
      <c r="F6727" s="80">
        <v>413.0</v>
      </c>
      <c r="G6727" s="80" t="s">
        <v>63</v>
      </c>
      <c r="H6727" s="80" t="s">
        <v>63</v>
      </c>
      <c r="I6727" s="80" t="s">
        <v>63</v>
      </c>
      <c r="J6727" s="80">
        <v>1356.0</v>
      </c>
      <c r="K6727" s="80">
        <v>0.952247191011236</v>
      </c>
      <c r="L6727" s="80" t="s">
        <v>240</v>
      </c>
    </row>
    <row r="6728">
      <c r="A6728" s="80" t="s">
        <v>3051</v>
      </c>
      <c r="B6728" s="81" t="str">
        <f>HYPERLINK("https://www.youtube.com/channel/UCvE0FPIL24o2mnUQIqcSHYA", "柴犬春卷的英國日常 Shiba Harumaki in UK")</f>
        <v>柴犬春卷的英國日常 Shiba Harumaki in UK</v>
      </c>
      <c r="C6728" s="80" t="s">
        <v>7263</v>
      </c>
      <c r="D6728" s="81" t="str">
        <f>HYPERLINK("https://youtube.com/watch?v=K3dNP08vTng", "第一次在英國睇醫生｜🤕受傷了一直未能出片｜英國醫生GP真是很難book?｜春媽受傷了後春家的生活日常｜柴犬春卷見到佢嘅黑馬王子🐎（廣東話中文字幕English Subtitle ）")</f>
        <v>第一次在英國睇醫生｜🤕受傷了一直未能出片｜英國醫生GP真是很難book?｜春媽受傷了後春家的生活日常｜柴犬春卷見到佢嘅黑馬王子🐎（廣東話中文字幕English Subtitle ）</v>
      </c>
      <c r="E6728" s="82">
        <v>45149.0</v>
      </c>
      <c r="F6728" s="80">
        <v>1696.0</v>
      </c>
      <c r="G6728" s="80" t="s">
        <v>63</v>
      </c>
      <c r="I6728" s="80" t="s">
        <v>63</v>
      </c>
      <c r="J6728" s="80">
        <v>4701.0</v>
      </c>
      <c r="K6728" s="80">
        <v>0.900574712643678</v>
      </c>
      <c r="L6728" s="80" t="s">
        <v>521</v>
      </c>
    </row>
    <row r="6729">
      <c r="A6729" s="80" t="s">
        <v>248</v>
      </c>
      <c r="B6729" s="81" t="str">
        <f t="shared" ref="B6729:B6730" si="388">HYPERLINK("https://www.youtube.com/channel/UCUEJok-GiWaGlv5nIPwk-GQ", "Price.com.hk 香港格價網")</f>
        <v>Price.com.hk 香港格價網</v>
      </c>
      <c r="C6729" s="80" t="s">
        <v>7264</v>
      </c>
      <c r="D6729" s="81" t="str">
        <f>HYPERLINK("https://youtube.com/watch?v=LijjJdQdsW8", "粉紅色Apple Watch？DJI Osmo Action 4 正式發表！Samsung Galaxy Ring｜8BitDo復古機械鍵盤｜廣東話【Price Weekly 178 】")</f>
        <v>粉紅色Apple Watch？DJI Osmo Action 4 正式發表！Samsung Galaxy Ring｜8BitDo復古機械鍵盤｜廣東話【Price Weekly 178 】</v>
      </c>
      <c r="E6729" s="82">
        <v>45143.0</v>
      </c>
      <c r="F6729" s="80">
        <v>377.0</v>
      </c>
      <c r="G6729" s="80" t="s">
        <v>63</v>
      </c>
      <c r="I6729" s="80" t="s">
        <v>63</v>
      </c>
      <c r="J6729" s="80">
        <v>1522.0</v>
      </c>
      <c r="K6729" s="80">
        <v>0.693078324225865</v>
      </c>
      <c r="L6729" s="80" t="s">
        <v>64</v>
      </c>
    </row>
    <row r="6730">
      <c r="A6730" s="80" t="s">
        <v>248</v>
      </c>
      <c r="B6730" s="81" t="str">
        <f t="shared" si="388"/>
        <v>Price.com.hk 香港格價網</v>
      </c>
      <c r="C6730" s="80" t="s">
        <v>7265</v>
      </c>
      <c r="D6730" s="81" t="str">
        <f>HYPERLINK("https://youtube.com/watch?v=e9taYfCh-t8", "iPhone 15加密Type-C限制叉電速度？消委會測試73款耳機冠軍係...？最大電競螢幕 Samsung Odyssey Neo G9｜廣東話【Price Weekly 180】")</f>
        <v>iPhone 15加密Type-C限制叉電速度？消委會測試73款耳機冠軍係...？最大電競螢幕 Samsung Odyssey Neo G9｜廣東話【Price Weekly 180】</v>
      </c>
      <c r="E6730" s="82">
        <v>45157.0</v>
      </c>
      <c r="F6730" s="80">
        <v>437.0</v>
      </c>
      <c r="G6730" s="80" t="s">
        <v>63</v>
      </c>
      <c r="I6730" s="80" t="s">
        <v>63</v>
      </c>
      <c r="J6730" s="80">
        <v>1707.0</v>
      </c>
      <c r="K6730" s="80">
        <v>0.690533980582524</v>
      </c>
      <c r="L6730" s="80" t="s">
        <v>64</v>
      </c>
    </row>
    <row r="6731">
      <c r="A6731" s="80" t="s">
        <v>755</v>
      </c>
      <c r="B6731" s="81" t="str">
        <f>HYPERLINK("https://www.youtube.com/channel/UCBiJDTc82IM68KVH873VeAw", "Live in Kwangsi廣西人·情·味")</f>
        <v>Live in Kwangsi廣西人·情·味</v>
      </c>
      <c r="C6731" s="80" t="s">
        <v>7266</v>
      </c>
      <c r="D6731" s="81" t="str">
        <f>HYPERLINK("https://youtube.com/watch?v=2B2iPzi_3A0", "賀州市賀街鎮新興寨｜廣西日常實拍 20230509")</f>
        <v>賀州市賀街鎮新興寨｜廣西日常實拍 20230509</v>
      </c>
      <c r="E6731" s="82">
        <v>45105.0</v>
      </c>
      <c r="F6731" s="80">
        <v>201.0</v>
      </c>
      <c r="G6731" s="80" t="s">
        <v>63</v>
      </c>
      <c r="I6731" s="80" t="s">
        <v>63</v>
      </c>
      <c r="J6731" s="80">
        <v>12.0</v>
      </c>
      <c r="K6731" s="80">
        <v>1.0</v>
      </c>
      <c r="L6731" s="80" t="s">
        <v>757</v>
      </c>
    </row>
    <row r="6732">
      <c r="A6732" s="80" t="s">
        <v>2041</v>
      </c>
      <c r="B6732" s="81" t="str">
        <f>HYPERLINK("https://www.youtube.com/channel/UCO6pB-ZN4XJ6MVkibvuEe0A", "SingSingTracker 星昇財經指標")</f>
        <v>SingSingTracker 星昇財經指標</v>
      </c>
      <c r="C6732" s="80" t="s">
        <v>7267</v>
      </c>
      <c r="D6732" s="81" t="str">
        <f>HYPERLINK("https://youtube.com/watch?v=-DIuO_x3axY", "《AI 女主持-小Sing🌸》分享【呢一星期賺超過$2萬？】[講解追蹤🔍未來股市動向📈] #ai主播 #人工智能 #vtuber #投資 #股票 #外匯 #致富 #女主播 #aigirl #美女")</f>
        <v>《AI 女主持-小Sing🌸》分享【呢一星期賺超過$2萬？】[講解追蹤🔍未來股市動向📈] #ai主播 #人工智能 #vtuber #投資 #股票 #外匯 #致富 #女主播 #aigirl #美女</v>
      </c>
      <c r="E6732" s="82">
        <v>45112.0</v>
      </c>
      <c r="F6732" s="80">
        <v>265.0</v>
      </c>
      <c r="G6732" s="80" t="s">
        <v>63</v>
      </c>
      <c r="I6732" s="80" t="s">
        <v>63</v>
      </c>
      <c r="J6732" s="80">
        <v>1064.0</v>
      </c>
      <c r="K6732" s="80">
        <v>0.982456140350877</v>
      </c>
      <c r="L6732" s="80" t="s">
        <v>64</v>
      </c>
    </row>
    <row r="6733">
      <c r="A6733" s="80" t="s">
        <v>2829</v>
      </c>
      <c r="B6733" s="81" t="str">
        <f>HYPERLINK("https://www.youtube.com/channel/UC7GnES6AEQlDzaP04UqtyjA", "SOLID IDEA")</f>
        <v>SOLID IDEA</v>
      </c>
      <c r="C6733" s="80" t="s">
        <v>7268</v>
      </c>
      <c r="D6733" s="81" t="str">
        <f>HYPERLINK("https://youtube.com/watch?v=bvN8UDw7fHw", "【新樓 • idea】屯門．Novo Land |  424呎 | 輕奢設計都好襟興！設計 • idea｜Solid Idea｜室內設計｜家居規劃｜星級設計｜［CC字幕］")</f>
        <v>【新樓 • idea】屯門．Novo Land |  424呎 | 輕奢設計都好襟興！設計 • idea｜Solid Idea｜室內設計｜家居規劃｜星級設計｜［CC字幕］</v>
      </c>
      <c r="E6733" s="82">
        <v>45139.0</v>
      </c>
      <c r="F6733" s="80">
        <v>164.0</v>
      </c>
      <c r="G6733" s="80" t="s">
        <v>63</v>
      </c>
      <c r="I6733" s="80" t="s">
        <v>63</v>
      </c>
      <c r="J6733" s="80">
        <v>596.0</v>
      </c>
      <c r="K6733" s="80">
        <v>0.962843295638126</v>
      </c>
      <c r="L6733" s="80" t="s">
        <v>64</v>
      </c>
    </row>
    <row r="6734">
      <c r="A6734" s="80" t="s">
        <v>248</v>
      </c>
      <c r="B6734" s="81" t="str">
        <f>HYPERLINK("https://www.youtube.com/channel/UCUEJok-GiWaGlv5nIPwk-GQ", "Price.com.hk 香港格價網")</f>
        <v>Price.com.hk 香港格價網</v>
      </c>
      <c r="C6734" s="80" t="s">
        <v>7269</v>
      </c>
      <c r="D6734" s="81" t="str">
        <f>HYPERLINK("https://youtube.com/watch?v=Z6IEbM_LbSU", "超輕薄3K靚芒｜Galaxy Book3 Pro 360 &amp; Galaxy Book3 Pro｜第13代Intel Evo平台｜手提電腦推介｜特約專題｜廣東話【Price.com.hk 產品介紹】")</f>
        <v>超輕薄3K靚芒｜Galaxy Book3 Pro 360 &amp; Galaxy Book3 Pro｜第13代Intel Evo平台｜手提電腦推介｜特約專題｜廣東話【Price.com.hk 產品介紹】</v>
      </c>
      <c r="E6734" s="82">
        <v>45107.0</v>
      </c>
      <c r="F6734" s="80">
        <v>392.0</v>
      </c>
      <c r="G6734" s="80" t="s">
        <v>63</v>
      </c>
      <c r="I6734" s="80" t="s">
        <v>63</v>
      </c>
      <c r="J6734" s="80">
        <v>1388.0</v>
      </c>
      <c r="K6734" s="80">
        <v>0.666987025468524</v>
      </c>
      <c r="L6734" s="80" t="s">
        <v>64</v>
      </c>
    </row>
    <row r="6735">
      <c r="A6735" s="80" t="s">
        <v>755</v>
      </c>
      <c r="B6735" s="81" t="str">
        <f>HYPERLINK("https://www.youtube.com/channel/UCBiJDTc82IM68KVH873VeAw", "Live in Kwangsi廣西人·情·味")</f>
        <v>Live in Kwangsi廣西人·情·味</v>
      </c>
      <c r="C6735" s="80" t="s">
        <v>7270</v>
      </c>
      <c r="D6735" s="81" t="str">
        <f>HYPERLINK("https://youtube.com/watch?v=3k6_FUiKmi4", "2023年五一嚟咗湖南省長沙市睇人 搭長沙地鐵到市中山五一廣場")</f>
        <v>2023年五一嚟咗湖南省長沙市睇人 搭長沙地鐵到市中山五一廣場</v>
      </c>
      <c r="E6735" s="82">
        <v>45096.0</v>
      </c>
      <c r="F6735" s="80">
        <v>364.0</v>
      </c>
      <c r="G6735" s="80" t="s">
        <v>63</v>
      </c>
      <c r="I6735" s="80" t="s">
        <v>63</v>
      </c>
      <c r="J6735" s="80">
        <v>133.0</v>
      </c>
      <c r="K6735" s="80">
        <v>1.0</v>
      </c>
      <c r="L6735" s="80" t="s">
        <v>757</v>
      </c>
    </row>
    <row r="6736">
      <c r="A6736" s="80" t="s">
        <v>7099</v>
      </c>
      <c r="B6736" s="81" t="str">
        <f>HYPERLINK("https://www.youtube.com/channel/UCBwfrMS785JyWDUBRhOQkjw", "Karenly :")</f>
        <v>Karenly :</v>
      </c>
      <c r="C6736" s="80" t="s">
        <v>7271</v>
      </c>
      <c r="D6736" s="81" t="str">
        <f>HYPERLINK("https://youtube.com/watch?v=60hxcUaJNqs", "iPhone新功能 iOS 17 beta得意＋實用！輕鬆更新  Facetime自帶心心 ｜Apple｜繁中字幕｜廣東話｜【Karenly:】")</f>
        <v>iPhone新功能 iOS 17 beta得意＋實用！輕鬆更新  Facetime自帶心心 ｜Apple｜繁中字幕｜廣東話｜【Karenly:】</v>
      </c>
      <c r="E6736" s="82">
        <v>45161.0</v>
      </c>
      <c r="F6736" s="80">
        <v>563.0</v>
      </c>
      <c r="G6736" s="80" t="s">
        <v>63</v>
      </c>
      <c r="I6736" s="80" t="s">
        <v>63</v>
      </c>
      <c r="J6736" s="80">
        <v>2221.0</v>
      </c>
      <c r="K6736" s="80">
        <v>0.705751509374007</v>
      </c>
      <c r="L6736" s="80" t="s">
        <v>64</v>
      </c>
    </row>
    <row r="6737">
      <c r="A6737" s="80" t="s">
        <v>242</v>
      </c>
      <c r="B6737" s="81" t="str">
        <f>HYPERLINK("https://www.youtube.com/channel/UCZGVB6g74LXWtkR3fX50ykg", "Edwin H.")</f>
        <v>Edwin H.</v>
      </c>
      <c r="C6737" s="80" t="s">
        <v>7272</v>
      </c>
      <c r="D6737" s="81" t="str">
        <f>HYPERLINK("https://youtube.com/watch?v=8w2kSQoDymg", "我買了超正大電視 🖥️ 由零開始 🇬🇧  英國狂買野！ | Edwin買乜野")</f>
        <v>我買了超正大電視 🖥️ 由零開始 🇬🇧  英國狂買野！ | Edwin買乜野</v>
      </c>
      <c r="E6737" s="82">
        <v>45164.0</v>
      </c>
      <c r="F6737" s="80">
        <v>1019.0</v>
      </c>
      <c r="G6737" s="80" t="s">
        <v>63</v>
      </c>
      <c r="I6737" s="80" t="s">
        <v>63</v>
      </c>
      <c r="J6737" s="80">
        <v>4455.0</v>
      </c>
      <c r="K6737" s="80">
        <v>0.819385690638219</v>
      </c>
      <c r="L6737" s="80" t="s">
        <v>64</v>
      </c>
    </row>
    <row r="6738">
      <c r="A6738" s="80" t="s">
        <v>6591</v>
      </c>
      <c r="B6738" s="81" t="str">
        <f>HYPERLINK("https://www.youtube.com/channel/UC0DpBgpq_gR7TaNDIvJYZag", "TalkFood")</f>
        <v>TalkFood</v>
      </c>
      <c r="C6738" s="80" t="s">
        <v>7273</v>
      </c>
      <c r="D6738" s="81" t="str">
        <f>HYPERLINK("https://youtube.com/watch?v=U0xOX2Vkhvw", "#TalkFood【#18區搵食—TF衝出香港！去台灣6日食足23餐】多謝臺灣觀光協會邀請｜變身旅遊記者｜雙層巴士透明車頂 | 望住101嘆下午茶｜看症問診涼茶店｜唔使港幣$100食到即日溫體牛火鍋")</f>
        <v>#TalkFood【#18區搵食—TF衝出香港！去台灣6日食足23餐】多謝臺灣觀光協會邀請｜變身旅遊記者｜雙層巴士透明車頂 | 望住101嘆下午茶｜看症問診涼茶店｜唔使港幣$100食到即日溫體牛火鍋</v>
      </c>
      <c r="E6738" s="82">
        <v>45141.0</v>
      </c>
      <c r="F6738" s="80">
        <v>1687.0</v>
      </c>
      <c r="G6738" s="80" t="s">
        <v>63</v>
      </c>
      <c r="I6738" s="80" t="s">
        <v>63</v>
      </c>
      <c r="J6738" s="80">
        <v>4443.0</v>
      </c>
      <c r="K6738" s="80">
        <v>0.914762198888202</v>
      </c>
      <c r="L6738" s="80" t="s">
        <v>91</v>
      </c>
    </row>
    <row r="6739">
      <c r="A6739" s="80" t="s">
        <v>2829</v>
      </c>
      <c r="B6739" s="81" t="str">
        <f>HYPERLINK("https://www.youtube.com/channel/UC7GnES6AEQlDzaP04UqtyjA", "SOLID IDEA")</f>
        <v>SOLID IDEA</v>
      </c>
      <c r="C6739" s="80" t="s">
        <v>7274</v>
      </c>
      <c r="D6739" s="81" t="str">
        <f>HYPERLINK("https://youtube.com/watch?v=p1dqxoodlgs", "【設計 • idea】鰂魚涌．康山花園 | 484呎 | 30幾年舊樓翻新點做好呢？｜設計 • idea｜Solid Idea｜室內設計｜家居規劃｜星級設計｜［CC字幕］")</f>
        <v>【設計 • idea】鰂魚涌．康山花園 | 484呎 | 30幾年舊樓翻新點做好呢？｜設計 • idea｜Solid Idea｜室內設計｜家居規劃｜星級設計｜［CC字幕］</v>
      </c>
      <c r="E6739" s="82">
        <v>45153.0</v>
      </c>
      <c r="F6739" s="80">
        <v>139.0</v>
      </c>
      <c r="G6739" s="80" t="s">
        <v>63</v>
      </c>
      <c r="I6739" s="80" t="s">
        <v>63</v>
      </c>
      <c r="J6739" s="80">
        <v>472.0</v>
      </c>
      <c r="K6739" s="80">
        <v>0.921875</v>
      </c>
      <c r="L6739" s="80" t="s">
        <v>64</v>
      </c>
    </row>
    <row r="6740">
      <c r="A6740" s="80" t="s">
        <v>124</v>
      </c>
      <c r="B6740" s="81" t="str">
        <f>HYPERLINK("https://www.youtube.com/channel/UCg0vuSE0fBF_NvodyYhMcWg", "Wallace Studio HK")</f>
        <v>Wallace Studio HK</v>
      </c>
      <c r="C6740" s="80" t="s">
        <v>7275</v>
      </c>
      <c r="D6740" s="81" t="str">
        <f>HYPERLINK("https://youtube.com/watch?v=pMYgenY-wGs", "Honor Magic Vs 一個月用後感！摺機新選擇，硬件規格到位，價錢合理，但軟件就．．．")</f>
        <v>Honor Magic Vs 一個月用後感！摺機新選擇，硬件規格到位，價錢合理，但軟件就．．．</v>
      </c>
      <c r="E6740" s="82">
        <v>45137.0</v>
      </c>
      <c r="F6740" s="80">
        <v>982.0</v>
      </c>
      <c r="G6740" s="80" t="s">
        <v>63</v>
      </c>
      <c r="H6740" s="80" t="s">
        <v>63</v>
      </c>
      <c r="I6740" s="80" t="s">
        <v>63</v>
      </c>
      <c r="J6740" s="80">
        <v>4171.0</v>
      </c>
      <c r="K6740" s="80">
        <v>0.828401191658391</v>
      </c>
      <c r="L6740" s="80" t="s">
        <v>86</v>
      </c>
    </row>
    <row r="6741">
      <c r="A6741" s="80" t="s">
        <v>467</v>
      </c>
      <c r="B6741" s="81" t="str">
        <f>HYPERLINK("https://www.youtube.com/channel/UCaEa-LjV-VwFJ3Flc0ndcWg", "Ca HK")</f>
        <v>Ca HK</v>
      </c>
      <c r="C6741" s="80" t="s">
        <v>7276</v>
      </c>
      <c r="D6741" s="81" t="str">
        <f>HYPERLINK("https://youtube.com/watch?v=JAj-9XEU9zg", "[手語] 我返來啦")</f>
        <v>[手語] 我返來啦</v>
      </c>
      <c r="E6741" s="82">
        <v>45150.0</v>
      </c>
      <c r="F6741" s="80">
        <v>72.0</v>
      </c>
      <c r="G6741" s="80" t="s">
        <v>63</v>
      </c>
      <c r="I6741" s="80" t="s">
        <v>63</v>
      </c>
      <c r="J6741" s="80">
        <v>127.0</v>
      </c>
      <c r="K6741" s="80">
        <v>0.933823529411764</v>
      </c>
      <c r="L6741" s="80" t="s">
        <v>102</v>
      </c>
    </row>
    <row r="6742">
      <c r="A6742" s="80" t="s">
        <v>248</v>
      </c>
      <c r="B6742" s="81" t="str">
        <f t="shared" ref="B6742:B6743" si="389">HYPERLINK("https://www.youtube.com/channel/UCUEJok-GiWaGlv5nIPwk-GQ", "Price.com.hk 香港格價網")</f>
        <v>Price.com.hk 香港格價網</v>
      </c>
      <c r="C6742" s="80" t="s">
        <v>7277</v>
      </c>
      <c r="D6742" s="81" t="str">
        <f>HYPERLINK("https://youtube.com/watch?v=MPnZxX5Zzbc", "【日日送PS5】Price網上電腦節2023｜今晚由丐幫同你公佈遊戲玩法")</f>
        <v>【日日送PS5】Price網上電腦節2023｜今晚由丐幫同你公佈遊戲玩法</v>
      </c>
      <c r="E6742" s="82">
        <v>45156.0</v>
      </c>
      <c r="F6742" s="80">
        <v>33.0</v>
      </c>
      <c r="G6742" s="80" t="s">
        <v>63</v>
      </c>
      <c r="I6742" s="80" t="s">
        <v>63</v>
      </c>
      <c r="J6742" s="80">
        <v>126.0</v>
      </c>
      <c r="K6742" s="80">
        <v>0.707865168539325</v>
      </c>
      <c r="L6742" s="80" t="s">
        <v>64</v>
      </c>
    </row>
    <row r="6743">
      <c r="A6743" s="80" t="s">
        <v>248</v>
      </c>
      <c r="B6743" s="81" t="str">
        <f t="shared" si="389"/>
        <v>Price.com.hk 香港格價網</v>
      </c>
      <c r="C6743" s="80" t="s">
        <v>7278</v>
      </c>
      <c r="D6743" s="81" t="str">
        <f>HYPERLINK("https://youtube.com/watch?v=d_0uEXKX1VY", "Sony WF-1000XM5深度評測｜3大優點 1缺點｜比較XM4、AirPods Pro2、Bose QC Earbuds II、B&amp;W Pi7 S2｜音質 通話 降噪 配戴感｜廣東話【產品評測】")</f>
        <v>Sony WF-1000XM5深度評測｜3大優點 1缺點｜比較XM4、AirPods Pro2、Bose QC Earbuds II、B&amp;W Pi7 S2｜音質 通話 降噪 配戴感｜廣東話【產品評測】</v>
      </c>
      <c r="E6743" s="82">
        <v>45147.0</v>
      </c>
      <c r="F6743" s="80">
        <v>734.0</v>
      </c>
      <c r="G6743" s="80" t="s">
        <v>63</v>
      </c>
      <c r="I6743" s="80" t="s">
        <v>63</v>
      </c>
      <c r="J6743" s="80">
        <v>2360.0</v>
      </c>
      <c r="K6743" s="80">
        <v>0.847092605886575</v>
      </c>
      <c r="L6743" s="80" t="s">
        <v>64</v>
      </c>
    </row>
    <row r="6744">
      <c r="A6744" s="80" t="s">
        <v>6591</v>
      </c>
      <c r="B6744" s="81" t="str">
        <f>HYPERLINK("https://www.youtube.com/channel/UC0DpBgpq_gR7TaNDIvJYZag", "TalkFood")</f>
        <v>TalkFood</v>
      </c>
      <c r="C6744" s="80" t="s">
        <v>7279</v>
      </c>
      <c r="D6744" s="81" t="str">
        <f>HYPERLINK("https://youtube.com/watch?v=ay9ENtBC3g4", "#TalkFood【#18區搵食 南區搵食 上艇仔買真艇仔粉？！】一口西多士只食陳新記｜街坊必食兩溝魚肉翅｜好彩食到限定鮮奶燉蛋白｜仲有蘇記咖啡腿蛋白汁撈伊麵｜帶埋好朋友Bifina S益生菌一齊搵食")</f>
        <v>#TalkFood【#18區搵食 南區搵食 上艇仔買真艇仔粉？！】一口西多士只食陳新記｜街坊必食兩溝魚肉翅｜好彩食到限定鮮奶燉蛋白｜仲有蘇記咖啡腿蛋白汁撈伊麵｜帶埋好朋友Bifina S益生菌一齊搵食</v>
      </c>
      <c r="E6744" s="82">
        <v>45113.0</v>
      </c>
      <c r="F6744" s="80">
        <v>1481.0</v>
      </c>
      <c r="G6744" s="80" t="s">
        <v>63</v>
      </c>
      <c r="I6744" s="80" t="s">
        <v>63</v>
      </c>
      <c r="J6744" s="80">
        <v>4335.0</v>
      </c>
      <c r="K6744" s="80">
        <v>0.958858659588586</v>
      </c>
      <c r="L6744" s="80" t="s">
        <v>91</v>
      </c>
    </row>
    <row r="6745">
      <c r="A6745" s="80" t="s">
        <v>217</v>
      </c>
      <c r="B6745" s="81" t="str">
        <f>HYPERLINK("https://www.youtube.com/channel/UCXKg0qPRz32bs5Z4mTGF3TQ", "Stormtrooper白兵")</f>
        <v>Stormtrooper白兵</v>
      </c>
      <c r="C6745" s="80" t="s">
        <v>7280</v>
      </c>
      <c r="D6745" s="81" t="str">
        <f>HYPERLINK("https://youtube.com/watch?v=6_nlvRcURzc", "我地飲緊工業廢料？煲滾都冇用！｜甲狀腺、癌症、不育罪魁禍首！｜不是陰謀論｜中文字幕")</f>
        <v>我地飲緊工業廢料？煲滾都冇用！｜甲狀腺、癌症、不育罪魁禍首！｜不是陰謀論｜中文字幕</v>
      </c>
      <c r="E6745" s="82">
        <v>45141.0</v>
      </c>
      <c r="F6745" s="80">
        <v>941.0</v>
      </c>
      <c r="G6745" s="80" t="s">
        <v>63</v>
      </c>
      <c r="I6745" s="80" t="s">
        <v>63</v>
      </c>
      <c r="J6745" s="80">
        <v>4250.0</v>
      </c>
      <c r="K6745" s="80">
        <v>0.907731738573259</v>
      </c>
      <c r="L6745" s="80" t="s">
        <v>64</v>
      </c>
    </row>
    <row r="6746">
      <c r="A6746" s="80" t="s">
        <v>2829</v>
      </c>
      <c r="B6746" s="81" t="str">
        <f>HYPERLINK("https://www.youtube.com/channel/UC7GnES6AEQlDzaP04UqtyjA", "SOLID IDEA")</f>
        <v>SOLID IDEA</v>
      </c>
      <c r="C6746" s="80" t="s">
        <v>7281</v>
      </c>
      <c r="D6746" s="81" t="str">
        <f>HYPERLINK("https://youtube.com/watch?v=HJh7NWme4k0", "【設計 • idea】奧運站．維港灣 |  667呎 | 一家五口加工人，真係3房都唔夠用⋯⋯ 設計 • idea｜Solid Idea｜室內設計｜家居規劃｜星級設計｜［CC字幕］")</f>
        <v>【設計 • idea】奧運站．維港灣 |  667呎 | 一家五口加工人，真係3房都唔夠用⋯⋯ 設計 • idea｜Solid Idea｜室內設計｜家居規劃｜星級設計｜［CC字幕］</v>
      </c>
      <c r="E6746" s="82">
        <v>45132.0</v>
      </c>
      <c r="F6746" s="80">
        <v>213.0</v>
      </c>
      <c r="G6746" s="80" t="s">
        <v>63</v>
      </c>
      <c r="I6746" s="80" t="s">
        <v>63</v>
      </c>
      <c r="J6746" s="80">
        <v>715.0</v>
      </c>
      <c r="K6746" s="80">
        <v>0.991678224687933</v>
      </c>
      <c r="L6746" s="80" t="s">
        <v>64</v>
      </c>
    </row>
    <row r="6747">
      <c r="A6747" s="80" t="s">
        <v>96</v>
      </c>
      <c r="B6747" s="81" t="str">
        <f>HYPERLINK("https://www.youtube.com/channel/UCGtyHJ-L_4RDIHe3XaLofQQ", "Anson Cheung")</f>
        <v>Anson Cheung</v>
      </c>
      <c r="C6747" s="80" t="s">
        <v>7282</v>
      </c>
      <c r="D6747" s="81" t="str">
        <f>HYPERLINK("https://youtube.com/watch?v=T4sc4bt16yg", "呢個價錢，好難搵到更加好嘅電視｜TCL C845 評測")</f>
        <v>呢個價錢，好難搵到更加好嘅電視｜TCL C845 評測</v>
      </c>
      <c r="E6747" s="82">
        <v>45158.0</v>
      </c>
      <c r="F6747" s="80">
        <v>570.0</v>
      </c>
      <c r="G6747" s="80" t="s">
        <v>63</v>
      </c>
      <c r="I6747" s="80" t="s">
        <v>63</v>
      </c>
      <c r="J6747" s="80">
        <v>2268.0</v>
      </c>
      <c r="K6747" s="80">
        <v>0.726690163409163</v>
      </c>
      <c r="L6747" s="80" t="s">
        <v>64</v>
      </c>
    </row>
    <row r="6748">
      <c r="A6748" s="80" t="s">
        <v>3051</v>
      </c>
      <c r="B6748" s="81" t="str">
        <f>HYPERLINK("https://www.youtube.com/channel/UCvE0FPIL24o2mnUQIqcSHYA", "柴犬春卷的英國日常 Shiba Harumaki in UK")</f>
        <v>柴犬春卷的英國日常 Shiba Harumaki in UK</v>
      </c>
      <c r="C6748" s="80" t="s">
        <v>7283</v>
      </c>
      <c r="D6748" s="81" t="str">
        <f>HYPERLINK("https://youtube.com/watch?v=qPv2cRjPiLY", "【黑仔】春爸架車完成MOT後，回家竟然發生事故？擺低架車Vlog: 曼城Castlefield原來很有意義｜片尾有春卷新床曝光！")</f>
        <v>【黑仔】春爸架車完成MOT後，回家竟然發生事故？擺低架車Vlog: 曼城Castlefield原來很有意義｜片尾有春卷新床曝光！</v>
      </c>
      <c r="E6748" s="82">
        <v>45164.0</v>
      </c>
      <c r="F6748" s="80">
        <v>1197.0</v>
      </c>
      <c r="G6748" s="80" t="s">
        <v>63</v>
      </c>
      <c r="I6748" s="80" t="s">
        <v>63</v>
      </c>
      <c r="J6748" s="80">
        <v>2943.0</v>
      </c>
      <c r="K6748" s="80">
        <v>0.888050694025347</v>
      </c>
      <c r="L6748" s="80" t="s">
        <v>64</v>
      </c>
    </row>
    <row r="6749">
      <c r="A6749" s="80" t="s">
        <v>248</v>
      </c>
      <c r="B6749" s="81" t="str">
        <f>HYPERLINK("https://www.youtube.com/channel/UCUEJok-GiWaGlv5nIPwk-GQ", "Price.com.hk 香港格價網")</f>
        <v>Price.com.hk 香港格價網</v>
      </c>
      <c r="C6749" s="80" t="s">
        <v>7284</v>
      </c>
      <c r="D6749" s="81" t="str">
        <f>HYPERLINK("https://youtube.com/watch?v=9UbOoOy8nvs", "【日日送PS5】Price網上電腦節2023｜今晚由腦控同你公佈遊戲玩法")</f>
        <v>【日日送PS5】Price網上電腦節2023｜今晚由腦控同你公佈遊戲玩法</v>
      </c>
      <c r="E6749" s="82">
        <v>45157.0</v>
      </c>
      <c r="F6749" s="80">
        <v>30.0</v>
      </c>
      <c r="G6749" s="80" t="s">
        <v>63</v>
      </c>
      <c r="I6749" s="80" t="s">
        <v>63</v>
      </c>
      <c r="J6749" s="80">
        <v>99.0</v>
      </c>
      <c r="K6749" s="80">
        <v>0.712230215827338</v>
      </c>
      <c r="L6749" s="80" t="s">
        <v>64</v>
      </c>
    </row>
    <row r="6750">
      <c r="A6750" s="80" t="s">
        <v>3139</v>
      </c>
      <c r="B6750" s="81" t="str">
        <f>HYPERLINK("https://www.youtube.com/channel/UCThO2xnH7XMg6plE8OgJm_w", "choyuen草原")</f>
        <v>choyuen草原</v>
      </c>
      <c r="C6750" s="80" t="s">
        <v>7285</v>
      </c>
      <c r="D6750" s="81" t="str">
        <f>HYPERLINK("https://youtube.com/watch?v=pfTHGVWPrY0", "1片睇通最新公佈 UFO 資料: UFO 轉型改稱UAP 好正式? 墨索里尼執到隻UFO !    From UFO to UAP: REAL History get Confused")</f>
        <v>1片睇通最新公佈 UFO 資料: UFO 轉型改稱UAP 好正式? 墨索里尼執到隻UFO !    From UFO to UAP: REAL History get Confused</v>
      </c>
      <c r="E6750" s="82">
        <v>45107.0</v>
      </c>
      <c r="F6750" s="80">
        <v>611.0</v>
      </c>
      <c r="G6750" s="80" t="s">
        <v>63</v>
      </c>
      <c r="I6750" s="80" t="s">
        <v>63</v>
      </c>
      <c r="J6750" s="80">
        <v>1652.0</v>
      </c>
      <c r="K6750" s="80">
        <v>0.848049281314168</v>
      </c>
      <c r="L6750" s="80" t="s">
        <v>64</v>
      </c>
    </row>
    <row r="6751">
      <c r="A6751" s="80" t="s">
        <v>217</v>
      </c>
      <c r="B6751" s="81" t="str">
        <f>HYPERLINK("https://www.youtube.com/channel/UCXKg0qPRz32bs5Z4mTGF3TQ", "Stormtrooper白兵")</f>
        <v>Stormtrooper白兵</v>
      </c>
      <c r="C6751" s="80" t="s">
        <v>7286</v>
      </c>
      <c r="D6751" s="81" t="str">
        <f>HYPERLINK("https://youtube.com/watch?v=pmOEqV3Sxg0", "什麼是益生菌？5000年前已經存在！｜為什麼近年才受到重視？｜應該點揀？｜不是陰謀論｜中文字幕")</f>
        <v>什麼是益生菌？5000年前已經存在！｜為什麼近年才受到重視？｜應該點揀？｜不是陰謀論｜中文字幕</v>
      </c>
      <c r="E6751" s="82">
        <v>45167.0</v>
      </c>
      <c r="F6751" s="80">
        <v>1048.0</v>
      </c>
      <c r="G6751" s="80" t="s">
        <v>63</v>
      </c>
      <c r="I6751" s="80" t="s">
        <v>63</v>
      </c>
      <c r="J6751" s="80">
        <v>3970.0</v>
      </c>
      <c r="K6751" s="80">
        <v>0.940981275183692</v>
      </c>
      <c r="L6751" s="80" t="s">
        <v>64</v>
      </c>
    </row>
    <row r="6752">
      <c r="A6752" s="80" t="s">
        <v>2829</v>
      </c>
      <c r="B6752" s="81" t="str">
        <f>HYPERLINK("https://www.youtube.com/channel/UC7GnES6AEQlDzaP04UqtyjA", "SOLID IDEA")</f>
        <v>SOLID IDEA</v>
      </c>
      <c r="C6752" s="80" t="s">
        <v>7287</v>
      </c>
      <c r="D6752" s="81" t="str">
        <f>HYPERLINK("https://youtube.com/watch?v=RScD-3mIt24", "【新樓 • idea】大埔．朗濤 |  1350呎 | 橫樑點用設計改善？｜設計 • idea｜Solid Idea｜室內設計｜家居規劃｜星級設計｜［CC字幕］")</f>
        <v>【新樓 • idea】大埔．朗濤 |  1350呎 | 橫樑點用設計改善？｜設計 • idea｜Solid Idea｜室內設計｜家居規劃｜星級設計｜［CC字幕］</v>
      </c>
      <c r="E6752" s="82">
        <v>45090.0</v>
      </c>
      <c r="F6752" s="80">
        <v>176.0</v>
      </c>
      <c r="G6752" s="80" t="s">
        <v>63</v>
      </c>
      <c r="I6752" s="80" t="s">
        <v>63</v>
      </c>
      <c r="J6752" s="80">
        <v>655.0</v>
      </c>
      <c r="K6752" s="80">
        <v>0.992424242424242</v>
      </c>
      <c r="L6752" s="80" t="s">
        <v>64</v>
      </c>
    </row>
    <row r="6753">
      <c r="A6753" s="80" t="s">
        <v>6892</v>
      </c>
      <c r="B6753" s="81" t="str">
        <f>HYPERLINK("https://www.youtube.com/channel/UC8_hxeY0nDCL-8ETbcGUZ9g", "PT食為先")</f>
        <v>PT食為先</v>
      </c>
      <c r="C6753" s="80" t="s">
        <v>7288</v>
      </c>
      <c r="D6753" s="81" t="str">
        <f>HYPERLINK("https://youtube.com/watch?v=W9nJh6XaxZA", "[PT自費食評] 勁刷22碟！佐敦全新開幕Hama Sushi濱壽司🍣抵食過壽司郎嗎？廣島蠔壽司、焦糖三文魚最特別～連芭菲、抹茶特飲都試埋👀")</f>
        <v>[PT自費食評] 勁刷22碟！佐敦全新開幕Hama Sushi濱壽司🍣抵食過壽司郎嗎？廣島蠔壽司、焦糖三文魚最特別～連芭菲、抹茶特飲都試埋👀</v>
      </c>
      <c r="E6753" s="82">
        <v>45112.0</v>
      </c>
      <c r="F6753" s="80">
        <v>799.0</v>
      </c>
      <c r="G6753" s="80" t="s">
        <v>63</v>
      </c>
      <c r="I6753" s="80" t="s">
        <v>63</v>
      </c>
      <c r="J6753" s="80">
        <v>1994.0</v>
      </c>
      <c r="K6753" s="80">
        <v>0.952699474438604</v>
      </c>
      <c r="L6753" s="80" t="s">
        <v>64</v>
      </c>
    </row>
    <row r="6754">
      <c r="A6754" s="80" t="s">
        <v>124</v>
      </c>
      <c r="B6754" s="81" t="str">
        <f>HYPERLINK("https://www.youtube.com/channel/UCg0vuSE0fBF_NvodyYhMcWg", "Wallace Studio HK")</f>
        <v>Wallace Studio HK</v>
      </c>
      <c r="C6754" s="80" t="s">
        <v>7289</v>
      </c>
      <c r="D6754" s="81" t="str">
        <f>HYPERLINK("https://youtube.com/watch?v=Un787GH1M1E", "Panasonic Lumix S5 II 4個月用後感，對焦終於正常番，不過香港人好難推薦")</f>
        <v>Panasonic Lumix S5 II 4個月用後感，對焦終於正常番，不過香港人好難推薦</v>
      </c>
      <c r="E6754" s="82">
        <v>45116.0</v>
      </c>
      <c r="F6754" s="80">
        <v>721.0</v>
      </c>
      <c r="G6754" s="80" t="s">
        <v>63</v>
      </c>
      <c r="H6754" s="80" t="s">
        <v>63</v>
      </c>
      <c r="I6754" s="80" t="s">
        <v>63</v>
      </c>
      <c r="J6754" s="80">
        <v>2626.0</v>
      </c>
      <c r="K6754" s="80">
        <v>0.75071469411092</v>
      </c>
      <c r="L6754" s="80" t="s">
        <v>4980</v>
      </c>
    </row>
    <row r="6755">
      <c r="A6755" s="80" t="s">
        <v>755</v>
      </c>
      <c r="B6755" s="81" t="str">
        <f>HYPERLINK("https://www.youtube.com/channel/UCBiJDTc82IM68KVH873VeAw", "Live in Kwangsi廣西人·情·味")</f>
        <v>Live in Kwangsi廣西人·情·味</v>
      </c>
      <c r="C6755" s="80" t="s">
        <v>7290</v>
      </c>
      <c r="D6755" s="81" t="str">
        <f>HYPERLINK("https://youtube.com/watch?v=9QdBFKwUDPQ", "佛山市通濟橋 行通濟、冇閉翳｜廣東日常實拍 20230603")</f>
        <v>佛山市通濟橋 行通濟、冇閉翳｜廣東日常實拍 20230603</v>
      </c>
      <c r="E6755" s="82">
        <v>45125.0</v>
      </c>
      <c r="F6755" s="80">
        <v>73.0</v>
      </c>
      <c r="G6755" s="80" t="s">
        <v>63</v>
      </c>
      <c r="I6755" s="80" t="s">
        <v>63</v>
      </c>
      <c r="J6755" s="80">
        <v>180.0</v>
      </c>
      <c r="K6755" s="80">
        <v>1.0</v>
      </c>
      <c r="L6755" s="80" t="s">
        <v>757</v>
      </c>
    </row>
    <row r="6756">
      <c r="A6756" s="80" t="s">
        <v>7099</v>
      </c>
      <c r="B6756" s="81" t="str">
        <f>HYPERLINK("https://www.youtube.com/channel/UCBwfrMS785JyWDUBRhOQkjw", "Karenly :")</f>
        <v>Karenly :</v>
      </c>
      <c r="C6756" s="80" t="s">
        <v>7291</v>
      </c>
      <c r="D6756" s="81" t="str">
        <f>HYPERLINK("https://youtube.com/watch?v=C7e6iWnUZ-M", "懶人打掃必備 掃地拖地機＋掃地拖地二合一機械人｜內有優惠碼｜ ILifeW90＋iLifeA10s｜友和特約 ｜繁中字幕｜廣東話【Karenly:】")</f>
        <v>懶人打掃必備 掃地拖地機＋掃地拖地二合一機械人｜內有優惠碼｜ ILifeW90＋iLifeA10s｜友和特約 ｜繁中字幕｜廣東話【Karenly:】</v>
      </c>
      <c r="E6756" s="82">
        <v>45149.0</v>
      </c>
      <c r="F6756" s="80">
        <v>510.0</v>
      </c>
      <c r="G6756" s="80" t="s">
        <v>63</v>
      </c>
      <c r="I6756" s="80" t="s">
        <v>63</v>
      </c>
      <c r="J6756" s="80">
        <v>2337.0</v>
      </c>
      <c r="K6756" s="80">
        <v>0.905813953488372</v>
      </c>
      <c r="L6756" s="80" t="s">
        <v>64</v>
      </c>
    </row>
    <row r="6757">
      <c r="A6757" s="80" t="s">
        <v>248</v>
      </c>
      <c r="B6757" s="81" t="str">
        <f>HYPERLINK("https://www.youtube.com/channel/UCUEJok-GiWaGlv5nIPwk-GQ", "Price.com.hk 香港格價網")</f>
        <v>Price.com.hk 香港格價網</v>
      </c>
      <c r="C6757" s="80" t="s">
        <v>7292</v>
      </c>
      <c r="D6757" s="81" t="str">
        <f>HYPERLINK("https://youtube.com/watch?v=V_V4eJgPDuc", "Samsung Fold5/Flip5全洩露｜ASUS Zenfone 10開箱｜LG新OLED電視亮度升70％｜下代AirPods Pro可探體溫｜廣東話【Price Weekly #174 】")</f>
        <v>Samsung Fold5/Flip5全洩露｜ASUS Zenfone 10開箱｜LG新OLED電視亮度升70％｜下代AirPods Pro可探體溫｜廣東話【Price Weekly #174 】</v>
      </c>
      <c r="E6757" s="82">
        <v>45115.0</v>
      </c>
      <c r="F6757" s="80">
        <v>426.0</v>
      </c>
      <c r="G6757" s="80" t="s">
        <v>63</v>
      </c>
      <c r="I6757" s="80" t="s">
        <v>63</v>
      </c>
      <c r="J6757" s="80">
        <v>1455.0</v>
      </c>
      <c r="K6757" s="80">
        <v>0.596311475409836</v>
      </c>
      <c r="L6757" s="80" t="s">
        <v>64</v>
      </c>
    </row>
    <row r="6758">
      <c r="A6758" s="80" t="s">
        <v>2766</v>
      </c>
      <c r="B6758" s="81" t="str">
        <f>HYPERLINK("https://www.youtube.com/channel/UCrZG5sGryxwgSDQSlHgmZTw", "GadgetGang HK")</f>
        <v>GadgetGang HK</v>
      </c>
      <c r="C6758" s="80" t="s">
        <v>7293</v>
      </c>
      <c r="D6758" s="81" t="str">
        <f>HYPERLINK("https://youtube.com/watch?v=_gim4bwz_Vw", "科技新G〡IG版Twitter Threads大熱〡 ZenFone10香港發佈直擊〡實試透明頭戴式耳機 Mondo by defunc overear 〡 CASETiFY×新世紀福音戰士電話配件")</f>
        <v>科技新G〡IG版Twitter Threads大熱〡 ZenFone10香港發佈直擊〡實試透明頭戴式耳機 Mondo by defunc overear 〡 CASETiFY×新世紀福音戰士電話配件</v>
      </c>
      <c r="E6758" s="82">
        <v>45116.0</v>
      </c>
      <c r="F6758" s="80">
        <v>692.0</v>
      </c>
      <c r="G6758" s="80" t="s">
        <v>63</v>
      </c>
      <c r="I6758" s="80" t="s">
        <v>63</v>
      </c>
      <c r="J6758" s="80">
        <v>2678.0</v>
      </c>
      <c r="K6758" s="80">
        <v>0.794187425860023</v>
      </c>
      <c r="L6758" s="80" t="s">
        <v>64</v>
      </c>
    </row>
    <row r="6759">
      <c r="A6759" s="80" t="s">
        <v>2041</v>
      </c>
      <c r="B6759" s="81" t="str">
        <f>HYPERLINK("https://www.youtube.com/channel/UCO6pB-ZN4XJ6MVkibvuEe0A", "SingSingTracker 星昇財經指標")</f>
        <v>SingSingTracker 星昇財經指標</v>
      </c>
      <c r="C6759" s="80" t="s">
        <v>7294</v>
      </c>
      <c r="D6759" s="81" t="str">
        <f>HYPERLINK("https://youtube.com/watch?v=uJa1WLVRcFY", "《AI 女主持-小Sing🌸》分享【一星期$2萬?!】[講解追蹤🔍未來股市動向📈] #ai主播 #人工智能 #vtuber #投資 #股票 #外匯 #致富 #女主播 #aigirl")</f>
        <v>《AI 女主持-小Sing🌸》分享【一星期$2萬?!】[講解追蹤🔍未來股市動向📈] #ai主播 #人工智能 #vtuber #投資 #股票 #外匯 #致富 #女主播 #aigirl</v>
      </c>
      <c r="E6759" s="82">
        <v>45091.0</v>
      </c>
      <c r="F6759" s="80">
        <v>207.0</v>
      </c>
      <c r="G6759" s="80" t="s">
        <v>63</v>
      </c>
      <c r="I6759" s="80" t="s">
        <v>63</v>
      </c>
      <c r="J6759" s="80">
        <v>767.0</v>
      </c>
      <c r="K6759" s="80">
        <v>0.975826972010178</v>
      </c>
      <c r="L6759" s="80" t="s">
        <v>64</v>
      </c>
    </row>
    <row r="6760">
      <c r="A6760" s="80" t="s">
        <v>248</v>
      </c>
      <c r="B6760" s="81" t="str">
        <f>HYPERLINK("https://www.youtube.com/channel/UCUEJok-GiWaGlv5nIPwk-GQ", "Price.com.hk 香港格價網")</f>
        <v>Price.com.hk 香港格價網</v>
      </c>
      <c r="C6760" s="80" t="s">
        <v>7295</v>
      </c>
      <c r="D6760" s="81" t="str">
        <f>HYPERLINK("https://youtube.com/watch?v=E7cdmYcTswQ", "Speaker定Soundbar？4個買前必睇心得｜7大電腦喇叭推介｜Budget $300-$2500｜廣東話【選購攻略】")</f>
        <v>Speaker定Soundbar？4個買前必睇心得｜7大電腦喇叭推介｜Budget $300-$2500｜廣東話【選購攻略】</v>
      </c>
      <c r="E6760" s="82">
        <v>45131.0</v>
      </c>
      <c r="F6760" s="80">
        <v>387.0</v>
      </c>
      <c r="G6760" s="80" t="s">
        <v>63</v>
      </c>
      <c r="I6760" s="80" t="s">
        <v>63</v>
      </c>
      <c r="J6760" s="80">
        <v>1545.0</v>
      </c>
      <c r="K6760" s="80">
        <v>0.724671669793621</v>
      </c>
      <c r="L6760" s="80" t="s">
        <v>64</v>
      </c>
    </row>
    <row r="6761">
      <c r="A6761" s="80" t="s">
        <v>978</v>
      </c>
      <c r="B6761" s="81" t="str">
        <f>HYPERLINK("https://www.youtube.com/channel/UCDMd6CHdLs8FoqZJoRHkJGQ", "Ray Ho")</f>
        <v>Ray Ho</v>
      </c>
      <c r="C6761" s="80" t="s">
        <v>7296</v>
      </c>
      <c r="D6761" s="81" t="str">
        <f>HYPERLINK("https://youtube.com/watch?v=T1P8cuG_WUs", "【挑戰】24小時對男性朋友做出情侶親密行為😘！他竟然變得超興奮🫣？！究竟他會接受我嗎💍？【挑戰日💥007】")</f>
        <v>【挑戰】24小時對男性朋友做出情侶親密行為😘！他竟然變得超興奮🫣？！究竟他會接受我嗎💍？【挑戰日💥007】</v>
      </c>
      <c r="E6761" s="82">
        <v>45126.0</v>
      </c>
      <c r="F6761" s="80">
        <v>738.0</v>
      </c>
      <c r="G6761" s="80" t="s">
        <v>63</v>
      </c>
      <c r="I6761" s="80" t="s">
        <v>63</v>
      </c>
      <c r="J6761" s="80">
        <v>2122.0</v>
      </c>
      <c r="K6761" s="80">
        <v>0.840063341250989</v>
      </c>
      <c r="L6761" s="80" t="s">
        <v>64</v>
      </c>
    </row>
    <row r="6762">
      <c r="A6762" s="80" t="s">
        <v>96</v>
      </c>
      <c r="B6762" s="81" t="str">
        <f>HYPERLINK("https://www.youtube.com/channel/UCGtyHJ-L_4RDIHe3XaLofQQ", "Anson Cheung")</f>
        <v>Anson Cheung</v>
      </c>
      <c r="C6762" s="80" t="s">
        <v>7297</v>
      </c>
      <c r="D6762" s="81" t="str">
        <f>HYPERLINK("https://youtube.com/watch?v=BAnOCU94SDc", "細機身 ≠ 妥協｜Samsung Galaxy S23 評測")</f>
        <v>細機身 ≠ 妥協｜Samsung Galaxy S23 評測</v>
      </c>
      <c r="E6762" s="82">
        <v>45092.0</v>
      </c>
      <c r="F6762" s="80">
        <v>659.0</v>
      </c>
      <c r="G6762" s="80" t="s">
        <v>63</v>
      </c>
      <c r="I6762" s="80" t="s">
        <v>63</v>
      </c>
      <c r="J6762" s="80">
        <v>2471.0</v>
      </c>
      <c r="K6762" s="80">
        <v>0.68391918073623</v>
      </c>
      <c r="L6762" s="80" t="s">
        <v>102</v>
      </c>
    </row>
    <row r="6763">
      <c r="A6763" s="80" t="s">
        <v>238</v>
      </c>
      <c r="B6763" s="81" t="str">
        <f>HYPERLINK("https://www.youtube.com/channel/UCSBkm4LwpgBmcA3MCtO8vqg", "Post76影音玩樂")</f>
        <v>Post76影音玩樂</v>
      </c>
      <c r="C6763" s="80" t="s">
        <v>7298</v>
      </c>
      <c r="D6763" s="81" t="str">
        <f>HYPERLINK("https://youtube.com/watch?v=ZZtoa0bst_4", "Post76特備節目 : BEYOND的【樂與怒】13個你應該知道的事！原來大家一直聽緊唔完整嘅《海闊天空》？（附設cc廣東話字幕、繁體中文字幕）")</f>
        <v>Post76特備節目 : BEYOND的【樂與怒】13個你應該知道的事！原來大家一直聽緊唔完整嘅《海闊天空》？（附設cc廣東話字幕、繁體中文字幕）</v>
      </c>
      <c r="E6763" s="82">
        <v>45107.0</v>
      </c>
      <c r="F6763" s="80">
        <v>3388.0</v>
      </c>
      <c r="G6763" s="80" t="s">
        <v>63</v>
      </c>
      <c r="H6763" s="80" t="s">
        <v>63</v>
      </c>
      <c r="I6763" s="80" t="s">
        <v>63</v>
      </c>
      <c r="J6763" s="80">
        <v>14897.0</v>
      </c>
      <c r="K6763" s="80">
        <v>0.911087866108786</v>
      </c>
      <c r="L6763" s="80" t="s">
        <v>7299</v>
      </c>
    </row>
    <row r="6764">
      <c r="A6764" s="80" t="s">
        <v>242</v>
      </c>
      <c r="B6764" s="81" t="str">
        <f>HYPERLINK("https://www.youtube.com/channel/UCZGVB6g74LXWtkR3fX50ykg", "Edwin H.")</f>
        <v>Edwin H.</v>
      </c>
      <c r="C6764" s="80" t="s">
        <v>7300</v>
      </c>
      <c r="D6764" s="81" t="str">
        <f>HYPERLINK("https://youtube.com/watch?v=gvbu0PxiLYI", "舊iPhone原來有""這用途""？ 👨🏻‍🎓🔫🧑🏻‍🏭 64件必睇科技新品  5月6月 有趣科技新聞")</f>
        <v>舊iPhone原來有"這用途"？ 👨🏻‍🎓🔫🧑🏻‍🏭 64件必睇科技新品  5月6月 有趣科技新聞</v>
      </c>
      <c r="E6764" s="82">
        <v>45093.0</v>
      </c>
      <c r="F6764" s="80">
        <v>1196.0</v>
      </c>
      <c r="G6764" s="80" t="s">
        <v>63</v>
      </c>
      <c r="I6764" s="80" t="s">
        <v>63</v>
      </c>
      <c r="J6764" s="80">
        <v>4288.0</v>
      </c>
      <c r="K6764" s="80">
        <v>0.709229242474363</v>
      </c>
      <c r="L6764" s="80" t="s">
        <v>64</v>
      </c>
    </row>
    <row r="6765">
      <c r="A6765" s="80" t="s">
        <v>217</v>
      </c>
      <c r="B6765" s="81" t="str">
        <f t="shared" ref="B6765:B6766" si="390">HYPERLINK("https://www.youtube.com/channel/UCXKg0qPRz32bs5Z4mTGF3TQ", "Stormtrooper白兵")</f>
        <v>Stormtrooper白兵</v>
      </c>
      <c r="C6765" s="80" t="s">
        <v>7301</v>
      </c>
      <c r="D6765" s="81" t="str">
        <f>HYPERLINK("https://youtube.com/watch?v=wFMCRSfbblY", "日本博士發明味精並攻佔全世界｜味精到底對人體有冇害！？｜影響情緒才是重點！｜不是陰謀論｜中文字幕")</f>
        <v>日本博士發明味精並攻佔全世界｜味精到底對人體有冇害！？｜影響情緒才是重點！｜不是陰謀論｜中文字幕</v>
      </c>
      <c r="E6765" s="82">
        <v>45092.0</v>
      </c>
      <c r="F6765" s="80">
        <v>786.0</v>
      </c>
      <c r="G6765" s="80" t="s">
        <v>63</v>
      </c>
      <c r="I6765" s="80" t="s">
        <v>63</v>
      </c>
      <c r="J6765" s="80">
        <v>3042.0</v>
      </c>
      <c r="K6765" s="80">
        <v>0.929990828492815</v>
      </c>
      <c r="L6765" s="80" t="s">
        <v>64</v>
      </c>
    </row>
    <row r="6766">
      <c r="A6766" s="80" t="s">
        <v>217</v>
      </c>
      <c r="B6766" s="81" t="str">
        <f t="shared" si="390"/>
        <v>Stormtrooper白兵</v>
      </c>
      <c r="C6766" s="80" t="s">
        <v>7302</v>
      </c>
      <c r="D6766" s="81" t="str">
        <f>HYPERLINK("https://youtube.com/watch?v=tCw3GX2ZDk0", "只需兩樣野，就可以快速解決暗瘡！[非廣告]｜為何市面上防痘護膚品無效？｜A酸有效但係……｜｜不是陰謀論｜中文字幕")</f>
        <v>只需兩樣野，就可以快速解決暗瘡！[非廣告]｜為何市面上防痘護膚品無效？｜A酸有效但係……｜｜不是陰謀論｜中文字幕</v>
      </c>
      <c r="E6766" s="82">
        <v>45099.0</v>
      </c>
      <c r="F6766" s="80">
        <v>918.0</v>
      </c>
      <c r="G6766" s="80" t="s">
        <v>63</v>
      </c>
      <c r="I6766" s="80" t="s">
        <v>63</v>
      </c>
      <c r="J6766" s="80">
        <v>3304.0</v>
      </c>
      <c r="K6766" s="80">
        <v>0.957958828645984</v>
      </c>
      <c r="L6766" s="80" t="s">
        <v>64</v>
      </c>
    </row>
    <row r="6767">
      <c r="A6767" s="80" t="s">
        <v>248</v>
      </c>
      <c r="B6767" s="81" t="str">
        <f>HYPERLINK("https://www.youtube.com/channel/UCUEJok-GiWaGlv5nIPwk-GQ", "Price.com.hk 香港格價網")</f>
        <v>Price.com.hk 香港格價網</v>
      </c>
      <c r="C6767" s="80" t="s">
        <v>7303</v>
      </c>
      <c r="D6767" s="81" t="str">
        <f>HYPERLINK("https://youtube.com/watch?v=A59ISMF7zQs", "AiPQ Processor 3.0全面智能提升電視畫質｜TCL C845／C745系列電視｜影音打機全面照顧｜ HDR 2000 nits Mini LED｜特約專題｜廣東話【產品介紹】")</f>
        <v>AiPQ Processor 3.0全面智能提升電視畫質｜TCL C845／C745系列電視｜影音打機全面照顧｜ HDR 2000 nits Mini LED｜特約專題｜廣東話【產品介紹】</v>
      </c>
      <c r="E6767" s="82">
        <v>45117.0</v>
      </c>
      <c r="F6767" s="80">
        <v>458.0</v>
      </c>
      <c r="G6767" s="80" t="s">
        <v>63</v>
      </c>
      <c r="I6767" s="80" t="s">
        <v>63</v>
      </c>
      <c r="J6767" s="80">
        <v>1582.0</v>
      </c>
      <c r="K6767" s="80">
        <v>0.767961165048543</v>
      </c>
      <c r="L6767" s="80" t="s">
        <v>64</v>
      </c>
    </row>
    <row r="6768">
      <c r="A6768" s="80" t="s">
        <v>6892</v>
      </c>
      <c r="B6768" s="81" t="str">
        <f>HYPERLINK("https://www.youtube.com/channel/UC8_hxeY0nDCL-8ETbcGUZ9g", "PT食為先")</f>
        <v>PT食為先</v>
      </c>
      <c r="C6768" s="80" t="s">
        <v>7304</v>
      </c>
      <c r="D6768" s="81" t="str">
        <f>HYPERLINK("https://youtube.com/watch?v=6KZKUefJdv8", "[PT自費食評] 街坊價錢🫖人氣點心專門店！同1區開2間分店～飲茶有得食流沙西多士？鹹水角係咖哩味？｜元朗 8號茶居｜飲茶好去處｜唔使去酒樓｜港鐵直達")</f>
        <v>[PT自費食評] 街坊價錢🫖人氣點心專門店！同1區開2間分店～飲茶有得食流沙西多士？鹹水角係咖哩味？｜元朗 8號茶居｜飲茶好去處｜唔使去酒樓｜港鐵直達</v>
      </c>
      <c r="E6768" s="82">
        <v>45155.0</v>
      </c>
      <c r="F6768" s="80">
        <v>628.0</v>
      </c>
      <c r="G6768" s="80" t="s">
        <v>63</v>
      </c>
      <c r="I6768" s="80" t="s">
        <v>63</v>
      </c>
      <c r="J6768" s="80">
        <v>1543.0</v>
      </c>
      <c r="K6768" s="80">
        <v>0.988468930172966</v>
      </c>
      <c r="L6768" s="80" t="s">
        <v>64</v>
      </c>
    </row>
    <row r="6769">
      <c r="A6769" s="80" t="s">
        <v>755</v>
      </c>
      <c r="B6769" s="81" t="str">
        <f>HYPERLINK("https://www.youtube.com/channel/UCBiJDTc82IM68KVH873VeAw", "Live in Kwangsi廣西人·情·味")</f>
        <v>Live in Kwangsi廣西人·情·味</v>
      </c>
      <c r="C6769" s="80" t="s">
        <v>7305</v>
      </c>
      <c r="D6769" s="81" t="str">
        <f>HYPERLINK("https://youtube.com/watch?v=59qlAvKQ3QE", "喺賀州市羊頭鎮壘石村賞荷花同埋行柿木園村嘅明清古村落｜廣西美景 20230617")</f>
        <v>喺賀州市羊頭鎮壘石村賞荷花同埋行柿木園村嘅明清古村落｜廣西美景 20230617</v>
      </c>
      <c r="E6769" s="82">
        <v>45114.0</v>
      </c>
      <c r="F6769" s="80">
        <v>243.0</v>
      </c>
      <c r="G6769" s="80" t="s">
        <v>63</v>
      </c>
      <c r="I6769" s="80" t="s">
        <v>63</v>
      </c>
      <c r="J6769" s="80">
        <v>456.0</v>
      </c>
      <c r="K6769" s="80">
        <v>1.0</v>
      </c>
      <c r="L6769" s="80" t="s">
        <v>757</v>
      </c>
    </row>
    <row r="6770">
      <c r="A6770" s="80" t="s">
        <v>743</v>
      </c>
      <c r="B6770" s="81" t="str">
        <f>HYPERLINK("https://www.youtube.com/channel/UCe6qQ8zbYQJgTBnZ9wBzm9w", "Willy Lee")</f>
        <v>Willy Lee</v>
      </c>
      <c r="C6770" s="80" t="s">
        <v>7306</v>
      </c>
      <c r="D6770" s="81" t="str">
        <f>HYPERLINK("https://youtube.com/watch?v=nC-PEZ7WN0o", "🇮🇩【峇里】住超靚Villa, 差D以為入面冇廁所！近距離同魔鬼魚暢泳！超好彩去兩次兩次都見到魔鬼魚！峇里浮潛之旅EP2 - Willy Lee")</f>
        <v>🇮🇩【峇里】住超靚Villa, 差D以為入面冇廁所！近距離同魔鬼魚暢泳！超好彩去兩次兩次都見到魔鬼魚！峇里浮潛之旅EP2 - Willy Lee</v>
      </c>
      <c r="E6770" s="82">
        <v>45101.0</v>
      </c>
      <c r="F6770" s="80">
        <v>572.0</v>
      </c>
      <c r="G6770" s="80" t="s">
        <v>63</v>
      </c>
      <c r="I6770" s="80" t="s">
        <v>63</v>
      </c>
      <c r="J6770" s="80">
        <v>982.0</v>
      </c>
      <c r="K6770" s="80">
        <v>0.824517212426532</v>
      </c>
      <c r="L6770" s="80" t="s">
        <v>64</v>
      </c>
    </row>
    <row r="6771">
      <c r="A6771" s="80" t="s">
        <v>217</v>
      </c>
      <c r="B6771" s="81" t="str">
        <f>HYPERLINK("https://www.youtube.com/channel/UCXKg0qPRz32bs5Z4mTGF3TQ", "Stormtrooper白兵")</f>
        <v>Stormtrooper白兵</v>
      </c>
      <c r="C6771" s="80" t="s">
        <v>7307</v>
      </c>
      <c r="D6771" s="81" t="str">
        <f>HYPERLINK("https://youtube.com/watch?v=4Xjvbt5qOQM", "SAGAMI 特約：射精真相－原來硬唔硬，會唔會漏精，全靠一組肌肉！｜中文字幕")</f>
        <v>SAGAMI 特約：射精真相－原來硬唔硬，會唔會漏精，全靠一組肌肉！｜中文字幕</v>
      </c>
      <c r="E6771" s="82">
        <v>45090.0</v>
      </c>
      <c r="F6771" s="80">
        <v>651.0</v>
      </c>
      <c r="G6771" s="80" t="s">
        <v>63</v>
      </c>
      <c r="I6771" s="80" t="s">
        <v>63</v>
      </c>
      <c r="J6771" s="80">
        <v>2616.0</v>
      </c>
      <c r="K6771" s="80">
        <v>0.949546279491833</v>
      </c>
      <c r="L6771" s="80" t="s">
        <v>64</v>
      </c>
    </row>
    <row r="6772">
      <c r="A6772" s="80" t="s">
        <v>5134</v>
      </c>
      <c r="B6772" s="81" t="str">
        <f>HYPERLINK("https://www.youtube.com/channel/UCGq7xle9PrLHpmdxrk0IlLw", "磚加專家 Danny Ching Top10%地產局金牌經紀百萬圓桌")</f>
        <v>磚加專家 Danny Ching Top10%地產局金牌經紀百萬圓桌</v>
      </c>
      <c r="C6772" s="80" t="s">
        <v>7308</v>
      </c>
      <c r="D6772" s="81" t="str">
        <f>HYPERLINK("https://youtube.com/watch?v=KeE0PzXGlDs", "Danny獨家登盤 Portside by Anthem 10分鐘內去列治文飲茶 唔使過橋 唔使塞車 最後單位！ 5位數限時優惠 $117萬 4房 最大1780尺 遼闊私人河景 7月1號2號 開放日")</f>
        <v>Danny獨家登盤 Portside by Anthem 10分鐘內去列治文飲茶 唔使過橋 唔使塞車 最後單位！ 5位數限時優惠 $117萬 4房 最大1780尺 遼闊私人河景 7月1號2號 開放日</v>
      </c>
      <c r="E6772" s="82">
        <v>45105.0</v>
      </c>
      <c r="F6772" s="80">
        <v>1266.0</v>
      </c>
      <c r="G6772" s="80" t="s">
        <v>63</v>
      </c>
      <c r="I6772" s="80" t="s">
        <v>63</v>
      </c>
      <c r="J6772" s="80">
        <v>3871.0</v>
      </c>
      <c r="K6772" s="80">
        <v>0.754286827747466</v>
      </c>
      <c r="L6772" s="80" t="s">
        <v>102</v>
      </c>
    </row>
    <row r="6773">
      <c r="A6773" s="80" t="s">
        <v>2829</v>
      </c>
      <c r="B6773" s="81" t="str">
        <f>HYPERLINK("https://www.youtube.com/channel/UC7GnES6AEQlDzaP04UqtyjA", "SOLID IDEA")</f>
        <v>SOLID IDEA</v>
      </c>
      <c r="C6773" s="80" t="s">
        <v>7309</v>
      </c>
      <c r="D6773" s="81" t="str">
        <f>HYPERLINK("https://youtube.com/watch?v=ZbxZW2rxGiE", "【新樓 • idea】西半山．大學閣 |  1584呎 | 設計師比左咩著數個客？｜設計 • idea｜Solid Idea｜室內設計｜家居規劃｜星級設計｜［CC字幕］")</f>
        <v>【新樓 • idea】西半山．大學閣 |  1584呎 | 設計師比左咩著數個客？｜設計 • idea｜Solid Idea｜室內設計｜家居規劃｜星級設計｜［CC字幕］</v>
      </c>
      <c r="E6773" s="82">
        <v>45111.0</v>
      </c>
      <c r="F6773" s="80">
        <v>215.0</v>
      </c>
      <c r="G6773" s="80" t="s">
        <v>63</v>
      </c>
      <c r="I6773" s="80" t="s">
        <v>63</v>
      </c>
      <c r="J6773" s="80">
        <v>800.0</v>
      </c>
      <c r="K6773" s="80">
        <v>0.921658986175115</v>
      </c>
      <c r="L6773" s="80" t="s">
        <v>64</v>
      </c>
    </row>
    <row r="6774">
      <c r="A6774" s="80" t="s">
        <v>124</v>
      </c>
      <c r="B6774" s="81" t="str">
        <f>HYPERLINK("https://www.youtube.com/channel/UCg0vuSE0fBF_NvodyYhMcWg", "Wallace Studio HK")</f>
        <v>Wallace Studio HK</v>
      </c>
      <c r="C6774" s="80" t="s">
        <v>7310</v>
      </c>
      <c r="D6774" s="81" t="str">
        <f>HYPERLINK("https://youtube.com/watch?v=5nSfxwYfoeg", "二手手提電腦交收注意事項 及 詳盡Check機教學！")</f>
        <v>二手手提電腦交收注意事項 及 詳盡Check機教學！</v>
      </c>
      <c r="E6774" s="82">
        <v>45143.0</v>
      </c>
      <c r="F6774" s="80">
        <v>918.0</v>
      </c>
      <c r="G6774" s="80" t="s">
        <v>63</v>
      </c>
      <c r="I6774" s="80" t="s">
        <v>63</v>
      </c>
      <c r="J6774" s="80">
        <v>3417.0</v>
      </c>
      <c r="K6774" s="80">
        <v>0.769767965758053</v>
      </c>
      <c r="L6774" s="80" t="s">
        <v>64</v>
      </c>
    </row>
    <row r="6775">
      <c r="A6775" s="80" t="s">
        <v>1594</v>
      </c>
      <c r="B6775" s="81" t="str">
        <f>HYPERLINK("https://www.youtube.com/channel/UCUtm1awT2EO9D7uJ2OlMcTQ", "黐住這一家 Sticky Love Family")</f>
        <v>黐住這一家 Sticky Love Family</v>
      </c>
      <c r="C6775" s="80" t="s">
        <v>7311</v>
      </c>
      <c r="D6775" s="81" t="str">
        <f>HYPERLINK("https://youtube.com/watch?v=feL0otyDb_Q", "【黐住玩，一齊學👦🏻🧒🏻】🍩整Donut只需2樣材料！🍳一齊試玩 Nutri-Family Studio親子健康烹飪工作坊🧡 8分鐘做簡易小食💨慳時間湊小朋友又食得健康💪 [粵繁簡字幕/Eng CC]")</f>
        <v>【黐住玩，一齊學👦🏻🧒🏻】🍩整Donut只需2樣材料！🍳一齊試玩 Nutri-Family Studio親子健康烹飪工作坊🧡 8分鐘做簡易小食💨慳時間湊小朋友又食得健康💪 [粵繁簡字幕/Eng CC]</v>
      </c>
      <c r="E6775" s="82">
        <v>45162.0</v>
      </c>
      <c r="F6775" s="80">
        <v>173.0</v>
      </c>
      <c r="G6775" s="80" t="s">
        <v>63</v>
      </c>
      <c r="H6775" s="80" t="s">
        <v>63</v>
      </c>
      <c r="I6775" s="80" t="s">
        <v>63</v>
      </c>
      <c r="J6775" s="80">
        <v>657.0</v>
      </c>
      <c r="K6775" s="80">
        <v>0.836173001310616</v>
      </c>
      <c r="L6775" s="80" t="s">
        <v>7312</v>
      </c>
    </row>
    <row r="6776">
      <c r="A6776" s="80" t="s">
        <v>2829</v>
      </c>
      <c r="B6776" s="81" t="str">
        <f>HYPERLINK("https://www.youtube.com/channel/UC7GnES6AEQlDzaP04UqtyjA", "SOLID IDEA")</f>
        <v>SOLID IDEA</v>
      </c>
      <c r="C6776" s="80" t="s">
        <v>7313</v>
      </c>
      <c r="D6776" s="81" t="str">
        <f>HYPERLINK("https://youtube.com/watch?v=oRvo6WzVZlw", "【新樓 • idea】大圍．柏傲莊 |  633呎 | 新樓用咩風格設計好？｜設計 • idea ｜Solid Idea｜室內設計｜家居規劃｜星級設計｜［CC字幕］")</f>
        <v>【新樓 • idea】大圍．柏傲莊 |  633呎 | 新樓用咩風格設計好？｜設計 • idea ｜Solid Idea｜室內設計｜家居規劃｜星級設計｜［CC字幕］</v>
      </c>
      <c r="E6776" s="82">
        <v>45104.0</v>
      </c>
      <c r="F6776" s="80">
        <v>124.0</v>
      </c>
      <c r="G6776" s="80" t="s">
        <v>63</v>
      </c>
      <c r="I6776" s="80" t="s">
        <v>63</v>
      </c>
      <c r="J6776" s="80">
        <v>482.0</v>
      </c>
      <c r="K6776" s="80">
        <v>0.975708502024291</v>
      </c>
      <c r="L6776" s="80" t="s">
        <v>64</v>
      </c>
    </row>
    <row r="6777">
      <c r="A6777" s="80" t="s">
        <v>6960</v>
      </c>
      <c r="B6777" s="81" t="str">
        <f>HYPERLINK("https://www.youtube.com/channel/UCQS2_zzisMq5C_FggxsQwTQ", "Comprehensible Cantonese")</f>
        <v>Comprehensible Cantonese</v>
      </c>
      <c r="C6777" s="80" t="s">
        <v>7314</v>
      </c>
      <c r="D6777" s="81" t="str">
        <f>HYPERLINK("https://youtube.com/watch?v=wNMO7d8afG4", "[CC] What can I buy with 10 RMB in China ? -Veggies | Slow &amp; Easy Cantonese (Advanced Beginner)")</f>
        <v>[CC] What can I buy with 10 RMB in China ? -Veggies | Slow &amp; Easy Cantonese (Advanced Beginner)</v>
      </c>
      <c r="E6777" s="82">
        <v>45166.0</v>
      </c>
      <c r="F6777" s="80">
        <v>52.0</v>
      </c>
      <c r="G6777" s="80" t="s">
        <v>63</v>
      </c>
      <c r="I6777" s="80" t="s">
        <v>63</v>
      </c>
      <c r="J6777" s="80">
        <v>82.0</v>
      </c>
      <c r="K6777" s="80">
        <v>0.872340425531914</v>
      </c>
      <c r="L6777" s="80" t="s">
        <v>102</v>
      </c>
    </row>
    <row r="6778">
      <c r="A6778" s="80" t="s">
        <v>3051</v>
      </c>
      <c r="B6778" s="81" t="str">
        <f>HYPERLINK("https://www.youtube.com/channel/UCvE0FPIL24o2mnUQIqcSHYA", "柴犬春卷的英國日常 Shiba Harumaki in UK")</f>
        <v>柴犬春卷的英國日常 Shiba Harumaki in UK</v>
      </c>
      <c r="C6778" s="80" t="s">
        <v>7315</v>
      </c>
      <c r="D6778" s="81" t="str">
        <f>HYPERLINK("https://youtube.com/watch?v=LO9CDVcqucI", "【幾錢？】轉新公司後電費單出爐⚡️感動到想喊😭！終於唔洗捱貴價英國電費😊 係咪真係咁平啊？片尾有申請教學｜柴犬春卷悶到瞓著了")</f>
        <v>【幾錢？】轉新公司後電費單出爐⚡️感動到想喊😭！終於唔洗捱貴價英國電費😊 係咪真係咁平啊？片尾有申請教學｜柴犬春卷悶到瞓著了</v>
      </c>
      <c r="E6778" s="82">
        <v>45141.0</v>
      </c>
      <c r="F6778" s="80">
        <v>1293.0</v>
      </c>
      <c r="G6778" s="80" t="s">
        <v>63</v>
      </c>
      <c r="I6778" s="80" t="s">
        <v>63</v>
      </c>
      <c r="J6778" s="80">
        <v>5522.0</v>
      </c>
      <c r="K6778" s="80">
        <v>0.861600873771259</v>
      </c>
      <c r="L6778" s="80" t="s">
        <v>64</v>
      </c>
    </row>
    <row r="6779">
      <c r="A6779" s="80" t="s">
        <v>5992</v>
      </c>
      <c r="B6779" s="81" t="str">
        <f>HYPERLINK("https://www.youtube.com/channel/UCEuQ-0x3uMk1KghGiO1kTHg", "MIRROR")</f>
        <v>MIRROR</v>
      </c>
      <c r="C6779" s="80" t="s">
        <v>7316</v>
      </c>
      <c r="D6779" s="81" t="str">
        <f>HYPERLINK("https://youtube.com/watch?v=LHOYqoFeIDE", "MIRROR《Sheesh》Official Music Video")</f>
        <v>MIRROR《Sheesh》Official Music Video</v>
      </c>
      <c r="E6779" s="82">
        <v>45100.0</v>
      </c>
      <c r="F6779" s="80">
        <v>198.0</v>
      </c>
      <c r="G6779" s="80" t="s">
        <v>63</v>
      </c>
      <c r="I6779" s="80" t="s">
        <v>63</v>
      </c>
      <c r="J6779" s="80">
        <v>295.0</v>
      </c>
      <c r="K6779" s="80">
        <v>0.296184738955823</v>
      </c>
      <c r="L6779" s="80" t="s">
        <v>64</v>
      </c>
    </row>
    <row r="6780">
      <c r="A6780" s="80" t="s">
        <v>248</v>
      </c>
      <c r="B6780" s="81" t="str">
        <f>HYPERLINK("https://www.youtube.com/channel/UCUEJok-GiWaGlv5nIPwk-GQ", "Price.com.hk 香港格價網")</f>
        <v>Price.com.hk 香港格價網</v>
      </c>
      <c r="C6780" s="80" t="s">
        <v>7317</v>
      </c>
      <c r="D6780" s="81" t="str">
        <f>HYPERLINK("https://youtube.com/watch?v=0D0P5foTAps", "15"" MacBook Air 尺寸加大 速度更快？新機隱藏升級逐個數！｜同場對比13"" 版本｜新舊MBA點揀好｜廣東話【Price.com.hk 產品評測】")</f>
        <v>15" MacBook Air 尺寸加大 速度更快？新機隱藏升級逐個數！｜同場對比13" 版本｜新舊MBA點揀好｜廣東話【Price.com.hk 產品評測】</v>
      </c>
      <c r="E6780" s="82">
        <v>45091.0</v>
      </c>
      <c r="F6780" s="80">
        <v>472.0</v>
      </c>
      <c r="G6780" s="80" t="s">
        <v>63</v>
      </c>
      <c r="I6780" s="80" t="s">
        <v>63</v>
      </c>
      <c r="J6780" s="80">
        <v>1530.0</v>
      </c>
      <c r="K6780" s="80">
        <v>0.745250852411105</v>
      </c>
      <c r="L6780" s="80" t="s">
        <v>64</v>
      </c>
    </row>
    <row r="6781">
      <c r="A6781" s="80" t="s">
        <v>3134</v>
      </c>
      <c r="B6781" s="81" t="str">
        <f>HYPERLINK("https://www.youtube.com/channel/UC_vZsUCJrwYrbIRPHacAS_Q", "Coco哥")</f>
        <v>Coco哥</v>
      </c>
      <c r="C6781" s="80" t="s">
        <v>7318</v>
      </c>
      <c r="D6781" s="81" t="str">
        <f>HYPERLINK("https://youtube.com/watch?v=eBII78zdeu8", "香港人移英惡夢🇬🇧買錯樓輸身家💸幫網友睇樓🚨遇上英國房屋最強殺手 🇬🇧 日本虎杖🌿倫敦氾濫成災")</f>
        <v>香港人移英惡夢🇬🇧買錯樓輸身家💸幫網友睇樓🚨遇上英國房屋最強殺手 🇬🇧 日本虎杖🌿倫敦氾濫成災</v>
      </c>
      <c r="E6781" s="82">
        <v>45100.0</v>
      </c>
      <c r="F6781" s="80">
        <v>1106.0</v>
      </c>
      <c r="G6781" s="80" t="s">
        <v>63</v>
      </c>
      <c r="I6781" s="80" t="s">
        <v>63</v>
      </c>
      <c r="J6781" s="80">
        <v>4642.0</v>
      </c>
      <c r="K6781" s="80">
        <v>0.911984282907662</v>
      </c>
      <c r="L6781" s="80" t="s">
        <v>2755</v>
      </c>
    </row>
    <row r="6782">
      <c r="A6782" s="80" t="s">
        <v>6054</v>
      </c>
      <c r="B6782" s="81" t="str">
        <f>HYPERLINK("https://www.youtube.com/channel/UCZc-RwRZUYVuwu3A9pVBISg", "ToNick")</f>
        <v>ToNick</v>
      </c>
      <c r="C6782" s="80" t="s">
        <v>7319</v>
      </c>
      <c r="D6782" s="81" t="str">
        <f>HYPERLINK("https://youtube.com/watch?v=djxx1YdVx08", "ToNick - 轉頭覆 Read (Official MV) [4K]")</f>
        <v>ToNick - 轉頭覆 Read (Official MV) [4K]</v>
      </c>
      <c r="E6782" s="82">
        <v>45106.0</v>
      </c>
      <c r="F6782" s="80">
        <v>277.0</v>
      </c>
      <c r="G6782" s="80" t="s">
        <v>63</v>
      </c>
      <c r="I6782" s="80" t="s">
        <v>63</v>
      </c>
      <c r="J6782" s="80">
        <v>560.0</v>
      </c>
      <c r="K6782" s="80">
        <v>0.852359208523592</v>
      </c>
      <c r="L6782" s="80" t="s">
        <v>64</v>
      </c>
    </row>
    <row r="6783">
      <c r="A6783" s="80" t="s">
        <v>3139</v>
      </c>
      <c r="B6783" s="81" t="str">
        <f>HYPERLINK("https://www.youtube.com/channel/UCThO2xnH7XMg6plE8OgJm_w", "choyuen草原")</f>
        <v>choyuen草原</v>
      </c>
      <c r="C6783" s="80" t="s">
        <v>7320</v>
      </c>
      <c r="D6783" s="81" t="str">
        <f>HYPERLINK("https://youtube.com/watch?v=4z2aPFFfNCc", "嚴選4大聖經詞彙  曲解 vs 正解 (A. 拿非利人+莉莉絲) The Untold Truth about 4 Bible words (A. Nephilim + Lilith)")</f>
        <v>嚴選4大聖經詞彙  曲解 vs 正解 (A. 拿非利人+莉莉絲) The Untold Truth about 4 Bible words (A. Nephilim + Lilith)</v>
      </c>
      <c r="E6783" s="82">
        <v>45133.0</v>
      </c>
      <c r="F6783" s="80">
        <v>447.0</v>
      </c>
      <c r="G6783" s="80" t="s">
        <v>63</v>
      </c>
      <c r="I6783" s="80" t="s">
        <v>63</v>
      </c>
      <c r="J6783" s="80">
        <v>1349.0</v>
      </c>
      <c r="K6783" s="80">
        <v>0.847894406033941</v>
      </c>
      <c r="L6783" s="80" t="s">
        <v>64</v>
      </c>
    </row>
    <row r="6784">
      <c r="A6784" s="80" t="s">
        <v>248</v>
      </c>
      <c r="B6784" s="81" t="str">
        <f>HYPERLINK("https://www.youtube.com/channel/UCUEJok-GiWaGlv5nIPwk-GQ", "Price.com.hk 香港格價網")</f>
        <v>Price.com.hk 香港格價網</v>
      </c>
      <c r="C6784" s="80" t="s">
        <v>7321</v>
      </c>
      <c r="D6784" s="81" t="str">
        <f>HYPERLINK("https://youtube.com/watch?v=FhBt27eA4vA", "10大OLED LCD電視推介｜分區調光係咩？DCI-P3點先合格？8個細節買前必睇！廣東話【選購攻略】")</f>
        <v>10大OLED LCD電視推介｜分區調光係咩？DCI-P3點先合格？8個細節買前必睇！廣東話【選購攻略】</v>
      </c>
      <c r="E6784" s="82">
        <v>45112.0</v>
      </c>
      <c r="F6784" s="80">
        <v>565.0</v>
      </c>
      <c r="G6784" s="80" t="s">
        <v>63</v>
      </c>
      <c r="I6784" s="80" t="s">
        <v>63</v>
      </c>
      <c r="J6784" s="80">
        <v>2046.0</v>
      </c>
      <c r="K6784" s="80">
        <v>0.736766294562477</v>
      </c>
      <c r="L6784" s="80" t="s">
        <v>64</v>
      </c>
    </row>
    <row r="6785">
      <c r="A6785" s="80" t="s">
        <v>7099</v>
      </c>
      <c r="B6785" s="81" t="str">
        <f>HYPERLINK("https://www.youtube.com/channel/UCBwfrMS785JyWDUBRhOQkjw", "Karenly :")</f>
        <v>Karenly :</v>
      </c>
      <c r="C6785" s="80" t="s">
        <v>7322</v>
      </c>
      <c r="D6785" s="81" t="str">
        <f>HYPERLINK("https://youtube.com/watch?v=przoM-Uca8A", "提升生活質感 PuriCare™ AeroFurniture 空氣清新＋茶几 4合1｜LG特約 ｜桌面無線充電｜8色氣氛燈｜繁中字幕｜廣東話【Karenly:】")</f>
        <v>提升生活質感 PuriCare™ AeroFurniture 空氣清新＋茶几 4合1｜LG特約 ｜桌面無線充電｜8色氣氛燈｜繁中字幕｜廣東話【Karenly:】</v>
      </c>
      <c r="E6785" s="82">
        <v>45085.0</v>
      </c>
      <c r="F6785" s="80">
        <v>273.0</v>
      </c>
      <c r="G6785" s="80" t="s">
        <v>63</v>
      </c>
      <c r="I6785" s="80" t="s">
        <v>63</v>
      </c>
      <c r="J6785" s="80">
        <v>1114.0</v>
      </c>
      <c r="K6785" s="80">
        <v>0.855606758832565</v>
      </c>
      <c r="L6785" s="80" t="s">
        <v>64</v>
      </c>
    </row>
    <row r="6786">
      <c r="A6786" s="80" t="s">
        <v>260</v>
      </c>
      <c r="B6786" s="81" t="str">
        <f>HYPERLINK("https://www.youtube.com/channel/UC-HXOikkLx7BGEfILGIpYOg", "港短 . 英移")</f>
        <v>港短 . 英移</v>
      </c>
      <c r="C6786" s="80" t="s">
        <v>7323</v>
      </c>
      <c r="D6786" s="81" t="str">
        <f>HYPERLINK("https://youtube.com/watch?v=1XNSIrk9ufg", "英國中學數學題  成條題目只得一個數字  亞州人能破解嗎?   | 港短英移")</f>
        <v>英國中學數學題  成條題目只得一個數字  亞州人能破解嗎?   | 港短英移</v>
      </c>
      <c r="E6786" s="82">
        <v>45170.0</v>
      </c>
      <c r="F6786" s="80">
        <v>228.0</v>
      </c>
      <c r="G6786" s="80" t="s">
        <v>63</v>
      </c>
      <c r="I6786" s="80" t="s">
        <v>63</v>
      </c>
      <c r="J6786" s="80">
        <v>784.0</v>
      </c>
      <c r="K6786" s="80">
        <v>0.971499380421313</v>
      </c>
      <c r="L6786" s="80" t="s">
        <v>102</v>
      </c>
    </row>
    <row r="6787">
      <c r="A6787" s="80" t="s">
        <v>248</v>
      </c>
      <c r="B6787" s="81" t="str">
        <f>HYPERLINK("https://www.youtube.com/channel/UCUEJok-GiWaGlv5nIPwk-GQ", "Price.com.hk 香港格價網")</f>
        <v>Price.com.hk 香港格價網</v>
      </c>
      <c r="C6787" s="80" t="s">
        <v>7324</v>
      </c>
      <c r="D6787" s="81" t="str">
        <f>HYPERLINK("https://youtube.com/watch?v=2Eil39h3xrk", "iPhone告別凸眼？LG喼~~神！Tesla又出酒？開OnePlus手機先嚟落雨…Elon Musk同Apple Watch嘅X-Files｜廣東話 #PriceWeeklySE")</f>
        <v>iPhone告別凸眼？LG喼~~神！Tesla又出酒？開OnePlus手機先嚟落雨…Elon Musk同Apple Watch嘅X-Files｜廣東話 #PriceWeeklySE</v>
      </c>
      <c r="E6787" s="82">
        <v>45160.0</v>
      </c>
      <c r="F6787" s="80">
        <v>298.0</v>
      </c>
      <c r="G6787" s="80" t="s">
        <v>63</v>
      </c>
      <c r="I6787" s="80" t="s">
        <v>63</v>
      </c>
      <c r="J6787" s="80">
        <v>1065.0</v>
      </c>
      <c r="K6787" s="80">
        <v>0.65018315018315</v>
      </c>
      <c r="L6787" s="80" t="s">
        <v>64</v>
      </c>
    </row>
    <row r="6788">
      <c r="A6788" s="80" t="s">
        <v>260</v>
      </c>
      <c r="B6788" s="81" t="str">
        <f>HYPERLINK("https://www.youtube.com/channel/UC-HXOikkLx7BGEfILGIpYOg", "港短 . 英移")</f>
        <v>港短 . 英移</v>
      </c>
      <c r="C6788" s="80" t="s">
        <v>7325</v>
      </c>
      <c r="D6788" s="81" t="str">
        <f>HYPERLINK("https://youtube.com/watch?v=4R2atOlkueg", "英國放榜 政府研削減大學學位數目 | 中學選科前要想清楚的一件事 | A-Level 評分整體下跌 | 港短英移")</f>
        <v>英國放榜 政府研削減大學學位數目 | 中學選科前要想清楚的一件事 | A-Level 評分整體下跌 | 港短英移</v>
      </c>
      <c r="E6788" s="82">
        <v>45163.0</v>
      </c>
      <c r="F6788" s="80">
        <v>402.0</v>
      </c>
      <c r="G6788" s="80" t="s">
        <v>63</v>
      </c>
      <c r="I6788" s="80" t="s">
        <v>63</v>
      </c>
      <c r="J6788" s="80">
        <v>1871.0</v>
      </c>
      <c r="K6788" s="80">
        <v>0.912682926829268</v>
      </c>
      <c r="L6788" s="80" t="s">
        <v>102</v>
      </c>
    </row>
    <row r="6789">
      <c r="A6789" s="80" t="s">
        <v>6591</v>
      </c>
      <c r="B6789" s="81" t="str">
        <f>HYPERLINK("https://www.youtube.com/channel/UC0DpBgpq_gR7TaNDIvJYZag", "TalkFood")</f>
        <v>TalkFood</v>
      </c>
      <c r="C6789" s="80" t="s">
        <v>7326</v>
      </c>
      <c r="D6789" s="81" t="str">
        <f>HYPERLINK("https://youtube.com/watch?v=zjsIH3fB_lg", "#TalkFood【#18區搵食—上大帽山飲早茶初體驗！全自助式飲茶試過未？】朝聖端記茶樓｜必食茶果同奶黃流心馬拉糕｜300度荔枝柴窯燒雞｜雞皮堅焦脆｜必配桂花車厘茄｜荃灣老字號糖水｜芝麻湯丸100分")</f>
        <v>#TalkFood【#18區搵食—上大帽山飲早茶初體驗！全自助式飲茶試過未？】朝聖端記茶樓｜必食茶果同奶黃流心馬拉糕｜300度荔枝柴窯燒雞｜雞皮堅焦脆｜必配桂花車厘茄｜荃灣老字號糖水｜芝麻湯丸100分</v>
      </c>
      <c r="E6789" s="82">
        <v>45120.0</v>
      </c>
      <c r="F6789" s="80">
        <v>1628.0</v>
      </c>
      <c r="G6789" s="80" t="s">
        <v>63</v>
      </c>
      <c r="I6789" s="80" t="s">
        <v>63</v>
      </c>
      <c r="J6789" s="80">
        <v>4669.0</v>
      </c>
      <c r="K6789" s="80">
        <v>0.962481962481962</v>
      </c>
      <c r="L6789" s="80" t="s">
        <v>91</v>
      </c>
    </row>
    <row r="6790">
      <c r="A6790" s="80" t="s">
        <v>217</v>
      </c>
      <c r="B6790" s="81" t="str">
        <f>HYPERLINK("https://www.youtube.com/channel/UCXKg0qPRz32bs5Z4mTGF3TQ", "Stormtrooper白兵")</f>
        <v>Stormtrooper白兵</v>
      </c>
      <c r="C6790" s="80" t="s">
        <v>7327</v>
      </c>
      <c r="D6790" s="81" t="str">
        <f>HYPERLINK("https://youtube.com/watch?v=zLExsd4UQCo", "腸道細菌能控制你思想？｜腸道直接指揮大腦？｜第二大腦｜不是陰謀論｜中文字幕")</f>
        <v>腸道細菌能控制你思想？｜腸道直接指揮大腦？｜第二大腦｜不是陰謀論｜中文字幕</v>
      </c>
      <c r="E6790" s="82">
        <v>45148.0</v>
      </c>
      <c r="F6790" s="80">
        <v>952.0</v>
      </c>
      <c r="G6790" s="80" t="s">
        <v>63</v>
      </c>
      <c r="I6790" s="80" t="s">
        <v>63</v>
      </c>
      <c r="J6790" s="80">
        <v>3842.0</v>
      </c>
      <c r="K6790" s="80">
        <v>0.952876984126984</v>
      </c>
      <c r="L6790" s="80" t="s">
        <v>64</v>
      </c>
    </row>
    <row r="6791">
      <c r="A6791" s="80" t="s">
        <v>755</v>
      </c>
      <c r="B6791" s="81" t="str">
        <f>HYPERLINK("https://www.youtube.com/channel/UCBiJDTc82IM68KVH873VeAw", "Live in Kwangsi廣西人·情·味")</f>
        <v>Live in Kwangsi廣西人·情·味</v>
      </c>
      <c r="C6791" s="80" t="s">
        <v>7328</v>
      </c>
      <c r="D6791" s="81" t="str">
        <f>HYPERLINK("https://youtube.com/watch?v=GpAO9bguOZU", "廣州市永慶坊：係個既傳統又新潮嘅地方｜廣東日常實拍 20230701")</f>
        <v>廣州市永慶坊：係個既傳統又新潮嘅地方｜廣東日常實拍 20230701</v>
      </c>
      <c r="E6791" s="82">
        <v>45141.0</v>
      </c>
      <c r="F6791" s="80">
        <v>228.0</v>
      </c>
      <c r="G6791" s="80" t="s">
        <v>63</v>
      </c>
      <c r="I6791" s="80" t="s">
        <v>63</v>
      </c>
      <c r="J6791" s="80">
        <v>349.0</v>
      </c>
      <c r="K6791" s="80">
        <v>1.0</v>
      </c>
      <c r="L6791" s="80" t="s">
        <v>757</v>
      </c>
    </row>
    <row r="6792">
      <c r="A6792" s="80" t="s">
        <v>414</v>
      </c>
      <c r="B6792" s="81" t="str">
        <f>HYPERLINK("https://www.youtube.com/channel/UCCVn38j5xSJZN-II-TeyomA", "Uncle Calvin Cantonese Class")</f>
        <v>Uncle Calvin Cantonese Class</v>
      </c>
      <c r="C6792" s="80" t="s">
        <v>7329</v>
      </c>
      <c r="D6792" s="81" t="str">
        <f>HYPERLINK("https://youtube.com/watch?v=Pr9hWCAVWwA", "【動物小島旅行】Animals in Cantonese I 老虎獅子 I 鹿馬狼豹 I 長頸鹿駱駝 I 犀牛河馬水牛熊 I 幼兒認字 for Toddlers I 廣東話教室 I 字幕")</f>
        <v>【動物小島旅行】Animals in Cantonese I 老虎獅子 I 鹿馬狼豹 I 長頸鹿駱駝 I 犀牛河馬水牛熊 I 幼兒認字 for Toddlers I 廣東話教室 I 字幕</v>
      </c>
      <c r="E6792" s="82">
        <v>45141.0</v>
      </c>
      <c r="F6792" s="80">
        <v>788.0</v>
      </c>
      <c r="G6792" s="80" t="s">
        <v>63</v>
      </c>
      <c r="H6792" s="80" t="s">
        <v>63</v>
      </c>
      <c r="I6792" s="80" t="s">
        <v>63</v>
      </c>
      <c r="J6792" s="80">
        <v>1462.0</v>
      </c>
      <c r="K6792" s="80">
        <v>0.909203980099502</v>
      </c>
      <c r="L6792" s="80" t="s">
        <v>240</v>
      </c>
    </row>
    <row r="6793">
      <c r="A6793" s="80" t="s">
        <v>2829</v>
      </c>
      <c r="B6793" s="81" t="str">
        <f>HYPERLINK("https://www.youtube.com/channel/UC7GnES6AEQlDzaP04UqtyjA", "SOLID IDEA")</f>
        <v>SOLID IDEA</v>
      </c>
      <c r="C6793" s="80" t="s">
        <v>7330</v>
      </c>
      <c r="D6793" s="81" t="str">
        <f>HYPERLINK("https://youtube.com/watch?v=8cM4QLlHn68", "【設計 • idea】將軍澳．維景灣畔 |  484呎 | 混合風格會唔會出事？｜設計 • idea｜Solid Idea｜室內設計｜家居規劃｜星級設計｜［CC字幕］")</f>
        <v>【設計 • idea】將軍澳．維景灣畔 |  484呎 | 混合風格會唔會出事？｜設計 • idea｜Solid Idea｜室內設計｜家居規劃｜星級設計｜［CC字幕］</v>
      </c>
      <c r="E6793" s="82">
        <v>45125.0</v>
      </c>
      <c r="F6793" s="80">
        <v>113.0</v>
      </c>
      <c r="G6793" s="80" t="s">
        <v>63</v>
      </c>
      <c r="I6793" s="80" t="s">
        <v>63</v>
      </c>
      <c r="J6793" s="80">
        <v>410.0</v>
      </c>
      <c r="K6793" s="80">
        <v>0.93607305936073</v>
      </c>
      <c r="L6793" s="80" t="s">
        <v>64</v>
      </c>
    </row>
    <row r="6794">
      <c r="A6794" s="80" t="s">
        <v>6960</v>
      </c>
      <c r="B6794" s="81" t="str">
        <f>HYPERLINK("https://www.youtube.com/channel/UCQS2_zzisMq5C_FggxsQwTQ", "Comprehensible Cantonese")</f>
        <v>Comprehensible Cantonese</v>
      </c>
      <c r="C6794" s="80" t="s">
        <v>7331</v>
      </c>
      <c r="D6794" s="81" t="str">
        <f>HYPERLINK("https://youtube.com/watch?v=Kf8Y0V5erVM", "👧👏Sharing is Caring  [CC] | Slow &amp; Clear Cantonese| Easy Cantonese 廣東話  (Advanced Beginner)")</f>
        <v>👧👏Sharing is Caring  [CC] | Slow &amp; Clear Cantonese| Easy Cantonese 廣東話  (Advanced Beginner)</v>
      </c>
      <c r="E6794" s="82">
        <v>45157.0</v>
      </c>
      <c r="F6794" s="80">
        <v>95.0</v>
      </c>
      <c r="G6794" s="80" t="s">
        <v>63</v>
      </c>
      <c r="I6794" s="80" t="s">
        <v>63</v>
      </c>
      <c r="J6794" s="80">
        <v>221.0</v>
      </c>
      <c r="K6794" s="80">
        <v>0.973568281938326</v>
      </c>
      <c r="L6794" s="80" t="s">
        <v>757</v>
      </c>
    </row>
    <row r="6795">
      <c r="A6795" s="80" t="s">
        <v>6892</v>
      </c>
      <c r="B6795" s="81" t="str">
        <f>HYPERLINK("https://www.youtube.com/channel/UC8_hxeY0nDCL-8ETbcGUZ9g", "PT食為先")</f>
        <v>PT食為先</v>
      </c>
      <c r="C6795" s="80" t="s">
        <v>7332</v>
      </c>
      <c r="D6795" s="81" t="str">
        <f>HYPERLINK("https://youtube.com/watch?v=hADm48Vajok", "[PT自費食評] 任食 龍蝦 蟹腳 連鮑魚都有！價錢竟然比疫情期間仲要平？海鮮自助餐食足3.5小時～性價比超高｜文華東方酒店 快船廊 Clipper Lounge Buffet 五星級酒店")</f>
        <v>[PT自費食評] 任食 龍蝦 蟹腳 連鮑魚都有！價錢竟然比疫情期間仲要平？海鮮自助餐食足3.5小時～性價比超高｜文華東方酒店 快船廊 Clipper Lounge Buffet 五星級酒店</v>
      </c>
      <c r="E6795" s="82">
        <v>45135.0</v>
      </c>
      <c r="F6795" s="80">
        <v>989.0</v>
      </c>
      <c r="G6795" s="80" t="s">
        <v>63</v>
      </c>
      <c r="I6795" s="80" t="s">
        <v>63</v>
      </c>
      <c r="J6795" s="80">
        <v>2408.0</v>
      </c>
      <c r="K6795" s="80">
        <v>0.920489296636085</v>
      </c>
      <c r="L6795" s="80" t="s">
        <v>64</v>
      </c>
    </row>
    <row r="6796">
      <c r="A6796" s="80" t="s">
        <v>260</v>
      </c>
      <c r="B6796" s="81" t="str">
        <f>HYPERLINK("https://www.youtube.com/channel/UC-HXOikkLx7BGEfILGIpYOg", "港短 . 英移")</f>
        <v>港短 . 英移</v>
      </c>
      <c r="C6796" s="80" t="s">
        <v>7333</v>
      </c>
      <c r="D6796" s="81" t="str">
        <f>HYPERLINK("https://youtube.com/watch?v=-82j4RAGWlA", "必學防身術 - 英國生活被人鬧都唔知 係真係好大鑊 - 粗口用時方恨少｜港短英移 #英國地道口語")</f>
        <v>必學防身術 - 英國生活被人鬧都唔知 係真係好大鑊 - 粗口用時方恨少｜港短英移 #英國地道口語</v>
      </c>
      <c r="E6796" s="82">
        <v>45149.0</v>
      </c>
      <c r="F6796" s="80">
        <v>292.0</v>
      </c>
      <c r="G6796" s="80" t="s">
        <v>63</v>
      </c>
      <c r="I6796" s="80" t="s">
        <v>63</v>
      </c>
      <c r="J6796" s="80">
        <v>784.0</v>
      </c>
      <c r="K6796" s="80">
        <v>0.800817160367722</v>
      </c>
      <c r="L6796" s="80" t="s">
        <v>102</v>
      </c>
    </row>
    <row r="6797">
      <c r="A6797" s="80" t="s">
        <v>248</v>
      </c>
      <c r="B6797" s="81" t="str">
        <f t="shared" ref="B6797:B6798" si="391">HYPERLINK("https://www.youtube.com/channel/UCUEJok-GiWaGlv5nIPwk-GQ", "Price.com.hk 香港格價網")</f>
        <v>Price.com.hk 香港格價網</v>
      </c>
      <c r="C6797" s="80" t="s">
        <v>7334</v>
      </c>
      <c r="D6797" s="81" t="str">
        <f>HYPERLINK("https://youtube.com/watch?v=0odH965MCgc", "來自未來的科技產品？Dyson Zone 空氣淨化耳機｜特約專題｜廣東話【Price.com.hk產品評測】")</f>
        <v>來自未來的科技產品？Dyson Zone 空氣淨化耳機｜特約專題｜廣東話【Price.com.hk產品評測】</v>
      </c>
      <c r="E6797" s="82">
        <v>45093.0</v>
      </c>
      <c r="F6797" s="80">
        <v>431.0</v>
      </c>
      <c r="G6797" s="80" t="s">
        <v>63</v>
      </c>
      <c r="I6797" s="80" t="s">
        <v>63</v>
      </c>
      <c r="J6797" s="80">
        <v>1256.0</v>
      </c>
      <c r="K6797" s="80">
        <v>0.824146981627296</v>
      </c>
      <c r="L6797" s="80" t="s">
        <v>64</v>
      </c>
    </row>
    <row r="6798">
      <c r="A6798" s="80" t="s">
        <v>248</v>
      </c>
      <c r="B6798" s="81" t="str">
        <f t="shared" si="391"/>
        <v>Price.com.hk 香港格價網</v>
      </c>
      <c r="C6798" s="80" t="s">
        <v>7335</v>
      </c>
      <c r="D6798" s="81" t="str">
        <f>HYPERLINK("https://youtube.com/watch?v=6VXJu7QawUw", "Samsung Galaxy Watch 6 Classic | 3個優缺點分享｜實體錶圈回歸｜GPS定位測試 | Exynos w930 + 2G Ram | 廣東話 #產品評測")</f>
        <v>Samsung Galaxy Watch 6 Classic | 3個優缺點分享｜實體錶圈回歸｜GPS定位測試 | Exynos w930 + 2G Ram | 廣東話 #產品評測</v>
      </c>
      <c r="E6798" s="82">
        <v>45156.0</v>
      </c>
      <c r="F6798" s="80">
        <v>387.0</v>
      </c>
      <c r="G6798" s="80" t="s">
        <v>63</v>
      </c>
      <c r="I6798" s="80" t="s">
        <v>63</v>
      </c>
      <c r="J6798" s="80">
        <v>1505.0</v>
      </c>
      <c r="K6798" s="80">
        <v>0.781006746237675</v>
      </c>
      <c r="L6798" s="80" t="s">
        <v>64</v>
      </c>
    </row>
    <row r="6799">
      <c r="A6799" s="80" t="s">
        <v>5702</v>
      </c>
      <c r="B6799" s="81" t="str">
        <f>HYPERLINK("https://www.youtube.com/channel/UC249m2fxYzK-NnfH06YNP3A", "Siu Mei小美")</f>
        <v>Siu Mei小美</v>
      </c>
      <c r="C6799" s="80" t="s">
        <v>7336</v>
      </c>
      <c r="D6799" s="81" t="str">
        <f>HYPERLINK("https://youtube.com/watch?v=AXgG-jddssI", "近月最愛的護膚品🤫經歷了前所未有的爛面👀靠這些法寶拯救我 ｜小美")</f>
        <v>近月最愛的護膚品🤫經歷了前所未有的爛面👀靠這些法寶拯救我 ｜小美</v>
      </c>
      <c r="E6799" s="82">
        <v>45137.0</v>
      </c>
      <c r="F6799" s="80">
        <v>905.0</v>
      </c>
      <c r="G6799" s="80" t="s">
        <v>63</v>
      </c>
      <c r="I6799" s="80" t="s">
        <v>63</v>
      </c>
      <c r="J6799" s="80">
        <v>4404.0</v>
      </c>
      <c r="K6799" s="80">
        <v>0.850685725323546</v>
      </c>
      <c r="L6799" s="80" t="s">
        <v>64</v>
      </c>
    </row>
    <row r="6800">
      <c r="A6800" s="80" t="s">
        <v>755</v>
      </c>
      <c r="B6800" s="81" t="str">
        <f t="shared" ref="B6800:B6801" si="392">HYPERLINK("https://www.youtube.com/channel/UCBiJDTc82IM68KVH873VeAw", "Live in Kwangsi廣西人·情·味")</f>
        <v>Live in Kwangsi廣西人·情·味</v>
      </c>
      <c r="C6800" s="80" t="s">
        <v>7337</v>
      </c>
      <c r="D6800" s="81" t="str">
        <f>HYPERLINK("https://youtube.com/watch?v=F3Q8Eh2Nq54", "廣州市粵海關 珠江邊嘅地標建築｜廣東日常實拍 20230623")</f>
        <v>廣州市粵海關 珠江邊嘅地標建築｜廣東日常實拍 20230623</v>
      </c>
      <c r="E6800" s="82">
        <v>45134.0</v>
      </c>
      <c r="F6800" s="80">
        <v>155.0</v>
      </c>
      <c r="G6800" s="80" t="s">
        <v>63</v>
      </c>
      <c r="I6800" s="80" t="s">
        <v>63</v>
      </c>
      <c r="J6800" s="80">
        <v>395.0</v>
      </c>
      <c r="K6800" s="80">
        <v>0.944976076555023</v>
      </c>
      <c r="L6800" s="80" t="s">
        <v>757</v>
      </c>
    </row>
    <row r="6801">
      <c r="A6801" s="80" t="s">
        <v>755</v>
      </c>
      <c r="B6801" s="81" t="str">
        <f t="shared" si="392"/>
        <v>Live in Kwangsi廣西人·情·味</v>
      </c>
      <c r="C6801" s="80" t="s">
        <v>7338</v>
      </c>
      <c r="D6801" s="81" t="str">
        <f>HYPERLINK("https://youtube.com/watch?v=sy34D-2oKME", "廣州街頭音樂 愛與痛的邊緣、別來無恙、傷感的戀人 20230623")</f>
        <v>廣州街頭音樂 愛與痛的邊緣、別來無恙、傷感的戀人 20230623</v>
      </c>
      <c r="E6801" s="82">
        <v>45102.0</v>
      </c>
      <c r="F6801" s="80">
        <v>391.0</v>
      </c>
      <c r="G6801" s="80" t="s">
        <v>63</v>
      </c>
      <c r="I6801" s="80" t="s">
        <v>63</v>
      </c>
      <c r="J6801" s="80">
        <v>9.0</v>
      </c>
      <c r="K6801" s="80">
        <v>1.0</v>
      </c>
      <c r="L6801" s="80" t="s">
        <v>757</v>
      </c>
    </row>
    <row r="6802">
      <c r="A6802" s="80" t="s">
        <v>2761</v>
      </c>
      <c r="B6802" s="81" t="str">
        <f>HYPERLINK("https://www.youtube.com/channel/UCr_L9cZdbBU_XDsKDHBBlew", "am730")</f>
        <v>am730</v>
      </c>
      <c r="C6802" s="80" t="s">
        <v>7339</v>
      </c>
      <c r="D6802" s="81" t="str">
        <f>HYPERLINK("https://youtube.com/watch?v=gvn-R4QUWG8", "味美道來｜深水埗均香餅家X一日學徒 三代同堂撐起44年老字號：造餅好有滿足感")</f>
        <v>味美道來｜深水埗均香餅家X一日學徒 三代同堂撐起44年老字號：造餅好有滿足感</v>
      </c>
      <c r="E6802" s="82">
        <v>45162.0</v>
      </c>
      <c r="F6802" s="80">
        <v>408.0</v>
      </c>
      <c r="G6802" s="80" t="s">
        <v>63</v>
      </c>
      <c r="I6802" s="80" t="s">
        <v>63</v>
      </c>
      <c r="J6802" s="80">
        <v>1176.0</v>
      </c>
      <c r="K6802" s="80">
        <v>0.987405541561712</v>
      </c>
      <c r="L6802" s="80" t="s">
        <v>91</v>
      </c>
    </row>
    <row r="6803">
      <c r="A6803" s="80" t="s">
        <v>414</v>
      </c>
      <c r="B6803" s="81" t="str">
        <f>HYPERLINK("https://www.youtube.com/channel/UCCVn38j5xSJZN-II-TeyomA", "Uncle Calvin Cantonese Class")</f>
        <v>Uncle Calvin Cantonese Class</v>
      </c>
      <c r="C6803" s="80" t="s">
        <v>7340</v>
      </c>
      <c r="D6803" s="81" t="str">
        <f>HYPERLINK("https://youtube.com/watch?v=yxv0nEqHXeQ", "【新！茶果嶺海濱公園8月開放】Cha Kwo Ling Promenade Park Opens I 放電 I 公園 I 遊樂場 I 週末好去處 I 兒童新聞報道 UCC News I 廣東話教室")</f>
        <v>【新！茶果嶺海濱公園8月開放】Cha Kwo Ling Promenade Park Opens I 放電 I 公園 I 遊樂場 I 週末好去處 I 兒童新聞報道 UCC News I 廣東話教室</v>
      </c>
      <c r="E6803" s="82">
        <v>45148.0</v>
      </c>
      <c r="F6803" s="80">
        <v>190.0</v>
      </c>
      <c r="G6803" s="80" t="s">
        <v>63</v>
      </c>
      <c r="H6803" s="80" t="s">
        <v>63</v>
      </c>
      <c r="I6803" s="80" t="s">
        <v>63</v>
      </c>
      <c r="J6803" s="80">
        <v>663.0</v>
      </c>
      <c r="K6803" s="80">
        <v>0.933802816901408</v>
      </c>
      <c r="L6803" s="80" t="s">
        <v>240</v>
      </c>
    </row>
    <row r="6804">
      <c r="A6804" s="80" t="s">
        <v>248</v>
      </c>
      <c r="B6804" s="81" t="str">
        <f>HYPERLINK("https://www.youtube.com/channel/UCUEJok-GiWaGlv5nIPwk-GQ", "Price.com.hk 香港格價網")</f>
        <v>Price.com.hk 香港格價網</v>
      </c>
      <c r="C6804" s="80" t="s">
        <v>7341</v>
      </c>
      <c r="D6804" s="81" t="str">
        <f>HYPERLINK("https://youtube.com/watch?v=-y36yG7IHcY", "~$500真無線耳機推薦｜2023熱門款式｜Sony、Jabra、JBL、JLab、Soundpeats｜最高瀏覽量｜平價之王｜廣東話【產品比較】")</f>
        <v>~$500真無線耳機推薦｜2023熱門款式｜Sony、Jabra、JBL、JLab、Soundpeats｜最高瀏覽量｜平價之王｜廣東話【產品比較】</v>
      </c>
      <c r="E6804" s="82">
        <v>45140.0</v>
      </c>
      <c r="F6804" s="80">
        <v>521.0</v>
      </c>
      <c r="G6804" s="80" t="s">
        <v>63</v>
      </c>
      <c r="I6804" s="80" t="s">
        <v>63</v>
      </c>
      <c r="J6804" s="80">
        <v>1566.0</v>
      </c>
      <c r="K6804" s="80">
        <v>0.784176264396594</v>
      </c>
      <c r="L6804" s="80" t="s">
        <v>64</v>
      </c>
    </row>
    <row r="6805">
      <c r="A6805" s="80" t="s">
        <v>6711</v>
      </c>
      <c r="B6805" s="81" t="str">
        <f>HYPERLINK("https://www.youtube.com/channel/UCwAPo1PxfhC-CSSjsRtlY3A", "喜歡電影的人都有病 Movie Psychopath")</f>
        <v>喜歡電影的人都有病 Movie Psychopath</v>
      </c>
      <c r="C6805" s="80" t="s">
        <v>7342</v>
      </c>
      <c r="D6805" s="81" t="str">
        <f>HYPERLINK("https://youtube.com/watch?v=9E_9pIFL07A", "《兒凶：血色大門》呢個係一個「溫子仁」個名值幾多錢嘅社會實驗￼ ｜Insidious: The Red Door｜粵語｜廣東話｜零一")</f>
        <v>《兒凶：血色大門》呢個係一個「溫子仁」個名值幾多錢嘅社會實驗￼ ｜Insidious: The Red Door｜粵語｜廣東話｜零一</v>
      </c>
      <c r="E6805" s="82">
        <v>45118.0</v>
      </c>
      <c r="F6805" s="80">
        <v>548.0</v>
      </c>
      <c r="G6805" s="80" t="s">
        <v>63</v>
      </c>
      <c r="I6805" s="80" t="s">
        <v>63</v>
      </c>
      <c r="J6805" s="80">
        <v>1752.0</v>
      </c>
      <c r="K6805" s="80">
        <v>0.933404368673415</v>
      </c>
      <c r="L6805" s="80" t="s">
        <v>64</v>
      </c>
    </row>
    <row r="6806">
      <c r="A6806" s="80" t="s">
        <v>238</v>
      </c>
      <c r="B6806" s="81" t="str">
        <f>HYPERLINK("https://www.youtube.com/channel/UCSBkm4LwpgBmcA3MCtO8vqg", "Post76影音玩樂")</f>
        <v>Post76影音玩樂</v>
      </c>
      <c r="C6806" s="80" t="s">
        <v>7343</v>
      </c>
      <c r="D6806" s="81" t="str">
        <f>HYPERLINK("https://youtube.com/watch?v=HDbNZ7632W4", "😍同阿仔去睇「太古城 x Hot Toys 閃電俠 1:1 雕像、1:1 蝙蝠俠戰衣全球首展」（附設cc字幕）| 行街Vlog")</f>
        <v>😍同阿仔去睇「太古城 x Hot Toys 閃電俠 1:1 雕像、1:1 蝙蝠俠戰衣全球首展」（附設cc字幕）| 行街Vlog</v>
      </c>
      <c r="E6806" s="82">
        <v>45095.0</v>
      </c>
      <c r="F6806" s="80">
        <v>249.0</v>
      </c>
      <c r="G6806" s="80" t="s">
        <v>63</v>
      </c>
      <c r="I6806" s="80" t="s">
        <v>63</v>
      </c>
      <c r="J6806" s="80">
        <v>622.0</v>
      </c>
      <c r="K6806" s="80">
        <v>0.757612667478684</v>
      </c>
      <c r="L6806" s="80" t="s">
        <v>64</v>
      </c>
    </row>
    <row r="6807">
      <c r="A6807" s="80" t="s">
        <v>7099</v>
      </c>
      <c r="B6807" s="81" t="str">
        <f>HYPERLINK("https://www.youtube.com/channel/UCBwfrMS785JyWDUBRhOQkjw", "Karenly :")</f>
        <v>Karenly :</v>
      </c>
      <c r="C6807" s="80" t="s">
        <v>7344</v>
      </c>
      <c r="D6807" s="81" t="str">
        <f>HYPERLINK("https://youtube.com/watch?v=z0nGYwtAkmk", "$75旺角E出口 vs $2300 Tesla無線充電板！ 美國新技術 充電無死角🔋｜無線充電點揀好？｜ Magsafe｜繁中字幕｜廣東話｜Karenly:【平貴對決】")</f>
        <v>$75旺角E出口 vs $2300 Tesla無線充電板！ 美國新技術 充電無死角🔋｜無線充電點揀好？｜ Magsafe｜繁中字幕｜廣東話｜Karenly:【平貴對決】</v>
      </c>
      <c r="E6807" s="82">
        <v>45119.0</v>
      </c>
      <c r="F6807" s="80">
        <v>410.0</v>
      </c>
      <c r="G6807" s="80" t="s">
        <v>63</v>
      </c>
      <c r="I6807" s="80" t="s">
        <v>63</v>
      </c>
      <c r="J6807" s="80">
        <v>1716.0</v>
      </c>
      <c r="K6807" s="80">
        <v>0.794076816288755</v>
      </c>
      <c r="L6807" s="80" t="s">
        <v>64</v>
      </c>
    </row>
    <row r="6808">
      <c r="A6808" s="80" t="s">
        <v>124</v>
      </c>
      <c r="B6808" s="81" t="str">
        <f>HYPERLINK("https://www.youtube.com/channel/UCg0vuSE0fBF_NvodyYhMcWg", "Wallace Studio HK")</f>
        <v>Wallace Studio HK</v>
      </c>
      <c r="C6808" s="80" t="s">
        <v>7345</v>
      </c>
      <c r="D6808" s="81" t="str">
        <f>HYPERLINK("https://youtube.com/watch?v=fGfWFszzNjc", "Microsoft Surface 2023 發佈會! Surface Laptop Studio 2, Surface Laptop Go 3, Surface Go 4，究竟有幾傻先會買單？")</f>
        <v>Microsoft Surface 2023 發佈會! Surface Laptop Studio 2, Surface Laptop Go 3, Surface Go 4，究竟有幾傻先會買單？</v>
      </c>
      <c r="E6808" s="82">
        <v>45214.0</v>
      </c>
      <c r="F6808" s="80">
        <v>822.0</v>
      </c>
      <c r="G6808" s="80" t="s">
        <v>63</v>
      </c>
      <c r="I6808" s="80" t="s">
        <v>63</v>
      </c>
      <c r="J6808" s="80">
        <v>2304.0</v>
      </c>
      <c r="K6808" s="80">
        <v>0.62287104622871</v>
      </c>
      <c r="L6808" s="80" t="s">
        <v>64</v>
      </c>
    </row>
    <row r="6809">
      <c r="A6809" s="80" t="s">
        <v>1670</v>
      </c>
      <c r="B6809" s="81" t="str">
        <f>HYPERLINK("https://www.youtube.com/channel/UC-PIt5m-WOg8UVBkt2RnN0g", "阿JACK睇樓團")</f>
        <v>阿JACK睇樓團</v>
      </c>
      <c r="C6809" s="80" t="s">
        <v>7346</v>
      </c>
      <c r="D6809" s="81" t="str">
        <f>HYPERLINK("https://youtube.com/watch?v=QBU16J_4aPc", "打風必定諗起🌀🥹260萬買海景⁉️人人都必問既問題？｜滿足自己好奇心既一集🤭｜記得加入社群連結｜￼阿JACK睇樓團｜海景｜小犬｜青山公路｜成就解鎖")</f>
        <v>打風必定諗起🌀🥹260萬買海景⁉️人人都必問既問題？｜滿足自己好奇心既一集🤭｜記得加入社群連結｜￼阿JACK睇樓團｜海景｜小犬｜青山公路｜成就解鎖</v>
      </c>
      <c r="E6809" s="82">
        <v>45207.0</v>
      </c>
      <c r="F6809" s="80">
        <v>670.0</v>
      </c>
      <c r="G6809" s="80" t="s">
        <v>63</v>
      </c>
      <c r="I6809" s="80" t="s">
        <v>63</v>
      </c>
      <c r="J6809" s="80">
        <v>2306.0</v>
      </c>
      <c r="K6809" s="80">
        <v>0.980025499362515</v>
      </c>
      <c r="L6809" s="80" t="s">
        <v>64</v>
      </c>
    </row>
    <row r="6810">
      <c r="A6810" s="80" t="s">
        <v>6238</v>
      </c>
      <c r="B6810" s="81" t="str">
        <f>HYPERLINK("https://www.youtube.com/channel/UC_ogl0qjBdXrTiZZJ6ltsQQ", "Flat Out 地板油")</f>
        <v>Flat Out 地板油</v>
      </c>
      <c r="C6810" s="80" t="s">
        <v>7347</v>
      </c>
      <c r="D6810" s="81" t="str">
        <f>HYPERLINK("https://youtube.com/watch?v=iQurZbRqjgQ", "肥To「法拉雀」換新鈴！The Italian Job同款MINI鈴 Honda Jazz居然都啱裝？馬牌UC7用落有料到！| Flat Out自己車 #地板油")</f>
        <v>肥To「法拉雀」換新鈴！The Italian Job同款MINI鈴 Honda Jazz居然都啱裝？馬牌UC7用落有料到！| Flat Out自己車 #地板油</v>
      </c>
      <c r="E6810" s="82">
        <v>45188.0</v>
      </c>
      <c r="F6810" s="80">
        <v>948.0</v>
      </c>
      <c r="G6810" s="80" t="s">
        <v>63</v>
      </c>
      <c r="I6810" s="80" t="s">
        <v>63</v>
      </c>
      <c r="J6810" s="80">
        <v>2836.0</v>
      </c>
      <c r="K6810" s="80">
        <v>0.814474439977024</v>
      </c>
      <c r="L6810" s="80" t="s">
        <v>64</v>
      </c>
    </row>
    <row r="6811">
      <c r="A6811" s="80" t="s">
        <v>293</v>
      </c>
      <c r="B6811" s="81" t="str">
        <f>HYPERLINK("https://www.youtube.com/channel/UCXRcbXqjORdIvl63I7MtOLQ", "趁熱 Kerry 's kitchen")</f>
        <v>趁熱 Kerry 's kitchen</v>
      </c>
      <c r="C6811" s="80" t="s">
        <v>7348</v>
      </c>
      <c r="D6811" s="81" t="str">
        <f>HYPERLINK("https://youtube.com/watch?v=uM56k6iVsoc", "香橙排骨/橙香骨/排骨 料理/橙味香濃/唔駛炸/急凍排骨一樣掂/新手都得/粵語/中字/orange spare rib/eng sub")</f>
        <v>香橙排骨/橙香骨/排骨 料理/橙味香濃/唔駛炸/急凍排骨一樣掂/新手都得/粵語/中字/orange spare rib/eng sub</v>
      </c>
      <c r="E6811" s="82">
        <v>45187.0</v>
      </c>
      <c r="F6811" s="80">
        <v>764.0</v>
      </c>
      <c r="G6811" s="80" t="s">
        <v>63</v>
      </c>
      <c r="I6811" s="80" t="s">
        <v>63</v>
      </c>
      <c r="J6811" s="80">
        <v>2257.0</v>
      </c>
      <c r="K6811" s="80">
        <v>0.979600694444444</v>
      </c>
      <c r="L6811" s="80" t="s">
        <v>64</v>
      </c>
    </row>
    <row r="6812">
      <c r="A6812" s="80" t="s">
        <v>1670</v>
      </c>
      <c r="B6812" s="81" t="str">
        <f>HYPERLINK("https://www.youtube.com/channel/UC-PIt5m-WOg8UVBkt2RnN0g", "阿JACK睇樓團")</f>
        <v>阿JACK睇樓團</v>
      </c>
      <c r="C6812" s="80" t="s">
        <v>7349</v>
      </c>
      <c r="D6812" s="81" t="str">
        <f>HYPERLINK("https://youtube.com/watch?v=cV54urjOXPw", "天水圍最靚景觀￼☝不服來辯￼🏻靚到痴線🫣天水圍最靚景觀?! 幾錢先住到🤔｜Wetland 丨阿JACK睇樓團｜天水圍樓")</f>
        <v>天水圍最靚景觀￼☝不服來辯￼🏻靚到痴線🫣天水圍最靚景觀?! 幾錢先住到🤔｜Wetland 丨阿JACK睇樓團｜天水圍樓</v>
      </c>
      <c r="E6812" s="82">
        <v>45180.0</v>
      </c>
      <c r="F6812" s="80">
        <v>695.0</v>
      </c>
      <c r="G6812" s="80" t="s">
        <v>63</v>
      </c>
      <c r="I6812" s="80" t="s">
        <v>63</v>
      </c>
      <c r="J6812" s="80">
        <v>2904.0</v>
      </c>
      <c r="K6812" s="80">
        <v>0.957783641160949</v>
      </c>
      <c r="L6812" s="80" t="s">
        <v>64</v>
      </c>
    </row>
    <row r="6813">
      <c r="A6813" s="80" t="s">
        <v>248</v>
      </c>
      <c r="B6813" s="81" t="str">
        <f>HYPERLINK("https://www.youtube.com/channel/UCUEJok-GiWaGlv5nIPwk-GQ", "Price.com.hk 香港格價網")</f>
        <v>Price.com.hk 香港格價網</v>
      </c>
      <c r="C6813" s="80" t="s">
        <v>7350</v>
      </c>
      <c r="D6813" s="81" t="str">
        <f>HYPERLINK("https://youtube.com/watch?v=chIurxTTxNw", "全方位耳機 Jabra Elite 10｜ Sony WF-1000XM5、AirPods pro 2 嘅另外選擇｜ 音質 通話 降噪 配戴感｜廣東話 #產品評測")</f>
        <v>全方位耳機 Jabra Elite 10｜ Sony WF-1000XM5、AirPods pro 2 嘅另外選擇｜ 音質 通話 降噪 配戴感｜廣東話 #產品評測</v>
      </c>
      <c r="E6813" s="82">
        <v>45210.0</v>
      </c>
      <c r="F6813" s="80">
        <v>539.0</v>
      </c>
      <c r="G6813" s="80" t="s">
        <v>63</v>
      </c>
      <c r="I6813" s="80" t="s">
        <v>63</v>
      </c>
      <c r="J6813" s="80">
        <v>1635.0</v>
      </c>
      <c r="K6813" s="80">
        <v>0.757997218358831</v>
      </c>
      <c r="L6813" s="80" t="s">
        <v>64</v>
      </c>
    </row>
    <row r="6814">
      <c r="A6814" s="80" t="s">
        <v>124</v>
      </c>
      <c r="B6814" s="81" t="str">
        <f t="shared" ref="B6814:B6815" si="393">HYPERLINK("https://www.youtube.com/channel/UCg0vuSE0fBF_NvodyYhMcWg", "Wallace Studio HK")</f>
        <v>Wallace Studio HK</v>
      </c>
      <c r="C6814" s="80" t="s">
        <v>7351</v>
      </c>
      <c r="D6814" s="81" t="str">
        <f>HYPERLINK("https://youtube.com/watch?v=ID6ew8S9Z0w", "8招解鎖前螢幕最完整體驗！Galaxy Z Flip 5 完整攻略")</f>
        <v>8招解鎖前螢幕最完整體驗！Galaxy Z Flip 5 完整攻略</v>
      </c>
      <c r="E6814" s="82">
        <v>45179.0</v>
      </c>
      <c r="F6814" s="80">
        <v>479.0</v>
      </c>
      <c r="G6814" s="80" t="s">
        <v>63</v>
      </c>
      <c r="I6814" s="80" t="s">
        <v>63</v>
      </c>
      <c r="J6814" s="80">
        <v>1981.0</v>
      </c>
      <c r="K6814" s="80">
        <v>0.811552642359688</v>
      </c>
      <c r="L6814" s="80" t="s">
        <v>64</v>
      </c>
    </row>
    <row r="6815">
      <c r="A6815" s="80" t="s">
        <v>124</v>
      </c>
      <c r="B6815" s="81" t="str">
        <f t="shared" si="393"/>
        <v>Wallace Studio HK</v>
      </c>
      <c r="C6815" s="80" t="s">
        <v>7352</v>
      </c>
      <c r="D6815" s="81" t="str">
        <f>HYPERLINK("https://youtube.com/watch?v=6B6f3uOKLyE", "Galaxy Tab S9 新手全攻略，帶你用好多工操作，單手控制，Samsung Dex同埋Samsung Exosystem 各功能!")</f>
        <v>Galaxy Tab S9 新手全攻略，帶你用好多工操作，單手控制，Samsung Dex同埋Samsung Exosystem 各功能!</v>
      </c>
      <c r="E6815" s="82">
        <v>45186.0</v>
      </c>
      <c r="F6815" s="80">
        <v>808.0</v>
      </c>
      <c r="G6815" s="80" t="s">
        <v>63</v>
      </c>
      <c r="H6815" s="80" t="s">
        <v>63</v>
      </c>
      <c r="I6815" s="80" t="s">
        <v>63</v>
      </c>
      <c r="J6815" s="80">
        <v>3437.0</v>
      </c>
      <c r="K6815" s="80">
        <v>0.808515643378028</v>
      </c>
      <c r="L6815" s="80" t="s">
        <v>86</v>
      </c>
    </row>
    <row r="6816">
      <c r="A6816" s="80" t="s">
        <v>2041</v>
      </c>
      <c r="B6816" s="81" t="str">
        <f>HYPERLINK("https://www.youtube.com/channel/UCO6pB-ZN4XJ6MVkibvuEe0A", "SingSingTracker 星昇財經指標")</f>
        <v>SingSingTracker 星昇財經指標</v>
      </c>
      <c r="C6816" s="80" t="s">
        <v>7353</v>
      </c>
      <c r="D6816" s="81" t="str">
        <f>HYPERLINK("https://youtube.com/watch?v=aD24oLsvTSA", "【呢一星期賺超過$2萬？】AI 女主持-小Sing🌸分享講解追蹤🔍未來股市動向📈]  #aiart #人工智能 #vtuber")</f>
        <v>【呢一星期賺超過$2萬？】AI 女主持-小Sing🌸分享講解追蹤🔍未來股市動向📈]  #aiart #人工智能 #vtuber</v>
      </c>
      <c r="E6816" s="82">
        <v>45176.0</v>
      </c>
      <c r="F6816" s="80">
        <v>201.0</v>
      </c>
      <c r="G6816" s="80" t="s">
        <v>63</v>
      </c>
      <c r="I6816" s="80" t="s">
        <v>63</v>
      </c>
      <c r="J6816" s="80">
        <v>690.0</v>
      </c>
      <c r="K6816" s="80">
        <v>0.982905982905982</v>
      </c>
      <c r="L6816" s="80" t="s">
        <v>64</v>
      </c>
    </row>
    <row r="6817">
      <c r="A6817" s="80" t="s">
        <v>260</v>
      </c>
      <c r="B6817" s="81" t="str">
        <f>HYPERLINK("https://www.youtube.com/channel/UC-HXOikkLx7BGEfILGIpYOg", "港短 . 英移")</f>
        <v>港短 . 英移</v>
      </c>
      <c r="C6817" s="80" t="s">
        <v>7354</v>
      </c>
      <c r="D6817" s="81" t="str">
        <f>HYPERLINK("https://youtube.com/watch?v=ZGHtjOLRL-g", "如果沒有神 以巴戰爭有意義嗎?  | 港短英移")</f>
        <v>如果沒有神 以巴戰爭有意義嗎?  | 港短英移</v>
      </c>
      <c r="E6817" s="82">
        <v>45226.0</v>
      </c>
      <c r="F6817" s="80">
        <v>383.0</v>
      </c>
      <c r="G6817" s="80" t="s">
        <v>63</v>
      </c>
      <c r="I6817" s="80" t="s">
        <v>63</v>
      </c>
      <c r="J6817" s="80">
        <v>1765.0</v>
      </c>
      <c r="K6817" s="80">
        <v>0.981100611450806</v>
      </c>
      <c r="L6817" s="80" t="s">
        <v>102</v>
      </c>
    </row>
    <row r="6818">
      <c r="A6818" s="80" t="s">
        <v>242</v>
      </c>
      <c r="B6818" s="81" t="str">
        <f t="shared" ref="B6818:B6819" si="394">HYPERLINK("https://www.youtube.com/channel/UCZGVB6g74LXWtkR3fX50ykg", "Edwin H.")</f>
        <v>Edwin H.</v>
      </c>
      <c r="C6818" s="80" t="s">
        <v>7355</v>
      </c>
      <c r="D6818" s="81" t="str">
        <f>HYPERLINK("https://youtube.com/watch?v=QBMVR6NsKPg", "6分鐘精華 🍎 Apple 發佈會📱 iPhone 15 Pro📱iPhone 15 懶人包 ⌚Apple Watch Ultra 2 Series 9 中文 Apple Event")</f>
        <v>6分鐘精華 🍎 Apple 發佈會📱 iPhone 15 Pro📱iPhone 15 懶人包 ⌚Apple Watch Ultra 2 Series 9 中文 Apple Event</v>
      </c>
      <c r="E6818" s="82">
        <v>45182.0</v>
      </c>
      <c r="F6818" s="80">
        <v>503.0</v>
      </c>
      <c r="G6818" s="80" t="s">
        <v>63</v>
      </c>
      <c r="I6818" s="80" t="s">
        <v>63</v>
      </c>
      <c r="J6818" s="80">
        <v>1666.0</v>
      </c>
      <c r="K6818" s="80">
        <v>0.659018987341772</v>
      </c>
      <c r="L6818" s="80" t="s">
        <v>64</v>
      </c>
    </row>
    <row r="6819">
      <c r="A6819" s="80" t="s">
        <v>242</v>
      </c>
      <c r="B6819" s="81" t="str">
        <f t="shared" si="394"/>
        <v>Edwin H.</v>
      </c>
      <c r="C6819" s="80" t="s">
        <v>7356</v>
      </c>
      <c r="D6819" s="81" t="str">
        <f>HYPERLINK("https://youtube.com/watch?v=1A0iF1hAcRM", "SONY WF-1000XM5 終極評測 Edwin H. | 兩代比較 | AirPods Pro 比較")</f>
        <v>SONY WF-1000XM5 終極評測 Edwin H. | 兩代比較 | AirPods Pro 比較</v>
      </c>
      <c r="E6819" s="82">
        <v>45161.0</v>
      </c>
      <c r="F6819" s="80">
        <v>1191.0</v>
      </c>
      <c r="G6819" s="80" t="s">
        <v>63</v>
      </c>
      <c r="I6819" s="80" t="s">
        <v>63</v>
      </c>
      <c r="J6819" s="80">
        <v>5121.0</v>
      </c>
      <c r="K6819" s="80">
        <v>0.839921272757093</v>
      </c>
      <c r="L6819" s="80" t="s">
        <v>64</v>
      </c>
    </row>
    <row r="6820">
      <c r="A6820" s="80" t="s">
        <v>217</v>
      </c>
      <c r="B6820" s="81" t="str">
        <f>HYPERLINK("https://www.youtube.com/channel/UCXKg0qPRz32bs5Z4mTGF3TQ", "Stormtrooper白兵")</f>
        <v>Stormtrooper白兵</v>
      </c>
      <c r="C6820" s="80" t="s">
        <v>7357</v>
      </c>
      <c r="D6820" s="81" t="str">
        <f>HYPERLINK("https://youtube.com/watch?v=lq53rxTwmak", "[無痛減肥大法]又有營養又減到肥又飽肚又得100卡路里？｜食物標籤全解構｜不是陰謀論｜中文字幕")</f>
        <v>[無痛減肥大法]又有營養又減到肥又飽肚又得100卡路里？｜食物標籤全解構｜不是陰謀論｜中文字幕</v>
      </c>
      <c r="E6820" s="82">
        <v>45225.0</v>
      </c>
      <c r="F6820" s="80">
        <v>1005.0</v>
      </c>
      <c r="G6820" s="80" t="s">
        <v>63</v>
      </c>
      <c r="I6820" s="80" t="s">
        <v>63</v>
      </c>
      <c r="J6820" s="80">
        <v>4343.0</v>
      </c>
      <c r="K6820" s="80">
        <v>0.968987059348505</v>
      </c>
      <c r="L6820" s="80" t="s">
        <v>64</v>
      </c>
    </row>
    <row r="6821">
      <c r="A6821" s="80" t="s">
        <v>1670</v>
      </c>
      <c r="B6821" s="81" t="str">
        <f>HYPERLINK("https://www.youtube.com/channel/UC-PIt5m-WOg8UVBkt2RnN0g", "阿JACK睇樓團")</f>
        <v>阿JACK睇樓團</v>
      </c>
      <c r="C6821" s="80" t="s">
        <v>7358</v>
      </c>
      <c r="D6821" s="81" t="str">
        <f>HYPERLINK("https://youtube.com/watch?v=q7dmqecC60o", "3字頭買1100呎空間🫨 係3字頭「內梯上天台」既村屋呀🤩同埋4字頭地下花園丨3分鐘內到輕鐵站｜阿JACK睇樓團｜村屋｜天台")</f>
        <v>3字頭買1100呎空間🫨 係3字頭「內梯上天台」既村屋呀🤩同埋4字頭地下花園丨3分鐘內到輕鐵站｜阿JACK睇樓團｜村屋｜天台</v>
      </c>
      <c r="E6821" s="82">
        <v>45222.0</v>
      </c>
      <c r="F6821" s="80">
        <v>890.0</v>
      </c>
      <c r="G6821" s="80" t="s">
        <v>63</v>
      </c>
      <c r="I6821" s="80" t="s">
        <v>63</v>
      </c>
      <c r="J6821" s="80">
        <v>2789.0</v>
      </c>
      <c r="K6821" s="80">
        <v>0.975515914655473</v>
      </c>
      <c r="L6821" s="80" t="s">
        <v>64</v>
      </c>
    </row>
    <row r="6822">
      <c r="A6822" s="80" t="s">
        <v>124</v>
      </c>
      <c r="B6822" s="81" t="str">
        <f>HYPERLINK("https://www.youtube.com/channel/UCg0vuSE0fBF_NvodyYhMcWg", "Wallace Studio HK")</f>
        <v>Wallace Studio HK</v>
      </c>
      <c r="C6822" s="80" t="s">
        <v>7359</v>
      </c>
      <c r="D6822" s="81" t="str">
        <f>HYPERLINK("https://youtube.com/watch?v=ALBuJe7wqOk", "ASUS ROG STRIX G18，最有型既中價位電競電腦! (i913980HX, RTX4060)")</f>
        <v>ASUS ROG STRIX G18，最有型既中價位電競電腦! (i913980HX, RTX4060)</v>
      </c>
      <c r="E6822" s="82">
        <v>45190.0</v>
      </c>
      <c r="F6822" s="80">
        <v>563.0</v>
      </c>
      <c r="G6822" s="80" t="s">
        <v>63</v>
      </c>
      <c r="I6822" s="80" t="s">
        <v>63</v>
      </c>
      <c r="J6822" s="80">
        <v>1834.0</v>
      </c>
      <c r="K6822" s="80">
        <v>0.671057446030003</v>
      </c>
      <c r="L6822" s="80" t="s">
        <v>64</v>
      </c>
    </row>
    <row r="6823">
      <c r="A6823" s="80" t="s">
        <v>248</v>
      </c>
      <c r="B6823" s="81" t="str">
        <f>HYPERLINK("https://www.youtube.com/channel/UCUEJok-GiWaGlv5nIPwk-GQ", "Price.com.hk 香港格價網")</f>
        <v>Price.com.hk 香港格價網</v>
      </c>
      <c r="C6823" s="80" t="s">
        <v>7360</v>
      </c>
      <c r="D6823" s="81" t="str">
        <f>HYPERLINK("https://youtube.com/watch?v=d3KcP8STeTw", "【GIVEAWAY】CCTV咁多款，邊款啱屋企/舖頭/Office用？一個App管理曬｜Tapo IP Camera｜C220、C420、C520WS、C325WB、D230S1｜特約專題 #產品介紹")</f>
        <v>【GIVEAWAY】CCTV咁多款，邊款啱屋企/舖頭/Office用？一個App管理曬｜Tapo IP Camera｜C220、C420、C520WS、C325WB、D230S1｜特約專題 #產品介紹</v>
      </c>
      <c r="E6823" s="82">
        <v>45177.0</v>
      </c>
      <c r="F6823" s="80">
        <v>519.0</v>
      </c>
      <c r="G6823" s="80" t="s">
        <v>63</v>
      </c>
      <c r="I6823" s="80" t="s">
        <v>63</v>
      </c>
      <c r="J6823" s="80">
        <v>2027.0</v>
      </c>
      <c r="K6823" s="80">
        <v>0.792415949960906</v>
      </c>
      <c r="L6823" s="80" t="s">
        <v>64</v>
      </c>
    </row>
    <row r="6824">
      <c r="A6824" s="80" t="s">
        <v>6960</v>
      </c>
      <c r="B6824" s="81" t="str">
        <f t="shared" ref="B6824:B6825" si="395">HYPERLINK("https://www.youtube.com/channel/UCQS2_zzisMq5C_FggxsQwTQ", "Comprehensible Cantonese")</f>
        <v>Comprehensible Cantonese</v>
      </c>
      <c r="C6824" s="80" t="s">
        <v>7361</v>
      </c>
      <c r="D6824" s="81" t="str">
        <f>HYPERLINK("https://youtube.com/watch?v=TRAmBGURdAw", "[CC] 廣東話Vlog: Yan went shopping today.👀😋 | Slow &amp; Clear Cantonese| (Intermediate)")</f>
        <v>[CC] 廣東話Vlog: Yan went shopping today.👀😋 | Slow &amp; Clear Cantonese| (Intermediate)</v>
      </c>
      <c r="E6824" s="82">
        <v>45188.0</v>
      </c>
      <c r="F6824" s="80">
        <v>490.0</v>
      </c>
      <c r="G6824" s="80" t="s">
        <v>63</v>
      </c>
      <c r="I6824" s="80" t="s">
        <v>63</v>
      </c>
      <c r="J6824" s="80">
        <v>1472.0</v>
      </c>
      <c r="K6824" s="80">
        <v>0.975480450629556</v>
      </c>
      <c r="L6824" s="80" t="s">
        <v>64</v>
      </c>
    </row>
    <row r="6825">
      <c r="A6825" s="80" t="s">
        <v>6960</v>
      </c>
      <c r="B6825" s="81" t="str">
        <f t="shared" si="395"/>
        <v>Comprehensible Cantonese</v>
      </c>
      <c r="C6825" s="80" t="s">
        <v>7362</v>
      </c>
      <c r="D6825" s="81" t="str">
        <f>HYPERLINK("https://youtube.com/watch?v=CsM6GO2_dco", "[CC] Learn Cantonese Through Game: Where's that McDonalds? | Prove them Wrong?|  (Advanced Beginner)")</f>
        <v>[CC] Learn Cantonese Through Game: Where's that McDonalds? | Prove them Wrong?|  (Advanced Beginner)</v>
      </c>
      <c r="E6825" s="82">
        <v>45209.0</v>
      </c>
      <c r="F6825" s="80">
        <v>383.0</v>
      </c>
      <c r="G6825" s="80" t="s">
        <v>63</v>
      </c>
      <c r="I6825" s="80" t="s">
        <v>63</v>
      </c>
      <c r="J6825" s="80">
        <v>845.0</v>
      </c>
      <c r="K6825" s="80">
        <v>0.923497267759562</v>
      </c>
      <c r="L6825" s="80" t="s">
        <v>102</v>
      </c>
    </row>
    <row r="6826">
      <c r="A6826" s="80" t="s">
        <v>124</v>
      </c>
      <c r="B6826" s="81" t="str">
        <f t="shared" ref="B6826:B6827" si="396">HYPERLINK("https://www.youtube.com/channel/UCg0vuSE0fBF_NvodyYhMcWg", "Wallace Studio HK")</f>
        <v>Wallace Studio HK</v>
      </c>
      <c r="C6826" s="80" t="s">
        <v>7363</v>
      </c>
      <c r="D6826" s="81" t="str">
        <f>HYPERLINK("https://youtube.com/watch?v=hu64PekEu6Y", "iPhone 15 全評測! 終於一次合理既升級! 好用左好多!")</f>
        <v>iPhone 15 全評測! 終於一次合理既升級! 好用左好多!</v>
      </c>
      <c r="E6826" s="82">
        <v>45213.0</v>
      </c>
      <c r="F6826" s="80">
        <v>655.0</v>
      </c>
      <c r="G6826" s="80" t="s">
        <v>63</v>
      </c>
      <c r="I6826" s="80" t="s">
        <v>63</v>
      </c>
      <c r="J6826" s="80">
        <v>2785.0</v>
      </c>
      <c r="K6826" s="80">
        <v>0.788058856819468</v>
      </c>
      <c r="L6826" s="80" t="s">
        <v>64</v>
      </c>
    </row>
    <row r="6827">
      <c r="A6827" s="80" t="s">
        <v>124</v>
      </c>
      <c r="B6827" s="81" t="str">
        <f t="shared" si="396"/>
        <v>Wallace Studio HK</v>
      </c>
      <c r="C6827" s="80" t="s">
        <v>7364</v>
      </c>
      <c r="D6827" s="81" t="str">
        <f>HYPERLINK("https://youtube.com/watch?v=isHokTGur9M", "Galaxy Z Flip 5 詳細評測！前螢幕大升級，好用左好多！不過要改進地方都有好多．．．　 (VS Z Flip 4)")</f>
        <v>Galaxy Z Flip 5 詳細評測！前螢幕大升級，好用左好多！不過要改進地方都有好多．．．　 (VS Z Flip 4)</v>
      </c>
      <c r="E6827" s="82">
        <v>45165.0</v>
      </c>
      <c r="F6827" s="80">
        <v>616.0</v>
      </c>
      <c r="G6827" s="80" t="s">
        <v>63</v>
      </c>
      <c r="I6827" s="80" t="s">
        <v>63</v>
      </c>
      <c r="J6827" s="80">
        <v>2674.0</v>
      </c>
      <c r="K6827" s="80">
        <v>0.86453281603621</v>
      </c>
      <c r="L6827" s="80" t="s">
        <v>64</v>
      </c>
    </row>
    <row r="6828">
      <c r="A6828" s="80" t="s">
        <v>755</v>
      </c>
      <c r="B6828" s="81" t="str">
        <f>HYPERLINK("https://www.youtube.com/channel/UCBiJDTc82IM68KVH873VeAw", "Live in Kwangsi廣西人·情·味")</f>
        <v>Live in Kwangsi廣西人·情·味</v>
      </c>
      <c r="C6828" s="80" t="s">
        <v>7365</v>
      </c>
      <c r="D6828" s="81" t="str">
        <f>HYPERLINK("https://youtube.com/watch?v=Q6II-fc9X_M", "深圳包容過廣西？有齊晒廣西所包容唔到嘅嘢？｜廣東日常實拍 20230813")</f>
        <v>深圳包容過廣西？有齊晒廣西所包容唔到嘅嘢？｜廣東日常實拍 20230813</v>
      </c>
      <c r="E6828" s="82">
        <v>45192.0</v>
      </c>
      <c r="F6828" s="80">
        <v>593.0</v>
      </c>
      <c r="G6828" s="80" t="s">
        <v>63</v>
      </c>
      <c r="I6828" s="80" t="s">
        <v>63</v>
      </c>
      <c r="J6828" s="80">
        <v>1134.0</v>
      </c>
      <c r="K6828" s="80">
        <v>0.996485061511423</v>
      </c>
      <c r="L6828" s="80" t="s">
        <v>757</v>
      </c>
    </row>
    <row r="6829">
      <c r="A6829" s="80" t="s">
        <v>6892</v>
      </c>
      <c r="B6829" s="81" t="str">
        <f>HYPERLINK("https://www.youtube.com/channel/UC8_hxeY0nDCL-8ETbcGUZ9g", "PT食為先")</f>
        <v>PT食為先</v>
      </c>
      <c r="C6829" s="80" t="s">
        <v>7366</v>
      </c>
      <c r="D6829" s="81" t="str">
        <f>HYPERLINK("https://youtube.com/watch?v=iIlyB498beo", "[PT自費食評] 又交智商稅！啟德2023最新商場 Airside 越南菜餐廳 首日開業勁多甩漏🙈價錢仲貴過灣仔米芝蓮名店？")</f>
        <v>[PT自費食評] 又交智商稅！啟德2023最新商場 Airside 越南菜餐廳 首日開業勁多甩漏🙈價錢仲貴過灣仔米芝蓮名店？</v>
      </c>
      <c r="E6829" s="82">
        <v>45201.0</v>
      </c>
      <c r="F6829" s="80">
        <v>919.0</v>
      </c>
      <c r="G6829" s="80" t="s">
        <v>63</v>
      </c>
      <c r="I6829" s="80" t="s">
        <v>63</v>
      </c>
      <c r="J6829" s="80">
        <v>2543.0</v>
      </c>
      <c r="K6829" s="80">
        <v>0.918713872832369</v>
      </c>
      <c r="L6829" s="80" t="s">
        <v>64</v>
      </c>
    </row>
    <row r="6830">
      <c r="A6830" s="80" t="s">
        <v>3051</v>
      </c>
      <c r="B6830" s="81" t="str">
        <f>HYPERLINK("https://www.youtube.com/channel/UCvE0FPIL24o2mnUQIqcSHYA", "柴犬春卷的英國日常 Shiba Harumaki in UK")</f>
        <v>柴犬春卷的英國日常 Shiba Harumaki in UK</v>
      </c>
      <c r="C6830" s="80" t="s">
        <v>7367</v>
      </c>
      <c r="D6830" s="81" t="str">
        <f>HYPERLINK("https://youtube.com/watch?v=s6aeggVKEMA", "英國大曼城區四房獨立屋【香港人村】做鄰居有沒有問題？｜專業人士分享在英工作｜與英國人共事困難嗎？｜實地治安情況分享｜區區有春卷·我去你屋企｜片尾春卷大爆發嚇死人？")</f>
        <v>英國大曼城區四房獨立屋【香港人村】做鄰居有沒有問題？｜專業人士分享在英工作｜與英國人共事困難嗎？｜實地治安情況分享｜區區有春卷·我去你屋企｜片尾春卷大爆發嚇死人？</v>
      </c>
      <c r="E6830" s="82">
        <v>45172.0</v>
      </c>
      <c r="F6830" s="80">
        <v>1481.0</v>
      </c>
      <c r="G6830" s="80" t="s">
        <v>63</v>
      </c>
      <c r="I6830" s="80" t="s">
        <v>63</v>
      </c>
      <c r="J6830" s="80">
        <v>5358.0</v>
      </c>
      <c r="K6830" s="80">
        <v>0.87663612565445</v>
      </c>
      <c r="L6830" s="80" t="s">
        <v>64</v>
      </c>
    </row>
    <row r="6831">
      <c r="A6831" s="80" t="s">
        <v>6591</v>
      </c>
      <c r="B6831" s="81" t="str">
        <f>HYPERLINK("https://www.youtube.com/channel/UC0DpBgpq_gR7TaNDIvJYZag", "TalkFood")</f>
        <v>TalkFood</v>
      </c>
      <c r="C6831" s="80" t="s">
        <v>7368</v>
      </c>
      <c r="D6831" s="81" t="str">
        <f>HYPERLINK("https://youtube.com/watch?v=z7gFHsny5m4", "#TalkFood【#18區搵食­‑‑元朗掃街驚喜！巷子裏爆餡章魚燒】黑松露醬章魚燒超好食｜生煎包個底脆到｜半煎炸蠔餅｜蠔餅配辣醬＋芫荽係perfect池｜入元朗必飲夏茶｜開心果醬超濃厚｜#元朗3.0")</f>
        <v>#TalkFood【#18區搵食­‑‑元朗掃街驚喜！巷子裏爆餡章魚燒】黑松露醬章魚燒超好食｜生煎包個底脆到｜半煎炸蠔餅｜蠔餅配辣醬＋芫荽係perfect池｜入元朗必飲夏茶｜開心果醬超濃厚｜#元朗3.0</v>
      </c>
      <c r="E6831" s="82">
        <v>45169.0</v>
      </c>
      <c r="F6831" s="80">
        <v>540.0</v>
      </c>
      <c r="G6831" s="80" t="s">
        <v>63</v>
      </c>
      <c r="I6831" s="80" t="s">
        <v>63</v>
      </c>
      <c r="J6831" s="80">
        <v>2154.0</v>
      </c>
      <c r="K6831" s="80">
        <v>0.938971229293809</v>
      </c>
      <c r="L6831" s="80" t="s">
        <v>64</v>
      </c>
    </row>
    <row r="6832">
      <c r="A6832" s="80" t="s">
        <v>124</v>
      </c>
      <c r="B6832" s="81" t="str">
        <f>HYPERLINK("https://www.youtube.com/channel/UCg0vuSE0fBF_NvodyYhMcWg", "Wallace Studio HK")</f>
        <v>Wallace Studio HK</v>
      </c>
      <c r="C6832" s="80" t="s">
        <v>7369</v>
      </c>
      <c r="D6832" s="81" t="str">
        <f>HYPERLINK("https://youtube.com/watch?v=k_QC9thFlm4", "咁買手提電腦一定後悔! 你應該避免的選購手提電腦常見中伏位 (2023)")</f>
        <v>咁買手提電腦一定後悔! 你應該避免的選購手提電腦常見中伏位 (2023)</v>
      </c>
      <c r="E6832" s="82">
        <v>45168.0</v>
      </c>
      <c r="F6832" s="80">
        <v>449.0</v>
      </c>
      <c r="G6832" s="80" t="s">
        <v>63</v>
      </c>
      <c r="I6832" s="80" t="s">
        <v>63</v>
      </c>
      <c r="J6832" s="80">
        <v>1808.0</v>
      </c>
      <c r="K6832" s="80">
        <v>0.768380790480238</v>
      </c>
      <c r="L6832" s="80" t="s">
        <v>64</v>
      </c>
    </row>
    <row r="6833">
      <c r="A6833" s="80" t="s">
        <v>6892</v>
      </c>
      <c r="B6833" s="81" t="str">
        <f>HYPERLINK("https://www.youtube.com/channel/UC8_hxeY0nDCL-8ETbcGUZ9g", "PT食為先")</f>
        <v>PT食為先</v>
      </c>
      <c r="C6833" s="80" t="s">
        <v>7370</v>
      </c>
      <c r="D6833" s="81" t="str">
        <f>HYPERLINK("https://youtube.com/watch?v=8wntIgTHydc", "[PT自費食評] 屯元天2間值得跨區食的隱世小店！泰菜fusion西餐 免加一 CP值超高💰手工意粉 有銅鑼灣質素＋戶外用餐 最啱秋天chill住食")</f>
        <v>[PT自費食評] 屯元天2間值得跨區食的隱世小店！泰菜fusion西餐 免加一 CP值超高💰手工意粉 有銅鑼灣質素＋戶外用餐 最啱秋天chill住食</v>
      </c>
      <c r="E6833" s="82">
        <v>45170.0</v>
      </c>
      <c r="F6833" s="80">
        <v>948.0</v>
      </c>
      <c r="G6833" s="80" t="s">
        <v>63</v>
      </c>
      <c r="I6833" s="80" t="s">
        <v>63</v>
      </c>
      <c r="J6833" s="80">
        <v>2507.0</v>
      </c>
      <c r="K6833" s="80">
        <v>0.897279885468861</v>
      </c>
      <c r="L6833" s="80" t="s">
        <v>64</v>
      </c>
    </row>
    <row r="6834">
      <c r="A6834" s="80" t="s">
        <v>2041</v>
      </c>
      <c r="B6834" s="81" t="str">
        <f>HYPERLINK("https://www.youtube.com/channel/UCO6pB-ZN4XJ6MVkibvuEe0A", "SingSingTracker 星昇財經指標")</f>
        <v>SingSingTracker 星昇財經指標</v>
      </c>
      <c r="C6834" s="80" t="s">
        <v>7371</v>
      </c>
      <c r="D6834" s="81" t="str">
        <f>HYPERLINK("https://youtube.com/watch?v=rKqBMjK6KGY", "【呢一星期賺超過$1萬7？】AI 女主持-小Sing🌸分享講解追蹤🔍未來股市動向📈] 4/10/2023 #aiart #寫真 #vtuber")</f>
        <v>【呢一星期賺超過$1萬7？】AI 女主持-小Sing🌸分享講解追蹤🔍未來股市動向📈] 4/10/2023 #aiart #寫真 #vtuber</v>
      </c>
      <c r="E6834" s="82">
        <v>45203.0</v>
      </c>
      <c r="F6834" s="80">
        <v>193.0</v>
      </c>
      <c r="G6834" s="80" t="s">
        <v>63</v>
      </c>
      <c r="I6834" s="80" t="s">
        <v>63</v>
      </c>
      <c r="J6834" s="80">
        <v>767.0</v>
      </c>
      <c r="K6834" s="80">
        <v>0.979565772669221</v>
      </c>
      <c r="L6834" s="80" t="s">
        <v>64</v>
      </c>
    </row>
    <row r="6835">
      <c r="A6835" s="80" t="s">
        <v>6960</v>
      </c>
      <c r="B6835" s="81" t="str">
        <f>HYPERLINK("https://www.youtube.com/channel/UCQS2_zzisMq5C_FggxsQwTQ", "Comprehensible Cantonese")</f>
        <v>Comprehensible Cantonese</v>
      </c>
      <c r="C6835" s="80" t="s">
        <v>7372</v>
      </c>
      <c r="D6835" s="81" t="str">
        <f>HYPERLINK("https://youtube.com/watch?v=vy1NQ4Z5RXI", "廣東話 [CC] Candy's geography is so bad, but... | Comprehensible Cantonese  (Advanced Beginner )")</f>
        <v>廣東話 [CC] Candy's geography is so bad, but... | Comprehensible Cantonese  (Advanced Beginner )</v>
      </c>
      <c r="E6835" s="82">
        <v>45185.0</v>
      </c>
      <c r="F6835" s="80">
        <v>613.0</v>
      </c>
      <c r="G6835" s="80" t="s">
        <v>63</v>
      </c>
      <c r="I6835" s="80" t="s">
        <v>63</v>
      </c>
      <c r="J6835" s="80">
        <v>1376.0</v>
      </c>
      <c r="K6835" s="80">
        <v>0.83192261185006</v>
      </c>
      <c r="L6835" s="80" t="s">
        <v>102</v>
      </c>
    </row>
    <row r="6836">
      <c r="A6836" s="80" t="s">
        <v>6919</v>
      </c>
      <c r="B6836" s="81" t="str">
        <f>HYPERLINK("https://www.youtube.com/channel/UCF6M5AH_OALkimFGKdlWfCw", "采姐姐的故事王國 Lillian's Story Kingdom")</f>
        <v>采姐姐的故事王國 Lillian's Story Kingdom</v>
      </c>
      <c r="C6836" s="80" t="s">
        <v>7373</v>
      </c>
      <c r="D6836" s="81" t="str">
        <f>HYPERLINK("https://youtube.com/watch?v=YUAq8QojDPQ", "【兒童故事】我的弱雞爸爸 | My Puny Daddy | 我家那平凡的爸爸 - 粵語 (有字幕) (聲演版)")</f>
        <v>【兒童故事】我的弱雞爸爸 | My Puny Daddy | 我家那平凡的爸爸 - 粵語 (有字幕) (聲演版)</v>
      </c>
      <c r="E6836" s="82">
        <v>45095.0</v>
      </c>
      <c r="F6836" s="80">
        <v>822.0</v>
      </c>
      <c r="G6836" s="80" t="s">
        <v>63</v>
      </c>
      <c r="I6836" s="80" t="s">
        <v>63</v>
      </c>
      <c r="J6836" s="80">
        <v>2329.0</v>
      </c>
      <c r="K6836" s="80">
        <v>0.994024754588134</v>
      </c>
      <c r="L6836" s="80" t="s">
        <v>64</v>
      </c>
    </row>
    <row r="6837">
      <c r="A6837" s="80" t="s">
        <v>3051</v>
      </c>
      <c r="B6837" s="81" t="str">
        <f t="shared" ref="B6837:B6838" si="397">HYPERLINK("https://www.youtube.com/channel/UCvE0FPIL24o2mnUQIqcSHYA", "柴犬春卷的英國日常 Shiba Harumaki in UK")</f>
        <v>柴犬春卷的英國日常 Shiba Harumaki in UK</v>
      </c>
      <c r="C6837" s="80" t="s">
        <v>7374</v>
      </c>
      <c r="D6837" s="81" t="str">
        <f>HYPERLINK("https://youtube.com/watch?v=JaEaHbR0hJ8", "開箱！香港人業主英國花園翻新工程大改造【三星期全記錄】英國人本地師傅得唔得？#英國BNO #英國生活 #移民英國")</f>
        <v>開箱！香港人業主英國花園翻新工程大改造【三星期全記錄】英國人本地師傅得唔得？#英國BNO #英國生活 #移民英國</v>
      </c>
      <c r="E6837" s="82">
        <v>45212.0</v>
      </c>
      <c r="F6837" s="80">
        <v>1738.0</v>
      </c>
      <c r="G6837" s="80" t="s">
        <v>63</v>
      </c>
      <c r="I6837" s="80" t="s">
        <v>63</v>
      </c>
      <c r="J6837" s="80">
        <v>5620.0</v>
      </c>
      <c r="K6837" s="80">
        <v>0.929847782925215</v>
      </c>
      <c r="L6837" s="80" t="s">
        <v>64</v>
      </c>
    </row>
    <row r="6838">
      <c r="A6838" s="80" t="s">
        <v>3051</v>
      </c>
      <c r="B6838" s="81" t="str">
        <f t="shared" si="397"/>
        <v>柴犬春卷的英國日常 Shiba Harumaki in UK</v>
      </c>
      <c r="C6838" s="80" t="s">
        <v>7375</v>
      </c>
      <c r="D6838" s="81" t="str">
        <f>HYPERLINK("https://youtube.com/watch?v=pHzsi7lYy1c", "帶著柴犬春卷去法國巴黎旅行·遊歷凡爾賽宮· 巴黎老佛爺百貨·巴黎迪士尼｜旅行總是會生病？ Travel to Paris with Shiba Inu 【中字/English subs 】#旅行")</f>
        <v>帶著柴犬春卷去法國巴黎旅行·遊歷凡爾賽宮· 巴黎老佛爺百貨·巴黎迪士尼｜旅行總是會生病？ Travel to Paris with Shiba Inu 【中字/English subs 】#旅行</v>
      </c>
      <c r="E6838" s="82">
        <v>45203.0</v>
      </c>
      <c r="F6838" s="80">
        <v>622.0</v>
      </c>
      <c r="G6838" s="80" t="s">
        <v>63</v>
      </c>
      <c r="H6838" s="80" t="s">
        <v>63</v>
      </c>
      <c r="I6838" s="80" t="s">
        <v>63</v>
      </c>
      <c r="J6838" s="80">
        <v>2356.0</v>
      </c>
      <c r="K6838" s="80">
        <v>0.992304403591278</v>
      </c>
      <c r="L6838" s="80" t="s">
        <v>80</v>
      </c>
    </row>
    <row r="6839">
      <c r="A6839" s="80" t="s">
        <v>248</v>
      </c>
      <c r="B6839" s="81" t="str">
        <f>HYPERLINK("https://www.youtube.com/channel/UCUEJok-GiWaGlv5nIPwk-GQ", "Price.com.hk 香港格價網")</f>
        <v>Price.com.hk 香港格價網</v>
      </c>
      <c r="C6839" s="80" t="s">
        <v>7376</v>
      </c>
      <c r="D6839" s="81" t="str">
        <f>HYPERLINK("https://youtube.com/watch?v=wMEUcO2IdsA", "淨化加熱一體式 盡享新鮮純淨水｜Philips RO櫥下式加熱淨水器｜即開即飲｜過濾99.99％細菌及病毒｜廣東話｜特約專題 #產品介紹")</f>
        <v>淨化加熱一體式 盡享新鮮純淨水｜Philips RO櫥下式加熱淨水器｜即開即飲｜過濾99.99％細菌及病毒｜廣東話｜特約專題 #產品介紹</v>
      </c>
      <c r="E6839" s="82">
        <v>45194.0</v>
      </c>
      <c r="F6839" s="80">
        <v>222.0</v>
      </c>
      <c r="G6839" s="80" t="s">
        <v>63</v>
      </c>
      <c r="I6839" s="80" t="s">
        <v>63</v>
      </c>
      <c r="J6839" s="80">
        <v>914.0</v>
      </c>
      <c r="K6839" s="80">
        <v>0.854205607476635</v>
      </c>
      <c r="L6839" s="80" t="s">
        <v>64</v>
      </c>
    </row>
    <row r="6840">
      <c r="A6840" s="80" t="s">
        <v>1670</v>
      </c>
      <c r="B6840" s="81" t="str">
        <f>HYPERLINK("https://www.youtube.com/channel/UC-PIt5m-WOg8UVBkt2RnN0g", "阿JACK睇樓團")</f>
        <v>阿JACK睇樓團</v>
      </c>
      <c r="C6840" s="80" t="s">
        <v>7377</v>
      </c>
      <c r="D6840" s="81" t="str">
        <f>HYPERLINK("https://youtube.com/watch?v=vT8jJkYXm54", "新地樓連天台 😩都要蝕50萬⁉️🩸｜倒數7日施政報告🌶️真係撤辣嗎？🤯 真心覺得推介得過👍🏻屯門樓｜阿JACK睇樓團｜上車盤｜iHerb 丨施政報告")</f>
        <v>新地樓連天台 😩都要蝕50萬⁉️🩸｜倒數7日施政報告🌶️真係撤辣嗎？🤯 真心覺得推介得過👍🏻屯門樓｜阿JACK睇樓團｜上車盤｜iHerb 丨施政報告</v>
      </c>
      <c r="E6840" s="82">
        <v>45218.0</v>
      </c>
      <c r="F6840" s="80">
        <v>722.0</v>
      </c>
      <c r="G6840" s="80" t="s">
        <v>63</v>
      </c>
      <c r="I6840" s="80" t="s">
        <v>63</v>
      </c>
      <c r="J6840" s="80">
        <v>2685.0</v>
      </c>
      <c r="K6840" s="80">
        <v>0.970715835140997</v>
      </c>
      <c r="L6840" s="80" t="s">
        <v>64</v>
      </c>
    </row>
    <row r="6841">
      <c r="A6841" s="80" t="s">
        <v>248</v>
      </c>
      <c r="B6841" s="81" t="str">
        <f>HYPERLINK("https://www.youtube.com/channel/UCUEJok-GiWaGlv5nIPwk-GQ", "Price.com.hk 香港格價網")</f>
        <v>Price.com.hk 香港格價網</v>
      </c>
      <c r="C6841" s="80" t="s">
        <v>7378</v>
      </c>
      <c r="D6841" s="81" t="str">
        <f>HYPERLINK("https://youtube.com/watch?v=gFssxYQZGwE", "iPhone 15 &amp; 15 Pro系列發布會｜價錢 開賣日期｜Type-C充電+傳輸速度｜鈦金屬邊框｜5倍光學變焦 #產品情報 #懶人包")</f>
        <v>iPhone 15 &amp; 15 Pro系列發布會｜價錢 開賣日期｜Type-C充電+傳輸速度｜鈦金屬邊框｜5倍光學變焦 #產品情報 #懶人包</v>
      </c>
      <c r="E6841" s="82">
        <v>45182.0</v>
      </c>
      <c r="F6841" s="80">
        <v>130.0</v>
      </c>
      <c r="G6841" s="80" t="s">
        <v>63</v>
      </c>
      <c r="I6841" s="80" t="s">
        <v>63</v>
      </c>
      <c r="J6841" s="80">
        <v>450.0</v>
      </c>
      <c r="K6841" s="80">
        <v>0.743801652892562</v>
      </c>
      <c r="L6841" s="80" t="s">
        <v>64</v>
      </c>
    </row>
    <row r="6842">
      <c r="A6842" s="80" t="s">
        <v>414</v>
      </c>
      <c r="B6842" s="81" t="str">
        <f>HYPERLINK("https://www.youtube.com/channel/UCCVn38j5xSJZN-II-TeyomA", "Uncle Calvin Cantonese Class")</f>
        <v>Uncle Calvin Cantonese Class</v>
      </c>
      <c r="C6842" s="80" t="s">
        <v>7379</v>
      </c>
      <c r="D6842" s="81" t="str">
        <f>HYPERLINK("https://youtube.com/watch?v=6WadcH5GAG4", "【畫蘋果】Draw an Apple I 紅蘋果 I 粉彩 I 畫畫 I 美術 I 幼童畫畫 Toddlers' Drawing I 廣東話教室")</f>
        <v>【畫蘋果】Draw an Apple I 紅蘋果 I 粉彩 I 畫畫 I 美術 I 幼童畫畫 Toddlers' Drawing I 廣東話教室</v>
      </c>
      <c r="E6842" s="82">
        <v>45099.0</v>
      </c>
      <c r="F6842" s="80">
        <v>175.0</v>
      </c>
      <c r="G6842" s="80" t="s">
        <v>63</v>
      </c>
      <c r="H6842" s="80" t="s">
        <v>63</v>
      </c>
      <c r="I6842" s="80" t="s">
        <v>63</v>
      </c>
      <c r="J6842" s="80">
        <v>335.0</v>
      </c>
      <c r="K6842" s="80">
        <v>0.854591836734693</v>
      </c>
      <c r="L6842" s="80" t="s">
        <v>240</v>
      </c>
    </row>
    <row r="6843">
      <c r="A6843" s="80" t="s">
        <v>3134</v>
      </c>
      <c r="B6843" s="81" t="str">
        <f>HYPERLINK("https://www.youtube.com/channel/UC_vZsUCJrwYrbIRPHacAS_Q", "Coco哥")</f>
        <v>Coco哥</v>
      </c>
      <c r="C6843" s="80" t="s">
        <v>7380</v>
      </c>
      <c r="D6843" s="81" t="str">
        <f>HYPERLINK("https://youtube.com/watch?v=IS3mCoFYTyw", "如夢初醒🚨2023全球樓市🌇 只有香港樓大跌?! 英國 美國 加拿大 澳洲 瑞士 德國 🚀無跌過！2024走勢如何？")</f>
        <v>如夢初醒🚨2023全球樓市🌇 只有香港樓大跌?! 英國 美國 加拿大 澳洲 瑞士 德國 🚀無跌過！2024走勢如何？</v>
      </c>
      <c r="E6843" s="82">
        <v>45195.0</v>
      </c>
      <c r="F6843" s="80">
        <v>1452.0</v>
      </c>
      <c r="G6843" s="80" t="s">
        <v>63</v>
      </c>
      <c r="I6843" s="80" t="s">
        <v>63</v>
      </c>
      <c r="J6843" s="80">
        <v>5306.0</v>
      </c>
      <c r="K6843" s="80">
        <v>0.957934645242823</v>
      </c>
      <c r="L6843" s="80" t="s">
        <v>64</v>
      </c>
    </row>
    <row r="6844">
      <c r="A6844" s="80" t="s">
        <v>124</v>
      </c>
      <c r="B6844" s="81" t="str">
        <f>HYPERLINK("https://www.youtube.com/channel/UCg0vuSE0fBF_NvodyYhMcWg", "Wallace Studio HK")</f>
        <v>Wallace Studio HK</v>
      </c>
      <c r="C6844" s="80" t="s">
        <v>7381</v>
      </c>
      <c r="D6844" s="81" t="str">
        <f>HYPERLINK("https://youtube.com/watch?v=K5m6dsWoRBw", "Galaxy Tab S9 Ultra 詳細評測，不可抗力的娛樂平板！不過當有的路還遠！")</f>
        <v>Galaxy Tab S9 Ultra 詳細評測，不可抗力的娛樂平板！不過當有的路還遠！</v>
      </c>
      <c r="E6844" s="82">
        <v>45221.0</v>
      </c>
      <c r="F6844" s="80">
        <v>507.0</v>
      </c>
      <c r="G6844" s="80" t="s">
        <v>63</v>
      </c>
      <c r="I6844" s="80" t="s">
        <v>63</v>
      </c>
      <c r="J6844" s="80">
        <v>2144.0</v>
      </c>
      <c r="K6844" s="80">
        <v>0.794368284549833</v>
      </c>
      <c r="L6844" s="80" t="s">
        <v>64</v>
      </c>
    </row>
    <row r="6845">
      <c r="A6845" s="80" t="s">
        <v>6960</v>
      </c>
      <c r="B6845" s="81" t="str">
        <f>HYPERLINK("https://www.youtube.com/channel/UCQS2_zzisMq5C_FggxsQwTQ", "Comprehensible Cantonese")</f>
        <v>Comprehensible Cantonese</v>
      </c>
      <c r="C6845" s="80" t="s">
        <v>7382</v>
      </c>
      <c r="D6845" s="81" t="str">
        <f>HYPERLINK("https://youtube.com/watch?v=aeXBlQNsiLg", "[CC] 廣東話 Cantonese Story: A Cat and A Mouse😾🐁| Comprehensible Cantonese  (Advanced Beginner )")</f>
        <v>[CC] 廣東話 Cantonese Story: A Cat and A Mouse😾🐁| Comprehensible Cantonese  (Advanced Beginner )</v>
      </c>
      <c r="E6845" s="82">
        <v>45181.0</v>
      </c>
      <c r="F6845" s="80">
        <v>795.0</v>
      </c>
      <c r="G6845" s="80" t="s">
        <v>63</v>
      </c>
      <c r="I6845" s="80" t="s">
        <v>63</v>
      </c>
      <c r="J6845" s="80">
        <v>1399.0</v>
      </c>
      <c r="K6845" s="80">
        <v>0.863047501542257</v>
      </c>
      <c r="L6845" s="80" t="s">
        <v>102</v>
      </c>
    </row>
    <row r="6846">
      <c r="A6846" s="80" t="s">
        <v>1670</v>
      </c>
      <c r="B6846" s="81" t="str">
        <f>HYPERLINK("https://www.youtube.com/channel/UC-PIt5m-WOg8UVBkt2RnN0g", "阿JACK睇樓團")</f>
        <v>阿JACK睇樓團</v>
      </c>
      <c r="C6846" s="80" t="s">
        <v>7383</v>
      </c>
      <c r="D6846" s="81" t="str">
        <f>HYPERLINK("https://youtube.com/watch?v=8s7m96frdi4", "向荀盤挑戰😮好X誇張🔥3XX萬3房全新裝修#阿JACK睇樓團 ｜屯門樓｜快睇🔥🔥🔥｜仲要方便")</f>
        <v>向荀盤挑戰😮好X誇張🔥3XX萬3房全新裝修#阿JACK睇樓團 ｜屯門樓｜快睇🔥🔥🔥｜仲要方便</v>
      </c>
      <c r="E6846" s="82">
        <v>45204.0</v>
      </c>
      <c r="F6846" s="80">
        <v>375.0</v>
      </c>
      <c r="G6846" s="80" t="s">
        <v>63</v>
      </c>
      <c r="I6846" s="80" t="s">
        <v>63</v>
      </c>
      <c r="J6846" s="80">
        <v>1357.0</v>
      </c>
      <c r="K6846" s="80">
        <v>0.981200289226319</v>
      </c>
      <c r="L6846" s="80" t="s">
        <v>64</v>
      </c>
    </row>
    <row r="6847">
      <c r="A6847" s="80" t="s">
        <v>217</v>
      </c>
      <c r="B6847" s="81" t="str">
        <f>HYPERLINK("https://www.youtube.com/channel/UCXKg0qPRz32bs5Z4mTGF3TQ", "Stormtrooper白兵")</f>
        <v>Stormtrooper白兵</v>
      </c>
      <c r="C6847" s="80" t="s">
        <v>7384</v>
      </c>
      <c r="D6847" s="81" t="str">
        <f>HYPERLINK("https://youtube.com/watch?v=Roq3AgA9jB0", "簡短交代被Youtube封鎖帳號一事｜手機及社交媒體如何駭入我們的大腦？令我們慾罷不能！｜如何影響我們情緒／社交？｜真係陰謀論｜中文字幕")</f>
        <v>簡短交代被Youtube封鎖帳號一事｜手機及社交媒體如何駭入我們的大腦？令我們慾罷不能！｜如何影響我們情緒／社交？｜真係陰謀論｜中文字幕</v>
      </c>
      <c r="E6847" s="82">
        <v>45183.0</v>
      </c>
      <c r="F6847" s="80">
        <v>1148.0</v>
      </c>
      <c r="G6847" s="80" t="s">
        <v>63</v>
      </c>
      <c r="I6847" s="80" t="s">
        <v>63</v>
      </c>
      <c r="J6847" s="80">
        <v>4849.0</v>
      </c>
      <c r="K6847" s="80">
        <v>0.927683183470442</v>
      </c>
      <c r="L6847" s="80" t="s">
        <v>64</v>
      </c>
    </row>
    <row r="6848">
      <c r="A6848" s="80" t="s">
        <v>6892</v>
      </c>
      <c r="B6848" s="81" t="str">
        <f>HYPERLINK("https://www.youtube.com/channel/UC8_hxeY0nDCL-8ETbcGUZ9g", "PT食為先")</f>
        <v>PT食為先</v>
      </c>
      <c r="C6848" s="80" t="s">
        <v>7385</v>
      </c>
      <c r="D6848" s="81" t="str">
        <f>HYPERLINK("https://youtube.com/watch?v=D12aAPPNT5k", "[PT自費食評] 開業僅半年 位處屋邨荒廢商場 獅子山下竟有隱世餐廳？高質中菜 必食龍眼蜜餞金蠔👍片皮鴨以外仲有順德碌鵝👀午市有懷舊點心豬膶燒賣｜黃大仙 竹園 天馬苑 文苑飯莊")</f>
        <v>[PT自費食評] 開業僅半年 位處屋邨荒廢商場 獅子山下竟有隱世餐廳？高質中菜 必食龍眼蜜餞金蠔👍片皮鴨以外仲有順德碌鵝👀午市有懷舊點心豬膶燒賣｜黃大仙 竹園 天馬苑 文苑飯莊</v>
      </c>
      <c r="E6848" s="82">
        <v>45163.0</v>
      </c>
      <c r="F6848" s="80">
        <v>828.0</v>
      </c>
      <c r="G6848" s="80" t="s">
        <v>63</v>
      </c>
      <c r="I6848" s="80" t="s">
        <v>63</v>
      </c>
      <c r="J6848" s="80">
        <v>2182.0</v>
      </c>
      <c r="K6848" s="80">
        <v>0.970640569395017</v>
      </c>
      <c r="L6848" s="80" t="s">
        <v>64</v>
      </c>
    </row>
    <row r="6849">
      <c r="A6849" s="80" t="s">
        <v>217</v>
      </c>
      <c r="B6849" s="81" t="str">
        <f>HYPERLINK("https://www.youtube.com/channel/UCXKg0qPRz32bs5Z4mTGF3TQ", "Stormtrooper白兵")</f>
        <v>Stormtrooper白兵</v>
      </c>
      <c r="C6849" s="80" t="s">
        <v>7386</v>
      </c>
      <c r="D6849" s="81" t="str">
        <f>HYPERLINK("https://youtube.com/watch?v=K_zRPJuLky8", "[玩命系列]一款會上癮的止痛弱，如何瞞天過海上市、釀成藥物濫用危機？｜28分鐘揭開弱廠行銷黑幕！")</f>
        <v>[玩命系列]一款會上癮的止痛弱，如何瞞天過海上市、釀成藥物濫用危機？｜28分鐘揭開弱廠行銷黑幕！</v>
      </c>
      <c r="E6849" s="82">
        <v>45211.0</v>
      </c>
      <c r="F6849" s="80">
        <v>1679.0</v>
      </c>
      <c r="G6849" s="80" t="s">
        <v>63</v>
      </c>
      <c r="I6849" s="80" t="s">
        <v>63</v>
      </c>
      <c r="J6849" s="80">
        <v>6281.0</v>
      </c>
      <c r="K6849" s="80">
        <v>0.847181008902077</v>
      </c>
      <c r="L6849" s="80" t="s">
        <v>64</v>
      </c>
    </row>
    <row r="6850">
      <c r="A6850" s="80" t="s">
        <v>5134</v>
      </c>
      <c r="B6850" s="81" t="str">
        <f>HYPERLINK("https://www.youtube.com/channel/UCGq7xle9PrLHpmdxrk0IlLw", "磚加專家 Danny Ching Top10%地產局金牌經紀百萬圓桌")</f>
        <v>磚加專家 Danny Ching Top10%地產局金牌經紀百萬圓桌</v>
      </c>
      <c r="C6850" s="80" t="s">
        <v>7387</v>
      </c>
      <c r="D6850" s="81" t="str">
        <f>HYPERLINK("https://youtube.com/watch?v=z6A_dMHZ_gA", "【 開始預留】REIGN at Metrotown 50幾萬入場 主打Staycation會所 6成一房戶型 細細粒容易食 $30,000首期做業主 220英畝中央公園前 名建商 Wesgroup")</f>
        <v>【 開始預留】REIGN at Metrotown 50幾萬入場 主打Staycation會所 6成一房戶型 細細粒容易食 $30,000首期做業主 220英畝中央公園前 名建商 Wesgroup</v>
      </c>
      <c r="E6850" s="82">
        <v>45199.0</v>
      </c>
      <c r="F6850" s="80">
        <v>2590.0</v>
      </c>
      <c r="G6850" s="80" t="s">
        <v>63</v>
      </c>
      <c r="I6850" s="80" t="s">
        <v>63</v>
      </c>
      <c r="J6850" s="80">
        <v>9730.0</v>
      </c>
      <c r="K6850" s="80">
        <v>0.721488951505264</v>
      </c>
      <c r="L6850" s="80" t="s">
        <v>102</v>
      </c>
    </row>
    <row r="6851">
      <c r="A6851" s="80" t="s">
        <v>248</v>
      </c>
      <c r="B6851" s="81" t="str">
        <f>HYPERLINK("https://www.youtube.com/channel/UCUEJok-GiWaGlv5nIPwk-GQ", "Price.com.hk 香港格價網")</f>
        <v>Price.com.hk 香港格價網</v>
      </c>
      <c r="C6851" s="80" t="s">
        <v>7388</v>
      </c>
      <c r="D6851" s="81" t="str">
        <f>HYPERLINK("https://youtube.com/watch?v=Jm6p-TjS4nU", "iPhone 15評測 4問題買前必知｜分析對比14 Pro｜15 Plus vs 14 Pro Max適用｜入手建議 #產品比較")</f>
        <v>iPhone 15評測 4問題買前必知｜分析對比14 Pro｜15 Plus vs 14 Pro Max適用｜入手建議 #產品比較</v>
      </c>
      <c r="E6851" s="82">
        <v>45192.0</v>
      </c>
      <c r="F6851" s="80">
        <v>515.0</v>
      </c>
      <c r="G6851" s="80" t="s">
        <v>63</v>
      </c>
      <c r="I6851" s="80" t="s">
        <v>63</v>
      </c>
      <c r="J6851" s="80">
        <v>1928.0</v>
      </c>
      <c r="K6851" s="80">
        <v>0.77429718875502</v>
      </c>
      <c r="L6851" s="80" t="s">
        <v>64</v>
      </c>
    </row>
    <row r="6852">
      <c r="A6852" s="80" t="s">
        <v>267</v>
      </c>
      <c r="B6852" s="81" t="str">
        <f>HYPERLINK("https://www.youtube.com/channel/UCcrhFT95jH5XqVVPyBhRbrA", "JFFT")</f>
        <v>JFFT</v>
      </c>
      <c r="C6852" s="80" t="s">
        <v>7389</v>
      </c>
      <c r="D6852" s="81" t="str">
        <f>HYPERLINK("https://youtube.com/watch?v=4fA-AyUKCno", "Bed Gor x JNYBeatz - 大肥雞(荃灣友Remix)")</f>
        <v>Bed Gor x JNYBeatz - 大肥雞(荃灣友Remix)</v>
      </c>
      <c r="E6852" s="82">
        <v>45168.0</v>
      </c>
      <c r="F6852" s="80">
        <v>117.0</v>
      </c>
      <c r="G6852" s="80" t="s">
        <v>63</v>
      </c>
      <c r="I6852" s="80" t="s">
        <v>63</v>
      </c>
      <c r="J6852" s="80">
        <v>338.0</v>
      </c>
      <c r="K6852" s="80">
        <v>0.836633663366336</v>
      </c>
      <c r="L6852" s="80" t="s">
        <v>64</v>
      </c>
    </row>
    <row r="6853">
      <c r="A6853" s="80" t="s">
        <v>6520</v>
      </c>
      <c r="B6853" s="81" t="str">
        <f>HYPERLINK("https://www.youtube.com/channel/UCXqhKkakjAddiWXXPEQbH7g", "HK E News")</f>
        <v>HK E News</v>
      </c>
      <c r="C6853" s="80" t="s">
        <v>7390</v>
      </c>
      <c r="D6853" s="81" t="str">
        <f>HYPERLINK("https://youtube.com/watch?v=dj65ovqIpgQ", "饒舌歌手潘慶章與陳凱琳談如何安慰他人｜喪禮華人送帛金西人送花同樣表達關懷｜中國文化前事不提埋藏情感｜Love Matters with Grace 陳凱琳")</f>
        <v>饒舌歌手潘慶章與陳凱琳談如何安慰他人｜喪禮華人送帛金西人送花同樣表達關懷｜中國文化前事不提埋藏情感｜Love Matters with Grace 陳凱琳</v>
      </c>
      <c r="E6853" s="82">
        <v>45214.0</v>
      </c>
      <c r="F6853" s="80">
        <v>679.0</v>
      </c>
      <c r="G6853" s="80" t="s">
        <v>63</v>
      </c>
      <c r="I6853" s="80" t="s">
        <v>63</v>
      </c>
      <c r="J6853" s="80">
        <v>2067.0</v>
      </c>
      <c r="K6853" s="80">
        <v>1.0</v>
      </c>
      <c r="L6853" s="80" t="s">
        <v>7391</v>
      </c>
    </row>
    <row r="6854">
      <c r="A6854" s="80" t="s">
        <v>242</v>
      </c>
      <c r="B6854" s="81" t="str">
        <f>HYPERLINK("https://www.youtube.com/channel/UCZGVB6g74LXWtkR3fX50ykg", "Edwin H.")</f>
        <v>Edwin H.</v>
      </c>
      <c r="C6854" s="80" t="s">
        <v>7392</v>
      </c>
      <c r="D6854" s="81" t="str">
        <f>HYPERLINK("https://youtube.com/watch?v=RPGFnJaPEQ0", "10個升級iOS 17你必須知道的事  iPhone 隱藏功能")</f>
        <v>10個升級iOS 17你必須知道的事  iPhone 隱藏功能</v>
      </c>
      <c r="E6854" s="82">
        <v>45187.0</v>
      </c>
      <c r="F6854" s="80">
        <v>860.0</v>
      </c>
      <c r="G6854" s="80" t="s">
        <v>63</v>
      </c>
      <c r="I6854" s="80" t="s">
        <v>63</v>
      </c>
      <c r="J6854" s="80">
        <v>3783.0</v>
      </c>
      <c r="K6854" s="80">
        <v>0.774252967662709</v>
      </c>
      <c r="L6854" s="80" t="s">
        <v>64</v>
      </c>
    </row>
    <row r="6855">
      <c r="A6855" s="80" t="s">
        <v>2041</v>
      </c>
      <c r="B6855" s="81" t="str">
        <f>HYPERLINK("https://www.youtube.com/channel/UCO6pB-ZN4XJ6MVkibvuEe0A", "SingSingTracker 星昇財經指標")</f>
        <v>SingSingTracker 星昇財經指標</v>
      </c>
      <c r="C6855" s="80" t="s">
        <v>7393</v>
      </c>
      <c r="D6855" s="81" t="str">
        <f>HYPERLINK("https://youtube.com/watch?v=pylhkbCDm0I", "【呢一星期賺超過$1萬9？】AI 女主持-小Sing🌸分享講解追蹤🔍未來股市動向📈美聯儲議息在即？] 20/9/2023 #aiart #加息 #vtuber")</f>
        <v>【呢一星期賺超過$1萬9？】AI 女主持-小Sing🌸分享講解追蹤🔍未來股市動向📈美聯儲議息在即？] 20/9/2023 #aiart #加息 #vtuber</v>
      </c>
      <c r="E6855" s="82">
        <v>45189.0</v>
      </c>
      <c r="F6855" s="80">
        <v>216.0</v>
      </c>
      <c r="G6855" s="80" t="s">
        <v>63</v>
      </c>
      <c r="I6855" s="80" t="s">
        <v>63</v>
      </c>
      <c r="J6855" s="80">
        <v>830.0</v>
      </c>
      <c r="K6855" s="80">
        <v>0.97877358490566</v>
      </c>
      <c r="L6855" s="80" t="s">
        <v>64</v>
      </c>
    </row>
    <row r="6856">
      <c r="A6856" s="80" t="s">
        <v>6960</v>
      </c>
      <c r="B6856" s="81" t="str">
        <f>HYPERLINK("https://www.youtube.com/channel/UCQS2_zzisMq5C_FggxsQwTQ", "Comprehensible Cantonese")</f>
        <v>Comprehensible Cantonese</v>
      </c>
      <c r="C6856" s="80" t="s">
        <v>7394</v>
      </c>
      <c r="D6856" s="81" t="str">
        <f>HYPERLINK("https://youtube.com/watch?v=0_1eIFRCdfY", "[CC] 🤔Guess the Famous Person| Slow and Clear Cantonese| Comprehensible Cantonese| Advanced Beginner")</f>
        <v>[CC] 🤔Guess the Famous Person| Slow and Clear Cantonese| Comprehensible Cantonese| Advanced Beginner</v>
      </c>
      <c r="E6856" s="82">
        <v>45225.0</v>
      </c>
      <c r="F6856" s="80">
        <v>648.0</v>
      </c>
      <c r="G6856" s="80" t="s">
        <v>63</v>
      </c>
      <c r="I6856" s="80" t="s">
        <v>63</v>
      </c>
      <c r="J6856" s="80">
        <v>1423.0</v>
      </c>
      <c r="K6856" s="80">
        <v>0.91101152368758</v>
      </c>
      <c r="L6856" s="80" t="s">
        <v>102</v>
      </c>
    </row>
    <row r="6857">
      <c r="A6857" s="80" t="s">
        <v>242</v>
      </c>
      <c r="B6857" s="81" t="str">
        <f>HYPERLINK("https://www.youtube.com/channel/UCZGVB6g74LXWtkR3fX50ykg", "Edwin H.")</f>
        <v>Edwin H.</v>
      </c>
      <c r="C6857" s="80" t="s">
        <v>7395</v>
      </c>
      <c r="D6857" s="81" t="str">
        <f>HYPERLINK("https://youtube.com/watch?v=FT1ib6Nzcj8", "📱手機不能沒有”它”？ 最有用的手機配件！ 🖥️ 家居必備電視燈 | Edwin買乜野")</f>
        <v>📱手機不能沒有”它”？ 最有用的手機配件！ 🖥️ 家居必備電視燈 | Edwin買乜野</v>
      </c>
      <c r="E6857" s="82">
        <v>45198.0</v>
      </c>
      <c r="F6857" s="80">
        <v>859.0</v>
      </c>
      <c r="G6857" s="80" t="s">
        <v>63</v>
      </c>
      <c r="I6857" s="80" t="s">
        <v>63</v>
      </c>
      <c r="J6857" s="80">
        <v>3438.0</v>
      </c>
      <c r="K6857" s="80">
        <v>0.78618797164418</v>
      </c>
      <c r="L6857" s="80" t="s">
        <v>64</v>
      </c>
    </row>
    <row r="6858">
      <c r="A6858" s="80" t="s">
        <v>414</v>
      </c>
      <c r="B6858" s="81" t="str">
        <f>HYPERLINK("https://www.youtube.com/channel/UCCVn38j5xSJZN-II-TeyomA", "Uncle Calvin Cantonese Class")</f>
        <v>Uncle Calvin Cantonese Class</v>
      </c>
      <c r="C6858" s="80" t="s">
        <v>7396</v>
      </c>
      <c r="D6858" s="81" t="str">
        <f>HYPERLINK("https://youtube.com/watch?v=VGRLRx2G0Dg", "【20以內倒數練習】Countdown from 20 in Cantonese I 數學 I 沙漠 I尋寶 I 迷宮 I 左右 I幼童數字 for Toddlers I 廣東話教室 I 字幕")</f>
        <v>【20以內倒數練習】Countdown from 20 in Cantonese I 數學 I 沙漠 I尋寶 I 迷宮 I 左右 I幼童數字 for Toddlers I 廣東話教室 I 字幕</v>
      </c>
      <c r="E6858" s="82">
        <v>45107.0</v>
      </c>
      <c r="F6858" s="80">
        <v>874.0</v>
      </c>
      <c r="G6858" s="80" t="s">
        <v>63</v>
      </c>
      <c r="H6858" s="80" t="s">
        <v>63</v>
      </c>
      <c r="I6858" s="80" t="s">
        <v>63</v>
      </c>
      <c r="J6858" s="80">
        <v>1198.0</v>
      </c>
      <c r="K6858" s="80">
        <v>0.947326416600159</v>
      </c>
      <c r="L6858" s="80" t="s">
        <v>240</v>
      </c>
    </row>
    <row r="6859">
      <c r="A6859" s="80" t="s">
        <v>248</v>
      </c>
      <c r="B6859" s="81" t="str">
        <f>HYPERLINK("https://www.youtube.com/channel/UCUEJok-GiWaGlv5nIPwk-GQ", "Price.com.hk 香港格價網")</f>
        <v>Price.com.hk 香港格價網</v>
      </c>
      <c r="C6859" s="80" t="s">
        <v>7397</v>
      </c>
      <c r="D6859" s="81" t="str">
        <f>HYPERLINK("https://youtube.com/watch?v=8n1wqg_2AQo", "iPhone 15 Pro Max 相機拍攝評測｜對比14 Pro Max及S23 Ultra｜5倍長焦鏡頭提升無感？廣東話 #產品評測")</f>
        <v>iPhone 15 Pro Max 相機拍攝評測｜對比14 Pro Max及S23 Ultra｜5倍長焦鏡頭提升無感？廣東話 #產品評測</v>
      </c>
      <c r="E6859" s="82">
        <v>45206.0</v>
      </c>
      <c r="F6859" s="80">
        <v>591.0</v>
      </c>
      <c r="G6859" s="80" t="s">
        <v>63</v>
      </c>
      <c r="I6859" s="80" t="s">
        <v>63</v>
      </c>
      <c r="J6859" s="80">
        <v>2416.0</v>
      </c>
      <c r="K6859" s="80">
        <v>0.793431855500821</v>
      </c>
      <c r="L6859" s="80" t="s">
        <v>64</v>
      </c>
    </row>
    <row r="6860">
      <c r="A6860" s="80" t="s">
        <v>217</v>
      </c>
      <c r="B6860" s="81" t="str">
        <f>HYPERLINK("https://www.youtube.com/channel/UCXKg0qPRz32bs5Z4mTGF3TQ", "Stormtrooper白兵")</f>
        <v>Stormtrooper白兵</v>
      </c>
      <c r="C6860" s="80" t="s">
        <v>7398</v>
      </c>
      <c r="D6860" s="81" t="str">
        <f>HYPERLINK("https://youtube.com/watch?v=jdAV8fKZRh0", "[Jpexs騙局懶人包]由改名已經係騙局的開始｜林作如何成功推銷19％回報？｜蕭若元如何成為幫兇？Jpex如何控制幣價？")</f>
        <v>[Jpexs騙局懶人包]由改名已經係騙局的開始｜林作如何成功推銷19％回報？｜蕭若元如何成為幫兇？Jpex如何控制幣價？</v>
      </c>
      <c r="E6860" s="82">
        <v>45197.0</v>
      </c>
      <c r="F6860" s="80">
        <v>1312.0</v>
      </c>
      <c r="G6860" s="80" t="s">
        <v>63</v>
      </c>
      <c r="I6860" s="80" t="s">
        <v>63</v>
      </c>
      <c r="J6860" s="80">
        <v>5062.0</v>
      </c>
      <c r="K6860" s="80">
        <v>0.855645706558485</v>
      </c>
      <c r="L6860" s="80" t="s">
        <v>64</v>
      </c>
    </row>
    <row r="6861">
      <c r="A6861" s="80" t="s">
        <v>6169</v>
      </c>
      <c r="B6861" s="81" t="str">
        <f>HYPERLINK("https://www.youtube.com/channel/UC8UAj9wPCBdyd709kD0eEFQ", "P3NTATON1C MUSIC")</f>
        <v>P3NTATON1C MUSIC</v>
      </c>
      <c r="C6861" s="80" t="s">
        <v>7399</v>
      </c>
      <c r="D6861" s="81" t="str">
        <f>HYPERLINK("https://youtube.com/watch?v=kJs-Kw18T3o", "GODDAMN ACOUSTIC VER. (Official Video)")</f>
        <v>GODDAMN ACOUSTIC VER. (Official Video)</v>
      </c>
      <c r="E6861" s="82">
        <v>45156.0</v>
      </c>
      <c r="F6861" s="80">
        <v>176.0</v>
      </c>
      <c r="G6861" s="80" t="s">
        <v>63</v>
      </c>
      <c r="I6861" s="80" t="s">
        <v>63</v>
      </c>
      <c r="J6861" s="80">
        <v>201.0</v>
      </c>
      <c r="K6861" s="80">
        <v>0.324717285945072</v>
      </c>
      <c r="L6861" s="80" t="s">
        <v>64</v>
      </c>
    </row>
    <row r="6862">
      <c r="A6862" s="80" t="s">
        <v>242</v>
      </c>
      <c r="B6862" s="81" t="str">
        <f>HYPERLINK("https://www.youtube.com/channel/UCZGVB6g74LXWtkR3fX50ykg", "Edwin H.")</f>
        <v>Edwin H.</v>
      </c>
      <c r="C6862" s="80" t="s">
        <v>7400</v>
      </c>
      <c r="D6862" s="81" t="str">
        <f>HYPERLINK("https://youtube.com/watch?v=UkOxKZTWpcM", "Edwin移民 ｜Q&amp;A")</f>
        <v>Edwin移民 ｜Q&amp;A</v>
      </c>
      <c r="E6862" s="82">
        <v>45127.0</v>
      </c>
      <c r="F6862" s="80">
        <v>1039.0</v>
      </c>
      <c r="G6862" s="80" t="s">
        <v>63</v>
      </c>
      <c r="I6862" s="80" t="s">
        <v>63</v>
      </c>
      <c r="J6862" s="80">
        <v>3964.0</v>
      </c>
      <c r="K6862" s="80">
        <v>0.829809503872723</v>
      </c>
      <c r="L6862" s="80" t="s">
        <v>64</v>
      </c>
    </row>
    <row r="6863">
      <c r="A6863" s="80" t="s">
        <v>1670</v>
      </c>
      <c r="B6863" s="81" t="str">
        <f>HYPERLINK("https://www.youtube.com/channel/UC-PIt5m-WOg8UVBkt2RnN0g", "阿JACK睇樓團")</f>
        <v>阿JACK睇樓團</v>
      </c>
      <c r="C6863" s="80" t="s">
        <v>7401</v>
      </c>
      <c r="D6863" s="81" t="str">
        <f>HYPERLINK("https://youtube.com/watch?v=Cw8mb_sZGjU", "呎價不過萬｜2萬蚊既餐椅🫣❓｜已婚同事講解買複式既好處😂｜😍勁正既花園複式💐丨阿JACK睇樓團｜元朗樓｜特色户")</f>
        <v>呎價不過萬｜2萬蚊既餐椅🫣❓｜已婚同事講解買複式既好處😂｜😍勁正既花園複式💐丨阿JACK睇樓團｜元朗樓｜特色户</v>
      </c>
      <c r="E6863" s="82">
        <v>45176.0</v>
      </c>
      <c r="F6863" s="80">
        <v>545.0</v>
      </c>
      <c r="G6863" s="80" t="s">
        <v>63</v>
      </c>
      <c r="I6863" s="80" t="s">
        <v>63</v>
      </c>
      <c r="J6863" s="80">
        <v>1833.0</v>
      </c>
      <c r="K6863" s="80">
        <v>0.959183673469387</v>
      </c>
      <c r="L6863" s="80" t="s">
        <v>64</v>
      </c>
    </row>
    <row r="6864">
      <c r="A6864" s="80" t="s">
        <v>6960</v>
      </c>
      <c r="B6864" s="81" t="str">
        <f>HYPERLINK("https://www.youtube.com/channel/UCQS2_zzisMq5C_FggxsQwTQ", "Comprehensible Cantonese")</f>
        <v>Comprehensible Cantonese</v>
      </c>
      <c r="C6864" s="80" t="s">
        <v>7402</v>
      </c>
      <c r="D6864" s="81" t="str">
        <f>HYPERLINK("https://youtube.com/watch?v=vqquKsaBa2M", "[CC ]廣東話 Let's play a Game! | Slow &amp; Clear Cantonese Conversation|  Advanced Beginner Cantonese")</f>
        <v>[CC ]廣東話 Let's play a Game! | Slow &amp; Clear Cantonese Conversation|  Advanced Beginner Cantonese</v>
      </c>
      <c r="E6864" s="82">
        <v>45173.0</v>
      </c>
      <c r="F6864" s="80">
        <v>877.0</v>
      </c>
      <c r="G6864" s="80" t="s">
        <v>63</v>
      </c>
      <c r="I6864" s="80" t="s">
        <v>63</v>
      </c>
      <c r="J6864" s="80">
        <v>2302.0</v>
      </c>
      <c r="K6864" s="80">
        <v>0.85164631890492</v>
      </c>
      <c r="L6864" s="80" t="s">
        <v>102</v>
      </c>
    </row>
    <row r="6865">
      <c r="A6865" s="80" t="s">
        <v>755</v>
      </c>
      <c r="B6865" s="81" t="str">
        <f t="shared" ref="B6865:B6866" si="398">HYPERLINK("https://www.youtube.com/channel/UCBiJDTc82IM68KVH873VeAw", "Live in Kwangsi廣西人·情·味")</f>
        <v>Live in Kwangsi廣西人·情·味</v>
      </c>
      <c r="C6865" s="80" t="s">
        <v>7403</v>
      </c>
      <c r="D6865" s="81" t="str">
        <f>HYPERLINK("https://youtube.com/watch?v=aDvcWLUiWcM", "廣州市四大園林特色酒家之南園酒家｜廣東日常實拍 20230729")</f>
        <v>廣州市四大園林特色酒家之南園酒家｜廣東日常實拍 20230729</v>
      </c>
      <c r="E6865" s="82">
        <v>45223.0</v>
      </c>
      <c r="F6865" s="80">
        <v>160.0</v>
      </c>
      <c r="G6865" s="80" t="s">
        <v>63</v>
      </c>
      <c r="I6865" s="80" t="s">
        <v>63</v>
      </c>
      <c r="J6865" s="80">
        <v>386.0</v>
      </c>
      <c r="K6865" s="80">
        <v>1.0</v>
      </c>
      <c r="L6865" s="80" t="s">
        <v>757</v>
      </c>
    </row>
    <row r="6866">
      <c r="A6866" s="80" t="s">
        <v>755</v>
      </c>
      <c r="B6866" s="81" t="str">
        <f t="shared" si="398"/>
        <v>Live in Kwangsi廣西人·情·味</v>
      </c>
      <c r="C6866" s="80" t="s">
        <v>7404</v>
      </c>
      <c r="D6866" s="81" t="str">
        <f>HYPERLINK("https://youtube.com/watch?v=SQ-9cd1ZkxI", "全世界最孤獨嘅婆婆，長時間隱居生活係點嘅呢？")</f>
        <v>全世界最孤獨嘅婆婆，長時間隱居生活係點嘅呢？</v>
      </c>
      <c r="E6866" s="82">
        <v>45192.0</v>
      </c>
      <c r="F6866" s="80">
        <v>96.0</v>
      </c>
      <c r="G6866" s="80" t="s">
        <v>63</v>
      </c>
      <c r="I6866" s="80" t="s">
        <v>63</v>
      </c>
      <c r="J6866" s="80">
        <v>339.0</v>
      </c>
      <c r="K6866" s="80">
        <v>0.965811965811965</v>
      </c>
      <c r="L6866" s="80" t="s">
        <v>757</v>
      </c>
    </row>
    <row r="6867">
      <c r="A6867" s="80" t="s">
        <v>6892</v>
      </c>
      <c r="B6867" s="81" t="str">
        <f>HYPERLINK("https://www.youtube.com/channel/UC8_hxeY0nDCL-8ETbcGUZ9g", "PT食為先")</f>
        <v>PT食為先</v>
      </c>
      <c r="C6867" s="80" t="s">
        <v>7405</v>
      </c>
      <c r="D6867" s="81" t="str">
        <f>HYPERLINK("https://youtube.com/watch?v=x1x9clp5cQs", "[PT自費遊記] Airside 8點鐘就有鋪頭關門？40間餐廳邊間最吸引？港鐵屯馬線直達！啟德機場變70萬呎商場！Citysuper大型超市 MCL戲院有特大銀幕")</f>
        <v>[PT自費遊記] Airside 8點鐘就有鋪頭關門？40間餐廳邊間最吸引？港鐵屯馬線直達！啟德機場變70萬呎商場！Citysuper大型超市 MCL戲院有特大銀幕</v>
      </c>
      <c r="E6867" s="82">
        <v>45199.0</v>
      </c>
      <c r="F6867" s="80">
        <v>1547.0</v>
      </c>
      <c r="G6867" s="80" t="s">
        <v>63</v>
      </c>
      <c r="I6867" s="80" t="s">
        <v>63</v>
      </c>
      <c r="J6867" s="80">
        <v>3629.0</v>
      </c>
      <c r="K6867" s="80">
        <v>0.891646191646191</v>
      </c>
      <c r="L6867" s="80" t="s">
        <v>64</v>
      </c>
    </row>
    <row r="6868">
      <c r="A6868" s="80" t="s">
        <v>1670</v>
      </c>
      <c r="B6868" s="81" t="str">
        <f t="shared" ref="B6868:B6869" si="399">HYPERLINK("https://www.youtube.com/channel/UC-PIt5m-WOg8UVBkt2RnN0g", "阿JACK睇樓團")</f>
        <v>阿JACK睇樓團</v>
      </c>
      <c r="C6868" s="80" t="s">
        <v>7406</v>
      </c>
      <c r="D6868" s="81" t="str">
        <f>HYPERLINK("https://youtube.com/watch?v=Pc2WPJJiQ3U", "蝕成半球😫兩件蝕讓貨🥲突發凱和山開價 黐咗線91xx呎價？｜#阿JACK睇樓團 ｜凱和山｜蝕讓")</f>
        <v>蝕成半球😫兩件蝕讓貨🥲突發凱和山開價 黐咗線91xx呎價？｜#阿JACK睇樓團 ｜凱和山｜蝕讓</v>
      </c>
      <c r="E6868" s="82">
        <v>45183.0</v>
      </c>
      <c r="F6868" s="80">
        <v>921.0</v>
      </c>
      <c r="G6868" s="80" t="s">
        <v>63</v>
      </c>
      <c r="I6868" s="80" t="s">
        <v>63</v>
      </c>
      <c r="J6868" s="80">
        <v>2890.0</v>
      </c>
      <c r="K6868" s="80">
        <v>0.969148222669349</v>
      </c>
      <c r="L6868" s="80" t="s">
        <v>64</v>
      </c>
    </row>
    <row r="6869">
      <c r="A6869" s="80" t="s">
        <v>1670</v>
      </c>
      <c r="B6869" s="81" t="str">
        <f t="shared" si="399"/>
        <v>阿JACK睇樓團</v>
      </c>
      <c r="C6869" s="80" t="s">
        <v>7407</v>
      </c>
      <c r="D6869" s="81" t="str">
        <f>HYPERLINK("https://youtube.com/watch?v=NviIjttOgzY", "你們最期待的事🤣重見2字頭🔥月供1萬 🥹3xx呎兩房｜屯門樓｜上車盤｜阿JACK睇樓團｜")</f>
        <v>你們最期待的事🤣重見2字頭🔥月供1萬 🥹3xx呎兩房｜屯門樓｜上車盤｜阿JACK睇樓團｜</v>
      </c>
      <c r="E6869" s="82">
        <v>45194.0</v>
      </c>
      <c r="F6869" s="80">
        <v>800.0</v>
      </c>
      <c r="G6869" s="80" t="s">
        <v>63</v>
      </c>
      <c r="I6869" s="80" t="s">
        <v>63</v>
      </c>
      <c r="J6869" s="80">
        <v>2873.0</v>
      </c>
      <c r="K6869" s="80">
        <v>0.955119680851063</v>
      </c>
      <c r="L6869" s="80" t="s">
        <v>64</v>
      </c>
    </row>
    <row r="6870">
      <c r="A6870" s="80" t="s">
        <v>248</v>
      </c>
      <c r="B6870" s="81" t="str">
        <f>HYPERLINK("https://www.youtube.com/channel/UCUEJok-GiWaGlv5nIPwk-GQ", "Price.com.hk 香港格價網")</f>
        <v>Price.com.hk 香港格價網</v>
      </c>
      <c r="C6870" s="80" t="s">
        <v>7408</v>
      </c>
      <c r="D6870" s="81" t="str">
        <f>HYPERLINK("https://youtube.com/watch?v=CCUTV0AASMU", "聲控柯柏文！高顏值日系Nuarl mini3小耳機｜爽玩Tab S9 Ultra｜Casetify聯乘鏈鋸人｜Fractal Design靚機箱｜不能不知超經典M50x｜廣東話 #PriceUltra")</f>
        <v>聲控柯柏文！高顏值日系Nuarl mini3小耳機｜爽玩Tab S9 Ultra｜Casetify聯乘鏈鋸人｜Fractal Design靚機箱｜不能不知超經典M50x｜廣東話 #PriceUltra</v>
      </c>
      <c r="E6870" s="82">
        <v>45174.0</v>
      </c>
      <c r="F6870" s="80">
        <v>556.0</v>
      </c>
      <c r="G6870" s="80" t="s">
        <v>63</v>
      </c>
      <c r="I6870" s="80" t="s">
        <v>63</v>
      </c>
      <c r="J6870" s="80">
        <v>1980.0</v>
      </c>
      <c r="K6870" s="80">
        <v>0.801295022258195</v>
      </c>
      <c r="L6870" s="80" t="s">
        <v>64</v>
      </c>
    </row>
    <row r="6871">
      <c r="A6871" s="80" t="s">
        <v>112</v>
      </c>
      <c r="B6871" s="81" t="str">
        <f>HYPERLINK("https://www.youtube.com/channel/UCW_n_gfIv4HhRqCk8EnRhJA", "Happy Kongner")</f>
        <v>Happy Kongner</v>
      </c>
      <c r="C6871" s="80" t="s">
        <v>7409</v>
      </c>
      <c r="D6871" s="81" t="str">
        <f>HYPERLINK("https://youtube.com/watch?v=IfIk9AceF5I", "@THEKONGNER Documentary — NARRATIVITY: TONE Music")</f>
        <v>@THEKONGNER Documentary — NARRATIVITY: TONE Music</v>
      </c>
      <c r="E6871" s="82">
        <v>45185.0</v>
      </c>
      <c r="F6871" s="80">
        <v>6371.0</v>
      </c>
      <c r="G6871" s="80" t="s">
        <v>63</v>
      </c>
      <c r="I6871" s="80" t="s">
        <v>63</v>
      </c>
      <c r="J6871" s="80">
        <v>19222.0</v>
      </c>
      <c r="K6871" s="80">
        <v>0.844551845342706</v>
      </c>
      <c r="L6871" s="80" t="s">
        <v>64</v>
      </c>
    </row>
    <row r="6872">
      <c r="A6872" s="80" t="s">
        <v>7410</v>
      </c>
      <c r="B6872" s="81" t="str">
        <f>HYPERLINK("https://www.youtube.com/channel/UCcuqs5kaRYbqBE5cX7hRXHw", "Sam先生 - 電影日誌")</f>
        <v>Sam先生 - 電影日誌</v>
      </c>
      <c r="C6872" s="80" t="s">
        <v>7411</v>
      </c>
      <c r="D6872" s="81" t="str">
        <f>HYPERLINK("https://youtube.com/watch?v=fAk7Hok_Dic", "📱森度睇馬上煲 EP01 | 絕世網紅 Celebrity | Rose Ma親自認證: 好真實！| 新系列同你傾下劇！Netflix韓劇話題之作 ft. @roserosemama  Sam先生▶️")</f>
        <v>📱森度睇馬上煲 EP01 | 絕世網紅 Celebrity | Rose Ma親自認證: 好真實！| 新系列同你傾下劇！Netflix韓劇話題之作 ft. @roserosemama  Sam先生▶️</v>
      </c>
      <c r="E6872" s="82">
        <v>45168.0</v>
      </c>
      <c r="F6872" s="80">
        <v>3171.0</v>
      </c>
      <c r="G6872" s="80" t="s">
        <v>63</v>
      </c>
      <c r="I6872" s="80" t="s">
        <v>63</v>
      </c>
      <c r="J6872" s="80">
        <v>11820.0</v>
      </c>
      <c r="K6872" s="80">
        <v>0.895183277794607</v>
      </c>
      <c r="L6872" s="80" t="s">
        <v>64</v>
      </c>
    </row>
    <row r="6873">
      <c r="A6873" s="80" t="s">
        <v>6960</v>
      </c>
      <c r="B6873" s="81" t="str">
        <f>HYPERLINK("https://www.youtube.com/channel/UCQS2_zzisMq5C_FggxsQwTQ", "Comprehensible Cantonese")</f>
        <v>Comprehensible Cantonese</v>
      </c>
      <c r="C6873" s="80" t="s">
        <v>7412</v>
      </c>
      <c r="D6873" s="81" t="str">
        <f>HYPERLINK("https://youtube.com/watch?v=oIZ8Pj9tbdU", "[CC] Playing GEOGUESSR for the first time| Learn Cantonese Through Games ( Advanced Beginner)")</f>
        <v>[CC] Playing GEOGUESSR for the first time| Learn Cantonese Through Games ( Advanced Beginner)</v>
      </c>
      <c r="E6873" s="82">
        <v>45203.0</v>
      </c>
      <c r="F6873" s="80">
        <v>272.0</v>
      </c>
      <c r="G6873" s="80" t="s">
        <v>63</v>
      </c>
      <c r="I6873" s="80" t="s">
        <v>63</v>
      </c>
      <c r="J6873" s="80">
        <v>662.0</v>
      </c>
      <c r="K6873" s="80">
        <v>0.945714285714285</v>
      </c>
      <c r="L6873" s="80" t="s">
        <v>102</v>
      </c>
    </row>
    <row r="6874">
      <c r="A6874" s="80" t="s">
        <v>2041</v>
      </c>
      <c r="B6874" s="81" t="str">
        <f>HYPERLINK("https://www.youtube.com/channel/UCO6pB-ZN4XJ6MVkibvuEe0A", "SingSingTracker 星昇財經指標")</f>
        <v>SingSingTracker 星昇財經指標</v>
      </c>
      <c r="C6874" s="80" t="s">
        <v>7413</v>
      </c>
      <c r="D6874" s="81" t="str">
        <f>HYPERLINK("https://youtube.com/watch?v=iY75A7D-qTQ", "【呢一星期賺超過$2萬？】AI 女主持-小Sing🌸分享講解追蹤🔍未來股市動向📈] 13/9/2023 #aiart #寫真 #vtuber")</f>
        <v>【呢一星期賺超過$2萬？】AI 女主持-小Sing🌸分享講解追蹤🔍未來股市動向📈] 13/9/2023 #aiart #寫真 #vtuber</v>
      </c>
      <c r="E6874" s="82">
        <v>45182.0</v>
      </c>
      <c r="F6874" s="80">
        <v>226.0</v>
      </c>
      <c r="G6874" s="80" t="s">
        <v>63</v>
      </c>
      <c r="I6874" s="80" t="s">
        <v>63</v>
      </c>
      <c r="J6874" s="80">
        <v>891.0</v>
      </c>
      <c r="K6874" s="80">
        <v>0.983443708609271</v>
      </c>
      <c r="L6874" s="80" t="s">
        <v>64</v>
      </c>
    </row>
    <row r="6875">
      <c r="A6875" s="80" t="s">
        <v>6960</v>
      </c>
      <c r="B6875" s="81" t="str">
        <f>HYPERLINK("https://www.youtube.com/channel/UCQS2_zzisMq5C_FggxsQwTQ", "Comprehensible Cantonese")</f>
        <v>Comprehensible Cantonese</v>
      </c>
      <c r="C6875" s="80" t="s">
        <v>7414</v>
      </c>
      <c r="D6875" s="81" t="str">
        <f>HYPERLINK("https://youtube.com/watch?v=fZxgAJv-bIk", "[CC] Cantonese IQ Test | Comprehensible Input Cantonese| Cantonese Conversation (Advanced Beginner)")</f>
        <v>[CC] Cantonese IQ Test | Comprehensible Input Cantonese| Cantonese Conversation (Advanced Beginner)</v>
      </c>
      <c r="E6875" s="82">
        <v>45205.0</v>
      </c>
      <c r="F6875" s="80">
        <v>524.0</v>
      </c>
      <c r="G6875" s="80" t="s">
        <v>63</v>
      </c>
      <c r="I6875" s="80" t="s">
        <v>63</v>
      </c>
      <c r="J6875" s="80">
        <v>1157.0</v>
      </c>
      <c r="K6875" s="80">
        <v>0.867316341829085</v>
      </c>
      <c r="L6875" s="80" t="s">
        <v>64</v>
      </c>
    </row>
    <row r="6876">
      <c r="A6876" s="80" t="s">
        <v>248</v>
      </c>
      <c r="B6876" s="81" t="str">
        <f>HYPERLINK("https://www.youtube.com/channel/UCUEJok-GiWaGlv5nIPwk-GQ", "Price.com.hk 香港格價網")</f>
        <v>Price.com.hk 香港格價網</v>
      </c>
      <c r="C6876" s="80" t="s">
        <v>7415</v>
      </c>
      <c r="D6876" s="81" t="str">
        <f>HYPERLINK("https://youtube.com/watch?v=knvvC0WDcGE", "iPhone更新改善散熱｜速度大戰！15 Pro Max對決S23Ultra｜Pixel 8再添AI功能｜輕旗艦Galaxy S23 FE登場｜廣東話 #PriceWeekly 187")</f>
        <v>iPhone更新改善散熱｜速度大戰！15 Pro Max對決S23Ultra｜Pixel 8再添AI功能｜輕旗艦Galaxy S23 FE登場｜廣東話 #PriceWeekly 187</v>
      </c>
      <c r="E6876" s="82">
        <v>45205.0</v>
      </c>
      <c r="F6876" s="80">
        <v>495.0</v>
      </c>
      <c r="G6876" s="80" t="s">
        <v>63</v>
      </c>
      <c r="I6876" s="80" t="s">
        <v>63</v>
      </c>
      <c r="J6876" s="80">
        <v>1759.0</v>
      </c>
      <c r="K6876" s="80">
        <v>0.670606176134197</v>
      </c>
      <c r="L6876" s="80" t="s">
        <v>64</v>
      </c>
    </row>
    <row r="6877">
      <c r="A6877" s="80" t="s">
        <v>6960</v>
      </c>
      <c r="B6877" s="81" t="str">
        <f>HYPERLINK("https://www.youtube.com/channel/UCQS2_zzisMq5C_FggxsQwTQ", "Comprehensible Cantonese")</f>
        <v>Comprehensible Cantonese</v>
      </c>
      <c r="C6877" s="80" t="s">
        <v>7416</v>
      </c>
      <c r="D6877" s="81" t="str">
        <f>HYPERLINK("https://youtube.com/watch?v=gs7-hv17DXA", "[CC] Cantonese Story: Tom and His Family: Tom's bike | Slow &amp; Clear Cantonese|  (Advanced Beginner)")</f>
        <v>[CC] Cantonese Story: Tom and His Family: Tom's bike | Slow &amp; Clear Cantonese|  (Advanced Beginner)</v>
      </c>
      <c r="E6877" s="82">
        <v>45215.0</v>
      </c>
      <c r="F6877" s="80">
        <v>136.0</v>
      </c>
      <c r="G6877" s="80" t="s">
        <v>63</v>
      </c>
      <c r="I6877" s="80" t="s">
        <v>63</v>
      </c>
      <c r="J6877" s="80">
        <v>291.0</v>
      </c>
      <c r="K6877" s="80">
        <v>0.87125748502994</v>
      </c>
      <c r="L6877" s="80" t="s">
        <v>102</v>
      </c>
    </row>
    <row r="6878">
      <c r="A6878" s="80" t="s">
        <v>248</v>
      </c>
      <c r="B6878" s="81" t="str">
        <f>HYPERLINK("https://www.youtube.com/channel/UCUEJok-GiWaGlv5nIPwk-GQ", "Price.com.hk 香港格價網")</f>
        <v>Price.com.hk 香港格價網</v>
      </c>
      <c r="C6878" s="80" t="s">
        <v>7417</v>
      </c>
      <c r="D6878" s="81" t="str">
        <f>HYPERLINK("https://youtube.com/watch?v=Jo4pTd1nLZM", "Bowers &amp; Wilkins Px7 S2e 無線降噪耳機 造功、音色再進化｜罕見森林綠色｜廣東話｜特約專題 #產品介紹")</f>
        <v>Bowers &amp; Wilkins Px7 S2e 無線降噪耳機 造功、音色再進化｜罕見森林綠色｜廣東話｜特約專題 #產品介紹</v>
      </c>
      <c r="E6878" s="82">
        <v>45212.0</v>
      </c>
      <c r="F6878" s="80">
        <v>402.0</v>
      </c>
      <c r="G6878" s="80" t="s">
        <v>63</v>
      </c>
      <c r="I6878" s="80" t="s">
        <v>63</v>
      </c>
      <c r="J6878" s="80">
        <v>1548.0</v>
      </c>
      <c r="K6878" s="80">
        <v>0.815595363540569</v>
      </c>
      <c r="L6878" s="80" t="s">
        <v>64</v>
      </c>
    </row>
    <row r="6879">
      <c r="A6879" s="80" t="s">
        <v>96</v>
      </c>
      <c r="B6879" s="81" t="str">
        <f>HYPERLINK("https://www.youtube.com/channel/UCGtyHJ-L_4RDIHe3XaLofQQ", "Anson Cheung")</f>
        <v>Anson Cheung</v>
      </c>
      <c r="C6879" s="80" t="s">
        <v>7418</v>
      </c>
      <c r="D6879" s="81" t="str">
        <f>HYPERLINK("https://youtube.com/watch?v=20SkoGZ_Vvk", "小米 13T Pro 初步印象評測：史上最平嘅「Leica 相機」？")</f>
        <v>小米 13T Pro 初步印象評測：史上最平嘅「Leica 相機」？</v>
      </c>
      <c r="E6879" s="82">
        <v>45201.0</v>
      </c>
      <c r="F6879" s="80">
        <v>506.0</v>
      </c>
      <c r="G6879" s="80" t="s">
        <v>63</v>
      </c>
      <c r="I6879" s="80" t="s">
        <v>63</v>
      </c>
      <c r="J6879" s="80">
        <v>1782.0</v>
      </c>
      <c r="K6879" s="80">
        <v>0.680152671755725</v>
      </c>
      <c r="L6879" s="80" t="s">
        <v>64</v>
      </c>
    </row>
    <row r="6880">
      <c r="A6880" s="80" t="s">
        <v>248</v>
      </c>
      <c r="B6880" s="81" t="str">
        <f>HYPERLINK("https://www.youtube.com/channel/UCUEJok-GiWaGlv5nIPwk-GQ", "Price.com.hk 香港格價網")</f>
        <v>Price.com.hk 香港格價網</v>
      </c>
      <c r="C6880" s="80" t="s">
        <v>7419</v>
      </c>
      <c r="D6880" s="81" t="str">
        <f>HYPERLINK("https://youtube.com/watch?v=4ABovDJfmDU", "iPhone 15高炒$3500！A17 Pro性能不似預期？Bose QuietComfort Ultra 玩空間音訊｜Nikon全畫幅無反相機Zf｜廣東話 #PriceWeekly 185")</f>
        <v>iPhone 15高炒$3500！A17 Pro性能不似預期？Bose QuietComfort Ultra 玩空間音訊｜Nikon全畫幅無反相機Zf｜廣東話 #PriceWeekly 185</v>
      </c>
      <c r="E6880" s="82">
        <v>45191.0</v>
      </c>
      <c r="F6880" s="80">
        <v>479.0</v>
      </c>
      <c r="G6880" s="80" t="s">
        <v>63</v>
      </c>
      <c r="I6880" s="80" t="s">
        <v>63</v>
      </c>
      <c r="J6880" s="80">
        <v>1850.0</v>
      </c>
      <c r="K6880" s="80">
        <v>0.709355828220858</v>
      </c>
      <c r="L6880" s="80" t="s">
        <v>64</v>
      </c>
    </row>
    <row r="6881">
      <c r="A6881" s="80" t="s">
        <v>6892</v>
      </c>
      <c r="B6881" s="81" t="str">
        <f>HYPERLINK("https://www.youtube.com/channel/UC8_hxeY0nDCL-8ETbcGUZ9g", "PT食為先")</f>
        <v>PT食為先</v>
      </c>
      <c r="C6881" s="80" t="s">
        <v>7420</v>
      </c>
      <c r="D6881" s="81" t="str">
        <f>HYPERLINK("https://youtube.com/watch?v=sAjlfS8Z4v8", "[PT自費食評] 首嚐米芝蓮星級扒房！竟然有任食牛肉？仲包埋前菜甜品！")</f>
        <v>[PT自費食評] 首嚐米芝蓮星級扒房！竟然有任食牛肉？仲包埋前菜甜品！</v>
      </c>
      <c r="E6881" s="82">
        <v>45212.0</v>
      </c>
      <c r="F6881" s="80">
        <v>696.0</v>
      </c>
      <c r="G6881" s="80" t="s">
        <v>63</v>
      </c>
      <c r="I6881" s="80" t="s">
        <v>63</v>
      </c>
      <c r="J6881" s="80">
        <v>1877.0</v>
      </c>
      <c r="K6881" s="80">
        <v>0.853181818181818</v>
      </c>
      <c r="L6881" s="80" t="s">
        <v>64</v>
      </c>
    </row>
    <row r="6882">
      <c r="A6882" s="80" t="s">
        <v>6960</v>
      </c>
      <c r="B6882" s="81" t="str">
        <f>HYPERLINK("https://www.youtube.com/channel/UCQS2_zzisMq5C_FggxsQwTQ", "Comprehensible Cantonese")</f>
        <v>Comprehensible Cantonese</v>
      </c>
      <c r="C6882" s="80" t="s">
        <v>7421</v>
      </c>
      <c r="D6882" s="81" t="str">
        <f>HYPERLINK("https://youtube.com/watch?v=lnei9MYn3po", "[CC] Cantonese Story: Tom's dad has work today, but | Comprehensible Cantonese (Basic Beginner)")</f>
        <v>[CC] Cantonese Story: Tom's dad has work today, but | Comprehensible Cantonese (Basic Beginner)</v>
      </c>
      <c r="E6882" s="82">
        <v>45185.0</v>
      </c>
      <c r="F6882" s="80">
        <v>333.0</v>
      </c>
      <c r="G6882" s="80" t="s">
        <v>63</v>
      </c>
      <c r="I6882" s="80" t="s">
        <v>63</v>
      </c>
      <c r="J6882" s="80">
        <v>418.0</v>
      </c>
      <c r="K6882" s="80">
        <v>0.839357429718875</v>
      </c>
      <c r="L6882" s="80" t="s">
        <v>102</v>
      </c>
    </row>
    <row r="6883">
      <c r="A6883" s="80" t="s">
        <v>6482</v>
      </c>
      <c r="B6883" s="81" t="str">
        <f>HYPERLINK("https://www.youtube.com/channel/UCuxWbKfRuvuKtxTfvFwm5ow", "Cheungtinn")</f>
        <v>Cheungtinn</v>
      </c>
      <c r="C6883" s="80" t="s">
        <v>7422</v>
      </c>
      <c r="D6883" s="81" t="str">
        <f>HYPERLINK("https://youtube.com/watch?v=JFW3nCraxMY", "[生住Cancer去旅行] - 疫情後第一飛之馬爾代夫|海灘屋+水上屋|末期病人可以去旅行? Maldives Trip with a stage 4 cancer patient")</f>
        <v>[生住Cancer去旅行] - 疫情後第一飛之馬爾代夫|海灘屋+水上屋|末期病人可以去旅行? Maldives Trip with a stage 4 cancer patient</v>
      </c>
      <c r="E6883" s="82">
        <v>45177.0</v>
      </c>
      <c r="F6883" s="80">
        <v>944.0</v>
      </c>
      <c r="G6883" s="80" t="s">
        <v>63</v>
      </c>
      <c r="I6883" s="80" t="s">
        <v>63</v>
      </c>
      <c r="J6883" s="80">
        <v>2420.0</v>
      </c>
      <c r="K6883" s="80">
        <v>0.236120597131427</v>
      </c>
      <c r="L6883" s="80" t="s">
        <v>102</v>
      </c>
    </row>
    <row r="6884">
      <c r="A6884" s="80" t="s">
        <v>7423</v>
      </c>
      <c r="B6884" s="81" t="str">
        <f>HYPERLINK("https://www.youtube.com/channel/UCAXcn_ZTy3wdjrJbGqH0BuA", "閱讀粵正Cantonese Literacy")</f>
        <v>閱讀粵正Cantonese Literacy</v>
      </c>
      <c r="C6884" s="80" t="s">
        <v>7424</v>
      </c>
      <c r="D6884" s="81" t="str">
        <f>HYPERLINK("https://youtube.com/watch?v=ebC-QIuWPas", "忌廉中文    -   海外兒童學中文課堂主題曲")</f>
        <v>忌廉中文    -   海外兒童學中文課堂主題曲</v>
      </c>
      <c r="E6884" s="82">
        <v>45175.0</v>
      </c>
      <c r="F6884" s="80">
        <v>36.0</v>
      </c>
      <c r="G6884" s="80" t="s">
        <v>63</v>
      </c>
      <c r="I6884" s="80" t="s">
        <v>63</v>
      </c>
      <c r="J6884" s="80">
        <v>36.0</v>
      </c>
      <c r="K6884" s="80">
        <v>1.0</v>
      </c>
      <c r="L6884" s="80" t="s">
        <v>64</v>
      </c>
    </row>
    <row r="6885">
      <c r="A6885" s="80" t="s">
        <v>755</v>
      </c>
      <c r="B6885" s="81" t="str">
        <f>HYPERLINK("https://www.youtube.com/channel/UCBiJDTc82IM68KVH873VeAw", "Live in Kwangsi廣西人·情·味")</f>
        <v>Live in Kwangsi廣西人·情·味</v>
      </c>
      <c r="C6885" s="80" t="s">
        <v>7425</v>
      </c>
      <c r="D6885" s="81" t="str">
        <f>HYPERLINK("https://youtube.com/watch?v=S0ewPHEs4h0", "從化8號倉奥萊小鎮：廣州地鐵直達嘅行街新去處｜廣東日常實拍 20231014")</f>
        <v>從化8號倉奥萊小鎮：廣州地鐵直達嘅行街新去處｜廣東日常實拍 20231014</v>
      </c>
      <c r="E6885" s="82">
        <v>45226.0</v>
      </c>
      <c r="F6885" s="80">
        <v>339.0</v>
      </c>
      <c r="G6885" s="80" t="s">
        <v>63</v>
      </c>
      <c r="I6885" s="80" t="s">
        <v>63</v>
      </c>
      <c r="J6885" s="80">
        <v>268.0</v>
      </c>
      <c r="K6885" s="80">
        <v>0.99628252788104</v>
      </c>
      <c r="L6885" s="80" t="s">
        <v>757</v>
      </c>
    </row>
    <row r="6886">
      <c r="A6886" s="80" t="s">
        <v>248</v>
      </c>
      <c r="B6886" s="81" t="str">
        <f>HYPERLINK("https://www.youtube.com/channel/UCUEJok-GiWaGlv5nIPwk-GQ", "Price.com.hk 香港格價網")</f>
        <v>Price.com.hk 香港格價網</v>
      </c>
      <c r="C6886" s="80" t="s">
        <v>7426</v>
      </c>
      <c r="D6886" s="81" t="str">
        <f>HYPERLINK("https://youtube.com/watch?v=xM1FlJBMGG0", "防盜眼 + 門鐘！Yale新款多功能推拉式電子門鎖｜手機App輕鬆管理門鎖｜廣東話｜特約專題 #產品介紹")</f>
        <v>防盜眼 + 門鐘！Yale新款多功能推拉式電子門鎖｜手機App輕鬆管理門鎖｜廣東話｜特約專題 #產品介紹</v>
      </c>
      <c r="E6886" s="82">
        <v>45204.0</v>
      </c>
      <c r="F6886" s="80">
        <v>456.0</v>
      </c>
      <c r="G6886" s="80" t="s">
        <v>63</v>
      </c>
      <c r="I6886" s="80" t="s">
        <v>63</v>
      </c>
      <c r="J6886" s="80">
        <v>1946.0</v>
      </c>
      <c r="K6886" s="80">
        <v>0.2115907361096</v>
      </c>
      <c r="L6886" s="80" t="s">
        <v>64</v>
      </c>
    </row>
    <row r="6887">
      <c r="A6887" s="80" t="s">
        <v>2041</v>
      </c>
      <c r="B6887" s="81" t="str">
        <f>HYPERLINK("https://www.youtube.com/channel/UCO6pB-ZN4XJ6MVkibvuEe0A", "SingSingTracker 星昇財經指標")</f>
        <v>SingSingTracker 星昇財經指標</v>
      </c>
      <c r="C6887" s="80" t="s">
        <v>7427</v>
      </c>
      <c r="D6887" s="81" t="str">
        <f>HYPERLINK("https://youtube.com/watch?v=tNP-27aSs00", "【呢一星期賺幾多呢~？】AI 女主持-小Sing🌸分享講解追蹤🔍未來股市動向📈] 11/10/2023 #aiart #寫真 #vtuber")</f>
        <v>【呢一星期賺幾多呢~？】AI 女主持-小Sing🌸分享講解追蹤🔍未來股市動向📈] 11/10/2023 #aiart #寫真 #vtuber</v>
      </c>
      <c r="E6887" s="82">
        <v>45210.0</v>
      </c>
      <c r="F6887" s="80">
        <v>157.0</v>
      </c>
      <c r="G6887" s="80" t="s">
        <v>63</v>
      </c>
      <c r="I6887" s="80" t="s">
        <v>63</v>
      </c>
      <c r="J6887" s="80">
        <v>570.0</v>
      </c>
      <c r="K6887" s="80">
        <v>0.984455958549222</v>
      </c>
      <c r="L6887" s="80" t="s">
        <v>64</v>
      </c>
    </row>
    <row r="6888">
      <c r="A6888" s="80" t="s">
        <v>96</v>
      </c>
      <c r="B6888" s="81" t="str">
        <f>HYPERLINK("https://www.youtube.com/channel/UCGtyHJ-L_4RDIHe3XaLofQQ", "Anson Cheung")</f>
        <v>Anson Cheung</v>
      </c>
      <c r="C6888" s="80" t="s">
        <v>7428</v>
      </c>
      <c r="D6888" s="81" t="str">
        <f>HYPERLINK("https://youtube.com/watch?v=8MrjFYOU-kE", "iPhone 15 Pro Max 開箱+初步體驗：係咪真係「唧牙膏」呢？")</f>
        <v>iPhone 15 Pro Max 開箱+初步體驗：係咪真係「唧牙膏」呢？</v>
      </c>
      <c r="E6888" s="82">
        <v>45192.0</v>
      </c>
      <c r="F6888" s="80">
        <v>892.0</v>
      </c>
      <c r="G6888" s="80" t="s">
        <v>63</v>
      </c>
      <c r="I6888" s="80" t="s">
        <v>63</v>
      </c>
      <c r="J6888" s="80">
        <v>3173.0</v>
      </c>
      <c r="K6888" s="80">
        <v>0.722449908925318</v>
      </c>
      <c r="L6888" s="80" t="s">
        <v>64</v>
      </c>
    </row>
    <row r="6889">
      <c r="A6889" s="80" t="s">
        <v>6960</v>
      </c>
      <c r="B6889" s="81" t="str">
        <f>HYPERLINK("https://www.youtube.com/channel/UCQS2_zzisMq5C_FggxsQwTQ", "Comprehensible Cantonese")</f>
        <v>Comprehensible Cantonese</v>
      </c>
      <c r="C6889" s="80" t="s">
        <v>7429</v>
      </c>
      <c r="D6889" s="81" t="str">
        <f>HYPERLINK("https://youtube.com/watch?v=IBGmItvChoc", "[CC] You don't have to be a genius to learn a new language. | Comprehensible Cantonese| Intermediate")</f>
        <v>[CC] You don't have to be a genius to learn a new language. | Comprehensible Cantonese| Intermediate</v>
      </c>
      <c r="E6889" s="82">
        <v>45198.0</v>
      </c>
      <c r="F6889" s="80">
        <v>674.0</v>
      </c>
      <c r="G6889" s="80" t="s">
        <v>63</v>
      </c>
      <c r="I6889" s="80" t="s">
        <v>63</v>
      </c>
      <c r="J6889" s="80">
        <v>1891.0</v>
      </c>
      <c r="K6889" s="80">
        <v>0.910447761194029</v>
      </c>
      <c r="L6889" s="80" t="s">
        <v>64</v>
      </c>
    </row>
    <row r="6890">
      <c r="A6890" s="80" t="s">
        <v>260</v>
      </c>
      <c r="B6890" s="81" t="str">
        <f>HYPERLINK("https://www.youtube.com/channel/UC-HXOikkLx7BGEfILGIpYOg", "港短 . 英移")</f>
        <v>港短 . 英移</v>
      </c>
      <c r="C6890" s="80" t="s">
        <v>7430</v>
      </c>
      <c r="D6890" s="81" t="str">
        <f>HYPERLINK("https://youtube.com/watch?v=pccdnnAGEzg", "點解法國人歧視英國人? | 征服者威廉 - 最後一個跨海入侵英國的征服者 | 港短英移")</f>
        <v>點解法國人歧視英國人? | 征服者威廉 - 最後一個跨海入侵英國的征服者 | 港短英移</v>
      </c>
      <c r="E6890" s="82">
        <v>45198.0</v>
      </c>
      <c r="F6890" s="80">
        <v>415.0</v>
      </c>
      <c r="G6890" s="80" t="s">
        <v>63</v>
      </c>
      <c r="I6890" s="80" t="s">
        <v>63</v>
      </c>
      <c r="J6890" s="80">
        <v>1893.0</v>
      </c>
      <c r="K6890" s="80">
        <v>0.968781985670419</v>
      </c>
      <c r="L6890" s="80" t="s">
        <v>102</v>
      </c>
    </row>
    <row r="6891">
      <c r="A6891" s="80" t="s">
        <v>242</v>
      </c>
      <c r="B6891" s="81" t="str">
        <f>HYPERLINK("https://www.youtube.com/channel/UCZGVB6g74LXWtkR3fX50ykg", "Edwin H.")</f>
        <v>Edwin H.</v>
      </c>
      <c r="C6891" s="80" t="s">
        <v>7431</v>
      </c>
      <c r="D6891" s="81" t="str">
        <f>HYPERLINK("https://youtube.com/watch?v=doyscFQPqjc", "5個關於iPhone 15 Pro 必須知道的事 | iPhone 15 Pro 終極評測 | Q&amp;A問答")</f>
        <v>5個關於iPhone 15 Pro 必須知道的事 | iPhone 15 Pro 終極評測 | Q&amp;A問答</v>
      </c>
      <c r="E6891" s="82">
        <v>45201.0</v>
      </c>
      <c r="F6891" s="80">
        <v>1449.0</v>
      </c>
      <c r="G6891" s="80" t="s">
        <v>63</v>
      </c>
      <c r="I6891" s="80" t="s">
        <v>63</v>
      </c>
      <c r="J6891" s="80">
        <v>6281.0</v>
      </c>
      <c r="K6891" s="80">
        <v>0.790460609111502</v>
      </c>
      <c r="L6891" s="80" t="s">
        <v>64</v>
      </c>
    </row>
    <row r="6892">
      <c r="A6892" s="80" t="s">
        <v>248</v>
      </c>
      <c r="B6892" s="81" t="str">
        <f>HYPERLINK("https://www.youtube.com/channel/UCUEJok-GiWaGlv5nIPwk-GQ", "Price.com.hk 香港格價網")</f>
        <v>Price.com.hk 香港格價網</v>
      </c>
      <c r="C6892" s="80" t="s">
        <v>7432</v>
      </c>
      <c r="D6892" s="81" t="str">
        <f>HYPERLINK("https://youtube.com/watch?v=zP10QYsO2Q8", "iPhone15 13號發布｜挑戰Apple Display！Samsung 5K Mon開賣｜小米13T國外搶先開箱｜Lenovo掌機配2K 144hz螢幕？廣東話 #PriceWeekly 182")</f>
        <v>iPhone15 13號發布｜挑戰Apple Display！Samsung 5K Mon開賣｜小米13T國外搶先開箱｜Lenovo掌機配2K 144hz螢幕？廣東話 #PriceWeekly 182</v>
      </c>
      <c r="E6892" s="82">
        <v>45171.0</v>
      </c>
      <c r="F6892" s="80">
        <v>461.0</v>
      </c>
      <c r="G6892" s="80" t="s">
        <v>63</v>
      </c>
      <c r="I6892" s="80" t="s">
        <v>63</v>
      </c>
      <c r="J6892" s="80">
        <v>1810.0</v>
      </c>
      <c r="K6892" s="80">
        <v>0.718253968253968</v>
      </c>
      <c r="L6892" s="80" t="s">
        <v>64</v>
      </c>
    </row>
    <row r="6893">
      <c r="A6893" s="80" t="s">
        <v>217</v>
      </c>
      <c r="B6893" s="81" t="str">
        <f>HYPERLINK("https://www.youtube.com/channel/UCXKg0qPRz32bs5Z4mTGF3TQ", "Stormtrooper白兵")</f>
        <v>Stormtrooper白兵</v>
      </c>
      <c r="C6893" s="80" t="s">
        <v>7433</v>
      </c>
      <c r="D6893" s="81" t="str">
        <f>HYPERLINK("https://youtube.com/watch?v=wK6c0ypSKbs", "[Jpex懶人包]我拒絕了100萬廣告費！｜背後係大賭李嘉誠，141叫雞網？｜想提款就打人？")</f>
        <v>[Jpex懶人包]我拒絕了100萬廣告費！｜背後係大賭李嘉誠，141叫雞網？｜想提款就打人？</v>
      </c>
      <c r="E6893" s="82">
        <v>45190.0</v>
      </c>
      <c r="F6893" s="80">
        <v>1122.0</v>
      </c>
      <c r="G6893" s="80" t="s">
        <v>63</v>
      </c>
      <c r="I6893" s="80" t="s">
        <v>63</v>
      </c>
      <c r="J6893" s="80">
        <v>4042.0</v>
      </c>
      <c r="K6893" s="80">
        <v>0.886792452830188</v>
      </c>
      <c r="L6893" s="80" t="s">
        <v>64</v>
      </c>
    </row>
    <row r="6894">
      <c r="A6894" s="80" t="s">
        <v>6960</v>
      </c>
      <c r="B6894" s="81" t="str">
        <f>HYPERLINK("https://www.youtube.com/channel/UCQS2_zzisMq5C_FggxsQwTQ", "Comprehensible Cantonese")</f>
        <v>Comprehensible Cantonese</v>
      </c>
      <c r="C6894" s="80" t="s">
        <v>7434</v>
      </c>
      <c r="D6894" s="81" t="str">
        <f>HYPERLINK("https://youtube.com/watch?v=8FO5WRK7_Ho", "Do you want to learn Cantonese with us? Watch this video!| Learn Cantonese Online| TPRS Cantonese")</f>
        <v>Do you want to learn Cantonese with us? Watch this video!| Learn Cantonese Online| TPRS Cantonese</v>
      </c>
      <c r="E6894" s="82">
        <v>45189.0</v>
      </c>
      <c r="F6894" s="80">
        <v>20.0</v>
      </c>
      <c r="G6894" s="80" t="s">
        <v>63</v>
      </c>
      <c r="I6894" s="80" t="s">
        <v>63</v>
      </c>
      <c r="J6894" s="80">
        <v>78.0</v>
      </c>
      <c r="K6894" s="80">
        <v>0.939759036144578</v>
      </c>
      <c r="L6894" s="80" t="s">
        <v>102</v>
      </c>
    </row>
    <row r="6895">
      <c r="A6895" s="80" t="s">
        <v>7410</v>
      </c>
      <c r="B6895" s="81" t="str">
        <f>HYPERLINK("https://www.youtube.com/channel/UCcuqs5kaRYbqBE5cX7hRXHw", "Sam先生 - 電影日誌")</f>
        <v>Sam先生 - 電影日誌</v>
      </c>
      <c r="C6895" s="80" t="s">
        <v>7435</v>
      </c>
      <c r="D6895" s="81" t="str">
        <f>HYPERLINK("https://youtube.com/watch?v=ySV8ri0jTjk", "♫音聲細戲 ep1 JanCurious 亞水｜點解搞Tone Music? 觸執毛時期最迷失? 會追住電影配樂家睇戲? | 音樂人訪談系列｜Sam先生 Annieway主持")</f>
        <v>♫音聲細戲 ep1 JanCurious 亞水｜點解搞Tone Music? 觸執毛時期最迷失? 會追住電影配樂家睇戲? | 音樂人訪談系列｜Sam先生 Annieway主持</v>
      </c>
      <c r="E6895" s="82">
        <v>45155.0</v>
      </c>
      <c r="F6895" s="80">
        <v>4917.0</v>
      </c>
      <c r="G6895" s="80" t="s">
        <v>63</v>
      </c>
      <c r="I6895" s="80" t="s">
        <v>63</v>
      </c>
      <c r="J6895" s="80">
        <v>18591.0</v>
      </c>
      <c r="K6895" s="80">
        <v>0.877472034738283</v>
      </c>
      <c r="L6895" s="80" t="s">
        <v>64</v>
      </c>
    </row>
    <row r="6896">
      <c r="A6896" s="80" t="s">
        <v>242</v>
      </c>
      <c r="B6896" s="81" t="str">
        <f>HYPERLINK("https://www.youtube.com/channel/UCZGVB6g74LXWtkR3fX50ykg", "Edwin H.")</f>
        <v>Edwin H.</v>
      </c>
      <c r="C6896" s="80" t="s">
        <v>7436</v>
      </c>
      <c r="D6896" s="81" t="str">
        <f>HYPERLINK("https://youtube.com/watch?v=cg2q-NjN_lk", "不要買""它""！會火燭！🔥  80件必睇科技新品  8月9月10月 有趣科技新聞")</f>
        <v>不要買"它"！會火燭！🔥  80件必睇科技新品  8月9月10月 有趣科技新聞</v>
      </c>
      <c r="E6896" s="82">
        <v>45220.0</v>
      </c>
      <c r="F6896" s="80">
        <v>1199.0</v>
      </c>
      <c r="G6896" s="80" t="s">
        <v>63</v>
      </c>
      <c r="I6896" s="80" t="s">
        <v>63</v>
      </c>
      <c r="J6896" s="80">
        <v>4911.0</v>
      </c>
      <c r="K6896" s="80">
        <v>0.706009200690051</v>
      </c>
      <c r="L6896" s="80" t="s">
        <v>64</v>
      </c>
    </row>
    <row r="6897">
      <c r="A6897" s="80" t="s">
        <v>5134</v>
      </c>
      <c r="B6897" s="81" t="str">
        <f>HYPERLINK("https://www.youtube.com/channel/UCGq7xle9PrLHpmdxrk0IlLw", "磚加專家 Danny Ching Top10%地產局金牌經紀百萬圓桌")</f>
        <v>磚加專家 Danny Ching Top10%地產局金牌經紀百萬圓桌</v>
      </c>
      <c r="C6897" s="80" t="s">
        <v>7437</v>
      </c>
      <c r="D6897" s="81" t="str">
        <f>HYPERLINK("https://youtube.com/watch?v=MXVrmQFv4kc", "【收緊票啦】平過2手樓花 Riviera at Metrotown 鐵路鎮 LedMac百年建商 $11xx/尺 實用2房 超大露台 用料上乘 用家首選 近社區中心+地鐵+商場 $0.47/超平管理費")</f>
        <v>【收緊票啦】平過2手樓花 Riviera at Metrotown 鐵路鎮 LedMac百年建商 $11xx/尺 實用2房 超大露台 用料上乘 用家首選 近社區中心+地鐵+商場 $0.47/超平管理費</v>
      </c>
      <c r="E6897" s="82">
        <v>45194.0</v>
      </c>
      <c r="F6897" s="80">
        <v>2049.0</v>
      </c>
      <c r="G6897" s="80" t="s">
        <v>63</v>
      </c>
      <c r="I6897" s="80" t="s">
        <v>63</v>
      </c>
      <c r="J6897" s="80">
        <v>6541.0</v>
      </c>
      <c r="K6897" s="80">
        <v>0.685280251440544</v>
      </c>
      <c r="L6897" s="80" t="s">
        <v>102</v>
      </c>
    </row>
    <row r="6898">
      <c r="A6898" s="80" t="s">
        <v>248</v>
      </c>
      <c r="B6898" s="81" t="str">
        <f t="shared" ref="B6898:B6900" si="400">HYPERLINK("https://www.youtube.com/channel/UCUEJok-GiWaGlv5nIPwk-GQ", "Price.com.hk 香港格價網")</f>
        <v>Price.com.hk 香港格價網</v>
      </c>
      <c r="C6898" s="80" t="s">
        <v>7438</v>
      </c>
      <c r="D6898" s="81" t="str">
        <f>HYPERLINK("https://youtube.com/watch?v=1TeZT4WTlAI", "耳窩內的極致交響樂！Focal Bathys點做到24bits/192khz？｜特約專題｜廣東話｜特約專題 #產品介紹")</f>
        <v>耳窩內的極致交響樂！Focal Bathys點做到24bits/192khz？｜特約專題｜廣東話｜特約專題 #產品介紹</v>
      </c>
      <c r="E6898" s="82">
        <v>45180.0</v>
      </c>
      <c r="F6898" s="80">
        <v>389.0</v>
      </c>
      <c r="G6898" s="80" t="s">
        <v>63</v>
      </c>
      <c r="I6898" s="80" t="s">
        <v>63</v>
      </c>
      <c r="J6898" s="80">
        <v>1379.0</v>
      </c>
      <c r="K6898" s="80">
        <v>0.695410993444276</v>
      </c>
      <c r="L6898" s="80" t="s">
        <v>64</v>
      </c>
    </row>
    <row r="6899">
      <c r="A6899" s="80" t="s">
        <v>248</v>
      </c>
      <c r="B6899" s="81" t="str">
        <f t="shared" si="400"/>
        <v>Price.com.hk 香港格價網</v>
      </c>
      <c r="C6899" s="80" t="s">
        <v>7439</v>
      </c>
      <c r="D6899" s="81" t="str">
        <f>HYPERLINK("https://youtube.com/watch?v=vo_3tGM1W4k", "iPhone 15 Pro Max性能散熱評測｜對比14 Pro Max及S23 Ultra｜A17 Pro vs A16 Bionic vs Snapdragon 8 Gen 2｜廣東話 #產品評測")</f>
        <v>iPhone 15 Pro Max性能散熱評測｜對比14 Pro Max及S23 Ultra｜A17 Pro vs A16 Bionic vs Snapdragon 8 Gen 2｜廣東話 #產品評測</v>
      </c>
      <c r="E6899" s="82">
        <v>45198.0</v>
      </c>
      <c r="F6899" s="80">
        <v>473.0</v>
      </c>
      <c r="G6899" s="80" t="s">
        <v>63</v>
      </c>
      <c r="I6899" s="80" t="s">
        <v>63</v>
      </c>
      <c r="J6899" s="80">
        <v>1809.0</v>
      </c>
      <c r="K6899" s="80">
        <v>0.6920428462127</v>
      </c>
      <c r="L6899" s="80" t="s">
        <v>64</v>
      </c>
    </row>
    <row r="6900">
      <c r="A6900" s="80" t="s">
        <v>248</v>
      </c>
      <c r="B6900" s="81" t="str">
        <f t="shared" si="400"/>
        <v>Price.com.hk 香港格價網</v>
      </c>
      <c r="C6900" s="80" t="s">
        <v>7440</v>
      </c>
      <c r="D6900" s="81" t="str">
        <f>HYPERLINK("https://youtube.com/watch?v=qOKsWS6FoVU", "iPhone15 Pro跟機線冇快傳？$200風筒媲美Dyson！Intel Thunderbolt 5下年現世｜Whatsapp變身成Channel｜廣東話 #PriceWeekly 184")</f>
        <v>iPhone15 Pro跟機線冇快傳？$200風筒媲美Dyson！Intel Thunderbolt 5下年現世｜Whatsapp變身成Channel｜廣東話 #PriceWeekly 184</v>
      </c>
      <c r="E6900" s="82">
        <v>45185.0</v>
      </c>
      <c r="F6900" s="80">
        <v>470.0</v>
      </c>
      <c r="G6900" s="80" t="s">
        <v>63</v>
      </c>
      <c r="I6900" s="80" t="s">
        <v>63</v>
      </c>
      <c r="J6900" s="80">
        <v>1754.0</v>
      </c>
      <c r="K6900" s="80">
        <v>0.735429769392033</v>
      </c>
      <c r="L6900" s="80" t="s">
        <v>64</v>
      </c>
    </row>
    <row r="6901">
      <c r="A6901" s="80" t="s">
        <v>755</v>
      </c>
      <c r="B6901" s="81" t="str">
        <f t="shared" ref="B6901:B6902" si="401">HYPERLINK("https://www.youtube.com/channel/UCBiJDTc82IM68KVH873VeAw", "Live in Kwangsi廣西人·情·味")</f>
        <v>Live in Kwangsi廣西人·情·味</v>
      </c>
      <c r="C6901" s="80" t="s">
        <v>7441</v>
      </c>
      <c r="D6901" s="81" t="str">
        <f>HYPERLINK("https://youtube.com/watch?v=Kw6e7x8Bw5k", "廣州大佛寺：繁華都市入面嘅一笪淨土｜廣東日常實拍 20230729")</f>
        <v>廣州大佛寺：繁華都市入面嘅一笪淨土｜廣東日常實拍 20230729</v>
      </c>
      <c r="E6901" s="82">
        <v>45188.0</v>
      </c>
      <c r="F6901" s="80">
        <v>203.0</v>
      </c>
      <c r="G6901" s="80" t="s">
        <v>63</v>
      </c>
      <c r="I6901" s="80" t="s">
        <v>63</v>
      </c>
      <c r="J6901" s="80">
        <v>650.0</v>
      </c>
      <c r="K6901" s="80">
        <v>0.995405819295558</v>
      </c>
      <c r="L6901" s="80" t="s">
        <v>757</v>
      </c>
    </row>
    <row r="6902">
      <c r="A6902" s="80" t="s">
        <v>755</v>
      </c>
      <c r="B6902" s="81" t="str">
        <f t="shared" si="401"/>
        <v>Live in Kwangsi廣西人·情·味</v>
      </c>
      <c r="C6902" s="80" t="s">
        <v>7442</v>
      </c>
      <c r="D6902" s="81" t="str">
        <f>HYPERLINK("https://youtube.com/watch?v=Yp_v8ATJ5Sc", "廣州石室聖心大教堂：媲美法國巴黎聖母院嘅哥德式全石結構教堂｜廣東日常實拍 20230729")</f>
        <v>廣州石室聖心大教堂：媲美法國巴黎聖母院嘅哥德式全石結構教堂｜廣東日常實拍 20230729</v>
      </c>
      <c r="E6902" s="82">
        <v>45180.0</v>
      </c>
      <c r="F6902" s="80">
        <v>175.0</v>
      </c>
      <c r="G6902" s="80" t="s">
        <v>63</v>
      </c>
      <c r="I6902" s="80" t="s">
        <v>63</v>
      </c>
      <c r="J6902" s="80">
        <v>533.0</v>
      </c>
      <c r="K6902" s="80">
        <v>0.917383820998278</v>
      </c>
      <c r="L6902" s="80" t="s">
        <v>757</v>
      </c>
    </row>
    <row r="6903">
      <c r="A6903" s="80" t="s">
        <v>124</v>
      </c>
      <c r="B6903" s="81" t="str">
        <f>HYPERLINK("https://www.youtube.com/channel/UCg0vuSE0fBF_NvodyYhMcWg", "Wallace Studio HK")</f>
        <v>Wallace Studio HK</v>
      </c>
      <c r="C6903" s="80" t="s">
        <v>7443</v>
      </c>
      <c r="D6903" s="81" t="str">
        <f>HYPERLINK("https://youtube.com/watch?v=enOnQ323qck", "MOSS 2023 大學生手提電腦選購全指南 (輕薄本)")</f>
        <v>MOSS 2023 大學生手提電腦選購全指南 (輕薄本)</v>
      </c>
      <c r="E6903" s="82">
        <v>45172.0</v>
      </c>
      <c r="F6903" s="80">
        <v>709.0</v>
      </c>
      <c r="G6903" s="80" t="s">
        <v>63</v>
      </c>
      <c r="I6903" s="80" t="s">
        <v>63</v>
      </c>
      <c r="J6903" s="80">
        <v>2611.0</v>
      </c>
      <c r="K6903" s="80">
        <v>0.728718950600055</v>
      </c>
      <c r="L6903" s="80" t="s">
        <v>64</v>
      </c>
    </row>
    <row r="6904">
      <c r="A6904" s="80" t="s">
        <v>6892</v>
      </c>
      <c r="B6904" s="81" t="str">
        <f>HYPERLINK("https://www.youtube.com/channel/UC8_hxeY0nDCL-8ETbcGUZ9g", "PT食為先")</f>
        <v>PT食為先</v>
      </c>
      <c r="C6904" s="80" t="s">
        <v>7444</v>
      </c>
      <c r="D6904" s="81" t="str">
        <f>HYPERLINK("https://youtube.com/watch?v=D7M2M4xbryI", "[PT自費食評] 啤酒任飲！大閘蟹任食！銅鑼灣無節制放題3小時！日式刺身＋壽司🍣仲有泰式豬手／炸蝦餅／辣椒膏炒蜆")</f>
        <v>[PT自費食評] 啤酒任飲！大閘蟹任食！銅鑼灣無節制放題3小時！日式刺身＋壽司🍣仲有泰式豬手／炸蝦餅／辣椒膏炒蜆</v>
      </c>
      <c r="E6904" s="82">
        <v>45197.0</v>
      </c>
      <c r="F6904" s="80">
        <v>896.0</v>
      </c>
      <c r="G6904" s="80" t="s">
        <v>63</v>
      </c>
      <c r="I6904" s="80" t="s">
        <v>63</v>
      </c>
      <c r="J6904" s="80">
        <v>2409.0</v>
      </c>
      <c r="K6904" s="80">
        <v>0.954437400950871</v>
      </c>
      <c r="L6904" s="80" t="s">
        <v>64</v>
      </c>
    </row>
    <row r="6905">
      <c r="A6905" s="80" t="s">
        <v>7099</v>
      </c>
      <c r="B6905" s="81" t="str">
        <f>HYPERLINK("https://www.youtube.com/channel/UCBwfrMS785JyWDUBRhOQkjw", "Karenly :")</f>
        <v>Karenly :</v>
      </c>
      <c r="C6905" s="80" t="s">
        <v>7445</v>
      </c>
      <c r="D6905" s="81" t="str">
        <f>HYPERLINK("https://youtube.com/watch?v=_S3575uuljI", "日系旗艦無線降噪耳機  Technics EAH-AZ80 音質更Pure｜ 用後感評測｜同場有EAH-AZ60M2｜繁中字幕｜廣東話【Karenly:】")</f>
        <v>日系旗艦無線降噪耳機  Technics EAH-AZ80 音質更Pure｜ 用後感評測｜同場有EAH-AZ60M2｜繁中字幕｜廣東話【Karenly:】</v>
      </c>
      <c r="E6905" s="82">
        <v>45196.0</v>
      </c>
      <c r="F6905" s="80">
        <v>419.0</v>
      </c>
      <c r="G6905" s="80" t="s">
        <v>63</v>
      </c>
      <c r="I6905" s="80" t="s">
        <v>63</v>
      </c>
      <c r="J6905" s="80">
        <v>1610.0</v>
      </c>
      <c r="K6905" s="80">
        <v>0.811083123425692</v>
      </c>
      <c r="L6905" s="80" t="s">
        <v>64</v>
      </c>
    </row>
    <row r="6906">
      <c r="A6906" s="80" t="s">
        <v>6960</v>
      </c>
      <c r="B6906" s="81" t="str">
        <f>HYPERLINK("https://www.youtube.com/channel/UCQS2_zzisMq5C_FggxsQwTQ", "Comprehensible Cantonese")</f>
        <v>Comprehensible Cantonese</v>
      </c>
      <c r="C6906" s="80" t="s">
        <v>7446</v>
      </c>
      <c r="D6906" s="81" t="str">
        <f>HYPERLINK("https://youtube.com/watch?v=YP0yjyuvVxI", "[CC]  廣東話 Cantonese Story: Tom and his Family| Slow &amp; Clear Cantonese|  Basic Beginner Cantonese")</f>
        <v>[CC]  廣東話 Cantonese Story: Tom and his Family| Slow &amp; Clear Cantonese|  Basic Beginner Cantonese</v>
      </c>
      <c r="E6906" s="82">
        <v>45176.0</v>
      </c>
      <c r="F6906" s="80">
        <v>200.0</v>
      </c>
      <c r="G6906" s="80" t="s">
        <v>63</v>
      </c>
      <c r="I6906" s="80" t="s">
        <v>63</v>
      </c>
      <c r="J6906" s="80">
        <v>258.0</v>
      </c>
      <c r="K6906" s="80">
        <v>0.868686868686868</v>
      </c>
      <c r="L6906" s="80" t="s">
        <v>102</v>
      </c>
    </row>
    <row r="6907">
      <c r="A6907" s="80" t="s">
        <v>2766</v>
      </c>
      <c r="B6907" s="81" t="str">
        <f>HYPERLINK("https://www.youtube.com/channel/UCrZG5sGryxwgSDQSlHgmZTw", "GadgetGang HK")</f>
        <v>GadgetGang HK</v>
      </c>
      <c r="C6907" s="80" t="s">
        <v>7447</v>
      </c>
      <c r="D6907" s="81" t="str">
        <f>HYPERLINK("https://youtube.com/watch?v=f4w9b8KoC1w", "iPhone15 懶人包〡Apple 發佈會〡一片睇盡 iPhone 15 Pro Max/15 Pro/15 Plus/15 賣點及差別｜新 Apple Watch 系列 邊度升級？〡全線新機重點")</f>
        <v>iPhone15 懶人包〡Apple 發佈會〡一片睇盡 iPhone 15 Pro Max/15 Pro/15 Plus/15 賣點及差別｜新 Apple Watch 系列 邊度升級？〡全線新機重點</v>
      </c>
      <c r="E6907" s="82">
        <v>45182.0</v>
      </c>
      <c r="F6907" s="80">
        <v>727.0</v>
      </c>
      <c r="G6907" s="80" t="s">
        <v>63</v>
      </c>
      <c r="I6907" s="80" t="s">
        <v>63</v>
      </c>
      <c r="J6907" s="80">
        <v>2512.0</v>
      </c>
      <c r="K6907" s="80">
        <v>0.714448236632537</v>
      </c>
      <c r="L6907" s="80" t="s">
        <v>64</v>
      </c>
    </row>
    <row r="6908">
      <c r="A6908" s="80" t="s">
        <v>755</v>
      </c>
      <c r="B6908" s="81" t="str">
        <f>HYPERLINK("https://www.youtube.com/channel/UCBiJDTc82IM68KVH873VeAw", "Live in Kwangsi廣西人·情·味")</f>
        <v>Live in Kwangsi廣西人·情·味</v>
      </c>
      <c r="C6908" s="80" t="s">
        <v>7448</v>
      </c>
      <c r="D6908" s="81" t="str">
        <f>HYPERLINK("https://youtube.com/watch?v=8S2apt1WZ-k", "廣州市流花湖公園：市內休閒、攝影好去處｜廣東日常實拍 20230909")</f>
        <v>廣州市流花湖公園：市內休閒、攝影好去處｜廣東日常實拍 20230909</v>
      </c>
      <c r="E6908" s="82">
        <v>45211.0</v>
      </c>
      <c r="F6908" s="80">
        <v>151.0</v>
      </c>
      <c r="G6908" s="80" t="s">
        <v>63</v>
      </c>
      <c r="I6908" s="80" t="s">
        <v>63</v>
      </c>
      <c r="J6908" s="80">
        <v>430.0</v>
      </c>
      <c r="K6908" s="80">
        <v>0.964125560538116</v>
      </c>
      <c r="L6908" s="80" t="s">
        <v>757</v>
      </c>
    </row>
    <row r="6909">
      <c r="A6909" s="80" t="s">
        <v>6960</v>
      </c>
      <c r="B6909" s="81" t="str">
        <f>HYPERLINK("https://www.youtube.com/channel/UCQS2_zzisMq5C_FggxsQwTQ", "Comprehensible Cantonese")</f>
        <v>Comprehensible Cantonese</v>
      </c>
      <c r="C6909" s="80" t="s">
        <v>7449</v>
      </c>
      <c r="D6909" s="81" t="str">
        <f>HYPERLINK("https://youtube.com/watch?v=YAfo7S_heMM", "[CC] 🌕Homemade mooncakes for Mid-Autumn Festival? | Comprehensible Cantonese (Advanced Beginner )")</f>
        <v>[CC] 🌕Homemade mooncakes for Mid-Autumn Festival? | Comprehensible Cantonese (Advanced Beginner )</v>
      </c>
      <c r="E6909" s="82">
        <v>45191.0</v>
      </c>
      <c r="F6909" s="80">
        <v>160.0</v>
      </c>
      <c r="G6909" s="80" t="s">
        <v>63</v>
      </c>
      <c r="I6909" s="80" t="s">
        <v>63</v>
      </c>
      <c r="J6909" s="80">
        <v>404.0</v>
      </c>
      <c r="K6909" s="80">
        <v>0.957345971563981</v>
      </c>
      <c r="L6909" s="80" t="s">
        <v>102</v>
      </c>
    </row>
    <row r="6910">
      <c r="A6910" s="80" t="s">
        <v>2829</v>
      </c>
      <c r="B6910" s="81" t="str">
        <f>HYPERLINK("https://www.youtube.com/channel/UC7GnES6AEQlDzaP04UqtyjA", "SOLID IDEA")</f>
        <v>SOLID IDEA</v>
      </c>
      <c r="C6910" s="80" t="s">
        <v>7450</v>
      </c>
      <c r="D6910" s="81" t="str">
        <f>HYPERLINK("https://youtube.com/watch?v=lyheUbpQMMQ", "【設計 • idea】青衣．灝景灣 | 538呎｜鑽石廳拉直會唔會少左空間感？｜設計 • idea｜Solid Idea｜室內設計｜家居規劃｜星級設計｜［CC字幕］")</f>
        <v>【設計 • idea】青衣．灝景灣 | 538呎｜鑽石廳拉直會唔會少左空間感？｜設計 • idea｜Solid Idea｜室內設計｜家居規劃｜星級設計｜［CC字幕］</v>
      </c>
      <c r="E6910" s="82">
        <v>45216.0</v>
      </c>
      <c r="F6910" s="80">
        <v>165.0</v>
      </c>
      <c r="G6910" s="80" t="s">
        <v>63</v>
      </c>
      <c r="I6910" s="80" t="s">
        <v>63</v>
      </c>
      <c r="J6910" s="80">
        <v>703.0</v>
      </c>
      <c r="K6910" s="80">
        <v>1.0</v>
      </c>
      <c r="L6910" s="80" t="s">
        <v>64</v>
      </c>
    </row>
    <row r="6911">
      <c r="A6911" s="80" t="s">
        <v>124</v>
      </c>
      <c r="B6911" s="81" t="str">
        <f>HYPERLINK("https://www.youtube.com/channel/UCg0vuSE0fBF_NvodyYhMcWg", "Wallace Studio HK")</f>
        <v>Wallace Studio HK</v>
      </c>
      <c r="C6911" s="80" t="s">
        <v>7451</v>
      </c>
      <c r="D6911" s="81" t="str">
        <f>HYPERLINK("https://youtube.com/watch?v=l2DlUKhx7Kc", "Galaxy Tab S9 詳細評測， 終於揀得落手!")</f>
        <v>Galaxy Tab S9 詳細評測， 終於揀得落手!</v>
      </c>
      <c r="E6911" s="82">
        <v>45200.0</v>
      </c>
      <c r="F6911" s="80">
        <v>537.0</v>
      </c>
      <c r="G6911" s="80" t="s">
        <v>63</v>
      </c>
      <c r="H6911" s="80" t="s">
        <v>63</v>
      </c>
      <c r="I6911" s="80" t="s">
        <v>63</v>
      </c>
      <c r="J6911" s="80">
        <v>2083.0</v>
      </c>
      <c r="K6911" s="80">
        <v>0.777238805970149</v>
      </c>
      <c r="L6911" s="80" t="s">
        <v>86</v>
      </c>
    </row>
    <row r="6912">
      <c r="A6912" s="80" t="s">
        <v>3051</v>
      </c>
      <c r="B6912" s="81" t="str">
        <f>HYPERLINK("https://www.youtube.com/channel/UCvE0FPIL24o2mnUQIqcSHYA", "柴犬春卷的英國日常 Shiba Harumaki in UK")</f>
        <v>柴犬春卷的英國日常 Shiba Harumaki in UK</v>
      </c>
      <c r="C6912" s="80" t="s">
        <v>7452</v>
      </c>
      <c r="D6912" s="81" t="str">
        <f>HYPERLINK("https://youtube.com/watch?v=kLBYhqBQNE4", "【大公開】英國去法國自駕遊帶狗狗全記錄｜有咩準備功夫？幾多錢？｜帶寵物一齊出發無難度？｜香港人難以像外國人開心？｜春家興奮到跳舞｜第一次踏足法國的柴犬春卷｜廣東話中字Shiba to France")</f>
        <v>【大公開】英國去法國自駕遊帶狗狗全記錄｜有咩準備功夫？幾多錢？｜帶寵物一齊出發無難度？｜香港人難以像外國人開心？｜春家興奮到跳舞｜第一次踏足法國的柴犬春卷｜廣東話中字Shiba to France</v>
      </c>
      <c r="E6912" s="82">
        <v>45189.0</v>
      </c>
      <c r="F6912" s="80">
        <v>1370.0</v>
      </c>
      <c r="G6912" s="80" t="s">
        <v>63</v>
      </c>
      <c r="I6912" s="80" t="s">
        <v>63</v>
      </c>
      <c r="J6912" s="80">
        <v>4395.0</v>
      </c>
      <c r="K6912" s="80">
        <v>0.861764705882353</v>
      </c>
      <c r="L6912" s="80" t="s">
        <v>521</v>
      </c>
    </row>
    <row r="6913">
      <c r="A6913" s="80" t="s">
        <v>6892</v>
      </c>
      <c r="B6913" s="81" t="str">
        <f>HYPERLINK("https://www.youtube.com/channel/UC8_hxeY0nDCL-8ETbcGUZ9g", "PT食為先")</f>
        <v>PT食為先</v>
      </c>
      <c r="C6913" s="80" t="s">
        <v>7453</v>
      </c>
      <c r="D6913" s="81" t="str">
        <f>HYPERLINK("https://youtube.com/watch?v=yuIkybfGjeg", "[PT食為先] 尖沙咀旺中帶靜～浪漫法國菜🍽南非鮑魚＋法國鵝肝＋美國牛柳🥩有戶外用餐區 最適合情侶約會！")</f>
        <v>[PT食為先] 尖沙咀旺中帶靜～浪漫法國菜🍽南非鮑魚＋法國鵝肝＋美國牛柳🥩有戶外用餐區 最適合情侶約會！</v>
      </c>
      <c r="E6913" s="82">
        <v>45177.0</v>
      </c>
      <c r="F6913" s="80">
        <v>696.0</v>
      </c>
      <c r="G6913" s="80" t="s">
        <v>63</v>
      </c>
      <c r="I6913" s="80" t="s">
        <v>63</v>
      </c>
      <c r="J6913" s="80">
        <v>1859.0</v>
      </c>
      <c r="K6913" s="80">
        <v>0.969744392279603</v>
      </c>
      <c r="L6913" s="80" t="s">
        <v>64</v>
      </c>
    </row>
    <row r="6914">
      <c r="A6914" s="80" t="s">
        <v>96</v>
      </c>
      <c r="B6914" s="81" t="str">
        <f>HYPERLINK("https://www.youtube.com/channel/UCGtyHJ-L_4RDIHe3XaLofQQ", "Anson Cheung")</f>
        <v>Anson Cheung</v>
      </c>
      <c r="C6914" s="80" t="s">
        <v>7454</v>
      </c>
      <c r="D6914" s="81" t="str">
        <f>HYPERLINK("https://youtube.com/watch?v=OORt8JPmVj0", "呢款耳機真係好唔合理｜Anker Soundcore Liberty 4 NC")</f>
        <v>呢款耳機真係好唔合理｜Anker Soundcore Liberty 4 NC</v>
      </c>
      <c r="E6914" s="82">
        <v>45204.0</v>
      </c>
      <c r="F6914" s="80">
        <v>509.0</v>
      </c>
      <c r="G6914" s="80" t="s">
        <v>63</v>
      </c>
      <c r="I6914" s="80" t="s">
        <v>63</v>
      </c>
      <c r="J6914" s="80">
        <v>2058.0</v>
      </c>
      <c r="K6914" s="80">
        <v>0.712357217030114</v>
      </c>
      <c r="L6914" s="80" t="s">
        <v>64</v>
      </c>
    </row>
    <row r="6915">
      <c r="A6915" s="80" t="s">
        <v>124</v>
      </c>
      <c r="B6915" s="81" t="str">
        <f>HYPERLINK("https://www.youtube.com/channel/UCg0vuSE0fBF_NvodyYhMcWg", "Wallace Studio HK")</f>
        <v>Wallace Studio HK</v>
      </c>
      <c r="C6915" s="80" t="s">
        <v>7455</v>
      </c>
      <c r="D6915" s="81" t="str">
        <f>HYPERLINK("https://youtube.com/watch?v=YHt0eZtLE0w", "2023 電競電腦 (GAMING LAPTOP) 選購指南")</f>
        <v>2023 電競電腦 (GAMING LAPTOP) 選購指南</v>
      </c>
      <c r="E6915" s="82">
        <v>45178.0</v>
      </c>
      <c r="F6915" s="80">
        <v>787.0</v>
      </c>
      <c r="G6915" s="80" t="s">
        <v>63</v>
      </c>
      <c r="I6915" s="80" t="s">
        <v>63</v>
      </c>
      <c r="J6915" s="80">
        <v>2705.0</v>
      </c>
      <c r="K6915" s="80">
        <v>0.718268720127456</v>
      </c>
      <c r="L6915" s="80" t="s">
        <v>64</v>
      </c>
    </row>
    <row r="6916">
      <c r="A6916" s="80" t="s">
        <v>217</v>
      </c>
      <c r="B6916" s="81" t="str">
        <f>HYPERLINK("https://www.youtube.com/channel/UCXKg0qPRz32bs5Z4mTGF3TQ", "Stormtrooper白兵")</f>
        <v>Stormtrooper白兵</v>
      </c>
      <c r="C6916" s="80" t="s">
        <v>7456</v>
      </c>
      <c r="D6916" s="81" t="str">
        <f>HYPERLINK("https://youtube.com/watch?v=Y9B9Qy8wQn0", "雪糕既質感是來自黏著瓷磚的凝固劑？｜古代冇雪櫃冇電點整雪糕？｜不是陰謀論｜中文字幕")</f>
        <v>雪糕既質感是來自黏著瓷磚的凝固劑？｜古代冇雪櫃冇電點整雪糕？｜不是陰謀論｜中文字幕</v>
      </c>
      <c r="E6916" s="82">
        <v>45218.0</v>
      </c>
      <c r="F6916" s="80">
        <v>1090.0</v>
      </c>
      <c r="G6916" s="80" t="s">
        <v>63</v>
      </c>
      <c r="I6916" s="80" t="s">
        <v>63</v>
      </c>
      <c r="J6916" s="80">
        <v>4439.0</v>
      </c>
      <c r="K6916" s="80">
        <v>0.976462824461064</v>
      </c>
      <c r="L6916" s="80" t="s">
        <v>64</v>
      </c>
    </row>
    <row r="6917">
      <c r="A6917" s="80" t="s">
        <v>124</v>
      </c>
      <c r="B6917" s="81" t="str">
        <f>HYPERLINK("https://www.youtube.com/channel/UCg0vuSE0fBF_NvodyYhMcWg", "Wallace Studio HK")</f>
        <v>Wallace Studio HK</v>
      </c>
      <c r="C6917" s="80" t="s">
        <v>7457</v>
      </c>
      <c r="D6917" s="81" t="str">
        <f>HYPERLINK("https://youtube.com/watch?v=IF7w7GjLvdo", "Samsung Galaxy Z Fold 5 詳細評測! 軟件一流，硬件都幾好，但似乎少左啲誠意")</f>
        <v>Samsung Galaxy Z Fold 5 詳細評測! 軟件一流，硬件都幾好，但似乎少左啲誠意</v>
      </c>
      <c r="E6917" s="82">
        <v>45175.0</v>
      </c>
      <c r="F6917" s="80">
        <v>582.0</v>
      </c>
      <c r="G6917" s="80" t="s">
        <v>63</v>
      </c>
      <c r="I6917" s="80" t="s">
        <v>63</v>
      </c>
      <c r="J6917" s="80">
        <v>2420.0</v>
      </c>
      <c r="K6917" s="80">
        <v>0.867072733787173</v>
      </c>
      <c r="L6917" s="80" t="s">
        <v>64</v>
      </c>
    </row>
    <row r="6918">
      <c r="A6918" s="80" t="s">
        <v>248</v>
      </c>
      <c r="B6918" s="81" t="str">
        <f>HYPERLINK("https://www.youtube.com/channel/UCUEJok-GiWaGlv5nIPwk-GQ", "Price.com.hk 香港格價網")</f>
        <v>Price.com.hk 香港格價網</v>
      </c>
      <c r="C6918" s="80" t="s">
        <v>7458</v>
      </c>
      <c r="D6918" s="81" t="str">
        <f>HYPERLINK("https://youtube.com/watch?v=Y16iMiepR1o", "Sony Xperia 5V 相機 夜攝 性能 續航力評測｜雙鏡頭能否取代三鏡頭？廣東話 #產品評測")</f>
        <v>Sony Xperia 5V 相機 夜攝 性能 續航力評測｜雙鏡頭能否取代三鏡頭？廣東話 #產品評測</v>
      </c>
      <c r="E6918" s="82">
        <v>45184.0</v>
      </c>
      <c r="F6918" s="80">
        <v>388.0</v>
      </c>
      <c r="G6918" s="80" t="s">
        <v>63</v>
      </c>
      <c r="I6918" s="80" t="s">
        <v>63</v>
      </c>
      <c r="J6918" s="80">
        <v>1440.0</v>
      </c>
      <c r="K6918" s="80">
        <v>0.76392572944297</v>
      </c>
      <c r="L6918" s="80" t="s">
        <v>64</v>
      </c>
    </row>
    <row r="6919">
      <c r="A6919" s="80" t="s">
        <v>2766</v>
      </c>
      <c r="B6919" s="81" t="str">
        <f>HYPERLINK("https://www.youtube.com/channel/UCrZG5sGryxwgSDQSlHgmZTw", "GadgetGang HK")</f>
        <v>GadgetGang HK</v>
      </c>
      <c r="C6919" s="80" t="s">
        <v>7459</v>
      </c>
      <c r="D6919" s="81" t="str">
        <f>HYPERLINK("https://youtube.com/watch?v=YZ32cEFDhPk", "GG教室 叉電編〡點樣揀好啱自己用嘅無線尿袋？〡多功能叉電座又有咩選購貼士？〡叉電常見謬誤〡無線叉電會傷電？〡尿袋容量一定有水份？")</f>
        <v>GG教室 叉電編〡點樣揀好啱自己用嘅無線尿袋？〡多功能叉電座又有咩選購貼士？〡叉電常見謬誤〡無線叉電會傷電？〡尿袋容量一定有水份？</v>
      </c>
      <c r="E6919" s="82">
        <v>45189.0</v>
      </c>
      <c r="F6919" s="80">
        <v>606.0</v>
      </c>
      <c r="G6919" s="80" t="s">
        <v>63</v>
      </c>
      <c r="I6919" s="80" t="s">
        <v>63</v>
      </c>
      <c r="J6919" s="80">
        <v>2083.0</v>
      </c>
      <c r="K6919" s="80">
        <v>0.801462100808003</v>
      </c>
      <c r="L6919" s="80" t="s">
        <v>64</v>
      </c>
    </row>
    <row r="6920">
      <c r="A6920" s="80" t="s">
        <v>96</v>
      </c>
      <c r="B6920" s="81" t="str">
        <f>HYPERLINK("https://www.youtube.com/channel/UCGtyHJ-L_4RDIHe3XaLofQQ", "Anson Cheung")</f>
        <v>Anson Cheung</v>
      </c>
      <c r="C6920" s="80" t="s">
        <v>7460</v>
      </c>
      <c r="D6920" s="81" t="str">
        <f>HYPERLINK("https://youtube.com/watch?v=EYZo6De5RkY", "Samsung，做多一步啦！｜Samsung Galaxy Z Flip 5 評測")</f>
        <v>Samsung，做多一步啦！｜Samsung Galaxy Z Flip 5 評測</v>
      </c>
      <c r="E6920" s="82">
        <v>45180.0</v>
      </c>
      <c r="F6920" s="80">
        <v>589.0</v>
      </c>
      <c r="G6920" s="80" t="s">
        <v>63</v>
      </c>
      <c r="I6920" s="80" t="s">
        <v>63</v>
      </c>
      <c r="J6920" s="80">
        <v>2309.0</v>
      </c>
      <c r="K6920" s="80">
        <v>0.648777746558021</v>
      </c>
      <c r="L6920" s="80" t="s">
        <v>64</v>
      </c>
    </row>
    <row r="6921">
      <c r="A6921" s="80" t="s">
        <v>6892</v>
      </c>
      <c r="B6921" s="81" t="str">
        <f>HYPERLINK("https://www.youtube.com/channel/UC8_hxeY0nDCL-8ETbcGUZ9g", "PT食為先")</f>
        <v>PT食為先</v>
      </c>
      <c r="C6921" s="80" t="s">
        <v>7461</v>
      </c>
      <c r="D6921" s="81" t="str">
        <f>HYPERLINK("https://youtube.com/watch?v=JwW2h57yFKU", "[PT自費食評] 特長4小時放題！龍蝦3種煮法！生蠔2款任食！一生只食1次自助餐就揀佢！超罕有威靈頓牛／焗田螺")</f>
        <v>[PT自費食評] 特長4小時放題！龍蝦3種煮法！生蠔2款任食！一生只食1次自助餐就揀佢！超罕有威靈頓牛／焗田螺</v>
      </c>
      <c r="E6921" s="82">
        <v>45221.0</v>
      </c>
      <c r="F6921" s="80">
        <v>1100.0</v>
      </c>
      <c r="G6921" s="80" t="s">
        <v>63</v>
      </c>
      <c r="I6921" s="80" t="s">
        <v>63</v>
      </c>
      <c r="J6921" s="80">
        <v>2825.0</v>
      </c>
      <c r="K6921" s="80">
        <v>0.948304800268546</v>
      </c>
      <c r="L6921" s="80" t="s">
        <v>64</v>
      </c>
    </row>
    <row r="6922">
      <c r="A6922" s="80" t="s">
        <v>242</v>
      </c>
      <c r="B6922" s="81" t="str">
        <f>HYPERLINK("https://www.youtube.com/channel/UCZGVB6g74LXWtkR3fX50ykg", "Edwin H.")</f>
        <v>Edwin H.</v>
      </c>
      <c r="C6922" s="80" t="s">
        <v>7462</v>
      </c>
      <c r="D6922" s="81" t="str">
        <f>HYPERLINK("https://youtube.com/watch?v=5GTaPqi7ClI", "Apple發佈會 🍎 誠實豆沙包版  iPhone 15 Pro 懶人包 USB-C 鈦金屬 iPhone 中文 Apple Watch Ultra 2 Apple Watch Series 9")</f>
        <v>Apple發佈會 🍎 誠實豆沙包版  iPhone 15 Pro 懶人包 USB-C 鈦金屬 iPhone 中文 Apple Watch Ultra 2 Apple Watch Series 9</v>
      </c>
      <c r="E6922" s="82">
        <v>45183.0</v>
      </c>
      <c r="F6922" s="80">
        <v>1064.0</v>
      </c>
      <c r="G6922" s="80" t="s">
        <v>63</v>
      </c>
      <c r="I6922" s="80" t="s">
        <v>63</v>
      </c>
      <c r="J6922" s="80">
        <v>2960.0</v>
      </c>
      <c r="K6922" s="80">
        <v>0.713424921667871</v>
      </c>
      <c r="L6922" s="80" t="s">
        <v>64</v>
      </c>
    </row>
    <row r="6923">
      <c r="A6923" s="80" t="s">
        <v>3051</v>
      </c>
      <c r="B6923" s="81" t="str">
        <f>HYPERLINK("https://www.youtube.com/channel/UCvE0FPIL24o2mnUQIqcSHYA", "柴犬春卷的英國日常 Shiba Harumaki in UK")</f>
        <v>柴犬春卷的英國日常 Shiba Harumaki in UK</v>
      </c>
      <c r="C6923" s="80" t="s">
        <v>7463</v>
      </c>
      <c r="D6923" s="81" t="str">
        <f>HYPERLINK("https://youtube.com/watch?v=wYTrLG1Aj58", "【被罰】點解又被罰錢？欠英國政府錢｜收數佬要上門追數😳英國破產日常｜實試大曼城Bolton BNO香港人餐廳 #英國罰款 #香港人 #英國餐廳")</f>
        <v>【被罰】點解又被罰錢？欠英國政府錢｜收數佬要上門追數😳英國破產日常｜實試大曼城Bolton BNO香港人餐廳 #英國罰款 #香港人 #英國餐廳</v>
      </c>
      <c r="E6923" s="82">
        <v>45223.0</v>
      </c>
      <c r="F6923" s="80">
        <v>686.0</v>
      </c>
      <c r="G6923" s="80" t="s">
        <v>63</v>
      </c>
      <c r="H6923" s="80" t="s">
        <v>63</v>
      </c>
      <c r="I6923" s="80" t="s">
        <v>63</v>
      </c>
      <c r="J6923" s="80">
        <v>2498.0</v>
      </c>
      <c r="K6923" s="80">
        <v>0.988523941432528</v>
      </c>
      <c r="L6923" s="80" t="s">
        <v>1889</v>
      </c>
    </row>
    <row r="6924">
      <c r="A6924" s="80" t="s">
        <v>1670</v>
      </c>
      <c r="B6924" s="81" t="str">
        <f>HYPERLINK("https://www.youtube.com/channel/UC-PIt5m-WOg8UVBkt2RnN0g", "阿JACK睇樓團")</f>
        <v>阿JACK睇樓團</v>
      </c>
      <c r="C6924" s="80" t="s">
        <v>7464</v>
      </c>
      <c r="D6924" s="81" t="str">
        <f>HYPERLINK("https://youtube.com/watch?v=4umisi2UEIY", "5分鐘話你知 2.7億大平層到底係點樣既🔥丨買唔起但我睇得起｜西半山｜寶珊道｜真·豪宅｜可以同個孫講我睇過丨人生成就解鎖丨阿JACK睇樓團")</f>
        <v>5分鐘話你知 2.7億大平層到底係點樣既🔥丨買唔起但我睇得起｜西半山｜寶珊道｜真·豪宅｜可以同個孫講我睇過丨人生成就解鎖丨阿JACK睇樓團</v>
      </c>
      <c r="E6924" s="82">
        <v>45215.0</v>
      </c>
      <c r="F6924" s="80">
        <v>334.0</v>
      </c>
      <c r="G6924" s="80" t="s">
        <v>63</v>
      </c>
      <c r="I6924" s="80" t="s">
        <v>63</v>
      </c>
      <c r="J6924" s="80">
        <v>1049.0</v>
      </c>
      <c r="K6924" s="80">
        <v>0.296579021769861</v>
      </c>
      <c r="L6924" s="80" t="s">
        <v>64</v>
      </c>
    </row>
    <row r="6925">
      <c r="A6925" s="80" t="s">
        <v>260</v>
      </c>
      <c r="B6925" s="81" t="str">
        <f>HYPERLINK("https://www.youtube.com/channel/UC-HXOikkLx7BGEfILGIpYOg", "港短 . 英移")</f>
        <v>港短 . 英移</v>
      </c>
      <c r="C6925" s="80" t="s">
        <v>7465</v>
      </c>
      <c r="D6925" s="81" t="str">
        <f>HYPERLINK("https://youtube.com/watch?v=0xg0niZQgvU", "英國裝修公司未必會同你講既3件事 - 髹油篇｜港短英移")</f>
        <v>英國裝修公司未必會同你講既3件事 - 髹油篇｜港短英移</v>
      </c>
      <c r="E6925" s="82">
        <v>45190.0</v>
      </c>
      <c r="F6925" s="80">
        <v>412.0</v>
      </c>
      <c r="G6925" s="80" t="s">
        <v>63</v>
      </c>
      <c r="I6925" s="80" t="s">
        <v>63</v>
      </c>
      <c r="J6925" s="80">
        <v>1750.0</v>
      </c>
      <c r="K6925" s="80">
        <v>0.882501260716086</v>
      </c>
      <c r="L6925" s="80" t="s">
        <v>102</v>
      </c>
    </row>
    <row r="6926">
      <c r="A6926" s="80" t="s">
        <v>1670</v>
      </c>
      <c r="B6926" s="81" t="str">
        <f>HYPERLINK("https://www.youtube.com/channel/UC-PIt5m-WOg8UVBkt2RnN0g", "阿JACK睇樓團")</f>
        <v>阿JACK睇樓團</v>
      </c>
      <c r="C6926" s="80" t="s">
        <v>7466</v>
      </c>
      <c r="D6926" s="81" t="str">
        <f>HYPERLINK("https://youtube.com/watch?v=jno_znUJ-BA", "啲新樓又貴又唔實用😡🔥｜有冇顛覆你🥹｜示範單位｜#阿JACK睇樓團 ｜凱和山｜")</f>
        <v>啲新樓又貴又唔實用😡🔥｜有冇顛覆你🥹｜示範單位｜#阿JACK睇樓團 ｜凱和山｜</v>
      </c>
      <c r="E6926" s="82">
        <v>45186.0</v>
      </c>
      <c r="F6926" s="80">
        <v>883.0</v>
      </c>
      <c r="G6926" s="80" t="s">
        <v>63</v>
      </c>
      <c r="I6926" s="80" t="s">
        <v>63</v>
      </c>
      <c r="J6926" s="80">
        <v>2814.0</v>
      </c>
      <c r="K6926" s="80">
        <v>0.973029045643153</v>
      </c>
      <c r="L6926" s="80" t="s">
        <v>64</v>
      </c>
    </row>
    <row r="6927">
      <c r="A6927" s="80" t="s">
        <v>96</v>
      </c>
      <c r="B6927" s="81" t="str">
        <f>HYPERLINK("https://www.youtube.com/channel/UCGtyHJ-L_4RDIHe3XaLofQQ", "Anson Cheung")</f>
        <v>Anson Cheung</v>
      </c>
      <c r="C6927" s="80" t="s">
        <v>7467</v>
      </c>
      <c r="D6927" s="81" t="str">
        <f>HYPERLINK("https://youtube.com/watch?v=xY77g6-LgS0", "我想講講 小米 13 Ultra｜Xiaomi 13 Ultra 評測")</f>
        <v>我想講講 小米 13 Ultra｜Xiaomi 13 Ultra 評測</v>
      </c>
      <c r="E6927" s="82">
        <v>45181.0</v>
      </c>
      <c r="F6927" s="80">
        <v>730.0</v>
      </c>
      <c r="G6927" s="80" t="s">
        <v>63</v>
      </c>
      <c r="I6927" s="80" t="s">
        <v>63</v>
      </c>
      <c r="J6927" s="80">
        <v>2863.0</v>
      </c>
      <c r="K6927" s="80">
        <v>0.658766682006442</v>
      </c>
      <c r="L6927" s="80" t="s">
        <v>64</v>
      </c>
    </row>
    <row r="6928">
      <c r="A6928" s="80" t="s">
        <v>2041</v>
      </c>
      <c r="B6928" s="81" t="str">
        <f>HYPERLINK("https://www.youtube.com/channel/UCO6pB-ZN4XJ6MVkibvuEe0A", "SingSingTracker 星昇財經指標")</f>
        <v>SingSingTracker 星昇財經指標</v>
      </c>
      <c r="C6928" s="80" t="s">
        <v>7468</v>
      </c>
      <c r="D6928" s="81" t="str">
        <f>HYPERLINK("https://youtube.com/watch?v=agdrRBM2cLA", "【呢一星期賺超過$2萬3~】AI 女主持-小Sing🌸分享講解追蹤🔍未來股市動向📈] 25/10/2023 #aiart #寫真 #vtuber")</f>
        <v>【呢一星期賺超過$2萬3~】AI 女主持-小Sing🌸分享講解追蹤🔍未來股市動向📈] 25/10/2023 #aiart #寫真 #vtuber</v>
      </c>
      <c r="E6928" s="82">
        <v>45224.0</v>
      </c>
      <c r="F6928" s="80">
        <v>207.0</v>
      </c>
      <c r="G6928" s="80" t="s">
        <v>63</v>
      </c>
      <c r="I6928" s="80" t="s">
        <v>63</v>
      </c>
      <c r="J6928" s="80">
        <v>867.0</v>
      </c>
      <c r="K6928" s="80">
        <v>0.979661016949152</v>
      </c>
      <c r="L6928" s="80" t="s">
        <v>64</v>
      </c>
    </row>
    <row r="6929">
      <c r="A6929" s="80" t="s">
        <v>260</v>
      </c>
      <c r="B6929" s="81" t="str">
        <f t="shared" ref="B6929:B6930" si="402">HYPERLINK("https://www.youtube.com/channel/UC-HXOikkLx7BGEfILGIpYOg", "港短 . 英移")</f>
        <v>港短 . 英移</v>
      </c>
      <c r="C6929" s="80" t="s">
        <v>7469</v>
      </c>
      <c r="D6929" s="81" t="str">
        <f>HYPERLINK("https://youtube.com/watch?v=RxOuJxeQ5XQ", "英國第2大城伯明翰破產的真正原因🇬🇧 | 港短英移")</f>
        <v>英國第2大城伯明翰破產的真正原因🇬🇧 | 港短英移</v>
      </c>
      <c r="E6929" s="82">
        <v>45175.0</v>
      </c>
      <c r="F6929" s="80">
        <v>256.0</v>
      </c>
      <c r="G6929" s="80" t="s">
        <v>63</v>
      </c>
      <c r="I6929" s="80" t="s">
        <v>63</v>
      </c>
      <c r="J6929" s="80">
        <v>1089.0</v>
      </c>
      <c r="K6929" s="80">
        <v>0.820030120481927</v>
      </c>
      <c r="L6929" s="80" t="s">
        <v>102</v>
      </c>
    </row>
    <row r="6930">
      <c r="A6930" s="80" t="s">
        <v>260</v>
      </c>
      <c r="B6930" s="81" t="str">
        <f t="shared" si="402"/>
        <v>港短 . 英移</v>
      </c>
      <c r="C6930" s="80" t="s">
        <v>7470</v>
      </c>
      <c r="D6930" s="81" t="str">
        <f>HYPERLINK("https://youtube.com/watch?v=pqjYAqjilCA", "當國家處於淪陷邊緣 最容易出現的一件事 | 港短英移")</f>
        <v>當國家處於淪陷邊緣 最容易出現的一件事 | 港短英移</v>
      </c>
      <c r="E6930" s="82">
        <v>45183.0</v>
      </c>
      <c r="F6930" s="80">
        <v>357.0</v>
      </c>
      <c r="G6930" s="80" t="s">
        <v>63</v>
      </c>
      <c r="I6930" s="80" t="s">
        <v>63</v>
      </c>
      <c r="J6930" s="80">
        <v>1603.0</v>
      </c>
      <c r="K6930" s="80">
        <v>0.989506172839506</v>
      </c>
      <c r="L6930" s="80" t="s">
        <v>102</v>
      </c>
    </row>
    <row r="6931">
      <c r="A6931" s="80" t="s">
        <v>1670</v>
      </c>
      <c r="B6931" s="81" t="str">
        <f>HYPERLINK("https://www.youtube.com/channel/UC-PIt5m-WOg8UVBkt2RnN0g", "阿JACK睇樓團")</f>
        <v>阿JACK睇樓團</v>
      </c>
      <c r="C6931" s="80" t="s">
        <v>7471</v>
      </c>
      <c r="D6931" s="81" t="str">
        <f>HYPERLINK("https://youtube.com/watch?v=1ZQuvMLQ6uk", "90萬❗️賣左要蝕90萬❗️🤯｜人稱蝕半間☹️⁉️到底係咩屋苑 ｜有冇機會平反一下🥹｜屯門樓｜阿JACK睇樓團")</f>
        <v>90萬❗️賣左要蝕90萬❗️🤯｜人稱蝕半間☹️⁉️到底係咩屋苑 ｜有冇機會平反一下🥹｜屯門樓｜阿JACK睇樓團</v>
      </c>
      <c r="E6931" s="82">
        <v>45211.0</v>
      </c>
      <c r="F6931" s="80">
        <v>1001.0</v>
      </c>
      <c r="G6931" s="80" t="s">
        <v>63</v>
      </c>
      <c r="I6931" s="80" t="s">
        <v>63</v>
      </c>
      <c r="J6931" s="80">
        <v>3605.0</v>
      </c>
      <c r="K6931" s="80">
        <v>0.990384615384615</v>
      </c>
      <c r="L6931" s="80" t="s">
        <v>64</v>
      </c>
    </row>
    <row r="6932">
      <c r="A6932" s="80" t="s">
        <v>6248</v>
      </c>
      <c r="B6932" s="81" t="str">
        <f>HYPERLINK("https://www.youtube.com/channel/UCmlr1is6e9bV34fgg3u0xng", "Ruby.S")</f>
        <v>Ruby.S</v>
      </c>
      <c r="C6932" s="80" t="s">
        <v>7472</v>
      </c>
      <c r="D6932" s="81" t="str">
        <f>HYPERLINK("https://youtube.com/watch?v=ZuMtaD29mqI", "⁠@Rubys426  ［台灣行山］台灣吳寮尖｜永無止境嘅攀爬｜一段爬唔完嘅路｜33度高溫冇得放棄⛰️我嘅第一次｜超級好玩不能錯過")</f>
        <v>⁠@Rubys426  ［台灣行山］台灣吳寮尖｜永無止境嘅攀爬｜一段爬唔完嘅路｜33度高溫冇得放棄⛰️我嘅第一次｜超級好玩不能錯過</v>
      </c>
      <c r="E6932" s="82">
        <v>45194.0</v>
      </c>
      <c r="F6932" s="80">
        <v>1924.0</v>
      </c>
      <c r="G6932" s="80" t="s">
        <v>63</v>
      </c>
      <c r="I6932" s="80" t="s">
        <v>63</v>
      </c>
      <c r="J6932" s="80">
        <v>2982.0</v>
      </c>
      <c r="K6932" s="80">
        <v>0.95576923076923</v>
      </c>
      <c r="L6932" s="80" t="s">
        <v>64</v>
      </c>
    </row>
    <row r="6933">
      <c r="A6933" s="80" t="s">
        <v>748</v>
      </c>
      <c r="B6933" s="81" t="str">
        <f>HYPERLINK("https://www.youtube.com/channel/UC_ZT2UjRiNSy1I33LEiflJQ", "撒野作風 WILDSTYLE RECORDS")</f>
        <v>撒野作風 WILDSTYLE RECORDS</v>
      </c>
      <c r="C6933" s="80" t="s">
        <v>7473</v>
      </c>
      <c r="D6933" s="81" t="str">
        <f>HYPERLINK("https://youtube.com/watch?v=ObVyxnG71PU", "Matt Force - "" 16 x 16"" (Official Video)")</f>
        <v>Matt Force - " 16 x 16" (Official Video)</v>
      </c>
      <c r="E6933" s="82">
        <v>45226.0</v>
      </c>
      <c r="F6933" s="80">
        <v>300.0</v>
      </c>
      <c r="G6933" s="80" t="s">
        <v>63</v>
      </c>
      <c r="I6933" s="80" t="s">
        <v>63</v>
      </c>
      <c r="J6933" s="80">
        <v>590.0</v>
      </c>
      <c r="K6933" s="80">
        <v>0.87667161961367</v>
      </c>
      <c r="L6933" s="80" t="s">
        <v>820</v>
      </c>
    </row>
    <row r="6934">
      <c r="A6934" s="80" t="s">
        <v>3051</v>
      </c>
      <c r="B6934" s="81" t="str">
        <f>HYPERLINK("https://www.youtube.com/channel/UCvE0FPIL24o2mnUQIqcSHYA", "柴犬春卷的英國日常 Shiba Harumaki in UK")</f>
        <v>柴犬春卷的英國日常 Shiba Harumaki in UK</v>
      </c>
      <c r="C6934" s="80" t="s">
        <v>7474</v>
      </c>
      <c r="D6934" s="81" t="str">
        <f>HYPERLINK("https://youtube.com/watch?v=aiip9rtsJzE", "英國🇬🇧法國🇫🇷生活點樣楝？物價貴到癲！柴犬春卷遊法國巴黎鐵塔· 凱旋門·塞納河·蒙馬特聖心堂·Inception Bridge【旅遊Vlog 】Travel with Shiba中文字幕")</f>
        <v>英國🇬🇧法國🇫🇷生活點樣楝？物價貴到癲！柴犬春卷遊法國巴黎鐵塔· 凱旋門·塞納河·蒙馬特聖心堂·Inception Bridge【旅遊Vlog 】Travel with Shiba中文字幕</v>
      </c>
      <c r="E6934" s="82">
        <v>45193.0</v>
      </c>
      <c r="F6934" s="80">
        <v>945.0</v>
      </c>
      <c r="G6934" s="80" t="s">
        <v>63</v>
      </c>
      <c r="I6934" s="80" t="s">
        <v>63</v>
      </c>
      <c r="J6934" s="80">
        <v>3062.0</v>
      </c>
      <c r="K6934" s="80">
        <v>0.917865707434052</v>
      </c>
      <c r="L6934" s="80" t="s">
        <v>521</v>
      </c>
    </row>
    <row r="6935">
      <c r="A6935" s="80" t="s">
        <v>248</v>
      </c>
      <c r="B6935" s="81" t="str">
        <f>HYPERLINK("https://www.youtube.com/channel/UCUEJok-GiWaGlv5nIPwk-GQ", "Price.com.hk 香港格價網")</f>
        <v>Price.com.hk 香港格價網</v>
      </c>
      <c r="C6935" s="80" t="s">
        <v>7475</v>
      </c>
      <c r="D6935" s="81" t="str">
        <f>HYPERLINK("https://youtube.com/watch?v=SsB3qaXnRxM", "樣靚音質正！Harman Kardon Aura Studio 4 ｜藍牙4.2連線穩唔穩？同場對比上代｜喇叭評測｜廣東話 #產品評測")</f>
        <v>樣靚音質正！Harman Kardon Aura Studio 4 ｜藍牙4.2連線穩唔穩？同場對比上代｜喇叭評測｜廣東話 #產品評測</v>
      </c>
      <c r="E6935" s="82">
        <v>45187.0</v>
      </c>
      <c r="F6935" s="80">
        <v>486.0</v>
      </c>
      <c r="G6935" s="80" t="s">
        <v>63</v>
      </c>
      <c r="I6935" s="80" t="s">
        <v>63</v>
      </c>
      <c r="J6935" s="80">
        <v>1762.0</v>
      </c>
      <c r="K6935" s="80">
        <v>0.835863377609108</v>
      </c>
      <c r="L6935" s="80" t="s">
        <v>64</v>
      </c>
    </row>
    <row r="6936">
      <c r="A6936" s="80" t="s">
        <v>288</v>
      </c>
      <c r="B6936" s="81" t="str">
        <f>HYPERLINK("https://www.youtube.com/channel/UCDWOYEhVnyD4IHZGVAMLc0g", "Brendan 毛爸")</f>
        <v>Brendan 毛爸</v>
      </c>
      <c r="C6936" s="80" t="s">
        <v>7476</v>
      </c>
      <c r="D6936" s="81" t="str">
        <f>HYPERLINK("https://youtube.com/watch?v=095r4hNjvIw", "《一個星期淨係開20個鐘頭？！》英國港式茶餐廳一定貴同難食？但大排長龍！蔥油雞扒撈丁|土匪雞翼|柱侯牛筋牛腩￼￼￼￼￼@Coventry 獅子山Cafe￼《🇬🇧毛爸英國生活小分享》(含CC字幕)")</f>
        <v>《一個星期淨係開20個鐘頭？！》英國港式茶餐廳一定貴同難食？但大排長龍！蔥油雞扒撈丁|土匪雞翼|柱侯牛筋牛腩￼￼￼￼￼@Coventry 獅子山Cafe￼《🇬🇧毛爸英國生活小分享》(含CC字幕)</v>
      </c>
      <c r="E6936" s="82">
        <v>45218.0</v>
      </c>
      <c r="F6936" s="80">
        <v>383.0</v>
      </c>
      <c r="G6936" s="80" t="s">
        <v>63</v>
      </c>
      <c r="I6936" s="80" t="s">
        <v>63</v>
      </c>
      <c r="J6936" s="80">
        <v>1360.0</v>
      </c>
      <c r="K6936" s="80">
        <v>0.953048353188507</v>
      </c>
      <c r="L6936" s="80" t="s">
        <v>64</v>
      </c>
    </row>
    <row r="6937">
      <c r="A6937" s="80" t="s">
        <v>6960</v>
      </c>
      <c r="B6937" s="81" t="str">
        <f>HYPERLINK("https://www.youtube.com/channel/UCQS2_zzisMq5C_FggxsQwTQ", "Comprehensible Cantonese")</f>
        <v>Comprehensible Cantonese</v>
      </c>
      <c r="C6937" s="80" t="s">
        <v>7477</v>
      </c>
      <c r="D6937" s="81" t="str">
        <f>HYPERLINK("https://youtube.com/watch?v=EfD4eD3VqL0", "If you are an Advanced Beginner but still don't know any Chinese Characters yet watch this video!")</f>
        <v>If you are an Advanced Beginner but still don't know any Chinese Characters yet watch this video!</v>
      </c>
      <c r="E6937" s="82">
        <v>45180.0</v>
      </c>
      <c r="F6937" s="80">
        <v>549.0</v>
      </c>
      <c r="G6937" s="80" t="s">
        <v>63</v>
      </c>
      <c r="I6937" s="80" t="s">
        <v>63</v>
      </c>
      <c r="J6937" s="80">
        <v>206.0</v>
      </c>
      <c r="K6937" s="80">
        <v>0.727915194346289</v>
      </c>
      <c r="L6937" s="80" t="s">
        <v>102</v>
      </c>
    </row>
    <row r="6938">
      <c r="A6938" s="80" t="s">
        <v>217</v>
      </c>
      <c r="B6938" s="81" t="str">
        <f>HYPERLINK("https://www.youtube.com/channel/UCXKg0qPRz32bs5Z4mTGF3TQ", "Stormtrooper白兵")</f>
        <v>Stormtrooper白兵</v>
      </c>
      <c r="C6938" s="80" t="s">
        <v>7478</v>
      </c>
      <c r="D6938" s="81" t="str">
        <f>HYPERLINK("https://youtube.com/watch?v=RUPkHIp-XZg", "[Jpex都要跟佢學野]如何用一代人時間，成功財富登頂｜玩弄西方E學、E生、政府！｜不是陰謀論｜粵語中字")</f>
        <v>[Jpex都要跟佢學野]如何用一代人時間，成功財富登頂｜玩弄西方E學、E生、政府！｜不是陰謀論｜粵語中字</v>
      </c>
      <c r="E6938" s="82">
        <v>45204.0</v>
      </c>
      <c r="F6938" s="80">
        <v>1427.0</v>
      </c>
      <c r="G6938" s="80" t="s">
        <v>63</v>
      </c>
      <c r="I6938" s="80" t="s">
        <v>63</v>
      </c>
      <c r="J6938" s="80">
        <v>5682.0</v>
      </c>
      <c r="K6938" s="80">
        <v>0.885598503740648</v>
      </c>
      <c r="L6938" s="80" t="s">
        <v>64</v>
      </c>
    </row>
    <row r="6939">
      <c r="A6939" s="80" t="s">
        <v>248</v>
      </c>
      <c r="B6939" s="81" t="str">
        <f t="shared" ref="B6939:B6940" si="403">HYPERLINK("https://www.youtube.com/channel/UCUEJok-GiWaGlv5nIPwk-GQ", "Price.com.hk 香港格價網")</f>
        <v>Price.com.hk 香港格價網</v>
      </c>
      <c r="C6939" s="80" t="s">
        <v>7479</v>
      </c>
      <c r="D6939" s="81" t="str">
        <f>HYPERLINK("https://youtube.com/watch?v=FWKutLraw44", "PS5 Slim 11月登場｜Tesla Model 3 現場直擊新車｜iPhone 15 Pro 有幾多鈦金屬？ ｜#PriceWeekly 188")</f>
        <v>PS5 Slim 11月登場｜Tesla Model 3 現場直擊新車｜iPhone 15 Pro 有幾多鈦金屬？ ｜#PriceWeekly 188</v>
      </c>
      <c r="E6939" s="82">
        <v>45213.0</v>
      </c>
      <c r="F6939" s="80">
        <v>449.0</v>
      </c>
      <c r="G6939" s="80" t="s">
        <v>63</v>
      </c>
      <c r="I6939" s="80" t="s">
        <v>63</v>
      </c>
      <c r="J6939" s="80">
        <v>1571.0</v>
      </c>
      <c r="K6939" s="80">
        <v>0.701339285714285</v>
      </c>
      <c r="L6939" s="80" t="s">
        <v>64</v>
      </c>
    </row>
    <row r="6940">
      <c r="A6940" s="80" t="s">
        <v>248</v>
      </c>
      <c r="B6940" s="81" t="str">
        <f t="shared" si="403"/>
        <v>Price.com.hk 香港格價網</v>
      </c>
      <c r="C6940" s="80" t="s">
        <v>7480</v>
      </c>
      <c r="D6940" s="81" t="str">
        <f>HYPERLINK("https://youtube.com/watch?v=MiHLFmYs8IU", "iPhone 15炒得起 轉手賺$3000？GoPro Hero 12 Black 續航力Double｜Jabra新旗艦 Elite 10｜廣東話 #PriceWeekly 183")</f>
        <v>iPhone 15炒得起 轉手賺$3000？GoPro Hero 12 Black 續航力Double｜Jabra新旗艦 Elite 10｜廣東話 #PriceWeekly 183</v>
      </c>
      <c r="E6940" s="82">
        <v>45178.0</v>
      </c>
      <c r="F6940" s="80">
        <v>469.0</v>
      </c>
      <c r="G6940" s="80" t="s">
        <v>63</v>
      </c>
      <c r="I6940" s="80" t="s">
        <v>63</v>
      </c>
      <c r="J6940" s="80">
        <v>1867.0</v>
      </c>
      <c r="K6940" s="80">
        <v>0.737070667193051</v>
      </c>
      <c r="L6940" s="80" t="s">
        <v>64</v>
      </c>
    </row>
    <row r="6941">
      <c r="A6941" s="80" t="s">
        <v>2041</v>
      </c>
      <c r="B6941" s="81" t="str">
        <f>HYPERLINK("https://www.youtube.com/channel/UCO6pB-ZN4XJ6MVkibvuEe0A", "SingSingTracker 星昇財經指標")</f>
        <v>SingSingTracker 星昇財經指標</v>
      </c>
      <c r="C6941" s="80" t="s">
        <v>7481</v>
      </c>
      <c r="D6941" s="81" t="str">
        <f>HYPERLINK("https://youtube.com/watch?v=WgUn02X0KVQ", "【呢一星期賺超過$1萬4？】AI 女主持-小Sing🌸分享講解追蹤🔍未來股市動向📈] 18/10/2023 #aiart #寫真 #vtuber")</f>
        <v>【呢一星期賺超過$1萬4？】AI 女主持-小Sing🌸分享講解追蹤🔍未來股市動向📈] 18/10/2023 #aiart #寫真 #vtuber</v>
      </c>
      <c r="E6941" s="82">
        <v>45217.0</v>
      </c>
      <c r="F6941" s="80">
        <v>165.0</v>
      </c>
      <c r="G6941" s="80" t="s">
        <v>63</v>
      </c>
      <c r="I6941" s="80" t="s">
        <v>63</v>
      </c>
      <c r="J6941" s="80">
        <v>610.0</v>
      </c>
      <c r="K6941" s="80">
        <v>0.980707395498392</v>
      </c>
      <c r="L6941" s="80" t="s">
        <v>64</v>
      </c>
    </row>
    <row r="6942">
      <c r="A6942" s="80" t="s">
        <v>6892</v>
      </c>
      <c r="B6942" s="81" t="str">
        <f>HYPERLINK("https://www.youtube.com/channel/UC8_hxeY0nDCL-8ETbcGUZ9g", "PT食為先")</f>
        <v>PT食為先</v>
      </c>
      <c r="C6942" s="80" t="s">
        <v>7482</v>
      </c>
      <c r="D6942" s="81" t="str">
        <f>HYPERLINK("https://youtube.com/watch?v=fQ4o1Spg3oo", "[PT自費食評] 唔使上深圳！就在尖沙咀！仲要不收加一茶芥😳$128全隻片皮鴨 週末照樣供應｜觀塘 銀八 銅鑼灣 Fashion Walk 京滬 佳餚 將軍澳 康城 The LOHAS")</f>
        <v>[PT自費食評] 唔使上深圳！就在尖沙咀！仲要不收加一茶芥😳$128全隻片皮鴨 週末照樣供應｜觀塘 銀八 銅鑼灣 Fashion Walk 京滬 佳餚 將軍澳 康城 The LOHAS</v>
      </c>
      <c r="E6942" s="82">
        <v>45181.0</v>
      </c>
      <c r="F6942" s="80">
        <v>639.0</v>
      </c>
      <c r="G6942" s="80" t="s">
        <v>63</v>
      </c>
      <c r="I6942" s="80" t="s">
        <v>63</v>
      </c>
      <c r="J6942" s="80">
        <v>1768.0</v>
      </c>
      <c r="K6942" s="80">
        <v>0.968767123287671</v>
      </c>
      <c r="L6942" s="80" t="s">
        <v>64</v>
      </c>
    </row>
    <row r="6943">
      <c r="A6943" s="80" t="s">
        <v>1670</v>
      </c>
      <c r="B6943" s="81" t="str">
        <f>HYPERLINK("https://www.youtube.com/channel/UC-PIt5m-WOg8UVBkt2RnN0g", "阿JACK睇樓團")</f>
        <v>阿JACK睇樓團</v>
      </c>
      <c r="C6943" s="80" t="s">
        <v>7483</v>
      </c>
      <c r="D6943" s="81" t="str">
        <f>HYPERLINK("https://youtube.com/watch?v=YEO3kq9G8Ms", "又減價⁉️ 飛揚又減價？！🤯現樓開放啦即刻帶你哋睇｜示範單位｜#阿JACK睇樓團 ｜飛揚｜新鴻基")</f>
        <v>又減價⁉️ 飛揚又減價？！🤯現樓開放啦即刻帶你哋睇｜示範單位｜#阿JACK睇樓團 ｜飛揚｜新鴻基</v>
      </c>
      <c r="E6943" s="82">
        <v>45190.0</v>
      </c>
      <c r="F6943" s="80">
        <v>1100.0</v>
      </c>
      <c r="G6943" s="80" t="s">
        <v>63</v>
      </c>
      <c r="I6943" s="80" t="s">
        <v>63</v>
      </c>
      <c r="J6943" s="80">
        <v>3459.0</v>
      </c>
      <c r="K6943" s="80">
        <v>0.988003427592116</v>
      </c>
      <c r="L6943" s="80" t="s">
        <v>64</v>
      </c>
    </row>
    <row r="6944">
      <c r="A6944" s="80" t="s">
        <v>6892</v>
      </c>
      <c r="B6944" s="81" t="str">
        <f>HYPERLINK("https://www.youtube.com/channel/UC8_hxeY0nDCL-8ETbcGUZ9g", "PT食為先")</f>
        <v>PT食為先</v>
      </c>
      <c r="C6944" s="80" t="s">
        <v>7484</v>
      </c>
      <c r="D6944" s="81" t="str">
        <f>HYPERLINK("https://youtube.com/watch?v=l6BxU8qdHLs", "[PT自費食評] YouTube首拍！迪士尼酒店10月全新點心放題！長者小童6折優惠價～食足2.5小時～免費去隱世打卡靚景～")</f>
        <v>[PT自費食評] YouTube首拍！迪士尼酒店10月全新點心放題！長者小童6折優惠價～食足2.5小時～免費去隱世打卡靚景～</v>
      </c>
      <c r="E6944" s="82">
        <v>45226.0</v>
      </c>
      <c r="F6944" s="80">
        <v>1237.0</v>
      </c>
      <c r="G6944" s="80" t="s">
        <v>63</v>
      </c>
      <c r="I6944" s="80" t="s">
        <v>63</v>
      </c>
      <c r="J6944" s="80">
        <v>3225.0</v>
      </c>
      <c r="K6944" s="80">
        <v>0.970216606498195</v>
      </c>
      <c r="L6944" s="80" t="s">
        <v>64</v>
      </c>
    </row>
    <row r="6945">
      <c r="A6945" s="80" t="s">
        <v>124</v>
      </c>
      <c r="B6945" s="81" t="str">
        <f>HYPERLINK("https://www.youtube.com/channel/UCg0vuSE0fBF_NvodyYhMcWg", "Wallace Studio HK")</f>
        <v>Wallace Studio HK</v>
      </c>
      <c r="C6945" s="80" t="s">
        <v>7485</v>
      </c>
      <c r="D6945" s="81" t="str">
        <f>HYPERLINK("https://youtube.com/watch?v=S6zAoWtQ8l4", "Back to School iPad 選購全指南 2023，千其唔好盲目攻頂iPAD Pro !!")</f>
        <v>Back to School iPad 選購全指南 2023，千其唔好盲目攻頂iPAD Pro !!</v>
      </c>
      <c r="E6945" s="82">
        <v>45174.0</v>
      </c>
      <c r="F6945" s="80">
        <v>378.0</v>
      </c>
      <c r="G6945" s="80" t="s">
        <v>63</v>
      </c>
      <c r="I6945" s="80" t="s">
        <v>63</v>
      </c>
      <c r="J6945" s="80">
        <v>1468.0</v>
      </c>
      <c r="K6945" s="80">
        <v>0.743667679837892</v>
      </c>
      <c r="L6945" s="80" t="s">
        <v>64</v>
      </c>
    </row>
    <row r="6946">
      <c r="A6946" s="80" t="s">
        <v>260</v>
      </c>
      <c r="B6946" s="81" t="str">
        <f>HYPERLINK("https://www.youtube.com/channel/UC-HXOikkLx7BGEfILGIpYOg", "港短 . 英移")</f>
        <v>港短 . 英移</v>
      </c>
      <c r="C6946" s="80" t="s">
        <v>7486</v>
      </c>
      <c r="D6946" s="81" t="str">
        <f>HYPERLINK("https://youtube.com/watch?v=djiDoPz3ATM", "英國小學唔分班既真正原因 | 港短英移")</f>
        <v>英國小學唔分班既真正原因 | 港短英移</v>
      </c>
      <c r="E6946" s="82">
        <v>45205.0</v>
      </c>
      <c r="F6946" s="80">
        <v>426.0</v>
      </c>
      <c r="G6946" s="80" t="s">
        <v>63</v>
      </c>
      <c r="I6946" s="80" t="s">
        <v>63</v>
      </c>
      <c r="J6946" s="80">
        <v>1950.0</v>
      </c>
      <c r="K6946" s="80">
        <v>0.969184890656063</v>
      </c>
      <c r="L6946" s="80" t="s">
        <v>102</v>
      </c>
    </row>
    <row r="6947">
      <c r="A6947" s="80" t="s">
        <v>6960</v>
      </c>
      <c r="B6947" s="81" t="str">
        <f>HYPERLINK("https://www.youtube.com/channel/UCQS2_zzisMq5C_FggxsQwTQ", "Comprehensible Cantonese")</f>
        <v>Comprehensible Cantonese</v>
      </c>
      <c r="C6947" s="80" t="s">
        <v>7487</v>
      </c>
      <c r="D6947" s="81" t="str">
        <f>HYPERLINK("https://youtube.com/watch?v=eCiNm9v_8Rc", "[CC]  廣東話 How to Greet Someone in Cantonese? |Culture Shock| Comprehensible Cantonese (Intermediate)")</f>
        <v>[CC]  廣東話 How to Greet Someone in Cantonese? |Culture Shock| Comprehensible Cantonese (Intermediate)</v>
      </c>
      <c r="E6947" s="82">
        <v>45195.0</v>
      </c>
      <c r="F6947" s="80">
        <v>760.0</v>
      </c>
      <c r="G6947" s="80" t="s">
        <v>63</v>
      </c>
      <c r="I6947" s="80" t="s">
        <v>63</v>
      </c>
      <c r="J6947" s="80">
        <v>2275.0</v>
      </c>
      <c r="K6947" s="80">
        <v>0.938144329896907</v>
      </c>
      <c r="L6947" s="80" t="s">
        <v>102</v>
      </c>
    </row>
    <row r="6948">
      <c r="A6948" s="80" t="s">
        <v>7488</v>
      </c>
      <c r="B6948" s="81" t="str">
        <f>HYPERLINK("https://www.youtube.com/channel/UCrrbdSHvwWQOQ6EDbzeEuNg", "Chill Up")</f>
        <v>Chill Up</v>
      </c>
      <c r="C6948" s="80" t="s">
        <v>7489</v>
      </c>
      <c r="D6948" s="81" t="str">
        <f>HYPERLINK("https://youtube.com/watch?v=zSEHnGzNtHw", "【喂呢隻歌講咩架】AJA 爆炸糖 - 《呷醋是不能避免的》Unavoidable Jealousy  (Official Music Video) ｜ Chill UP")</f>
        <v>【喂呢隻歌講咩架】AJA 爆炸糖 - 《呷醋是不能避免的》Unavoidable Jealousy  (Official Music Video) ｜ Chill UP</v>
      </c>
      <c r="E6948" s="82">
        <v>45214.0</v>
      </c>
      <c r="F6948" s="80">
        <v>480.0</v>
      </c>
      <c r="G6948" s="80" t="s">
        <v>63</v>
      </c>
      <c r="I6948" s="80" t="s">
        <v>63</v>
      </c>
      <c r="J6948" s="80">
        <v>202.0</v>
      </c>
      <c r="K6948" s="80">
        <v>0.512690355329949</v>
      </c>
      <c r="L6948" s="80" t="s">
        <v>64</v>
      </c>
    </row>
    <row r="6949">
      <c r="A6949" s="80" t="s">
        <v>6054</v>
      </c>
      <c r="B6949" s="81" t="str">
        <f>HYPERLINK("https://www.youtube.com/channel/UCZc-RwRZUYVuwu3A9pVBISg", "ToNick")</f>
        <v>ToNick</v>
      </c>
      <c r="C6949" s="80" t="s">
        <v>7490</v>
      </c>
      <c r="D6949" s="81" t="str">
        <f>HYPERLINK("https://youtube.com/watch?v=9gsulUgk5Fw", "ToNick - 尋幸福的話 Unspoken Blessings (Official MV) [4K]")</f>
        <v>ToNick - 尋幸福的話 Unspoken Blessings (Official MV) [4K]</v>
      </c>
      <c r="E6949" s="82">
        <v>45195.0</v>
      </c>
      <c r="F6949" s="80">
        <v>280.0</v>
      </c>
      <c r="G6949" s="80" t="s">
        <v>63</v>
      </c>
      <c r="I6949" s="80" t="s">
        <v>63</v>
      </c>
      <c r="J6949" s="80">
        <v>349.0</v>
      </c>
      <c r="K6949" s="80">
        <v>0.940700808625336</v>
      </c>
      <c r="L6949" s="80" t="s">
        <v>64</v>
      </c>
    </row>
    <row r="6950">
      <c r="A6950" s="80" t="s">
        <v>1670</v>
      </c>
      <c r="B6950" s="81" t="str">
        <f>HYPERLINK("https://www.youtube.com/channel/UC-PIt5m-WOg8UVBkt2RnN0g", "阿JACK睇樓團")</f>
        <v>阿JACK睇樓團</v>
      </c>
      <c r="C6950" s="80" t="s">
        <v>7491</v>
      </c>
      <c r="D6950" s="81" t="str">
        <f>HYPERLINK("https://youtube.com/watch?v=WYzKNdKYooI", "🫣2字頭買640呎咁荀🔥不過難以接受？｜屯門樓｜上車盤｜阿JACK睇樓團｜平台單位")</f>
        <v>🫣2字頭買640呎咁荀🔥不過難以接受？｜屯門樓｜上車盤｜阿JACK睇樓團｜平台單位</v>
      </c>
      <c r="E6950" s="82">
        <v>45197.0</v>
      </c>
      <c r="F6950" s="80">
        <v>852.0</v>
      </c>
      <c r="G6950" s="80" t="s">
        <v>63</v>
      </c>
      <c r="I6950" s="80" t="s">
        <v>63</v>
      </c>
      <c r="J6950" s="80">
        <v>2887.0</v>
      </c>
      <c r="K6950" s="80">
        <v>0.955327597617471</v>
      </c>
      <c r="L6950" s="80" t="s">
        <v>64</v>
      </c>
    </row>
    <row r="6951">
      <c r="A6951" s="80" t="s">
        <v>260</v>
      </c>
      <c r="B6951" s="81" t="str">
        <f>HYPERLINK("https://www.youtube.com/channel/UC-HXOikkLx7BGEfILGIpYOg", "港短 . 英移")</f>
        <v>港短 . 英移</v>
      </c>
      <c r="C6951" s="80" t="s">
        <v>7492</v>
      </c>
      <c r="D6951" s="81" t="str">
        <f>HYPERLINK("https://youtube.com/watch?v=I1c_gKSQpfU", "一個香港移民難以理解的英國生活文化 | 港短英移")</f>
        <v>一個香港移民難以理解的英國生活文化 | 港短英移</v>
      </c>
      <c r="E6951" s="82">
        <v>45212.0</v>
      </c>
      <c r="F6951" s="80">
        <v>231.0</v>
      </c>
      <c r="G6951" s="80" t="s">
        <v>63</v>
      </c>
      <c r="I6951" s="80" t="s">
        <v>63</v>
      </c>
      <c r="J6951" s="80">
        <v>1000.0</v>
      </c>
      <c r="K6951" s="80">
        <v>0.925925925925925</v>
      </c>
      <c r="L6951" s="80" t="s">
        <v>102</v>
      </c>
    </row>
    <row r="6952">
      <c r="A6952" s="80" t="s">
        <v>6960</v>
      </c>
      <c r="B6952" s="81" t="str">
        <f>HYPERLINK("https://www.youtube.com/channel/UCQS2_zzisMq5C_FggxsQwTQ", "Comprehensible Cantonese")</f>
        <v>Comprehensible Cantonese</v>
      </c>
      <c r="C6952" s="80" t="s">
        <v>7493</v>
      </c>
      <c r="D6952" s="81" t="str">
        <f>HYPERLINK("https://youtube.com/watch?v=6acTPU5zsD4", "[CC] 🤔Candy's friends don't really know her husband's name | Chinese Culture| Intermediate Cantonese")</f>
        <v>[CC] 🤔Candy's friends don't really know her husband's name | Chinese Culture| Intermediate Cantonese</v>
      </c>
      <c r="E6952" s="82">
        <v>45219.0</v>
      </c>
      <c r="F6952" s="80">
        <v>339.0</v>
      </c>
      <c r="G6952" s="80" t="s">
        <v>63</v>
      </c>
      <c r="I6952" s="80" t="s">
        <v>63</v>
      </c>
      <c r="J6952" s="80">
        <v>1144.0</v>
      </c>
      <c r="K6952" s="80">
        <v>0.959731543624161</v>
      </c>
      <c r="L6952" s="80" t="s">
        <v>102</v>
      </c>
    </row>
    <row r="6953">
      <c r="A6953" s="80" t="s">
        <v>6711</v>
      </c>
      <c r="B6953" s="81" t="str">
        <f>HYPERLINK("https://www.youtube.com/channel/UCwAPo1PxfhC-CSSjsRtlY3A", "喜歡電影的人都有病 Movie Psychopath")</f>
        <v>喜歡電影的人都有病 Movie Psychopath</v>
      </c>
      <c r="C6953" s="80" t="s">
        <v>7494</v>
      </c>
      <c r="D6953" s="81" t="str">
        <f>HYPERLINK("https://youtube.com/watch?v=wYPVxEi-HJE", "《詭修女II 》￼無力求新，墨守成規，設定最低能戇居的大魔王｜The Nun II｜溫子仁｜粵語｜廣東話｜零一")</f>
        <v>《詭修女II 》￼無力求新，墨守成規，設定最低能戇居的大魔王｜The Nun II｜溫子仁｜粵語｜廣東話｜零一</v>
      </c>
      <c r="E6953" s="82">
        <v>45183.0</v>
      </c>
      <c r="F6953" s="80">
        <v>543.0</v>
      </c>
      <c r="G6953" s="80" t="s">
        <v>63</v>
      </c>
      <c r="I6953" s="80" t="s">
        <v>63</v>
      </c>
      <c r="J6953" s="80">
        <v>1949.0</v>
      </c>
      <c r="K6953" s="80">
        <v>0.899400092293493</v>
      </c>
      <c r="L6953" s="80" t="s">
        <v>64</v>
      </c>
    </row>
    <row r="6954">
      <c r="A6954" s="80" t="s">
        <v>248</v>
      </c>
      <c r="B6954" s="81" t="str">
        <f>HYPERLINK("https://www.youtube.com/channel/UCUEJok-GiWaGlv5nIPwk-GQ", "Price.com.hk 香港格價網")</f>
        <v>Price.com.hk 香港格價網</v>
      </c>
      <c r="C6954" s="80" t="s">
        <v>7495</v>
      </c>
      <c r="D6954" s="81" t="str">
        <f>HYPERLINK("https://youtube.com/watch?v=dxfd75hUdts", "同時兼容5G＋2.5G寬頻！Linksys 5G CPE Router｜隨時隨地享用穩定網絡｜村屋、唐樓、租屋族必備｜FGW5500｜路由器｜廣東話｜特約專題 #產品介紹")</f>
        <v>同時兼容5G＋2.5G寬頻！Linksys 5G CPE Router｜隨時隨地享用穩定網絡｜村屋、唐樓、租屋族必備｜FGW5500｜路由器｜廣東話｜特約專題 #產品介紹</v>
      </c>
      <c r="E6954" s="82">
        <v>45226.0</v>
      </c>
      <c r="F6954" s="80">
        <v>261.0</v>
      </c>
      <c r="G6954" s="80" t="s">
        <v>63</v>
      </c>
      <c r="I6954" s="80" t="s">
        <v>63</v>
      </c>
      <c r="J6954" s="80">
        <v>995.0</v>
      </c>
      <c r="K6954" s="80">
        <v>0.712240515390121</v>
      </c>
      <c r="L6954" s="80" t="s">
        <v>64</v>
      </c>
    </row>
    <row r="6955">
      <c r="A6955" s="80" t="s">
        <v>6892</v>
      </c>
      <c r="B6955" s="81" t="str">
        <f>HYPERLINK("https://www.youtube.com/channel/UC8_hxeY0nDCL-8ETbcGUZ9g", "PT食為先")</f>
        <v>PT食為先</v>
      </c>
      <c r="C6955" s="80" t="s">
        <v>7496</v>
      </c>
      <c r="D6955" s="81" t="str">
        <f>HYPERLINK("https://youtube.com/watch?v=F2nJjT3kotM", "[PT自費食評] 海鮮自助餐氣氛一流～甜品出色 遠勝同價位餐廳！戶外用餐 秋天最Chill🍀午市都有長蟹腳🍤黃金海岸酒店 聆渢咖啡廳  Cafe Lagoon")</f>
        <v>[PT自費食評] 海鮮自助餐氣氛一流～甜品出色 遠勝同價位餐廳！戶外用餐 秋天最Chill🍀午市都有長蟹腳🍤黃金海岸酒店 聆渢咖啡廳  Cafe Lagoon</v>
      </c>
      <c r="E6955" s="82">
        <v>45190.0</v>
      </c>
      <c r="F6955" s="80">
        <v>1084.0</v>
      </c>
      <c r="G6955" s="80" t="s">
        <v>63</v>
      </c>
      <c r="I6955" s="80" t="s">
        <v>63</v>
      </c>
      <c r="J6955" s="80">
        <v>2704.0</v>
      </c>
      <c r="K6955" s="80">
        <v>0.931771192281185</v>
      </c>
      <c r="L6955" s="80" t="s">
        <v>64</v>
      </c>
    </row>
    <row r="6956">
      <c r="A6956" s="80" t="s">
        <v>248</v>
      </c>
      <c r="B6956" s="81" t="str">
        <f>HYPERLINK("https://www.youtube.com/channel/UCUEJok-GiWaGlv5nIPwk-GQ", "Price.com.hk 香港格價網")</f>
        <v>Price.com.hk 香港格價網</v>
      </c>
      <c r="C6956" s="80" t="s">
        <v>7497</v>
      </c>
      <c r="D6956" s="81" t="str">
        <f>HYPERLINK("https://youtube.com/watch?v=NUM764PV6Rw", "Laptop又熱又嘈？$0 - 400熱散方案大比拼！一招解決過熱問題｜Desk Setup｜辦公必備｜廣東話 #產品比較")</f>
        <v>Laptop又熱又嘈？$0 - 400熱散方案大比拼！一招解決過熱問題｜Desk Setup｜辦公必備｜廣東話 #產品比較</v>
      </c>
      <c r="E6956" s="82">
        <v>45176.0</v>
      </c>
      <c r="F6956" s="80">
        <v>304.0</v>
      </c>
      <c r="G6956" s="80" t="s">
        <v>63</v>
      </c>
      <c r="I6956" s="80" t="s">
        <v>63</v>
      </c>
      <c r="J6956" s="80">
        <v>1406.0</v>
      </c>
      <c r="K6956" s="80">
        <v>0.884833228445563</v>
      </c>
      <c r="L6956" s="80" t="s">
        <v>64</v>
      </c>
    </row>
    <row r="6957">
      <c r="A6957" s="80" t="s">
        <v>6892</v>
      </c>
      <c r="B6957" s="81" t="str">
        <f>HYPERLINK("https://www.youtube.com/channel/UC8_hxeY0nDCL-8ETbcGUZ9g", "PT食為先")</f>
        <v>PT食為先</v>
      </c>
      <c r="C6957" s="80" t="s">
        <v>7498</v>
      </c>
      <c r="D6957" s="81" t="str">
        <f>HYPERLINK("https://youtube.com/watch?v=5A8uO_sybF0", "[PT自費食評] 萬豪 Marriott 都有點心放題！最抵7折優惠～望住海景飲茶～即叫即整 金沙三寶 XO醬蘿蔔糕 重點任食推介｜點樣先食到回本？")</f>
        <v>[PT自費食評] 萬豪 Marriott 都有點心放題！最抵7折優惠～望住海景飲茶～即叫即整 金沙三寶 XO醬蘿蔔糕 重點任食推介｜點樣先食到回本？</v>
      </c>
      <c r="E6957" s="82">
        <v>45205.0</v>
      </c>
      <c r="F6957" s="80">
        <v>840.0</v>
      </c>
      <c r="G6957" s="80" t="s">
        <v>63</v>
      </c>
      <c r="I6957" s="80" t="s">
        <v>63</v>
      </c>
      <c r="J6957" s="80">
        <v>2293.0</v>
      </c>
      <c r="K6957" s="80">
        <v>0.976575809199318</v>
      </c>
      <c r="L6957" s="80" t="s">
        <v>64</v>
      </c>
    </row>
    <row r="6958">
      <c r="A6958" s="80" t="s">
        <v>5134</v>
      </c>
      <c r="B6958" s="81" t="str">
        <f>HYPERLINK("https://www.youtube.com/channel/UCGq7xle9PrLHpmdxrk0IlLw", "磚加專家 Danny Ching Top10%地產局金牌經紀百萬圓桌")</f>
        <v>磚加專家 Danny Ching Top10%地產局金牌經紀百萬圓桌</v>
      </c>
      <c r="C6958" s="80" t="s">
        <v>7499</v>
      </c>
      <c r="D6958" s="81" t="str">
        <f>HYPERLINK("https://youtube.com/watch?v=lKUxZPiLBro", "[收緊票啦] Talistar Richmond 2023唯一大項目市價推出 30秒講晒重點 Polygon 度假酒店級裝潢 設施 1100+單位 5分鐘到地鐵站 現場直播行街街 極方便")</f>
        <v>[收緊票啦] Talistar Richmond 2023唯一大項目市價推出 30秒講晒重點 Polygon 度假酒店級裝潢 設施 1100+單位 5分鐘到地鐵站 現場直播行街街 極方便</v>
      </c>
      <c r="E6958" s="82">
        <v>45189.0</v>
      </c>
      <c r="F6958" s="80">
        <v>2486.0</v>
      </c>
      <c r="G6958" s="80" t="s">
        <v>63</v>
      </c>
      <c r="I6958" s="80" t="s">
        <v>63</v>
      </c>
      <c r="J6958" s="80">
        <v>8498.0</v>
      </c>
      <c r="K6958" s="80">
        <v>0.711606096131301</v>
      </c>
      <c r="L6958" s="80" t="s">
        <v>102</v>
      </c>
    </row>
    <row r="6959">
      <c r="A6959" s="80" t="s">
        <v>6711</v>
      </c>
      <c r="B6959" s="81" t="str">
        <f>HYPERLINK("https://www.youtube.com/channel/UCwAPo1PxfhC-CSSjsRtlY3A", "喜歡電影的人都有病 Movie Psychopath")</f>
        <v>喜歡電影的人都有病 Movie Psychopath</v>
      </c>
      <c r="C6959" s="80" t="s">
        <v>7500</v>
      </c>
      <c r="D6959" s="81" t="str">
        <f>HYPERLINK("https://youtube.com/watch?v=c7U20t4rwOY", "《花月殺手》歷史背景｜抖音一代無法享受的電影｜廣東話｜粵語｜睇電影學歷史｜Killers of the Flower Moon｜馬田史高西斯｜李安納度迪卡比奧｜羅拔迪尼路｜莉莉葛萊史東｜影評｜阿影")</f>
        <v>《花月殺手》歷史背景｜抖音一代無法享受的電影｜廣東話｜粵語｜睇電影學歷史｜Killers of the Flower Moon｜馬田史高西斯｜李安納度迪卡比奧｜羅拔迪尼路｜莉莉葛萊史東｜影評｜阿影</v>
      </c>
      <c r="E6959" s="82">
        <v>45223.0</v>
      </c>
      <c r="F6959" s="80">
        <v>690.0</v>
      </c>
      <c r="G6959" s="80" t="s">
        <v>63</v>
      </c>
      <c r="I6959" s="80" t="s">
        <v>63</v>
      </c>
      <c r="J6959" s="80">
        <v>3009.0</v>
      </c>
      <c r="K6959" s="80">
        <v>0.96195652173913</v>
      </c>
      <c r="L6959" s="80" t="s">
        <v>64</v>
      </c>
    </row>
    <row r="6960">
      <c r="A6960" s="80" t="s">
        <v>2041</v>
      </c>
      <c r="B6960" s="81" t="str">
        <f>HYPERLINK("https://www.youtube.com/channel/UCO6pB-ZN4XJ6MVkibvuEe0A", "SingSingTracker 星昇財經指標")</f>
        <v>SingSingTracker 星昇財經指標</v>
      </c>
      <c r="C6960" s="80" t="s">
        <v>7501</v>
      </c>
      <c r="D6960" s="81" t="str">
        <f>HYPERLINK("https://youtube.com/watch?v=zHp0uZRI450", "【呢一星期賺超過$1萬3？】AI 女主持-小Sing🌸分享講解追蹤🔍未來股市動向📈] 27/9/2023 #aiart #寫真 #vtuber")</f>
        <v>【呢一星期賺超過$1萬3？】AI 女主持-小Sing🌸分享講解追蹤🔍未來股市動向📈] 27/9/2023 #aiart #寫真 #vtuber</v>
      </c>
      <c r="E6960" s="82">
        <v>45196.0</v>
      </c>
      <c r="F6960" s="80">
        <v>212.0</v>
      </c>
      <c r="G6960" s="80" t="s">
        <v>63</v>
      </c>
      <c r="I6960" s="80" t="s">
        <v>63</v>
      </c>
      <c r="J6960" s="80">
        <v>794.0</v>
      </c>
      <c r="K6960" s="80">
        <v>0.981458590852904</v>
      </c>
      <c r="L6960" s="80" t="s">
        <v>64</v>
      </c>
    </row>
    <row r="6961">
      <c r="A6961" s="80" t="s">
        <v>248</v>
      </c>
      <c r="B6961" s="81" t="str">
        <f t="shared" ref="B6961:B6963" si="404">HYPERLINK("https://www.youtube.com/channel/UCUEJok-GiWaGlv5nIPwk-GQ", "Price.com.hk 香港格價網")</f>
        <v>Price.com.hk 香港格價網</v>
      </c>
      <c r="C6961" s="80" t="s">
        <v>7502</v>
      </c>
      <c r="D6961" s="81" t="str">
        <f>HYPERLINK("https://youtube.com/watch?v=9moAr1lGctU", "【GIVEAWAY】強悍散熱＋獨有AI晶片！Lenovo 旗艦電競手提電腦 Legion Pro 7i ｜i9-13900HX＋RTX 4090｜特約專題｜廣東話 #產品評測")</f>
        <v>【GIVEAWAY】強悍散熱＋獨有AI晶片！Lenovo 旗艦電競手提電腦 Legion Pro 7i ｜i9-13900HX＋RTX 4090｜特約專題｜廣東話 #產品評測</v>
      </c>
      <c r="E6961" s="82">
        <v>45175.0</v>
      </c>
      <c r="F6961" s="80">
        <v>431.0</v>
      </c>
      <c r="G6961" s="80" t="s">
        <v>63</v>
      </c>
      <c r="I6961" s="80" t="s">
        <v>63</v>
      </c>
      <c r="J6961" s="80">
        <v>1664.0</v>
      </c>
      <c r="K6961" s="80">
        <v>0.651782216999608</v>
      </c>
      <c r="L6961" s="80" t="s">
        <v>64</v>
      </c>
    </row>
    <row r="6962">
      <c r="A6962" s="80" t="s">
        <v>248</v>
      </c>
      <c r="B6962" s="81" t="str">
        <f t="shared" si="404"/>
        <v>Price.com.hk 香港格價網</v>
      </c>
      <c r="C6962" s="80" t="s">
        <v>7503</v>
      </c>
      <c r="D6962" s="81" t="str">
        <f>HYPERLINK("https://youtube.com/watch?v=LEDU9-_Vrrc", "跟機線夠用？iPhone 15/Pro/Max Type-C線 2個心得｜充電 快叉 快傳 耐用 一線多用｜廣東話 #選購資訊")</f>
        <v>跟機線夠用？iPhone 15/Pro/Max Type-C線 2個心得｜充電 快叉 快傳 耐用 一線多用｜廣東話 #選購資訊</v>
      </c>
      <c r="E6962" s="82">
        <v>45190.0</v>
      </c>
      <c r="F6962" s="80">
        <v>180.0</v>
      </c>
      <c r="G6962" s="80" t="s">
        <v>63</v>
      </c>
      <c r="I6962" s="80" t="s">
        <v>63</v>
      </c>
      <c r="J6962" s="80">
        <v>654.0</v>
      </c>
      <c r="K6962" s="80">
        <v>0.727474972191323</v>
      </c>
      <c r="L6962" s="80" t="s">
        <v>64</v>
      </c>
    </row>
    <row r="6963">
      <c r="A6963" s="80" t="s">
        <v>248</v>
      </c>
      <c r="B6963" s="81" t="str">
        <f t="shared" si="404"/>
        <v>Price.com.hk 香港格價網</v>
      </c>
      <c r="C6963" s="80" t="s">
        <v>7504</v>
      </c>
      <c r="D6963" s="81" t="str">
        <f>HYPERLINK("https://youtube.com/watch?v=ljsLLpvzC_g", "新iPhone竟然一啪即裂？被人改名:火龍果｜華華合作！劉德華任華為代言人｜小米推13T Pro低價旗艦｜廣東話 #PriceWeekly 186")</f>
        <v>新iPhone竟然一啪即裂？被人改名:火龍果｜華華合作！劉德華任華為代言人｜小米推13T Pro低價旗艦｜廣東話 #PriceWeekly 186</v>
      </c>
      <c r="E6963" s="82">
        <v>45199.0</v>
      </c>
      <c r="F6963" s="80">
        <v>503.0</v>
      </c>
      <c r="G6963" s="80" t="s">
        <v>63</v>
      </c>
      <c r="I6963" s="80" t="s">
        <v>63</v>
      </c>
      <c r="J6963" s="80">
        <v>1660.0</v>
      </c>
      <c r="K6963" s="80">
        <v>0.672336978533819</v>
      </c>
      <c r="L6963" s="80" t="s">
        <v>64</v>
      </c>
    </row>
    <row r="6964">
      <c r="A6964" s="80" t="s">
        <v>260</v>
      </c>
      <c r="B6964" s="81" t="str">
        <f>HYPERLINK("https://www.youtube.com/channel/UC-HXOikkLx7BGEfILGIpYOg", "港短 . 英移")</f>
        <v>港短 . 英移</v>
      </c>
      <c r="C6964" s="80" t="s">
        <v>7505</v>
      </c>
      <c r="D6964" s="81" t="str">
        <f>HYPERLINK("https://youtube.com/watch?v=ycowbXOHw4o", "3種意想不到的英國樓 | 港短英移")</f>
        <v>3種意想不到的英國樓 | 港短英移</v>
      </c>
      <c r="E6964" s="82">
        <v>45246.0</v>
      </c>
      <c r="F6964" s="80">
        <v>344.0</v>
      </c>
      <c r="G6964" s="80" t="s">
        <v>63</v>
      </c>
      <c r="I6964" s="80" t="s">
        <v>63</v>
      </c>
      <c r="J6964" s="80">
        <v>1581.0</v>
      </c>
      <c r="K6964" s="80">
        <v>0.933845245126993</v>
      </c>
      <c r="L6964" s="80" t="s">
        <v>102</v>
      </c>
    </row>
    <row r="6965">
      <c r="A6965" s="80" t="s">
        <v>3139</v>
      </c>
      <c r="B6965" s="81" t="str">
        <f>HYPERLINK("https://www.youtube.com/channel/UCThO2xnH7XMg6plE8OgJm_w", "choyuen草原")</f>
        <v>choyuen草原</v>
      </c>
      <c r="C6965" s="80" t="s">
        <v>7506</v>
      </c>
      <c r="D6965" s="81" t="str">
        <f>HYPERLINK("https://youtube.com/watch?v=8mZwQ7reKb4", "氣象武器初體驗 !  美國佬竟然出到呢招迫害發明者   USA Suppression of REAL Science")</f>
        <v>氣象武器初體驗 !  美國佬竟然出到呢招迫害發明者   USA Suppression of REAL Science</v>
      </c>
      <c r="E6965" s="82">
        <v>45194.0</v>
      </c>
      <c r="F6965" s="80">
        <v>535.0</v>
      </c>
      <c r="G6965" s="80" t="s">
        <v>63</v>
      </c>
      <c r="I6965" s="80" t="s">
        <v>63</v>
      </c>
      <c r="J6965" s="80">
        <v>1540.0</v>
      </c>
      <c r="K6965" s="80">
        <v>0.851299060254284</v>
      </c>
      <c r="L6965" s="80" t="s">
        <v>64</v>
      </c>
    </row>
    <row r="6966">
      <c r="A6966" s="80" t="s">
        <v>124</v>
      </c>
      <c r="B6966" s="81" t="str">
        <f>HYPERLINK("https://www.youtube.com/channel/UCg0vuSE0fBF_NvodyYhMcWg", "Wallace Studio HK")</f>
        <v>Wallace Studio HK</v>
      </c>
      <c r="C6966" s="80" t="s">
        <v>7507</v>
      </c>
      <c r="D6966" s="81" t="str">
        <f>HYPERLINK("https://youtube.com/watch?v=gQwri8cxTSo", "平板終極對決 2023 Galaxy Tab S9 Ultra vs iPad Pro 12.9 vs Surface Pro 9")</f>
        <v>平板終極對決 2023 Galaxy Tab S9 Ultra vs iPad Pro 12.9 vs Surface Pro 9</v>
      </c>
      <c r="E6966" s="82">
        <v>45228.0</v>
      </c>
      <c r="F6966" s="80">
        <v>948.0</v>
      </c>
      <c r="G6966" s="80" t="s">
        <v>63</v>
      </c>
      <c r="H6966" s="80" t="s">
        <v>63</v>
      </c>
      <c r="I6966" s="80" t="s">
        <v>63</v>
      </c>
      <c r="J6966" s="80">
        <v>3766.0</v>
      </c>
      <c r="K6966" s="80">
        <v>0.738721067085131</v>
      </c>
      <c r="L6966" s="80" t="s">
        <v>86</v>
      </c>
    </row>
    <row r="6967">
      <c r="A6967" s="80" t="s">
        <v>3139</v>
      </c>
      <c r="B6967" s="81" t="str">
        <f>HYPERLINK("https://www.youtube.com/channel/UCThO2xnH7XMg6plE8OgJm_w", "choyuen草原")</f>
        <v>choyuen草原</v>
      </c>
      <c r="C6967" s="80" t="s">
        <v>7508</v>
      </c>
      <c r="D6967" s="81" t="str">
        <f>HYPERLINK("https://youtube.com/watch?v=Qhc1q2-RBc4", "嚴選4大聖經詞彙  曲解 vs 正解 (B. 路西法+猶太人) The Untold Truth about 4 Bible words (B. Lucifer + Jews)")</f>
        <v>嚴選4大聖經詞彙  曲解 vs 正解 (B. 路西法+猶太人) The Untold Truth about 4 Bible words (B. Lucifer + Jews)</v>
      </c>
      <c r="E6967" s="82">
        <v>45168.0</v>
      </c>
      <c r="F6967" s="80">
        <v>666.0</v>
      </c>
      <c r="G6967" s="80" t="s">
        <v>63</v>
      </c>
      <c r="I6967" s="80" t="s">
        <v>63</v>
      </c>
      <c r="J6967" s="80">
        <v>2144.0</v>
      </c>
      <c r="K6967" s="80">
        <v>0.862082830719742</v>
      </c>
      <c r="L6967" s="80" t="s">
        <v>64</v>
      </c>
    </row>
    <row r="6968">
      <c r="A6968" s="80" t="s">
        <v>96</v>
      </c>
      <c r="B6968" s="81" t="str">
        <f>HYPERLINK("https://www.youtube.com/channel/UCGtyHJ-L_4RDIHe3XaLofQQ", "Anson Cheung")</f>
        <v>Anson Cheung</v>
      </c>
      <c r="C6968" s="80" t="s">
        <v>7509</v>
      </c>
      <c r="D6968" s="81" t="str">
        <f>HYPERLINK("https://youtube.com/watch?v=bQuh902TU9E", "我想講講 Google Pixel 8 Pro⋯⋯｜Google Pixel 8 Pro 評測")</f>
        <v>我想講講 Google Pixel 8 Pro⋯⋯｜Google Pixel 8 Pro 評測</v>
      </c>
      <c r="E6968" s="82">
        <v>45251.0</v>
      </c>
      <c r="F6968" s="80">
        <v>720.0</v>
      </c>
      <c r="G6968" s="80" t="s">
        <v>63</v>
      </c>
      <c r="I6968" s="80" t="s">
        <v>63</v>
      </c>
      <c r="J6968" s="80">
        <v>3052.0</v>
      </c>
      <c r="K6968" s="80">
        <v>0.678372971771504</v>
      </c>
      <c r="L6968" s="80" t="s">
        <v>64</v>
      </c>
    </row>
    <row r="6969">
      <c r="A6969" s="80" t="s">
        <v>6373</v>
      </c>
      <c r="B6969" s="81" t="str">
        <f>HYPERLINK("https://www.youtube.com/channel/UCMXOmw_gVvTj8n1gjqUN51w", "瑪姬英文 English with Maggie")</f>
        <v>瑪姬英文 English with Maggie</v>
      </c>
      <c r="C6969" s="80" t="s">
        <v>7510</v>
      </c>
      <c r="D6969" s="81" t="str">
        <f>HYPERLINK("https://youtube.com/watch?v=Gt5BIFDGhZ4", "💵生育津貼 英文")</f>
        <v>💵生育津貼 英文</v>
      </c>
      <c r="E6969" s="82">
        <v>45229.0</v>
      </c>
      <c r="F6969" s="80">
        <v>32.0</v>
      </c>
      <c r="G6969" s="80" t="s">
        <v>63</v>
      </c>
      <c r="I6969" s="80" t="s">
        <v>63</v>
      </c>
      <c r="J6969" s="80">
        <v>65.0</v>
      </c>
      <c r="K6969" s="80">
        <v>0.393939393939393</v>
      </c>
      <c r="L6969" s="80" t="s">
        <v>64</v>
      </c>
    </row>
    <row r="6970">
      <c r="A6970" s="80" t="s">
        <v>755</v>
      </c>
      <c r="B6970" s="81" t="str">
        <f>HYPERLINK("https://www.youtube.com/channel/UCBiJDTc82IM68KVH873VeAw", "Live in Kwangsi廣西人·情·味")</f>
        <v>Live in Kwangsi廣西人·情·味</v>
      </c>
      <c r="C6970" s="80" t="s">
        <v>7511</v>
      </c>
      <c r="D6970" s="81" t="str">
        <f>HYPERLINK("https://youtube.com/watch?v=99X5mlM7LJg", "賀州市英石村秋色掠影｜廣西美景 20231025")</f>
        <v>賀州市英石村秋色掠影｜廣西美景 20231025</v>
      </c>
      <c r="E6970" s="82">
        <v>45232.0</v>
      </c>
      <c r="F6970" s="80">
        <v>209.0</v>
      </c>
      <c r="G6970" s="80" t="s">
        <v>63</v>
      </c>
      <c r="I6970" s="80" t="s">
        <v>63</v>
      </c>
      <c r="J6970" s="80">
        <v>185.0</v>
      </c>
      <c r="K6970" s="80">
        <v>1.0</v>
      </c>
      <c r="L6970" s="80" t="s">
        <v>757</v>
      </c>
    </row>
    <row r="6971">
      <c r="A6971" s="80" t="s">
        <v>7079</v>
      </c>
      <c r="B6971" s="81" t="str">
        <f>HYPERLINK("https://www.youtube.com/channel/UCxuIEqky_1Y1jvkEPZ4j94g", "ERROR")</f>
        <v>ERROR</v>
      </c>
      <c r="C6971" s="80" t="s">
        <v>7512</v>
      </c>
      <c r="D6971" s="81" t="str">
        <f>HYPERLINK("https://youtube.com/watch?v=w1i5_xYVXFI", "Fatboy 《Jap Jap》Official Music Video")</f>
        <v>Fatboy 《Jap Jap》Official Music Video</v>
      </c>
      <c r="E6971" s="82">
        <v>45243.0</v>
      </c>
      <c r="F6971" s="80">
        <v>166.0</v>
      </c>
      <c r="G6971" s="80" t="s">
        <v>63</v>
      </c>
      <c r="I6971" s="80" t="s">
        <v>63</v>
      </c>
      <c r="J6971" s="80">
        <v>316.0</v>
      </c>
      <c r="K6971" s="80">
        <v>0.44950213371266</v>
      </c>
      <c r="L6971" s="80" t="s">
        <v>64</v>
      </c>
    </row>
    <row r="6972">
      <c r="A6972" s="80" t="s">
        <v>3051</v>
      </c>
      <c r="B6972" s="81" t="str">
        <f>HYPERLINK("https://www.youtube.com/channel/UCvE0FPIL24o2mnUQIqcSHYA", "柴犬春卷的英國日常 Shiba Harumaki in UK")</f>
        <v>柴犬春卷的英國日常 Shiba Harumaki in UK</v>
      </c>
      <c r="C6972" s="80" t="s">
        <v>7513</v>
      </c>
      <c r="D6972" s="81" t="str">
        <f>HYPERLINK("https://youtube.com/watch?v=uoiHRj3l8gw", "【移英探親團系列】 距離曼城個半鐘車程｜被譽人生中必去50大景點英國西北部Lake District 湖區國家公園｜長者細路都啱玩👍🏻 #英國生活 #英國旅行 #Travel")</f>
        <v>【移英探親團系列】 距離曼城個半鐘車程｜被譽人生中必去50大景點英國西北部Lake District 湖區國家公園｜長者細路都啱玩👍🏻 #英國生活 #英國旅行 #Travel</v>
      </c>
      <c r="E6972" s="82">
        <v>45231.0</v>
      </c>
      <c r="F6972" s="80">
        <v>1038.0</v>
      </c>
      <c r="G6972" s="80" t="s">
        <v>63</v>
      </c>
      <c r="I6972" s="80" t="s">
        <v>63</v>
      </c>
      <c r="J6972" s="80">
        <v>3336.0</v>
      </c>
      <c r="K6972" s="80">
        <v>0.931843575418994</v>
      </c>
      <c r="L6972" s="80" t="s">
        <v>64</v>
      </c>
    </row>
    <row r="6973">
      <c r="A6973" s="80" t="s">
        <v>7514</v>
      </c>
      <c r="B6973" s="81" t="str">
        <f t="shared" ref="B6973:B6974" si="405">HYPERLINK("https://www.youtube.com/channel/UCemfvqiWvXPrrjegQ-PK1jw", "阿鼻貓 ABCat 山系玩樂誌")</f>
        <v>阿鼻貓 ABCat 山系玩樂誌</v>
      </c>
      <c r="C6973" s="80" t="s">
        <v>7515</v>
      </c>
      <c r="D6973" s="81" t="str">
        <f>HYPERLINK("https://youtube.com/watch?v=tyVJO9cjfOQ", "🇰🇷韓國旅遊『濟州』玩樂攻略 Ep.3｜日落．海岸．騎車．刺激體驗｜[4K] travel vlog Jeju")</f>
        <v>🇰🇷韓國旅遊『濟州』玩樂攻略 Ep.3｜日落．海岸．騎車．刺激體驗｜[4K] travel vlog Jeju</v>
      </c>
      <c r="E6973" s="82">
        <v>45254.0</v>
      </c>
      <c r="F6973" s="80">
        <v>1915.0</v>
      </c>
      <c r="G6973" s="80" t="s">
        <v>63</v>
      </c>
      <c r="I6973" s="80" t="s">
        <v>63</v>
      </c>
      <c r="J6973" s="80">
        <v>2670.0</v>
      </c>
      <c r="K6973" s="80">
        <v>0.92196132596685</v>
      </c>
      <c r="L6973" s="80" t="s">
        <v>64</v>
      </c>
    </row>
    <row r="6974">
      <c r="A6974" s="80" t="s">
        <v>7514</v>
      </c>
      <c r="B6974" s="81" t="str">
        <f t="shared" si="405"/>
        <v>阿鼻貓 ABCat 山系玩樂誌</v>
      </c>
      <c r="C6974" s="80" t="s">
        <v>7516</v>
      </c>
      <c r="D6974" s="81" t="str">
        <f>HYPERLINK("https://youtube.com/watch?v=airAI4fkwAY", "🇰🇷韓國旅遊『濟州』玩樂攻略｜楸子島 行山郊遊必去！ Ep.2｜[4K] travel vlog Jeju")</f>
        <v>🇰🇷韓國旅遊『濟州』玩樂攻略｜楸子島 行山郊遊必去！ Ep.2｜[4K] travel vlog Jeju</v>
      </c>
      <c r="E6974" s="82">
        <v>45247.0</v>
      </c>
      <c r="F6974" s="80">
        <v>1180.0</v>
      </c>
      <c r="G6974" s="80" t="s">
        <v>63</v>
      </c>
      <c r="I6974" s="80" t="s">
        <v>63</v>
      </c>
      <c r="J6974" s="80">
        <v>2033.0</v>
      </c>
      <c r="K6974" s="80">
        <v>0.918247515808491</v>
      </c>
      <c r="L6974" s="80" t="s">
        <v>64</v>
      </c>
    </row>
    <row r="6975">
      <c r="A6975" s="80" t="s">
        <v>3051</v>
      </c>
      <c r="B6975" s="81" t="str">
        <f>HYPERLINK("https://www.youtube.com/channel/UCvE0FPIL24o2mnUQIqcSHYA", "柴犬春卷的英國日常 Shiba Harumaki in UK")</f>
        <v>柴犬春卷的英國日常 Shiba Harumaki in UK</v>
      </c>
      <c r="C6975" s="80" t="s">
        <v>7517</v>
      </c>
      <c r="D6975" s="81" t="str">
        <f>HYPERLINK("https://youtube.com/watch?v=gYfBegu1iUs", "【難以理解】法國旅遊奇怪事件簿⚠️ 巴黎人都是這樣生活的嗎？很想回英國？！#旅行 #法國")</f>
        <v>【難以理解】法國旅遊奇怪事件簿⚠️ 巴黎人都是這樣生活的嗎？很想回英國？！#旅行 #法國</v>
      </c>
      <c r="E6975" s="82">
        <v>45241.0</v>
      </c>
      <c r="F6975" s="80">
        <v>650.0</v>
      </c>
      <c r="G6975" s="80" t="s">
        <v>63</v>
      </c>
      <c r="I6975" s="80" t="s">
        <v>63</v>
      </c>
      <c r="J6975" s="80">
        <v>2177.0</v>
      </c>
      <c r="K6975" s="80">
        <v>0.912023460410557</v>
      </c>
      <c r="L6975" s="80" t="s">
        <v>64</v>
      </c>
    </row>
    <row r="6976">
      <c r="A6976" s="80" t="s">
        <v>755</v>
      </c>
      <c r="B6976" s="81" t="str">
        <f>HYPERLINK("https://www.youtube.com/channel/UCBiJDTc82IM68KVH873VeAw", "Live in Kwangsi廣西人·情·味")</f>
        <v>Live in Kwangsi廣西人·情·味</v>
      </c>
      <c r="C6976" s="80" t="s">
        <v>7518</v>
      </c>
      <c r="D6976" s="81" t="str">
        <f>HYPERLINK("https://youtube.com/watch?v=lklWX3SUn1I", "遊覽廣西規劃館，其實得個殼？入面冇嘢睇啲職員仲要幾識玩！｜廣西日常實拍 20230901")</f>
        <v>遊覽廣西規劃館，其實得個殼？入面冇嘢睇啲職員仲要幾識玩！｜廣西日常實拍 20230901</v>
      </c>
      <c r="E6976" s="82">
        <v>45242.0</v>
      </c>
      <c r="F6976" s="80">
        <v>159.0</v>
      </c>
      <c r="G6976" s="80" t="s">
        <v>63</v>
      </c>
      <c r="I6976" s="80" t="s">
        <v>63</v>
      </c>
      <c r="J6976" s="80">
        <v>217.0</v>
      </c>
      <c r="K6976" s="80">
        <v>1.0</v>
      </c>
      <c r="L6976" s="80" t="s">
        <v>757</v>
      </c>
    </row>
    <row r="6977">
      <c r="A6977" s="80" t="s">
        <v>2041</v>
      </c>
      <c r="B6977" s="81" t="str">
        <f>HYPERLINK("https://www.youtube.com/channel/UCO6pB-ZN4XJ6MVkibvuEe0A", "SingSingTracker 星昇財經指標")</f>
        <v>SingSingTracker 星昇財經指標</v>
      </c>
      <c r="C6977" s="80" t="s">
        <v>7519</v>
      </c>
      <c r="D6977" s="81" t="str">
        <f>HYPERLINK("https://youtube.com/watch?v=lnLsPPrRCng", "【呢一星期賺超過$1萬3？】AI 女主持-小Sing🌸分享講解追蹤🔍未來股市動向📈] 22/11/2023 #aiart #chatgpt #vtuber")</f>
        <v>【呢一星期賺超過$1萬3？】AI 女主持-小Sing🌸分享講解追蹤🔍未來股市動向📈] 22/11/2023 #aiart #chatgpt #vtuber</v>
      </c>
      <c r="E6977" s="82">
        <v>45252.0</v>
      </c>
      <c r="F6977" s="80">
        <v>152.0</v>
      </c>
      <c r="G6977" s="80" t="s">
        <v>63</v>
      </c>
      <c r="I6977" s="80" t="s">
        <v>63</v>
      </c>
      <c r="J6977" s="80">
        <v>583.0</v>
      </c>
      <c r="K6977" s="80">
        <v>0.979831932773109</v>
      </c>
      <c r="L6977" s="80" t="s">
        <v>64</v>
      </c>
    </row>
    <row r="6978">
      <c r="A6978" s="80" t="s">
        <v>5702</v>
      </c>
      <c r="B6978" s="81" t="str">
        <f>HYPERLINK("https://www.youtube.com/channel/UC249m2fxYzK-NnfH06YNP3A", "Siu Mei小美")</f>
        <v>Siu Mei小美</v>
      </c>
      <c r="C6978" s="80" t="s">
        <v>7520</v>
      </c>
      <c r="D6978" s="81" t="str">
        <f>HYPERLINK("https://youtube.com/watch?v=PWK0I8y57pk", "📸拍攝專用上鏡妝🕐15分鐘完成✅手把手由0到1教你🙌🏻快速日常🔥新手適用")</f>
        <v>📸拍攝專用上鏡妝🕐15分鐘完成✅手把手由0到1教你🙌🏻快速日常🔥新手適用</v>
      </c>
      <c r="E6978" s="82">
        <v>45253.0</v>
      </c>
      <c r="F6978" s="80">
        <v>953.0</v>
      </c>
      <c r="G6978" s="80" t="s">
        <v>63</v>
      </c>
      <c r="I6978" s="80" t="s">
        <v>63</v>
      </c>
      <c r="J6978" s="80">
        <v>4075.0</v>
      </c>
      <c r="K6978" s="80">
        <v>0.851975747438846</v>
      </c>
      <c r="L6978" s="80" t="s">
        <v>64</v>
      </c>
    </row>
    <row r="6979">
      <c r="A6979" s="80" t="s">
        <v>5546</v>
      </c>
      <c r="B6979" s="81" t="str">
        <f>HYPERLINK("https://www.youtube.com/channel/UCpE6V9kRImKY0HX3THRgYpw", "InspirLang")</f>
        <v>InspirLang</v>
      </c>
      <c r="C6979" s="80" t="s">
        <v>7521</v>
      </c>
      <c r="D6979" s="81" t="str">
        <f>HYPERLINK("https://youtube.com/watch?v=inrZOYNIJEM", "AAPI Spring Scavenger Hunt | New York Chinatown, Explore Historical Sites, Bloody Corner")</f>
        <v>AAPI Spring Scavenger Hunt | New York Chinatown, Explore Historical Sites, Bloody Corner</v>
      </c>
      <c r="E6979" s="82">
        <v>45071.0</v>
      </c>
      <c r="F6979" s="80">
        <v>1349.0</v>
      </c>
      <c r="G6979" s="80" t="s">
        <v>63</v>
      </c>
      <c r="I6979" s="80" t="s">
        <v>63</v>
      </c>
      <c r="J6979" s="80">
        <v>3932.0</v>
      </c>
      <c r="K6979" s="80">
        <v>0.897102441250285</v>
      </c>
      <c r="L6979" s="80" t="s">
        <v>426</v>
      </c>
    </row>
    <row r="6980">
      <c r="A6980" s="80" t="s">
        <v>260</v>
      </c>
      <c r="B6980" s="81" t="str">
        <f>HYPERLINK("https://www.youtube.com/channel/UC-HXOikkLx7BGEfILGIpYOg", "港短 . 英移")</f>
        <v>港短 . 英移</v>
      </c>
      <c r="C6980" s="80" t="s">
        <v>7522</v>
      </c>
      <c r="D6980" s="81" t="str">
        <f>HYPERLINK("https://youtube.com/watch?v=OspWJGiAulg", "好容易出事的英國物業 | 港短英移")</f>
        <v>好容易出事的英國物業 | 港短英移</v>
      </c>
      <c r="E6980" s="82">
        <v>45239.0</v>
      </c>
      <c r="F6980" s="80">
        <v>418.0</v>
      </c>
      <c r="G6980" s="80" t="s">
        <v>63</v>
      </c>
      <c r="I6980" s="80" t="s">
        <v>63</v>
      </c>
      <c r="J6980" s="80">
        <v>1921.0</v>
      </c>
      <c r="K6980" s="80">
        <v>0.85226264418811</v>
      </c>
      <c r="L6980" s="80" t="s">
        <v>102</v>
      </c>
    </row>
    <row r="6981">
      <c r="A6981" s="80" t="s">
        <v>755</v>
      </c>
      <c r="B6981" s="81" t="str">
        <f t="shared" ref="B6981:B6982" si="406">HYPERLINK("https://www.youtube.com/channel/UCBiJDTc82IM68KVH873VeAw", "Live in Kwangsi廣西人·情·味")</f>
        <v>Live in Kwangsi廣西人·情·味</v>
      </c>
      <c r="C6981" s="80" t="s">
        <v>7523</v>
      </c>
      <c r="D6981" s="81" t="str">
        <f>HYPERLINK("https://youtube.com/watch?v=mfWtCeuWVP4", "秋日賀州鄉村遊：臨賀古城、榕樹村、鐵索橋、日落｜廣西美景 20231106")</f>
        <v>秋日賀州鄉村遊：臨賀古城、榕樹村、鐵索橋、日落｜廣西美景 20231106</v>
      </c>
      <c r="E6981" s="82">
        <v>45250.0</v>
      </c>
      <c r="F6981" s="80">
        <v>303.0</v>
      </c>
      <c r="G6981" s="80" t="s">
        <v>63</v>
      </c>
      <c r="I6981" s="80" t="s">
        <v>63</v>
      </c>
      <c r="J6981" s="80">
        <v>686.0</v>
      </c>
      <c r="K6981" s="80">
        <v>0.997093023255814</v>
      </c>
      <c r="L6981" s="80" t="s">
        <v>757</v>
      </c>
    </row>
    <row r="6982">
      <c r="A6982" s="80" t="s">
        <v>755</v>
      </c>
      <c r="B6982" s="81" t="str">
        <f t="shared" si="406"/>
        <v>Live in Kwangsi廣西人·情·味</v>
      </c>
      <c r="C6982" s="80" t="s">
        <v>7524</v>
      </c>
      <c r="D6982" s="81" t="str">
        <f>HYPERLINK("https://youtube.com/watch?v=DiAGM1A-7yU", "桂林市桂海晴嵐：市郊休閒景點，點影都係幅山水畫！｜廣西美景 20231105")</f>
        <v>桂林市桂海晴嵐：市郊休閒景點，點影都係幅山水畫！｜廣西美景 20231105</v>
      </c>
      <c r="E6982" s="82">
        <v>45251.0</v>
      </c>
      <c r="F6982" s="80">
        <v>227.0</v>
      </c>
      <c r="G6982" s="80" t="s">
        <v>63</v>
      </c>
      <c r="I6982" s="80" t="s">
        <v>63</v>
      </c>
      <c r="J6982" s="80">
        <v>440.0</v>
      </c>
      <c r="K6982" s="80">
        <v>0.997732426303854</v>
      </c>
      <c r="L6982" s="80" t="s">
        <v>757</v>
      </c>
    </row>
    <row r="6983">
      <c r="A6983" s="80" t="s">
        <v>3051</v>
      </c>
      <c r="B6983" s="81" t="str">
        <f>HYPERLINK("https://www.youtube.com/channel/UCvE0FPIL24o2mnUQIqcSHYA", "柴犬春卷的英國日常 Shiba Harumaki in UK")</f>
        <v>柴犬春卷的英國日常 Shiba Harumaki in UK</v>
      </c>
      <c r="C6983" s="80" t="s">
        <v>7525</v>
      </c>
      <c r="D6983" s="81" t="str">
        <f>HYPERLINK("https://youtube.com/watch?v=8lbU90NnCRM", "【法國自由行】寵物友善法國巴黎必去Outlet 【開箱】平靚正巴黎度假酒店 #旅行 #法國 #vlog")</f>
        <v>【法國自由行】寵物友善法國巴黎必去Outlet 【開箱】平靚正巴黎度假酒店 #旅行 #法國 #vlog</v>
      </c>
      <c r="E6983" s="82">
        <v>45227.0</v>
      </c>
      <c r="F6983" s="80">
        <v>723.0</v>
      </c>
      <c r="G6983" s="80" t="s">
        <v>63</v>
      </c>
      <c r="I6983" s="80" t="s">
        <v>63</v>
      </c>
      <c r="J6983" s="80">
        <v>2331.0</v>
      </c>
      <c r="K6983" s="80">
        <v>0.889016018306636</v>
      </c>
      <c r="L6983" s="80" t="s">
        <v>521</v>
      </c>
    </row>
    <row r="6984">
      <c r="A6984" s="80" t="s">
        <v>124</v>
      </c>
      <c r="B6984" s="81" t="str">
        <f>HYPERLINK("https://www.youtube.com/channel/UCg0vuSE0fBF_NvodyYhMcWg", "Wallace Studio HK")</f>
        <v>Wallace Studio HK</v>
      </c>
      <c r="C6984" s="80" t="s">
        <v>7526</v>
      </c>
      <c r="D6984" s="81" t="str">
        <f>HYPERLINK("https://youtube.com/watch?v=DJ5Iyg0VSkM", "HUAWEI FreeBuds Pro 3開箱實測 雙⾦標認證靚聲! 通話降噪都有驚喜!")</f>
        <v>HUAWEI FreeBuds Pro 3開箱實測 雙⾦標認證靚聲! 通話降噪都有驚喜!</v>
      </c>
      <c r="E6984" s="82">
        <v>45255.0</v>
      </c>
      <c r="F6984" s="80">
        <v>461.0</v>
      </c>
      <c r="G6984" s="80" t="s">
        <v>63</v>
      </c>
      <c r="I6984" s="80" t="s">
        <v>63</v>
      </c>
      <c r="J6984" s="80">
        <v>1566.0</v>
      </c>
      <c r="K6984" s="80">
        <v>0.837881219903691</v>
      </c>
      <c r="L6984" s="80" t="s">
        <v>64</v>
      </c>
    </row>
    <row r="6985">
      <c r="A6985" s="80" t="s">
        <v>242</v>
      </c>
      <c r="B6985" s="81" t="str">
        <f>HYPERLINK("https://www.youtube.com/channel/UCZGVB6g74LXWtkR3fX50ykg", "Edwin H.")</f>
        <v>Edwin H.</v>
      </c>
      <c r="C6985" s="80" t="s">
        <v>7527</v>
      </c>
      <c r="D6985" s="81" t="str">
        <f>HYPERLINK("https://youtube.com/watch?v=aVIBnno2D90", "2分鐘精華 🍎 Apple 發佈會💻 M3 MacBook Pro 👨🏻‍💻 M3 Pro M3 Max 懶人包 🖥️ iMac M3 中文 Apple Event")</f>
        <v>2分鐘精華 🍎 Apple 發佈會💻 M3 MacBook Pro 👨🏻‍💻 M3 Pro M3 Max 懶人包 🖥️ iMac M3 中文 Apple Event</v>
      </c>
      <c r="E6985" s="82">
        <v>45230.0</v>
      </c>
      <c r="F6985" s="80">
        <v>149.0</v>
      </c>
      <c r="G6985" s="80" t="s">
        <v>63</v>
      </c>
      <c r="I6985" s="80" t="s">
        <v>63</v>
      </c>
      <c r="J6985" s="80">
        <v>550.0</v>
      </c>
      <c r="K6985" s="80">
        <v>0.669914738124238</v>
      </c>
      <c r="L6985" s="80" t="s">
        <v>64</v>
      </c>
    </row>
    <row r="6986">
      <c r="A6986" s="80" t="s">
        <v>989</v>
      </c>
      <c r="B6986" s="81" t="str">
        <f>HYPERLINK("https://www.youtube.com/channel/UCljo-rxFnc2gl9l8NhhJ66Q", "好青年荼毒室")</f>
        <v>好青年荼毒室</v>
      </c>
      <c r="C6986" s="80" t="s">
        <v>7528</v>
      </c>
      <c r="D6986" s="81" t="str">
        <f>HYPERLINK("https://youtube.com/watch?v=QtwpzVlpy4M", "蒙著面說愛你︰荼毒室唯一薑MK老師討論明星鬧人事件【都市聞情】")</f>
        <v>蒙著面說愛你︰荼毒室唯一薑MK老師討論明星鬧人事件【都市聞情】</v>
      </c>
      <c r="E6986" s="82">
        <v>45243.0</v>
      </c>
      <c r="F6986" s="80">
        <v>6095.0</v>
      </c>
      <c r="G6986" s="80" t="s">
        <v>63</v>
      </c>
      <c r="I6986" s="80" t="s">
        <v>63</v>
      </c>
      <c r="J6986" s="80">
        <v>26417.0</v>
      </c>
      <c r="K6986" s="80">
        <v>0.937737389514039</v>
      </c>
      <c r="L6986" s="80" t="s">
        <v>64</v>
      </c>
    </row>
    <row r="6987">
      <c r="A6987" s="80" t="s">
        <v>755</v>
      </c>
      <c r="B6987" s="81" t="str">
        <f>HYPERLINK("https://www.youtube.com/channel/UCBiJDTc82IM68KVH873VeAw", "Live in Kwangsi廣西人·情·味")</f>
        <v>Live in Kwangsi廣西人·情·味</v>
      </c>
      <c r="C6987" s="80" t="s">
        <v>7529</v>
      </c>
      <c r="D6987" s="81" t="str">
        <f>HYPERLINK("https://youtube.com/watch?v=SiiQTMxsZe8", "夜遊陽朔西街｜廣西日常實拍 20231103")</f>
        <v>夜遊陽朔西街｜廣西日常實拍 20231103</v>
      </c>
      <c r="E6987" s="82">
        <v>45248.0</v>
      </c>
      <c r="F6987" s="80">
        <v>176.0</v>
      </c>
      <c r="G6987" s="80" t="s">
        <v>63</v>
      </c>
      <c r="I6987" s="80" t="s">
        <v>63</v>
      </c>
      <c r="J6987" s="80">
        <v>157.0</v>
      </c>
      <c r="K6987" s="80">
        <v>1.0</v>
      </c>
      <c r="L6987" s="80" t="s">
        <v>757</v>
      </c>
    </row>
    <row r="6988">
      <c r="A6988" s="80" t="s">
        <v>96</v>
      </c>
      <c r="B6988" s="81" t="str">
        <f>HYPERLINK("https://www.youtube.com/channel/UCGtyHJ-L_4RDIHe3XaLofQQ", "Anson Cheung")</f>
        <v>Anson Cheung</v>
      </c>
      <c r="C6988" s="80" t="s">
        <v>7530</v>
      </c>
      <c r="D6988" s="81" t="str">
        <f>HYPERLINK("https://youtube.com/watch?v=1f6wujBnowA", "iPhone 15 兩個月後評測：low-key 今年最值得買嘅 iPhone")</f>
        <v>iPhone 15 兩個月後評測：low-key 今年最值得買嘅 iPhone</v>
      </c>
      <c r="E6988" s="82">
        <v>45254.0</v>
      </c>
      <c r="F6988" s="80">
        <v>610.0</v>
      </c>
      <c r="G6988" s="80" t="s">
        <v>63</v>
      </c>
      <c r="I6988" s="80" t="s">
        <v>63</v>
      </c>
      <c r="J6988" s="80">
        <v>2552.0</v>
      </c>
      <c r="K6988" s="80">
        <v>0.661997405966277</v>
      </c>
      <c r="L6988" s="80" t="s">
        <v>102</v>
      </c>
    </row>
    <row r="6989">
      <c r="A6989" s="80" t="s">
        <v>3139</v>
      </c>
      <c r="B6989" s="81" t="str">
        <f>HYPERLINK("https://www.youtube.com/channel/UCThO2xnH7XMg6plE8OgJm_w", "choyuen草原")</f>
        <v>choyuen草原</v>
      </c>
      <c r="C6989" s="80" t="s">
        <v>7531</v>
      </c>
      <c r="D6989" s="81" t="str">
        <f>HYPERLINK("https://youtube.com/watch?v=adDzNa-j2uo", "直擊 !  共濟會 (英國總舵) 導賞團上線喇 !     Interpreting Everything in Freemason Hall")</f>
        <v>直擊 !  共濟會 (英國總舵) 導賞團上線喇 !     Interpreting Everything in Freemason Hall</v>
      </c>
      <c r="E6989" s="82">
        <v>45076.0</v>
      </c>
      <c r="F6989" s="80">
        <v>597.0</v>
      </c>
      <c r="G6989" s="80" t="s">
        <v>63</v>
      </c>
      <c r="I6989" s="80" t="s">
        <v>63</v>
      </c>
      <c r="J6989" s="80">
        <v>1640.0</v>
      </c>
      <c r="K6989" s="80">
        <v>0.839303991811668</v>
      </c>
      <c r="L6989" s="80" t="s">
        <v>64</v>
      </c>
    </row>
    <row r="6990">
      <c r="A6990" s="80" t="s">
        <v>7532</v>
      </c>
      <c r="B6990" s="81" t="str">
        <f>HYPERLINK("https://www.youtube.com/channel/UC_gbnbd5F7wbkhz_DiB30BA", "Highway Recording")</f>
        <v>Highway Recording</v>
      </c>
      <c r="C6990" s="80" t="s">
        <v>7533</v>
      </c>
      <c r="D6990" s="81" t="str">
        <f>HYPERLINK("https://youtube.com/watch?v=Pet9Rsu2R-Q", "【感情橋】塔羅雙週報 ep 3 [中文字幕 | 廣東話]")</f>
        <v>【感情橋】塔羅雙週報 ep 3 [中文字幕 | 廣東話]</v>
      </c>
      <c r="E6990" s="82">
        <v>45232.0</v>
      </c>
      <c r="F6990" s="80">
        <v>536.0</v>
      </c>
      <c r="G6990" s="80" t="s">
        <v>63</v>
      </c>
      <c r="I6990" s="80" t="s">
        <v>63</v>
      </c>
      <c r="J6990" s="80">
        <v>1911.0</v>
      </c>
      <c r="K6990" s="80">
        <v>0.993243243243243</v>
      </c>
      <c r="L6990" s="80" t="s">
        <v>64</v>
      </c>
    </row>
    <row r="6991">
      <c r="A6991" s="80" t="s">
        <v>755</v>
      </c>
      <c r="B6991" s="81" t="str">
        <f>HYPERLINK("https://www.youtube.com/channel/UCBiJDTc82IM68KVH873VeAw", "Live in Kwangsi廣西人·情·味")</f>
        <v>Live in Kwangsi廣西人·情·味</v>
      </c>
      <c r="C6991" s="80" t="s">
        <v>7534</v>
      </c>
      <c r="D6991" s="81" t="str">
        <f>HYPERLINK("https://youtube.com/watch?v=Atb0v7mYTpY", "南寧遊車河，途經（南寧東收費站、航洋、南寧大橋、廣西文化藝術中心、宜家、會展山、青秀路）｜廣西日常實拍 20230902")</f>
        <v>南寧遊車河，途經（南寧東收費站、航洋、南寧大橋、廣西文化藝術中心、宜家、會展山、青秀路）｜廣西日常實拍 20230902</v>
      </c>
      <c r="E6991" s="82">
        <v>45237.0</v>
      </c>
      <c r="F6991" s="80">
        <v>211.0</v>
      </c>
      <c r="G6991" s="80" t="s">
        <v>63</v>
      </c>
      <c r="I6991" s="80" t="s">
        <v>63</v>
      </c>
      <c r="J6991" s="80">
        <v>163.0</v>
      </c>
      <c r="K6991" s="80">
        <v>0.99390243902439</v>
      </c>
      <c r="L6991" s="80" t="s">
        <v>757</v>
      </c>
    </row>
    <row r="6992">
      <c r="A6992" s="80" t="s">
        <v>5134</v>
      </c>
      <c r="B6992" s="81" t="str">
        <f>HYPERLINK("https://www.youtube.com/channel/UCGq7xle9PrLHpmdxrk0IlLw", "磚加專家 Danny Ching Top10%地產局金牌經紀百萬圓桌")</f>
        <v>磚加專家 Danny Ching Top10%地產局金牌經紀百萬圓桌</v>
      </c>
      <c r="C6992" s="80" t="s">
        <v>7535</v>
      </c>
      <c r="D6992" s="81" t="str">
        <f>HYPERLINK("https://youtube.com/watch?v=VTIYNsykd9s", "【磗加現樓花】一。公園 One Park 烈治文 全新現新樓 唔冼搶 大把單位睇 價錢及質素有保證 Richmond Centre &amp; No.3 Road")</f>
        <v>【磗加現樓花】一。公園 One Park 烈治文 全新現新樓 唔冼搶 大把單位睇 價錢及質素有保證 Richmond Centre &amp; No.3 Road</v>
      </c>
      <c r="E6992" s="82">
        <v>45243.0</v>
      </c>
      <c r="F6992" s="80">
        <v>2438.0</v>
      </c>
      <c r="G6992" s="80" t="s">
        <v>63</v>
      </c>
      <c r="I6992" s="80" t="s">
        <v>63</v>
      </c>
      <c r="J6992" s="80">
        <v>8951.0</v>
      </c>
      <c r="K6992" s="80">
        <v>0.80712353471596</v>
      </c>
      <c r="L6992" s="80" t="s">
        <v>102</v>
      </c>
    </row>
    <row r="6993">
      <c r="A6993" s="80" t="s">
        <v>755</v>
      </c>
      <c r="B6993" s="81" t="str">
        <f>HYPERLINK("https://www.youtube.com/channel/UCBiJDTc82IM68KVH873VeAw", "Live in Kwangsi廣西人·情·味")</f>
        <v>Live in Kwangsi廣西人·情·味</v>
      </c>
      <c r="C6993" s="80" t="s">
        <v>7536</v>
      </c>
      <c r="D6993" s="81" t="str">
        <f>HYPERLINK("https://youtube.com/watch?v=L_ZmrOAi5Rs", "廣州琶洲珠江琶醍，夜晚行街散步嘅好去處！｜廣東日常實拍 20230815")</f>
        <v>廣州琶洲珠江琶醍，夜晚行街散步嘅好去處！｜廣東日常實拍 20230815</v>
      </c>
      <c r="E6993" s="82">
        <v>45240.0</v>
      </c>
      <c r="F6993" s="80">
        <v>175.0</v>
      </c>
      <c r="G6993" s="80" t="s">
        <v>63</v>
      </c>
      <c r="I6993" s="80" t="s">
        <v>63</v>
      </c>
      <c r="J6993" s="80">
        <v>386.0</v>
      </c>
      <c r="K6993" s="80">
        <v>1.0</v>
      </c>
      <c r="L6993" s="80" t="s">
        <v>757</v>
      </c>
    </row>
    <row r="6994">
      <c r="A6994" s="80" t="s">
        <v>288</v>
      </c>
      <c r="B6994" s="81" t="str">
        <f>HYPERLINK("https://www.youtube.com/channel/UCDWOYEhVnyD4IHZGVAMLc0g", "Brendan 毛爸")</f>
        <v>Brendan 毛爸</v>
      </c>
      <c r="C6994" s="80" t="s">
        <v>7537</v>
      </c>
      <c r="D6994" s="81" t="str">
        <f>HYPERLINK("https://youtube.com/watch?v=lcdMj9rUA-k", "《30蚊就食到烤肉套餐！》一人烤肉店！燒鍋系列！加$3跟埋汽水@Yakiniku 深水埗 (毛爸回港EP3 含CC字幕)")</f>
        <v>《30蚊就食到烤肉套餐！》一人烤肉店！燒鍋系列！加$3跟埋汽水@Yakiniku 深水埗 (毛爸回港EP3 含CC字幕)</v>
      </c>
      <c r="E6994" s="82">
        <v>45247.0</v>
      </c>
      <c r="F6994" s="80">
        <v>275.0</v>
      </c>
      <c r="G6994" s="80" t="s">
        <v>63</v>
      </c>
      <c r="I6994" s="80" t="s">
        <v>63</v>
      </c>
      <c r="J6994" s="80">
        <v>1021.0</v>
      </c>
      <c r="K6994" s="80">
        <v>0.958685446009389</v>
      </c>
      <c r="L6994" s="80" t="s">
        <v>64</v>
      </c>
    </row>
    <row r="6995">
      <c r="A6995" s="80" t="s">
        <v>2761</v>
      </c>
      <c r="B6995" s="81" t="str">
        <f>HYPERLINK("https://www.youtube.com/channel/UCr_L9cZdbBU_XDsKDHBBlew", "am730")</f>
        <v>am730</v>
      </c>
      <c r="C6995" s="80" t="s">
        <v>7538</v>
      </c>
      <c r="D6995" s="81" t="str">
        <f>HYPERLINK("https://youtube.com/watch?v=Yq_8Pt0O3g0", "《社內相親》記者會｜Edan大開黃腔稱自己好勁 Anson Lo自爆床戲拍足全屋每個角落 （足本爆笑訪問）")</f>
        <v>《社內相親》記者會｜Edan大開黃腔稱自己好勁 Anson Lo自爆床戲拍足全屋每個角落 （足本爆笑訪問）</v>
      </c>
      <c r="E6995" s="82">
        <v>45237.0</v>
      </c>
      <c r="F6995" s="80">
        <v>670.0</v>
      </c>
      <c r="G6995" s="80" t="s">
        <v>63</v>
      </c>
      <c r="I6995" s="80" t="s">
        <v>63</v>
      </c>
      <c r="J6995" s="80">
        <v>1996.0</v>
      </c>
      <c r="K6995" s="80">
        <v>0.891469405984814</v>
      </c>
      <c r="L6995" s="80" t="s">
        <v>91</v>
      </c>
    </row>
    <row r="6996">
      <c r="A6996" s="80" t="s">
        <v>989</v>
      </c>
      <c r="B6996" s="81" t="str">
        <f>HYPERLINK("https://www.youtube.com/channel/UCljo-rxFnc2gl9l8NhhJ66Q", "好青年荼毒室")</f>
        <v>好青年荼毒室</v>
      </c>
      <c r="C6996" s="80" t="s">
        <v>7539</v>
      </c>
      <c r="D6996" s="81" t="str">
        <f>HYPERLINK("https://youtube.com/watch?v=KAcThsivr6Y", "「研究生」代表甚麼？畢業做教授？讓數據與室友故事震撼你！【都市聞情】")</f>
        <v>「研究生」代表甚麼？畢業做教授？讓數據與室友故事震撼你！【都市聞情】</v>
      </c>
      <c r="E6996" s="82">
        <v>45233.0</v>
      </c>
      <c r="F6996" s="80">
        <v>6295.0</v>
      </c>
      <c r="G6996" s="80" t="s">
        <v>63</v>
      </c>
      <c r="I6996" s="80" t="s">
        <v>63</v>
      </c>
      <c r="J6996" s="80">
        <v>27026.0</v>
      </c>
      <c r="K6996" s="80">
        <v>0.872650952534711</v>
      </c>
      <c r="L6996" s="80" t="s">
        <v>64</v>
      </c>
    </row>
    <row r="6997">
      <c r="A6997" s="80" t="s">
        <v>3051</v>
      </c>
      <c r="B6997" s="81" t="str">
        <f>HYPERLINK("https://www.youtube.com/channel/UCvE0FPIL24o2mnUQIqcSHYA", "柴犬春卷的英國日常 Shiba Harumaki in UK")</f>
        <v>柴犬春卷的英國日常 Shiba Harumaki in UK</v>
      </c>
      <c r="C6997" s="80" t="s">
        <v>7540</v>
      </c>
      <c r="D6997" s="81" t="str">
        <f>HYPERLINK("https://youtube.com/watch?v=DAqAsI4LTGs", "【幾錢?】英國冬天能源最新帳單大公開｜電費不再平? ｜負數電費神話幻滅？｜片尾【推薦】香港人東南亞菜式餐廳 #英國生活 #英國電費 #移民英國")</f>
        <v>【幾錢?】英國冬天能源最新帳單大公開｜電費不再平? ｜負數電費神話幻滅？｜片尾【推薦】香港人東南亞菜式餐廳 #英國生活 #英國電費 #移民英國</v>
      </c>
      <c r="E6997" s="82">
        <v>45236.0</v>
      </c>
      <c r="F6997" s="80">
        <v>760.0</v>
      </c>
      <c r="G6997" s="80" t="s">
        <v>63</v>
      </c>
      <c r="I6997" s="80" t="s">
        <v>63</v>
      </c>
      <c r="J6997" s="80">
        <v>2818.0</v>
      </c>
      <c r="K6997" s="80">
        <v>0.899744572158365</v>
      </c>
      <c r="L6997" s="80" t="s">
        <v>64</v>
      </c>
    </row>
    <row r="6998">
      <c r="A6998" s="80" t="s">
        <v>1670</v>
      </c>
      <c r="B6998" s="81" t="str">
        <f>HYPERLINK("https://www.youtube.com/channel/UC-PIt5m-WOg8UVBkt2RnN0g", "阿JACK睇樓團")</f>
        <v>阿JACK睇樓團</v>
      </c>
      <c r="C6998" s="80" t="s">
        <v>7541</v>
      </c>
      <c r="D6998" s="81" t="str">
        <f>HYPERLINK("https://youtube.com/watch?v=0SAL2jXqiDQ", "唔使530萬入場何文田新樓？🤯一房半有幾驚喜😍丨由開放式睇到三房單位丨望子成才34校網🥹丨阿JACK睇樓團 丨何文田丨九龍")</f>
        <v>唔使530萬入場何文田新樓？🤯一房半有幾驚喜😍丨由開放式睇到三房單位丨望子成才34校網🥹丨阿JACK睇樓團 丨何文田丨九龍</v>
      </c>
      <c r="E6998" s="82">
        <v>45236.0</v>
      </c>
      <c r="F6998" s="80">
        <v>1635.0</v>
      </c>
      <c r="G6998" s="80" t="s">
        <v>63</v>
      </c>
      <c r="I6998" s="80" t="s">
        <v>63</v>
      </c>
      <c r="J6998" s="80">
        <v>6145.0</v>
      </c>
      <c r="K6998" s="80">
        <v>0.982728290420598</v>
      </c>
      <c r="L6998" s="80" t="s">
        <v>64</v>
      </c>
    </row>
    <row r="6999">
      <c r="A6999" s="80" t="s">
        <v>3139</v>
      </c>
      <c r="B6999" s="81" t="str">
        <f>HYPERLINK("https://www.youtube.com/channel/UCThO2xnH7XMg6plE8OgJm_w", "choyuen草原")</f>
        <v>choyuen草原</v>
      </c>
      <c r="C6999" s="80" t="s">
        <v>7542</v>
      </c>
      <c r="D6999" s="81" t="str">
        <f>HYPERLINK("https://youtube.com/watch?v=T9bjstBSn3k", "光明會之3 - 以巴衝突 : 唔識呢個人我哋街坊拗來都無謂    illuminati 3 - how Israel is Created by its Owner")</f>
        <v>光明會之3 - 以巴衝突 : 唔識呢個人我哋街坊拗來都無謂    illuminati 3 - how Israel is Created by its Owner</v>
      </c>
      <c r="E6999" s="82">
        <v>45230.0</v>
      </c>
      <c r="F6999" s="80">
        <v>627.0</v>
      </c>
      <c r="G6999" s="80" t="s">
        <v>63</v>
      </c>
      <c r="I6999" s="80" t="s">
        <v>63</v>
      </c>
      <c r="J6999" s="80">
        <v>1925.0</v>
      </c>
      <c r="K6999" s="80">
        <v>0.877792977656178</v>
      </c>
      <c r="L6999" s="80" t="s">
        <v>64</v>
      </c>
    </row>
    <row r="7000">
      <c r="A7000" s="80" t="s">
        <v>242</v>
      </c>
      <c r="B7000" s="81" t="str">
        <f>HYPERLINK("https://www.youtube.com/channel/UCZGVB6g74LXWtkR3fX50ykg", "Edwin H.")</f>
        <v>Edwin H.</v>
      </c>
      <c r="C7000" s="80" t="s">
        <v>7543</v>
      </c>
      <c r="D7000" s="81" t="str">
        <f>HYPERLINK("https://youtube.com/watch?v=DjypB1DknS0", "🇯🇵日本必買推介 必食手信 🎌 買野返英國  | Edwin買乜野")</f>
        <v>🇯🇵日本必買推介 必食手信 🎌 買野返英國  | Edwin買乜野</v>
      </c>
      <c r="E7000" s="82">
        <v>45246.0</v>
      </c>
      <c r="F7000" s="80">
        <v>1123.0</v>
      </c>
      <c r="G7000" s="80" t="s">
        <v>63</v>
      </c>
      <c r="I7000" s="80" t="s">
        <v>63</v>
      </c>
      <c r="J7000" s="80">
        <v>4665.0</v>
      </c>
      <c r="K7000" s="80">
        <v>0.773247140726007</v>
      </c>
      <c r="L7000" s="80" t="s">
        <v>64</v>
      </c>
    </row>
    <row r="7001">
      <c r="A7001" s="80" t="s">
        <v>2829</v>
      </c>
      <c r="B7001" s="81" t="str">
        <f>HYPERLINK("https://www.youtube.com/channel/UC7GnES6AEQlDzaP04UqtyjA", "SOLID IDEA")</f>
        <v>SOLID IDEA</v>
      </c>
      <c r="C7001" s="80" t="s">
        <v>7544</v>
      </c>
      <c r="D7001" s="81" t="str">
        <f>HYPERLINK("https://youtube.com/watch?v=9Z8juMwlcs8", "【設計 • idea】元朗．雨後 | 454呎｜ 曲尺窗喺主人房點解決？｜設計 • idea｜Solid Idea｜室內設計｜家居規劃｜星級設計｜［CC字幕］")</f>
        <v>【設計 • idea】元朗．雨後 | 454呎｜ 曲尺窗喺主人房點解決？｜設計 • idea｜Solid Idea｜室內設計｜家居規劃｜星級設計｜［CC字幕］</v>
      </c>
      <c r="E7001" s="82">
        <v>45230.0</v>
      </c>
      <c r="F7001" s="80">
        <v>141.0</v>
      </c>
      <c r="G7001" s="80" t="s">
        <v>63</v>
      </c>
      <c r="I7001" s="80" t="s">
        <v>63</v>
      </c>
      <c r="J7001" s="80">
        <v>558.0</v>
      </c>
      <c r="K7001" s="80">
        <v>0.975524475524475</v>
      </c>
      <c r="L7001" s="80" t="s">
        <v>64</v>
      </c>
    </row>
    <row r="7002">
      <c r="A7002" s="80" t="s">
        <v>260</v>
      </c>
      <c r="B7002" s="81" t="str">
        <f>HYPERLINK("https://www.youtube.com/channel/UC-HXOikkLx7BGEfILGIpYOg", "港短 . 英移")</f>
        <v>港短 . 英移</v>
      </c>
      <c r="C7002" s="80" t="s">
        <v>7545</v>
      </c>
      <c r="D7002" s="81" t="str">
        <f>HYPERLINK("https://youtube.com/watch?v=UNIQrKEtRUg", "千辛萬苦移民英國  卻又遇上無良地產商 | 港短英移")</f>
        <v>千辛萬苦移民英國  卻又遇上無良地產商 | 港短英移</v>
      </c>
      <c r="E7002" s="82">
        <v>45232.0</v>
      </c>
      <c r="F7002" s="80">
        <v>361.0</v>
      </c>
      <c r="G7002" s="80" t="s">
        <v>63</v>
      </c>
      <c r="I7002" s="80" t="s">
        <v>63</v>
      </c>
      <c r="J7002" s="80">
        <v>1361.0</v>
      </c>
      <c r="K7002" s="80">
        <v>0.783534830166954</v>
      </c>
      <c r="L7002" s="80" t="s">
        <v>102</v>
      </c>
    </row>
    <row r="7003">
      <c r="A7003" s="80" t="s">
        <v>3134</v>
      </c>
      <c r="B7003" s="81" t="str">
        <f>HYPERLINK("https://www.youtube.com/channel/UC_vZsUCJrwYrbIRPHacAS_Q", "Coco哥")</f>
        <v>Coco哥</v>
      </c>
      <c r="C7003" s="80" t="s">
        <v>7546</v>
      </c>
      <c r="D7003" s="81" t="str">
        <f>HYPERLINK("https://youtube.com/watch?v=QcqoL3n-bd4", "通漲失控🚨英國物價比較2020 vs 2023🔺3年貴左咁多‼️移英BNO捱窮🇬🇧生活艱難😱")</f>
        <v>通漲失控🚨英國物價比較2020 vs 2023🔺3年貴左咁多‼️移英BNO捱窮🇬🇧生活艱難😱</v>
      </c>
      <c r="E7003" s="82">
        <v>45230.0</v>
      </c>
      <c r="F7003" s="80">
        <v>965.0</v>
      </c>
      <c r="G7003" s="80" t="s">
        <v>63</v>
      </c>
      <c r="I7003" s="80" t="s">
        <v>63</v>
      </c>
      <c r="J7003" s="80">
        <v>3051.0</v>
      </c>
      <c r="K7003" s="80">
        <v>0.851996648980731</v>
      </c>
      <c r="L7003" s="80" t="s">
        <v>2755</v>
      </c>
    </row>
    <row r="7004">
      <c r="A7004" s="80" t="s">
        <v>217</v>
      </c>
      <c r="B7004" s="81" t="str">
        <f>HYPERLINK("https://www.youtube.com/channel/UCXKg0qPRz32bs5Z4mTGF3TQ", "Stormtrooper白兵")</f>
        <v>Stormtrooper白兵</v>
      </c>
      <c r="C7004" s="80" t="s">
        <v>7547</v>
      </c>
      <c r="D7004" s="81" t="str">
        <f>HYPERLINK("https://youtube.com/watch?v=hQ0gRfUJzFI", "一個原因導致香港出生率全球最低＋老人問題日益嚴重！｜施政報告比兩皮叫人生仔，曲線宣傳《白日之下》？ ｜不是陰謀論｜中文字幕")</f>
        <v>一個原因導致香港出生率全球最低＋老人問題日益嚴重！｜施政報告比兩皮叫人生仔，曲線宣傳《白日之下》？ ｜不是陰謀論｜中文字幕</v>
      </c>
      <c r="E7004" s="82">
        <v>45239.0</v>
      </c>
      <c r="F7004" s="80">
        <v>933.0</v>
      </c>
      <c r="G7004" s="80" t="s">
        <v>63</v>
      </c>
      <c r="I7004" s="80" t="s">
        <v>63</v>
      </c>
      <c r="J7004" s="80">
        <v>3638.0</v>
      </c>
      <c r="K7004" s="80">
        <v>0.969616204690831</v>
      </c>
      <c r="L7004" s="80" t="s">
        <v>64</v>
      </c>
    </row>
    <row r="7005">
      <c r="A7005" s="80" t="s">
        <v>288</v>
      </c>
      <c r="B7005" s="81" t="str">
        <f>HYPERLINK("https://www.youtube.com/channel/UCDWOYEhVnyD4IHZGVAMLc0g", "Brendan 毛爸")</f>
        <v>Brendan 毛爸</v>
      </c>
      <c r="C7005" s="80" t="s">
        <v>7548</v>
      </c>
      <c r="D7005" s="81" t="str">
        <f>HYPERLINK("https://youtube.com/watch?v=KKTqXyZMwO0", "『係￼大閘蟹🦀放題吖！仲要足五兩任食！』五小時任拆丨龍蝦海鮮蒸鍋丨任食 鮑魚 廣島蠔 帶子 大蝦 蟶子丨￼送酒串燒配喜力啤酒丨點心任點 @相馬日式火鍋   (西環)【毛爸回港EP4 含CC字幕】")</f>
        <v>『係￼大閘蟹🦀放題吖！仲要足五兩任食！』五小時任拆丨龍蝦海鮮蒸鍋丨任食 鮑魚 廣島蠔 帶子 大蝦 蟶子丨￼送酒串燒配喜力啤酒丨點心任點 @相馬日式火鍋   (西環)【毛爸回港EP4 含CC字幕】</v>
      </c>
      <c r="E7005" s="82">
        <v>45249.0</v>
      </c>
      <c r="F7005" s="80">
        <v>483.0</v>
      </c>
      <c r="G7005" s="80" t="s">
        <v>63</v>
      </c>
      <c r="I7005" s="80" t="s">
        <v>63</v>
      </c>
      <c r="J7005" s="80">
        <v>1658.0</v>
      </c>
      <c r="K7005" s="80">
        <v>0.970725995316159</v>
      </c>
      <c r="L7005" s="80" t="s">
        <v>64</v>
      </c>
    </row>
    <row r="7006">
      <c r="A7006" s="80" t="s">
        <v>2804</v>
      </c>
      <c r="B7006" s="81" t="str">
        <f>HYPERLINK("https://www.youtube.com/channel/UCrFrg50t0JqgqV2dkIrH5Hg", "投智財女 GirlbossInvest 創業投資智慧")</f>
        <v>投智財女 GirlbossInvest 創業投資智慧</v>
      </c>
      <c r="C7006" s="80" t="s">
        <v>7549</v>
      </c>
      <c r="D7006" s="81" t="str">
        <f>HYPERLINK("https://youtube.com/watch?v=OqPQa_GKfV4", "快速財自退休不炒股票！死神親授的3個財務健康課 #收息 #財務自由 #提早退休 #財務健康")</f>
        <v>快速財自退休不炒股票！死神親授的3個財務健康課 #收息 #財務自由 #提早退休 #財務健康</v>
      </c>
      <c r="E7006" s="82">
        <v>45253.0</v>
      </c>
      <c r="F7006" s="80">
        <v>869.0</v>
      </c>
      <c r="G7006" s="80" t="s">
        <v>63</v>
      </c>
      <c r="I7006" s="80" t="s">
        <v>63</v>
      </c>
      <c r="J7006" s="80">
        <v>3902.0</v>
      </c>
      <c r="K7006" s="80">
        <v>0.988348530901722</v>
      </c>
      <c r="L7006" s="80" t="s">
        <v>102</v>
      </c>
    </row>
    <row r="7007">
      <c r="A7007" s="80" t="s">
        <v>6246</v>
      </c>
      <c r="B7007" s="81" t="str">
        <f>HYPERLINK("https://www.youtube.com/channel/UCo5QnudUoNDwQCYzwBBZ2Cg", "kitsunekozo")</f>
        <v>kitsunekozo</v>
      </c>
      <c r="C7007" s="80" t="s">
        <v>7550</v>
      </c>
      <c r="D7007" s="81" t="str">
        <f>HYPERLINK("https://youtube.com/watch?v=4-573QLkyq4", "Kitsune - 《咪再打黎》Spam Call Again (Official Lyrics MV)")</f>
        <v>Kitsune - 《咪再打黎》Spam Call Again (Official Lyrics MV)</v>
      </c>
      <c r="E7007" s="82">
        <v>45243.0</v>
      </c>
      <c r="F7007" s="80">
        <v>201.0</v>
      </c>
      <c r="G7007" s="80" t="s">
        <v>63</v>
      </c>
      <c r="I7007" s="80" t="s">
        <v>63</v>
      </c>
      <c r="J7007" s="80">
        <v>537.0</v>
      </c>
      <c r="K7007" s="80">
        <v>0.802690582959641</v>
      </c>
      <c r="L7007" s="80" t="s">
        <v>64</v>
      </c>
    </row>
    <row r="7008">
      <c r="A7008" s="80" t="s">
        <v>3051</v>
      </c>
      <c r="B7008" s="81" t="str">
        <f>HYPERLINK("https://www.youtube.com/channel/UCvE0FPIL24o2mnUQIqcSHYA", "柴犬春卷的英國日常 Shiba Harumaki in UK")</f>
        <v>柴犬春卷的英國日常 Shiba Harumaki in UK</v>
      </c>
      <c r="C7008" s="80" t="s">
        <v>7551</v>
      </c>
      <c r="D7008" s="81" t="str">
        <f>HYPERLINK("https://youtube.com/watch?v=h6KSq19Qwm8", "移民英國生活成本上漲📈｜慳錢大師分享英國「衣食住行」慳錢大法⚠️【分享】最近入手家庭電器 #英國生活")</f>
        <v>移民英國生活成本上漲📈｜慳錢大師分享英國「衣食住行」慳錢大法⚠️【分享】最近入手家庭電器 #英國生活</v>
      </c>
      <c r="E7008" s="82">
        <v>45251.0</v>
      </c>
      <c r="F7008" s="80">
        <v>506.0</v>
      </c>
      <c r="G7008" s="80" t="s">
        <v>63</v>
      </c>
      <c r="I7008" s="80" t="s">
        <v>63</v>
      </c>
      <c r="J7008" s="80">
        <v>1771.0</v>
      </c>
      <c r="K7008" s="80">
        <v>0.887274549098196</v>
      </c>
      <c r="L7008" s="80" t="s">
        <v>64</v>
      </c>
    </row>
    <row r="7009">
      <c r="A7009" s="80" t="s">
        <v>3134</v>
      </c>
      <c r="B7009" s="81" t="str">
        <f>HYPERLINK("https://www.youtube.com/channel/UC_vZsUCJrwYrbIRPHacAS_Q", "Coco哥")</f>
        <v>Coco哥</v>
      </c>
      <c r="C7009" s="80" t="s">
        <v>7552</v>
      </c>
      <c r="D7009" s="81" t="str">
        <f>HYPERLINK("https://youtube.com/watch?v=xPYdQhT_7Gc", "香港 樓價崩潰 地價暴跌 之後有乜再大鑊？千億富豪-大劉 講咗 你聽到嗎？")</f>
        <v>香港 樓價崩潰 地價暴跌 之後有乜再大鑊？千億富豪-大劉 講咗 你聽到嗎？</v>
      </c>
      <c r="E7009" s="82">
        <v>45243.0</v>
      </c>
      <c r="F7009" s="80">
        <v>1407.0</v>
      </c>
      <c r="G7009" s="80" t="s">
        <v>63</v>
      </c>
      <c r="I7009" s="80" t="s">
        <v>63</v>
      </c>
      <c r="J7009" s="80">
        <v>4779.0</v>
      </c>
      <c r="K7009" s="80">
        <v>0.967996759165485</v>
      </c>
      <c r="L7009" s="80" t="s">
        <v>2755</v>
      </c>
    </row>
    <row r="7010">
      <c r="A7010" s="80" t="s">
        <v>1390</v>
      </c>
      <c r="B7010" s="81" t="str">
        <f>HYPERLINK("https://www.youtube.com/channel/UCgwEJflQi4WnZ8PU0xdibZQ", "Kinson Ho")</f>
        <v>Kinson Ho</v>
      </c>
      <c r="C7010" s="80" t="s">
        <v>7553</v>
      </c>
      <c r="D7010" s="81" t="str">
        <f>HYPERLINK("https://youtube.com/watch?v=8V7_JYJAXHU", "K神任我行 - [CC字幕4K] 西貢海岸自由行｜長岩大禮堂｜流白水｜長咀｜千溪海岸｜小丑魚大本營")</f>
        <v>K神任我行 - [CC字幕4K] 西貢海岸自由行｜長岩大禮堂｜流白水｜長咀｜千溪海岸｜小丑魚大本營</v>
      </c>
      <c r="E7010" s="82">
        <v>45235.0</v>
      </c>
      <c r="F7010" s="80">
        <v>618.0</v>
      </c>
      <c r="G7010" s="80" t="s">
        <v>63</v>
      </c>
      <c r="I7010" s="80" t="s">
        <v>63</v>
      </c>
      <c r="J7010" s="80">
        <v>248.0</v>
      </c>
      <c r="K7010" s="80">
        <v>0.980237154150197</v>
      </c>
      <c r="L7010" s="80" t="s">
        <v>64</v>
      </c>
    </row>
    <row r="7011">
      <c r="A7011" s="80" t="s">
        <v>242</v>
      </c>
      <c r="B7011" s="81" t="str">
        <f>HYPERLINK("https://www.youtube.com/channel/UCZGVB6g74LXWtkR3fX50ykg", "Edwin H.")</f>
        <v>Edwin H.</v>
      </c>
      <c r="C7011" s="80" t="s">
        <v>7554</v>
      </c>
      <c r="D7011" s="81" t="str">
        <f>HYPERLINK("https://youtube.com/watch?v=tG3TFToGdl0", "🆓 送你六個月Apple服務！🔥  32件必睇科技新品  10月11月 有趣科技新聞")</f>
        <v>🆓 送你六個月Apple服務！🔥  32件必睇科技新品  10月11月 有趣科技新聞</v>
      </c>
      <c r="E7011" s="82">
        <v>45254.0</v>
      </c>
      <c r="F7011" s="80">
        <v>905.0</v>
      </c>
      <c r="G7011" s="80" t="s">
        <v>63</v>
      </c>
      <c r="I7011" s="80" t="s">
        <v>63</v>
      </c>
      <c r="J7011" s="80">
        <v>3795.0</v>
      </c>
      <c r="K7011" s="80">
        <v>0.719567690557451</v>
      </c>
      <c r="L7011" s="80" t="s">
        <v>64</v>
      </c>
    </row>
    <row r="7012">
      <c r="A7012" s="80" t="s">
        <v>288</v>
      </c>
      <c r="B7012" s="81" t="str">
        <f>HYPERLINK("https://www.youtube.com/channel/UCDWOYEhVnyD4IHZGVAMLc0g", "Brendan 毛爸")</f>
        <v>Brendan 毛爸</v>
      </c>
      <c r="C7012" s="80" t="s">
        <v>7555</v>
      </c>
      <c r="D7012" s="81" t="str">
        <f>HYPERLINK("https://youtube.com/watch?v=y6pgTbjcKYY", "《可唔可以delay no more?》火車延遲三小時係咩玩法？點樣趕飛機？😡 (毛爸回港EP1 含CC字幕)")</f>
        <v>《可唔可以delay no more?》火車延遲三小時係咩玩法？點樣趕飛機？😡 (毛爸回港EP1 含CC字幕)</v>
      </c>
      <c r="E7012" s="82">
        <v>45244.0</v>
      </c>
      <c r="F7012" s="80">
        <v>318.0</v>
      </c>
      <c r="G7012" s="80" t="s">
        <v>63</v>
      </c>
      <c r="I7012" s="80" t="s">
        <v>63</v>
      </c>
      <c r="J7012" s="80">
        <v>1258.0</v>
      </c>
      <c r="K7012" s="80">
        <v>0.916909620991253</v>
      </c>
      <c r="L7012" s="80" t="s">
        <v>64</v>
      </c>
    </row>
    <row r="7013">
      <c r="A7013" s="80" t="s">
        <v>2041</v>
      </c>
      <c r="B7013" s="81" t="str">
        <f>HYPERLINK("https://www.youtube.com/channel/UCO6pB-ZN4XJ6MVkibvuEe0A", "SingSingTracker 星昇財經指標")</f>
        <v>SingSingTracker 星昇財經指標</v>
      </c>
      <c r="C7013" s="80" t="s">
        <v>7556</v>
      </c>
      <c r="D7013" s="81" t="str">
        <f>HYPERLINK("https://youtube.com/watch?v=NcOZmktW6iY", "【一星期賺超過$1萬？】AI 女主持-小Sing🌸分享講解追蹤🔍未來股市動向📈] 8/11/2023 #aiart #線上銀行開戶 #富途證券")</f>
        <v>【一星期賺超過$1萬？】AI 女主持-小Sing🌸分享講解追蹤🔍未來股市動向📈] 8/11/2023 #aiart #線上銀行開戶 #富途證券</v>
      </c>
      <c r="E7013" s="82">
        <v>45238.0</v>
      </c>
      <c r="F7013" s="80">
        <v>181.0</v>
      </c>
      <c r="G7013" s="80" t="s">
        <v>63</v>
      </c>
      <c r="I7013" s="80" t="s">
        <v>63</v>
      </c>
      <c r="J7013" s="80">
        <v>687.0</v>
      </c>
      <c r="K7013" s="80">
        <v>0.978632478632478</v>
      </c>
      <c r="L7013" s="80" t="s">
        <v>64</v>
      </c>
    </row>
    <row r="7014">
      <c r="A7014" s="80" t="s">
        <v>755</v>
      </c>
      <c r="B7014" s="81" t="str">
        <f t="shared" ref="B7014:B7016" si="407">HYPERLINK("https://www.youtube.com/channel/UCBiJDTc82IM68KVH873VeAw", "Live in Kwangsi廣西人·情·味")</f>
        <v>Live in Kwangsi廣西人·情·味</v>
      </c>
      <c r="C7014" s="80" t="s">
        <v>7557</v>
      </c>
      <c r="D7014" s="81" t="str">
        <f>HYPERLINK("https://youtube.com/watch?v=ouqGCsv5tEo", "金秋桂林銀杏之旅：西塘天池、靈川明心寺格桑花海、海洋鄉、桐木灣村｜廣西美景 20231104")</f>
        <v>金秋桂林銀杏之旅：西塘天池、靈川明心寺格桑花海、海洋鄉、桐木灣村｜廣西美景 20231104</v>
      </c>
      <c r="E7014" s="82">
        <v>45246.0</v>
      </c>
      <c r="F7014" s="80">
        <v>278.0</v>
      </c>
      <c r="G7014" s="80" t="s">
        <v>63</v>
      </c>
      <c r="I7014" s="80" t="s">
        <v>63</v>
      </c>
      <c r="J7014" s="80">
        <v>383.0</v>
      </c>
      <c r="K7014" s="80">
        <v>1.0</v>
      </c>
      <c r="L7014" s="80" t="s">
        <v>757</v>
      </c>
    </row>
    <row r="7015">
      <c r="A7015" s="80" t="s">
        <v>755</v>
      </c>
      <c r="B7015" s="81" t="str">
        <f t="shared" si="407"/>
        <v>Live in Kwangsi廣西人·情·味</v>
      </c>
      <c r="C7015" s="80" t="s">
        <v>7558</v>
      </c>
      <c r="D7015" s="81" t="str">
        <f>HYPERLINK("https://youtube.com/watch?v=lATQcPRAyDg", "賀州市大鍾山公園：休閒健身登山觀光嘅好去處｜廣西美景 20231116")</f>
        <v>賀州市大鍾山公園：休閒健身登山觀光嘅好去處｜廣西美景 20231116</v>
      </c>
      <c r="E7015" s="82">
        <v>45256.0</v>
      </c>
      <c r="F7015" s="80">
        <v>289.0</v>
      </c>
      <c r="G7015" s="80" t="s">
        <v>63</v>
      </c>
      <c r="I7015" s="80" t="s">
        <v>63</v>
      </c>
      <c r="J7015" s="80">
        <v>617.0</v>
      </c>
      <c r="K7015" s="80">
        <v>1.0</v>
      </c>
      <c r="L7015" s="80" t="s">
        <v>757</v>
      </c>
    </row>
    <row r="7016">
      <c r="A7016" s="80" t="s">
        <v>755</v>
      </c>
      <c r="B7016" s="81" t="str">
        <f t="shared" si="407"/>
        <v>Live in Kwangsi廣西人·情·味</v>
      </c>
      <c r="C7016" s="80" t="s">
        <v>7559</v>
      </c>
      <c r="D7016" s="81" t="str">
        <f>HYPERLINK("https://youtube.com/watch?v=kZ_ahDJ9uq4", "南寧兩大熱門夜市：中山路、建政路，前者改造緊，後者原貌更貼地｜廣西日常實拍 20230902")</f>
        <v>南寧兩大熱門夜市：中山路、建政路，前者改造緊，後者原貌更貼地｜廣西日常實拍 20230902</v>
      </c>
      <c r="E7016" s="82">
        <v>45241.0</v>
      </c>
      <c r="F7016" s="80">
        <v>137.0</v>
      </c>
      <c r="G7016" s="80" t="s">
        <v>63</v>
      </c>
      <c r="I7016" s="80" t="s">
        <v>63</v>
      </c>
      <c r="J7016" s="80">
        <v>401.0</v>
      </c>
      <c r="K7016" s="80">
        <v>0.995037220843672</v>
      </c>
      <c r="L7016" s="80" t="s">
        <v>757</v>
      </c>
    </row>
    <row r="7017">
      <c r="A7017" s="80" t="s">
        <v>2785</v>
      </c>
      <c r="B7017" s="81" t="str">
        <f>HYPERLINK("https://www.youtube.com/channel/UC_w7pV_Xz9XO0ChNFxMtV0w", "MPWeekly明周")</f>
        <v>MPWeekly明周</v>
      </c>
      <c r="C7017" s="80" t="s">
        <v>7560</v>
      </c>
      <c r="D7017" s="81" t="str">
        <f>HYPERLINK("https://youtube.com/watch?v=iXymOYYn7bU", "劉鑾雄記者會足本版 劉鑾雄責造謠者「自我陶醉」 劉鑾雄:「我後悔幫個賤人 應該任由她破產」(含字幕版)")</f>
        <v>劉鑾雄記者會足本版 劉鑾雄責造謠者「自我陶醉」 劉鑾雄:「我後悔幫個賤人 應該任由她破產」(含字幕版)</v>
      </c>
      <c r="E7017" s="82">
        <v>45240.0</v>
      </c>
      <c r="F7017" s="80">
        <v>3899.0</v>
      </c>
      <c r="G7017" s="80" t="s">
        <v>63</v>
      </c>
      <c r="I7017" s="80" t="s">
        <v>63</v>
      </c>
      <c r="J7017" s="80">
        <v>13614.0</v>
      </c>
      <c r="K7017" s="80">
        <v>0.963891248937978</v>
      </c>
      <c r="L7017" s="80" t="s">
        <v>64</v>
      </c>
    </row>
    <row r="7018">
      <c r="A7018" s="80" t="s">
        <v>242</v>
      </c>
      <c r="B7018" s="81" t="str">
        <f>HYPERLINK("https://www.youtube.com/channel/UCZGVB6g74LXWtkR3fX50ykg", "Edwin H.")</f>
        <v>Edwin H.</v>
      </c>
      <c r="C7018" s="80" t="s">
        <v>7561</v>
      </c>
      <c r="D7018" s="81" t="str">
        <f>HYPERLINK("https://youtube.com/watch?v=ncOZXPoYLLo", "【黑五必睇】 用科技提升生活質素！ 17件每日必備產品 | Edwin買乜野 特別篇  🦾 不賴床機器")</f>
        <v>【黑五必睇】 用科技提升生活質素！ 17件每日必備產品 | Edwin買乜野 特別篇  🦾 不賴床機器</v>
      </c>
      <c r="E7018" s="82">
        <v>45254.0</v>
      </c>
      <c r="F7018" s="80">
        <v>1073.0</v>
      </c>
      <c r="G7018" s="80" t="s">
        <v>63</v>
      </c>
      <c r="I7018" s="80" t="s">
        <v>63</v>
      </c>
      <c r="J7018" s="80">
        <v>5720.0</v>
      </c>
      <c r="K7018" s="80">
        <v>0.804161394629551</v>
      </c>
      <c r="L7018" s="80" t="s">
        <v>64</v>
      </c>
    </row>
    <row r="7019">
      <c r="A7019" s="80" t="s">
        <v>217</v>
      </c>
      <c r="B7019" s="81" t="str">
        <f>HYPERLINK("https://www.youtube.com/channel/UCXKg0qPRz32bs5Z4mTGF3TQ", "Stormtrooper白兵")</f>
        <v>Stormtrooper白兵</v>
      </c>
      <c r="C7019" s="80" t="s">
        <v>7562</v>
      </c>
      <c r="D7019" s="81" t="str">
        <f>HYPERLINK("https://youtube.com/watch?v=YvK5kG_PnqM", "初代Youtuber，由神壇跌落地底再敗部復活｜風格、取態、製作大不同，思維大衝擊！｜不是陰謀論｜不正常人類｜@mingjai14 中文字幕")</f>
        <v>初代Youtuber，由神壇跌落地底再敗部復活｜風格、取態、製作大不同，思維大衝擊！｜不是陰謀論｜不正常人類｜@mingjai14 中文字幕</v>
      </c>
      <c r="E7019" s="82">
        <v>45246.0</v>
      </c>
      <c r="F7019" s="80">
        <v>4398.0</v>
      </c>
      <c r="G7019" s="80" t="s">
        <v>63</v>
      </c>
      <c r="I7019" s="80" t="s">
        <v>63</v>
      </c>
      <c r="J7019" s="80">
        <v>16188.0</v>
      </c>
      <c r="K7019" s="80">
        <v>0.826508730726028</v>
      </c>
      <c r="L7019" s="80" t="s">
        <v>64</v>
      </c>
    </row>
    <row r="7020">
      <c r="A7020" s="80" t="s">
        <v>288</v>
      </c>
      <c r="B7020" s="81" t="str">
        <f>HYPERLINK("https://www.youtube.com/channel/UCDWOYEhVnyD4IHZGVAMLc0g", "Brendan 毛爸")</f>
        <v>Brendan 毛爸</v>
      </c>
      <c r="C7020" s="80" t="s">
        <v>7563</v>
      </c>
      <c r="D7020" s="81" t="str">
        <f>HYPERLINK("https://youtube.com/watch?v=fPIgxIKPmR8", "《臨別秋波！返香港前食最愛3 courses￼》￼￼前菜+ 50日￼熟成黑安格斯牛扒+ 甜品 £20有找｜椒鹽魷魚｜甜酸雞球｜訂枱優惠 ￼￼￼￼ft.TopCashback《🇬🇧毛爸英國生活分享》")</f>
        <v>《臨別秋波！返香港前食最愛3 courses￼》￼￼前菜+ 50日￼熟成黑安格斯牛扒+ 甜品 £20有找｜椒鹽魷魚｜甜酸雞球｜訂枱優惠 ￼￼￼￼ft.TopCashback《🇬🇧毛爸英國生活分享》</v>
      </c>
      <c r="E7020" s="82">
        <v>45244.0</v>
      </c>
      <c r="F7020" s="80">
        <v>583.0</v>
      </c>
      <c r="G7020" s="80" t="s">
        <v>63</v>
      </c>
      <c r="I7020" s="80" t="s">
        <v>63</v>
      </c>
      <c r="J7020" s="80">
        <v>2089.0</v>
      </c>
      <c r="K7020" s="80">
        <v>0.880691399662731</v>
      </c>
      <c r="L7020" s="80" t="s">
        <v>64</v>
      </c>
    </row>
    <row r="7021">
      <c r="A7021" s="80" t="s">
        <v>3134</v>
      </c>
      <c r="B7021" s="81" t="str">
        <f>HYPERLINK("https://www.youtube.com/channel/UC_vZsUCJrwYrbIRPHacAS_Q", "Coco哥")</f>
        <v>Coco哥</v>
      </c>
      <c r="C7021" s="80" t="s">
        <v>7564</v>
      </c>
      <c r="D7021" s="81" t="str">
        <f>HYPERLINK("https://youtube.com/watch?v=LTBSoFvUYqw", "香港樓價崩潰 地價暴跌 之後會點？千億富豪-大劉 講咗乜？")</f>
        <v>香港樓價崩潰 地價暴跌 之後會點？千億富豪-大劉 講咗乜？</v>
      </c>
      <c r="E7021" s="82">
        <v>45244.0</v>
      </c>
      <c r="F7021" s="80">
        <v>57.0</v>
      </c>
      <c r="G7021" s="80" t="s">
        <v>63</v>
      </c>
      <c r="I7021" s="80" t="s">
        <v>63</v>
      </c>
      <c r="J7021" s="80">
        <v>212.0</v>
      </c>
      <c r="K7021" s="80">
        <v>0.972477064220183</v>
      </c>
      <c r="L7021" s="80" t="s">
        <v>64</v>
      </c>
    </row>
    <row r="7022">
      <c r="A7022" s="80" t="s">
        <v>2766</v>
      </c>
      <c r="B7022" s="81" t="str">
        <f>HYPERLINK("https://www.youtube.com/channel/UCrZG5sGryxwgSDQSlHgmZTw", "GadgetGang HK")</f>
        <v>GadgetGang HK</v>
      </c>
      <c r="C7022" s="80" t="s">
        <v>7565</v>
      </c>
      <c r="D7022" s="81" t="str">
        <f>HYPERLINK("https://youtube.com/watch?v=y9peg6B4p94", "科技新G｜Samsung 平價版摺機 Z Flip FE !?｜PowerA Switch週邊產品｜唱片公司可要求YouTube 將出現 AI 歌下架潮?｜中大學生發明環保塗料奪Dyson獎項｜")</f>
        <v>科技新G｜Samsung 平價版摺機 Z Flip FE !?｜PowerA Switch週邊產品｜唱片公司可要求YouTube 將出現 AI 歌下架潮?｜中大學生發明環保塗料奪Dyson獎項｜</v>
      </c>
      <c r="E7022" s="82">
        <v>45249.0</v>
      </c>
      <c r="F7022" s="80">
        <v>678.0</v>
      </c>
      <c r="G7022" s="80" t="s">
        <v>63</v>
      </c>
      <c r="I7022" s="80" t="s">
        <v>63</v>
      </c>
      <c r="J7022" s="80">
        <v>2291.0</v>
      </c>
      <c r="K7022" s="80">
        <v>0.739509360877985</v>
      </c>
      <c r="L7022" s="80" t="s">
        <v>64</v>
      </c>
    </row>
    <row r="7023">
      <c r="A7023" s="80" t="s">
        <v>217</v>
      </c>
      <c r="B7023" s="81" t="str">
        <f>HYPERLINK("https://www.youtube.com/channel/UCXKg0qPRz32bs5Z4mTGF3TQ", "Stormtrooper白兵")</f>
        <v>Stormtrooper白兵</v>
      </c>
      <c r="C7023" s="80" t="s">
        <v>7566</v>
      </c>
      <c r="D7023" s="81" t="str">
        <f>HYPERLINK("https://youtube.com/watch?v=Jw79DKlE3F8", "維他命C能醫百病？仲可以抗癌醫愛滋？｜維他命C補充劑不能吸收？｜人類原本識自製維他命C！｜不是陰謀論｜中文字幕")</f>
        <v>維他命C能醫百病？仲可以抗癌醫愛滋？｜維他命C補充劑不能吸收？｜人類原本識自製維他命C！｜不是陰謀論｜中文字幕</v>
      </c>
      <c r="E7023" s="82">
        <v>45253.0</v>
      </c>
      <c r="F7023" s="80">
        <v>949.0</v>
      </c>
      <c r="G7023" s="80" t="s">
        <v>63</v>
      </c>
      <c r="I7023" s="80" t="s">
        <v>63</v>
      </c>
      <c r="J7023" s="80">
        <v>3534.0</v>
      </c>
      <c r="K7023" s="80">
        <v>0.888832997987927</v>
      </c>
      <c r="L7023" s="80" t="s">
        <v>64</v>
      </c>
    </row>
    <row r="7024">
      <c r="A7024" s="80" t="s">
        <v>755</v>
      </c>
      <c r="B7024" s="81" t="str">
        <f>HYPERLINK("https://www.youtube.com/channel/UCBiJDTc82IM68KVH873VeAw", "Live in Kwangsi廣西人·情·味")</f>
        <v>Live in Kwangsi廣西人·情·味</v>
      </c>
      <c r="C7024" s="80" t="s">
        <v>7567</v>
      </c>
      <c r="D7024" s="81" t="str">
        <f>HYPERLINK("https://youtube.com/watch?v=VulfrYRQnps", "賀州市蓮塘鎮：秋日田園風光｜廣西美景 20231030")</f>
        <v>賀州市蓮塘鎮：秋日田園風光｜廣西美景 20231030</v>
      </c>
      <c r="E7024" s="82">
        <v>45247.0</v>
      </c>
      <c r="F7024" s="80">
        <v>202.0</v>
      </c>
      <c r="G7024" s="80" t="s">
        <v>63</v>
      </c>
      <c r="I7024" s="80" t="s">
        <v>63</v>
      </c>
      <c r="J7024" s="80">
        <v>353.0</v>
      </c>
      <c r="K7024" s="80">
        <v>1.0</v>
      </c>
      <c r="L7024" s="80" t="s">
        <v>757</v>
      </c>
    </row>
    <row r="7025">
      <c r="A7025" s="80" t="s">
        <v>5702</v>
      </c>
      <c r="B7025" s="81" t="str">
        <f>HYPERLINK("https://www.youtube.com/channel/UC249m2fxYzK-NnfH06YNP3A", "Siu Mei小美")</f>
        <v>Siu Mei小美</v>
      </c>
      <c r="C7025" s="80" t="s">
        <v>7568</v>
      </c>
      <c r="D7025" s="81" t="str">
        <f>HYPERLINK("https://youtube.com/watch?v=KJB0Pc53IDs", "🇰🇷韓台戰利品來了!  買了超多高質化妝掃🔥去台灣第一時間回購這組!🛒 增高好走的波鞋")</f>
        <v>🇰🇷韓台戰利品來了!  買了超多高質化妝掃🔥去台灣第一時間回購這組!🛒 增高好走的波鞋</v>
      </c>
      <c r="E7025" s="82">
        <v>45211.0</v>
      </c>
      <c r="F7025" s="80">
        <v>1116.0</v>
      </c>
      <c r="G7025" s="80" t="s">
        <v>63</v>
      </c>
      <c r="I7025" s="80" t="s">
        <v>63</v>
      </c>
      <c r="J7025" s="80">
        <v>5306.0</v>
      </c>
      <c r="K7025" s="80">
        <v>0.895225240425172</v>
      </c>
      <c r="L7025" s="80" t="s">
        <v>64</v>
      </c>
    </row>
    <row r="7026">
      <c r="A7026" s="80" t="s">
        <v>7569</v>
      </c>
      <c r="B7026" s="81" t="str">
        <f>HYPERLINK("https://www.youtube.com/channel/UCaAsesot2TkGMYCVjcHXDDg", "陳凱詠 Jace")</f>
        <v>陳凱詠 Jace</v>
      </c>
      <c r="C7026" s="80" t="s">
        <v>7570</v>
      </c>
      <c r="D7026" s="81" t="str">
        <f>HYPERLINK("https://youtube.com/watch?v=RzZwn2dEmcw", "JACE 陳凱詠 -《Calm Down 練功》Official Music Video")</f>
        <v>JACE 陳凱詠 -《Calm Down 練功》Official Music Video</v>
      </c>
      <c r="E7026" s="82">
        <v>45236.0</v>
      </c>
      <c r="F7026" s="80">
        <v>216.0</v>
      </c>
      <c r="G7026" s="80" t="s">
        <v>63</v>
      </c>
      <c r="I7026" s="80" t="s">
        <v>63</v>
      </c>
      <c r="J7026" s="80">
        <v>241.0</v>
      </c>
      <c r="K7026" s="80">
        <v>0.384984025559105</v>
      </c>
      <c r="L7026" s="80" t="s">
        <v>64</v>
      </c>
    </row>
    <row r="7027">
      <c r="A7027" s="80" t="s">
        <v>755</v>
      </c>
      <c r="B7027" s="81" t="str">
        <f t="shared" ref="B7027:B7028" si="408">HYPERLINK("https://www.youtube.com/channel/UCBiJDTc82IM68KVH873VeAw", "Live in Kwangsi廣西人·情·味")</f>
        <v>Live in Kwangsi廣西人·情·味</v>
      </c>
      <c r="C7027" s="80" t="s">
        <v>7571</v>
      </c>
      <c r="D7027" s="81" t="str">
        <f>HYPERLINK("https://youtube.com/watch?v=dzzOMtXfmq8", "賀州市火車站一帶嘅田園風光｜廣西美景 20231028")</f>
        <v>賀州市火車站一帶嘅田園風光｜廣西美景 20231028</v>
      </c>
      <c r="E7027" s="82">
        <v>45245.0</v>
      </c>
      <c r="F7027" s="80">
        <v>169.0</v>
      </c>
      <c r="G7027" s="80" t="s">
        <v>63</v>
      </c>
      <c r="I7027" s="80" t="s">
        <v>63</v>
      </c>
      <c r="J7027" s="80">
        <v>257.0</v>
      </c>
      <c r="K7027" s="80">
        <v>0.996124031007751</v>
      </c>
      <c r="L7027" s="80" t="s">
        <v>757</v>
      </c>
    </row>
    <row r="7028">
      <c r="A7028" s="80" t="s">
        <v>755</v>
      </c>
      <c r="B7028" s="81" t="str">
        <f t="shared" si="408"/>
        <v>Live in Kwangsi廣西人·情·味</v>
      </c>
      <c r="C7028" s="80" t="s">
        <v>7572</v>
      </c>
      <c r="D7028" s="81" t="str">
        <f>HYPERLINK("https://youtube.com/watch?v=zbd4WHIff7E", "廣西民族博物館，了解廣西民族、民俗嘅好去處！ 20230901")</f>
        <v>廣西民族博物館，了解廣西民族、民俗嘅好去處！ 20230901</v>
      </c>
      <c r="E7028" s="82">
        <v>45233.0</v>
      </c>
      <c r="F7028" s="80">
        <v>156.0</v>
      </c>
      <c r="G7028" s="80" t="s">
        <v>63</v>
      </c>
      <c r="I7028" s="80" t="s">
        <v>63</v>
      </c>
      <c r="J7028" s="80">
        <v>427.0</v>
      </c>
      <c r="K7028" s="80">
        <v>1.0</v>
      </c>
      <c r="L7028" s="80" t="s">
        <v>757</v>
      </c>
    </row>
    <row r="7029">
      <c r="A7029" s="80" t="s">
        <v>288</v>
      </c>
      <c r="B7029" s="81" t="str">
        <f t="shared" ref="B7029:B7030" si="409">HYPERLINK("https://www.youtube.com/channel/UCDWOYEhVnyD4IHZGVAMLc0g", "Brendan 毛爸")</f>
        <v>Brendan 毛爸</v>
      </c>
      <c r="C7029" s="80" t="s">
        <v>7573</v>
      </c>
      <c r="D7029" s="81" t="str">
        <f>HYPERLINK("https://youtube.com/watch?v=khBFLQoaRqY", "《精選27件抵買貨品！》$3便利雨衣！$29充電寶！$10大袋髮夾！$35一套六把刀！$15磨刀器！$9感應燈！$15/12枝白板筆！$27 SD Card！￼￼ (毛爸回港EP2 含CC字幕)")</f>
        <v>《精選27件抵買貨品！》$3便利雨衣！$29充電寶！$10大袋髮夾！$35一套六把刀！$15磨刀器！$9感應燈！$15/12枝白板筆！$27 SD Card！￼￼ (毛爸回港EP2 含CC字幕)</v>
      </c>
      <c r="E7029" s="82">
        <v>45245.0</v>
      </c>
      <c r="F7029" s="80">
        <v>415.0</v>
      </c>
      <c r="G7029" s="80" t="s">
        <v>63</v>
      </c>
      <c r="I7029" s="80" t="s">
        <v>63</v>
      </c>
      <c r="J7029" s="80">
        <v>1527.0</v>
      </c>
      <c r="K7029" s="80">
        <v>0.946683199008059</v>
      </c>
      <c r="L7029" s="80" t="s">
        <v>64</v>
      </c>
    </row>
    <row r="7030">
      <c r="A7030" s="80" t="s">
        <v>288</v>
      </c>
      <c r="B7030" s="81" t="str">
        <f t="shared" si="409"/>
        <v>Brendan 毛爸</v>
      </c>
      <c r="C7030" s="80" t="s">
        <v>7574</v>
      </c>
      <c r="D7030" s="81" t="str">
        <f>HYPERLINK("https://youtube.com/watch?v=-ImAKoDgXpc", "《🇬🇧英國買樓失敗💔浪費咗心機 時間 金錢🥲》俾錢買樓都要過五關斬六將😩英國買樓真係咁難？一切都要睇緣份@毛家🥲《🇬🇧毛爸英國生活小分享》(含CC字幕)")</f>
        <v>《🇬🇧英國買樓失敗💔浪費咗心機 時間 金錢🥲》俾錢買樓都要過五關斬六將😩英國買樓真係咁難？一切都要睇緣份@毛家🥲《🇬🇧毛爸英國生活小分享》(含CC字幕)</v>
      </c>
      <c r="E7030" s="82">
        <v>45228.0</v>
      </c>
      <c r="F7030" s="80">
        <v>489.0</v>
      </c>
      <c r="G7030" s="80" t="s">
        <v>63</v>
      </c>
      <c r="I7030" s="80" t="s">
        <v>63</v>
      </c>
      <c r="J7030" s="80">
        <v>1737.0</v>
      </c>
      <c r="K7030" s="80">
        <v>0.973654708520179</v>
      </c>
      <c r="L7030" s="80" t="s">
        <v>64</v>
      </c>
    </row>
    <row r="7031">
      <c r="A7031" s="80" t="s">
        <v>3134</v>
      </c>
      <c r="B7031" s="81" t="str">
        <f>HYPERLINK("https://www.youtube.com/channel/UC_vZsUCJrwYrbIRPHacAS_Q", "Coco哥")</f>
        <v>Coco哥</v>
      </c>
      <c r="C7031" s="80" t="s">
        <v>7575</v>
      </c>
      <c r="D7031" s="81" t="str">
        <f>HYPERLINK("https://youtube.com/watch?v=dX6-67fjsbI", "威尼斯 當街搶劫 治安差 🇮🇹半夜迷路 聖馬可廣場 歐洲最正No1 超浪漫 太美了 Venice Italy Piazza San Marco")</f>
        <v>威尼斯 當街搶劫 治安差 🇮🇹半夜迷路 聖馬可廣場 歐洲最正No1 超浪漫 太美了 Venice Italy Piazza San Marco</v>
      </c>
      <c r="E7031" s="82">
        <v>45255.0</v>
      </c>
      <c r="F7031" s="80">
        <v>1418.0</v>
      </c>
      <c r="G7031" s="80" t="s">
        <v>63</v>
      </c>
      <c r="I7031" s="80" t="s">
        <v>63</v>
      </c>
      <c r="J7031" s="80">
        <v>3892.0</v>
      </c>
      <c r="K7031" s="80">
        <v>0.923149905123339</v>
      </c>
      <c r="L7031" s="80" t="s">
        <v>2755</v>
      </c>
    </row>
    <row r="7032">
      <c r="A7032" s="80" t="s">
        <v>6373</v>
      </c>
      <c r="B7032" s="81" t="str">
        <f>HYPERLINK("https://www.youtube.com/channel/UCMXOmw_gVvTj8n1gjqUN51w", "瑪姬英文 English with Maggie")</f>
        <v>瑪姬英文 English with Maggie</v>
      </c>
      <c r="C7032" s="80" t="s">
        <v>7576</v>
      </c>
      <c r="D7032" s="81" t="str">
        <f>HYPERLINK("https://youtube.com/watch?v=MR9ZjfSLX2M", "用英文說「天氣轉涼」一定要用 ""cold""?  🥶")</f>
        <v>用英文說「天氣轉涼」一定要用 "cold"?  🥶</v>
      </c>
      <c r="E7032" s="82">
        <v>45256.0</v>
      </c>
      <c r="F7032" s="80">
        <v>34.0</v>
      </c>
      <c r="G7032" s="80" t="s">
        <v>63</v>
      </c>
      <c r="I7032" s="80" t="s">
        <v>63</v>
      </c>
      <c r="J7032" s="80">
        <v>59.0</v>
      </c>
      <c r="K7032" s="80">
        <v>0.304123711340206</v>
      </c>
      <c r="L7032" s="80" t="s">
        <v>64</v>
      </c>
    </row>
    <row r="7033">
      <c r="A7033" s="80" t="s">
        <v>2041</v>
      </c>
      <c r="B7033" s="81" t="str">
        <f>HYPERLINK("https://www.youtube.com/channel/UCO6pB-ZN4XJ6MVkibvuEe0A", "SingSingTracker 星昇財經指標")</f>
        <v>SingSingTracker 星昇財經指標</v>
      </c>
      <c r="C7033" s="80" t="s">
        <v>7577</v>
      </c>
      <c r="D7033" s="81" t="str">
        <f>HYPERLINK("https://youtube.com/watch?v=jp5uIR-H8KA", "【呢一星期賺超過$1萬3？】AI 女主持-小Sing🌸分享講解追蹤🔍未來股市動向📈] 15/11/2023 #aiartwork #openai #vtubers")</f>
        <v>【呢一星期賺超過$1萬3？】AI 女主持-小Sing🌸分享講解追蹤🔍未來股市動向📈] 15/11/2023 #aiartwork #openai #vtubers</v>
      </c>
      <c r="E7033" s="82">
        <v>45245.0</v>
      </c>
      <c r="F7033" s="80">
        <v>160.0</v>
      </c>
      <c r="G7033" s="80" t="s">
        <v>63</v>
      </c>
      <c r="I7033" s="80" t="s">
        <v>63</v>
      </c>
      <c r="J7033" s="80">
        <v>606.0</v>
      </c>
      <c r="K7033" s="80">
        <v>0.980582524271844</v>
      </c>
      <c r="L7033" s="80" t="s">
        <v>64</v>
      </c>
    </row>
    <row r="7034">
      <c r="A7034" s="80" t="s">
        <v>288</v>
      </c>
      <c r="B7034" s="81" t="str">
        <f>HYPERLINK("https://www.youtube.com/channel/UCDWOYEhVnyD4IHZGVAMLc0g", "Brendan 毛爸")</f>
        <v>Brendan 毛爸</v>
      </c>
      <c r="C7034" s="80" t="s">
        <v>7578</v>
      </c>
      <c r="D7034" s="81" t="str">
        <f>HYPERLINK("https://youtube.com/watch?v=P285kaTjTBc", "《🇬🇧英國買手信必去名牌特賣場！毛媽都失守😂》名牌60%off?! 😱終於搵到日本制既碗😍小朋友書HKD30有交易！精品｜零食@TkMaxx《🇬🇧毛爸英國生活小分享》(含CC字幕)")</f>
        <v>《🇬🇧英國買手信必去名牌特賣場！毛媽都失守😂》名牌60%off?! 😱終於搵到日本制既碗😍小朋友書HKD30有交易！精品｜零食@TkMaxx《🇬🇧毛爸英國生活小分享》(含CC字幕)</v>
      </c>
      <c r="E7034" s="82">
        <v>45235.0</v>
      </c>
      <c r="F7034" s="80">
        <v>571.0</v>
      </c>
      <c r="G7034" s="80" t="s">
        <v>63</v>
      </c>
      <c r="I7034" s="80" t="s">
        <v>63</v>
      </c>
      <c r="J7034" s="80">
        <v>1993.0</v>
      </c>
      <c r="K7034" s="80">
        <v>0.903854875283446</v>
      </c>
      <c r="L7034" s="80" t="s">
        <v>64</v>
      </c>
    </row>
    <row r="7035">
      <c r="A7035" s="80" t="s">
        <v>260</v>
      </c>
      <c r="B7035" s="81" t="str">
        <f>HYPERLINK("https://www.youtube.com/channel/UC-HXOikkLx7BGEfILGIpYOg", "港短 . 英移")</f>
        <v>港短 . 英移</v>
      </c>
      <c r="C7035" s="80" t="s">
        <v>7579</v>
      </c>
      <c r="D7035" s="81" t="str">
        <f>HYPERLINK("https://youtube.com/watch?v=eS2AtbCGNYs", "移民英國兩年，我地最後落腳邊度? | 港短英移")</f>
        <v>移民英國兩年，我地最後落腳邊度? | 港短英移</v>
      </c>
      <c r="E7035" s="82">
        <v>45253.0</v>
      </c>
      <c r="F7035" s="80">
        <v>321.0</v>
      </c>
      <c r="G7035" s="80" t="s">
        <v>63</v>
      </c>
      <c r="I7035" s="80" t="s">
        <v>63</v>
      </c>
      <c r="J7035" s="80">
        <v>1570.0</v>
      </c>
      <c r="K7035" s="80">
        <v>0.964373464373464</v>
      </c>
      <c r="L7035" s="80" t="s">
        <v>102</v>
      </c>
    </row>
    <row r="7036">
      <c r="A7036" s="80" t="s">
        <v>755</v>
      </c>
      <c r="B7036" s="81" t="str">
        <f>HYPERLINK("https://www.youtube.com/channel/UCBiJDTc82IM68KVH873VeAw", "Live in Kwangsi廣西人·情·味")</f>
        <v>Live in Kwangsi廣西人·情·味</v>
      </c>
      <c r="C7036" s="80" t="s">
        <v>7580</v>
      </c>
      <c r="D7036" s="81" t="str">
        <f>HYPERLINK("https://youtube.com/watch?v=0GST2Ynwxh0", "南寧白沙大橋、葫蘆鼎大橋夜景｜廣西日常實拍 20230902")</f>
        <v>南寧白沙大橋、葫蘆鼎大橋夜景｜廣西日常實拍 20230902</v>
      </c>
      <c r="E7036" s="82">
        <v>45238.0</v>
      </c>
      <c r="F7036" s="80">
        <v>93.0</v>
      </c>
      <c r="G7036" s="80" t="s">
        <v>63</v>
      </c>
      <c r="I7036" s="80" t="s">
        <v>63</v>
      </c>
      <c r="J7036" s="80">
        <v>178.0</v>
      </c>
      <c r="K7036" s="80">
        <v>1.0</v>
      </c>
      <c r="L7036" s="80" t="s">
        <v>757</v>
      </c>
    </row>
    <row r="7037">
      <c r="A7037" s="80" t="s">
        <v>96</v>
      </c>
      <c r="B7037" s="81" t="str">
        <f>HYPERLINK("https://www.youtube.com/channel/UCGtyHJ-L_4RDIHe3XaLofQQ", "Anson Cheung")</f>
        <v>Anson Cheung</v>
      </c>
      <c r="C7037" s="80" t="s">
        <v>7581</v>
      </c>
      <c r="D7037" s="81" t="str">
        <f>HYPERLINK("https://youtube.com/watch?v=nT5qFpbWaBo", "Sony Xperia 5 V 評測：主打夜攝人像嘅細機")</f>
        <v>Sony Xperia 5 V 評測：主打夜攝人像嘅細機</v>
      </c>
      <c r="E7037" s="82">
        <v>45244.0</v>
      </c>
      <c r="F7037" s="80">
        <v>654.0</v>
      </c>
      <c r="G7037" s="80" t="s">
        <v>63</v>
      </c>
      <c r="I7037" s="80" t="s">
        <v>63</v>
      </c>
      <c r="J7037" s="80">
        <v>2397.0</v>
      </c>
      <c r="K7037" s="80">
        <v>0.659059664558702</v>
      </c>
      <c r="L7037" s="80" t="s">
        <v>102</v>
      </c>
    </row>
    <row r="7038">
      <c r="A7038" s="80" t="s">
        <v>755</v>
      </c>
      <c r="B7038" s="81" t="str">
        <f>HYPERLINK("https://www.youtube.com/channel/UCBiJDTc82IM68KVH873VeAw", "Live in Kwangsi廣西人·情·味")</f>
        <v>Live in Kwangsi廣西人·情·味</v>
      </c>
      <c r="C7038" s="80" t="s">
        <v>7582</v>
      </c>
      <c r="D7038" s="81" t="str">
        <f>HYPERLINK("https://youtube.com/watch?v=ixExCTFrt48", "順德大良華蓋路步行街掠影｜廣東日常實拍 20230814")</f>
        <v>順德大良華蓋路步行街掠影｜廣東日常實拍 20230814</v>
      </c>
      <c r="E7038" s="82">
        <v>45253.0</v>
      </c>
      <c r="F7038" s="80">
        <v>63.0</v>
      </c>
      <c r="G7038" s="80" t="s">
        <v>63</v>
      </c>
      <c r="I7038" s="80" t="s">
        <v>63</v>
      </c>
      <c r="J7038" s="80">
        <v>188.0</v>
      </c>
      <c r="K7038" s="80">
        <v>1.0</v>
      </c>
      <c r="L7038" s="80" t="s">
        <v>757</v>
      </c>
    </row>
    <row r="7039">
      <c r="A7039" s="80" t="s">
        <v>1670</v>
      </c>
      <c r="B7039" s="81" t="str">
        <f>HYPERLINK("https://www.youtube.com/channel/UC-PIt5m-WOg8UVBkt2RnN0g", "阿JACK睇樓團")</f>
        <v>阿JACK睇樓團</v>
      </c>
      <c r="C7039" s="80" t="s">
        <v>7583</v>
      </c>
      <c r="D7039" s="81" t="str">
        <f>HYPERLINK("https://youtube.com/watch?v=3yenajEkN-M", "首期68萬買三房套送車位 ☹️😨 劈價80萬🤯呎價八千九🔥🫨丨洪水橋丨阿JACK睇樓團丨元朗樓")</f>
        <v>首期68萬買三房套送車位 ☹️😨 劈價80萬🤯呎價八千九🔥🫨丨洪水橋丨阿JACK睇樓團丨元朗樓</v>
      </c>
      <c r="E7039" s="82">
        <v>45232.0</v>
      </c>
      <c r="F7039" s="80">
        <v>427.0</v>
      </c>
      <c r="G7039" s="80" t="s">
        <v>63</v>
      </c>
      <c r="I7039" s="80" t="s">
        <v>63</v>
      </c>
      <c r="J7039" s="80">
        <v>1448.0</v>
      </c>
      <c r="K7039" s="80">
        <v>0.980365605958023</v>
      </c>
      <c r="L7039" s="80" t="s">
        <v>2526</v>
      </c>
    </row>
    <row r="7040">
      <c r="A7040" s="80" t="s">
        <v>278</v>
      </c>
      <c r="B7040" s="81" t="str">
        <f>HYPERLINK("https://www.youtube.com/channel/UCDoEdJo-PI-EKGNKomwLroQ", "mingjai14")</f>
        <v>mingjai14</v>
      </c>
      <c r="C7040" s="80" t="s">
        <v>7584</v>
      </c>
      <c r="D7040" s="81" t="str">
        <f>HYPERLINK("https://youtube.com/watch?v=vUN-oQDRSpw", "海底都住咗個周星馳😎 | #你個腦裝屎")</f>
        <v>海底都住咗個周星馳😎 | #你個腦裝屎</v>
      </c>
      <c r="E7040" s="82">
        <v>45239.0</v>
      </c>
      <c r="F7040" s="80">
        <v>55.0</v>
      </c>
      <c r="G7040" s="80" t="s">
        <v>63</v>
      </c>
      <c r="I7040" s="80" t="s">
        <v>63</v>
      </c>
      <c r="J7040" s="80">
        <v>259.0</v>
      </c>
      <c r="K7040" s="80">
        <v>0.981060606060606</v>
      </c>
      <c r="L7040" s="80" t="s">
        <v>64</v>
      </c>
    </row>
    <row r="7041">
      <c r="A7041" s="80" t="s">
        <v>124</v>
      </c>
      <c r="B7041" s="81" t="str">
        <f>HYPERLINK("https://www.youtube.com/channel/UCg0vuSE0fBF_NvodyYhMcWg", "Wallace Studio HK")</f>
        <v>Wallace Studio HK</v>
      </c>
      <c r="C7041" s="80" t="s">
        <v>7585</v>
      </c>
      <c r="D7041" s="81" t="str">
        <f>HYPERLINK("https://youtube.com/watch?v=SVUyf0AC2Vo", "iPhone 15 Pro Max 最終評測! 預料之外的升級！但你未必需要")</f>
        <v>iPhone 15 Pro Max 最終評測! 預料之外的升級！但你未必需要</v>
      </c>
      <c r="E7041" s="82">
        <v>45235.0</v>
      </c>
      <c r="F7041" s="80">
        <v>742.0</v>
      </c>
      <c r="G7041" s="80" t="s">
        <v>63</v>
      </c>
      <c r="H7041" s="80" t="s">
        <v>63</v>
      </c>
      <c r="I7041" s="80" t="s">
        <v>63</v>
      </c>
      <c r="J7041" s="80">
        <v>3226.0</v>
      </c>
      <c r="K7041" s="80">
        <v>0.802088513177523</v>
      </c>
      <c r="L7041" s="80" t="s">
        <v>86</v>
      </c>
    </row>
    <row r="7042">
      <c r="A7042" s="80" t="s">
        <v>2804</v>
      </c>
      <c r="B7042" s="81" t="str">
        <f>HYPERLINK("https://www.youtube.com/channel/UCrFrg50t0JqgqV2dkIrH5Hg", "投智財女 GirlbossInvest 創業投資智慧")</f>
        <v>投智財女 GirlbossInvest 創業投資智慧</v>
      </c>
      <c r="C7042" s="80" t="s">
        <v>7586</v>
      </c>
      <c r="D7042" s="81" t="str">
        <f>HYPERLINK("https://youtube.com/watch?v=uv-GCV3Mx4Q", "穩健收息全指南| 新手必看教學 ｜香港收息方法 - 財女專屬收息禮物$5000 #收息 #財女 #退休規劃 #定期存款 #基金 #收息股")</f>
        <v>穩健收息全指南| 新手必看教學 ｜香港收息方法 - 財女專屬收息禮物$5000 #收息 #財女 #退休規劃 #定期存款 #基金 #收息股</v>
      </c>
      <c r="E7042" s="82">
        <v>45246.0</v>
      </c>
      <c r="F7042" s="80">
        <v>960.0</v>
      </c>
      <c r="G7042" s="80" t="s">
        <v>63</v>
      </c>
      <c r="I7042" s="80" t="s">
        <v>63</v>
      </c>
      <c r="J7042" s="80">
        <v>4505.0</v>
      </c>
      <c r="K7042" s="80">
        <v>0.896874377861835</v>
      </c>
      <c r="L7042" s="80" t="s">
        <v>102</v>
      </c>
    </row>
    <row r="7043">
      <c r="A7043" s="80" t="s">
        <v>96</v>
      </c>
      <c r="B7043" s="81" t="str">
        <f>HYPERLINK("https://www.youtube.com/channel/UCGtyHJ-L_4RDIHe3XaLofQQ", "Anson Cheung")</f>
        <v>Anson Cheung</v>
      </c>
      <c r="C7043" s="80" t="s">
        <v>7587</v>
      </c>
      <c r="D7043" s="81" t="str">
        <f>HYPERLINK("https://youtube.com/watch?v=WpfMpw9Owpw", "iPhone 15 Pro Max 長期使用評測：用緊 iPhone 14 Pro 值得升級嗎？")</f>
        <v>iPhone 15 Pro Max 長期使用評測：用緊 iPhone 14 Pro 值得升級嗎？</v>
      </c>
      <c r="E7043" s="82">
        <v>45237.0</v>
      </c>
      <c r="F7043" s="80">
        <v>727.0</v>
      </c>
      <c r="G7043" s="80" t="s">
        <v>63</v>
      </c>
      <c r="I7043" s="80" t="s">
        <v>63</v>
      </c>
      <c r="J7043" s="80">
        <v>3116.0</v>
      </c>
      <c r="K7043" s="80">
        <v>0.676508901432913</v>
      </c>
      <c r="L7043" s="80" t="s">
        <v>64</v>
      </c>
    </row>
    <row r="7044">
      <c r="A7044" s="80" t="s">
        <v>755</v>
      </c>
      <c r="B7044" s="81" t="str">
        <f t="shared" ref="B7044:B7045" si="410">HYPERLINK("https://www.youtube.com/channel/UCBiJDTc82IM68KVH873VeAw", "Live in Kwangsi廣西人·情·味")</f>
        <v>Live in Kwangsi廣西人·情·味</v>
      </c>
      <c r="C7044" s="80" t="s">
        <v>7588</v>
      </c>
      <c r="D7044" s="81" t="str">
        <f>HYPERLINK("https://youtube.com/watch?v=lbTqLsF3dao", "早晨！喺陽朔漓江邊散步，睇下啲人遊船河、捉魚、欣賞沿途各種山水風光｜廣西日常實拍 20231104")</f>
        <v>早晨！喺陽朔漓江邊散步，睇下啲人遊船河、捉魚、欣賞沿途各種山水風光｜廣西日常實拍 20231104</v>
      </c>
      <c r="E7044" s="82">
        <v>45239.0</v>
      </c>
      <c r="F7044" s="80">
        <v>230.0</v>
      </c>
      <c r="G7044" s="80" t="s">
        <v>63</v>
      </c>
      <c r="I7044" s="80" t="s">
        <v>63</v>
      </c>
      <c r="J7044" s="80">
        <v>383.0</v>
      </c>
      <c r="K7044" s="80">
        <v>0.9575</v>
      </c>
      <c r="L7044" s="80" t="s">
        <v>757</v>
      </c>
    </row>
    <row r="7045">
      <c r="A7045" s="80" t="s">
        <v>755</v>
      </c>
      <c r="B7045" s="81" t="str">
        <f t="shared" si="410"/>
        <v>Live in Kwangsi廣西人·情·味</v>
      </c>
      <c r="C7045" s="80" t="s">
        <v>7589</v>
      </c>
      <c r="D7045" s="81" t="str">
        <f>HYPERLINK("https://youtube.com/watch?v=AVeItgUoad4", "桂林市區桃花江邊漫步至象鼻山一帶｜廣西日常實拍 20231105")</f>
        <v>桂林市區桃花江邊漫步至象鼻山一帶｜廣西日常實拍 20231105</v>
      </c>
      <c r="E7045" s="82">
        <v>45244.0</v>
      </c>
      <c r="F7045" s="80">
        <v>140.0</v>
      </c>
      <c r="G7045" s="80" t="s">
        <v>63</v>
      </c>
      <c r="I7045" s="80" t="s">
        <v>63</v>
      </c>
      <c r="J7045" s="80">
        <v>253.0</v>
      </c>
      <c r="K7045" s="80">
        <v>1.0</v>
      </c>
      <c r="L7045" s="80" t="s">
        <v>757</v>
      </c>
    </row>
    <row r="7046">
      <c r="A7046" s="80" t="s">
        <v>7514</v>
      </c>
      <c r="B7046" s="81" t="str">
        <f>HYPERLINK("https://www.youtube.com/channel/UCemfvqiWvXPrrjegQ-PK1jw", "阿鼻貓 ABCat 山系玩樂誌")</f>
        <v>阿鼻貓 ABCat 山系玩樂誌</v>
      </c>
      <c r="C7046" s="80" t="s">
        <v>7590</v>
      </c>
      <c r="D7046" s="81" t="str">
        <f>HYPERLINK("https://youtube.com/watch?v=KiAxaAjFUgM", "🇰🇷韓國旅遊『濟州』玩樂攻略｜玩轉濟州海陸自然奇景 Ep.1｜[4K] travel vlog Jeju")</f>
        <v>🇰🇷韓國旅遊『濟州』玩樂攻略｜玩轉濟州海陸自然奇景 Ep.1｜[4K] travel vlog Jeju</v>
      </c>
      <c r="E7046" s="82">
        <v>45240.0</v>
      </c>
      <c r="F7046" s="80">
        <v>2210.0</v>
      </c>
      <c r="G7046" s="80" t="s">
        <v>63</v>
      </c>
      <c r="I7046" s="80" t="s">
        <v>63</v>
      </c>
      <c r="J7046" s="80">
        <v>3698.0</v>
      </c>
      <c r="K7046" s="80">
        <v>0.933602625599596</v>
      </c>
      <c r="L7046" s="80" t="s">
        <v>64</v>
      </c>
    </row>
    <row r="7047">
      <c r="A7047" s="80" t="s">
        <v>242</v>
      </c>
      <c r="B7047" s="81" t="str">
        <f>HYPERLINK("https://www.youtube.com/channel/UCZGVB6g74LXWtkR3fX50ykg", "Edwin H.")</f>
        <v>Edwin H.</v>
      </c>
      <c r="C7047" s="80" t="s">
        <v>7591</v>
      </c>
      <c r="D7047" s="81" t="str">
        <f>HYPERLINK("https://youtube.com/watch?v=PZ0FG85KyXw", "終於有神級充電火牛 🐮 Edwin返香港掃貨 🛒 Edwin買乜野")</f>
        <v>終於有神級充電火牛 🐮 Edwin返香港掃貨 🛒 Edwin買乜野</v>
      </c>
      <c r="E7047" s="82">
        <v>45230.0</v>
      </c>
      <c r="F7047" s="80">
        <v>1048.0</v>
      </c>
      <c r="G7047" s="80" t="s">
        <v>63</v>
      </c>
      <c r="I7047" s="80" t="s">
        <v>63</v>
      </c>
      <c r="J7047" s="80">
        <v>4922.0</v>
      </c>
      <c r="K7047" s="80">
        <v>0.814630916914928</v>
      </c>
      <c r="L7047" s="80" t="s">
        <v>64</v>
      </c>
    </row>
    <row r="7048">
      <c r="A7048" s="80" t="s">
        <v>2829</v>
      </c>
      <c r="B7048" s="81" t="str">
        <f>HYPERLINK("https://www.youtube.com/channel/UC7GnES6AEQlDzaP04UqtyjA", "SOLID IDEA")</f>
        <v>SOLID IDEA</v>
      </c>
      <c r="C7048" s="80" t="s">
        <v>7592</v>
      </c>
      <c r="D7048" s="81" t="str">
        <f>HYPERLINK("https://youtube.com/watch?v=NHob2xjxJ8A", "【設計 • idea】大埔．Silicon Hill| 405呎｜又奶油得嚟又有啲輕歐風｜設計 • idea｜Solid Idea｜室內設計｜家居規劃｜星級設計｜［CC字幕］")</f>
        <v>【設計 • idea】大埔．Silicon Hill| 405呎｜又奶油得嚟又有啲輕歐風｜設計 • idea｜Solid Idea｜室內設計｜家居規劃｜星級設計｜［CC字幕］</v>
      </c>
      <c r="E7048" s="82">
        <v>45251.0</v>
      </c>
      <c r="F7048" s="80">
        <v>168.0</v>
      </c>
      <c r="G7048" s="80" t="s">
        <v>63</v>
      </c>
      <c r="I7048" s="80" t="s">
        <v>63</v>
      </c>
      <c r="J7048" s="80">
        <v>682.0</v>
      </c>
      <c r="K7048" s="80">
        <v>0.984126984126984</v>
      </c>
      <c r="L7048" s="80" t="s">
        <v>64</v>
      </c>
    </row>
    <row r="7049">
      <c r="A7049" s="80" t="s">
        <v>6892</v>
      </c>
      <c r="B7049" s="81" t="str">
        <f>HYPERLINK("https://www.youtube.com/channel/UC8_hxeY0nDCL-8ETbcGUZ9g", "PT食為先")</f>
        <v>PT食為先</v>
      </c>
      <c r="C7049" s="80" t="s">
        <v>7593</v>
      </c>
      <c r="D7049" s="81" t="str">
        <f>HYPERLINK("https://youtube.com/watch?v=1RnYkESaXPo", "[PT自費食評] 蝦湯拉麵11月限定買一送一！旺角魚介豬骨湯免費增量200克！尖沙咀死場拉麵自我放棄？")</f>
        <v>[PT自費食評] 蝦湯拉麵11月限定買一送一！旺角魚介豬骨湯免費增量200克！尖沙咀死場拉麵自我放棄？</v>
      </c>
      <c r="E7049" s="82">
        <v>45244.0</v>
      </c>
      <c r="F7049" s="80">
        <v>904.0</v>
      </c>
      <c r="G7049" s="80" t="s">
        <v>63</v>
      </c>
      <c r="I7049" s="80" t="s">
        <v>63</v>
      </c>
      <c r="J7049" s="80">
        <v>2509.0</v>
      </c>
      <c r="K7049" s="80">
        <v>0.964628988850442</v>
      </c>
      <c r="L7049" s="80" t="s">
        <v>64</v>
      </c>
    </row>
    <row r="7050">
      <c r="A7050" s="80" t="s">
        <v>6960</v>
      </c>
      <c r="B7050" s="81" t="str">
        <f>HYPERLINK("https://www.youtube.com/channel/UCQS2_zzisMq5C_FggxsQwTQ", "Comprehensible Cantonese")</f>
        <v>Comprehensible Cantonese</v>
      </c>
      <c r="C7050" s="80" t="s">
        <v>7594</v>
      </c>
      <c r="D7050" s="81" t="str">
        <f>HYPERLINK("https://youtube.com/watch?v=EZbBduxVbp0", "[CC] 廣東話 ChitChat with Yan: Episode 1 | Food Culture | Comprehensible Cantonese|- Intermediate")</f>
        <v>[CC] 廣東話 ChitChat with Yan: Episode 1 | Food Culture | Comprehensible Cantonese|- Intermediate</v>
      </c>
      <c r="E7050" s="82">
        <v>45251.0</v>
      </c>
      <c r="F7050" s="80">
        <v>259.0</v>
      </c>
      <c r="G7050" s="80" t="s">
        <v>63</v>
      </c>
      <c r="I7050" s="80" t="s">
        <v>63</v>
      </c>
      <c r="J7050" s="80">
        <v>843.0</v>
      </c>
      <c r="K7050" s="80">
        <v>0.971198156682027</v>
      </c>
      <c r="L7050" s="80" t="s">
        <v>102</v>
      </c>
    </row>
    <row r="7051">
      <c r="A7051" s="80" t="s">
        <v>6892</v>
      </c>
      <c r="B7051" s="81" t="str">
        <f t="shared" ref="B7051:B7053" si="411">HYPERLINK("https://www.youtube.com/channel/UC8_hxeY0nDCL-8ETbcGUZ9g", "PT食為先")</f>
        <v>PT食為先</v>
      </c>
      <c r="C7051" s="80" t="s">
        <v>7595</v>
      </c>
      <c r="D7051" s="81" t="str">
        <f>HYPERLINK("https://youtube.com/watch?v=pxmy6w10TIg", "[PT自費食評] 實測2間元朗食雞名店！平民飯堂免費添雞髀！海南雞飯良心店有網絡名人撐場！")</f>
        <v>[PT自費食評] 實測2間元朗食雞名店！平民飯堂免費添雞髀！海南雞飯良心店有網絡名人撐場！</v>
      </c>
      <c r="E7051" s="82">
        <v>45255.0</v>
      </c>
      <c r="F7051" s="80">
        <v>631.0</v>
      </c>
      <c r="G7051" s="80" t="s">
        <v>63</v>
      </c>
      <c r="I7051" s="80" t="s">
        <v>63</v>
      </c>
      <c r="J7051" s="80">
        <v>1667.0</v>
      </c>
      <c r="K7051" s="80">
        <v>0.946083995459704</v>
      </c>
      <c r="L7051" s="80" t="s">
        <v>64</v>
      </c>
    </row>
    <row r="7052">
      <c r="A7052" s="80" t="s">
        <v>6892</v>
      </c>
      <c r="B7052" s="81" t="str">
        <f t="shared" si="411"/>
        <v>PT食為先</v>
      </c>
      <c r="C7052" s="80" t="s">
        <v>7596</v>
      </c>
      <c r="D7052" s="81" t="str">
        <f>HYPERLINK("https://youtube.com/watch?v=M2NrjukeMXU", "[PT自費食評] 罕見泰北菜！咖哩金麵Khao Soi香港都食到！元朗直落中環～人氣排隊店有咩咁吸引？")</f>
        <v>[PT自費食評] 罕見泰北菜！咖哩金麵Khao Soi香港都食到！元朗直落中環～人氣排隊店有咩咁吸引？</v>
      </c>
      <c r="E7052" s="82">
        <v>45234.0</v>
      </c>
      <c r="F7052" s="80">
        <v>933.0</v>
      </c>
      <c r="G7052" s="80" t="s">
        <v>63</v>
      </c>
      <c r="I7052" s="80" t="s">
        <v>63</v>
      </c>
      <c r="J7052" s="80">
        <v>2575.0</v>
      </c>
      <c r="K7052" s="80">
        <v>0.941154970760233</v>
      </c>
      <c r="L7052" s="80" t="s">
        <v>64</v>
      </c>
    </row>
    <row r="7053">
      <c r="A7053" s="80" t="s">
        <v>6892</v>
      </c>
      <c r="B7053" s="81" t="str">
        <f t="shared" si="411"/>
        <v>PT食為先</v>
      </c>
      <c r="C7053" s="80" t="s">
        <v>7597</v>
      </c>
      <c r="D7053" s="81" t="str">
        <f>HYPERLINK("https://youtube.com/watch?v=lWigboEdU1k", "[PT食為先] 繼續尋找好味片皮鴨～尖沙咀必食粵菜酒家🍽️中產價錢＝富豪質素海鮮餐！足料潮州翅 芝士焗龍蝦 椒鹽瀨尿蝦｜新竹園軒")</f>
        <v>[PT食為先] 繼續尋找好味片皮鴨～尖沙咀必食粵菜酒家🍽️中產價錢＝富豪質素海鮮餐！足料潮州翅 芝士焗龍蝦 椒鹽瀨尿蝦｜新竹園軒</v>
      </c>
      <c r="E7053" s="82">
        <v>45228.0</v>
      </c>
      <c r="F7053" s="80">
        <v>655.0</v>
      </c>
      <c r="G7053" s="80" t="s">
        <v>63</v>
      </c>
      <c r="I7053" s="80" t="s">
        <v>63</v>
      </c>
      <c r="J7053" s="80">
        <v>1366.0</v>
      </c>
      <c r="K7053" s="80">
        <v>0.968107725017717</v>
      </c>
      <c r="L7053" s="80" t="s">
        <v>64</v>
      </c>
    </row>
    <row r="7054">
      <c r="A7054" s="80" t="s">
        <v>6960</v>
      </c>
      <c r="B7054" s="81" t="str">
        <f>HYPERLINK("https://www.youtube.com/channel/UCQS2_zzisMq5C_FggxsQwTQ", "Comprehensible Cantonese")</f>
        <v>Comprehensible Cantonese</v>
      </c>
      <c r="C7054" s="80" t="s">
        <v>7598</v>
      </c>
      <c r="D7054" s="81" t="str">
        <f>HYPERLINK("https://youtube.com/watch?v=jfOM-iPMG5I", "[CC] Learn Cantonese Through Games: Adopt Me!-1 |Comprehensible Cantonese| --Advanced Beginner")</f>
        <v>[CC] Learn Cantonese Through Games: Adopt Me!-1 |Comprehensible Cantonese| --Advanced Beginner</v>
      </c>
      <c r="E7054" s="82">
        <v>45237.0</v>
      </c>
      <c r="F7054" s="80">
        <v>126.0</v>
      </c>
      <c r="G7054" s="80" t="s">
        <v>63</v>
      </c>
      <c r="I7054" s="80" t="s">
        <v>63</v>
      </c>
      <c r="J7054" s="80">
        <v>332.0</v>
      </c>
      <c r="K7054" s="80">
        <v>0.855670103092783</v>
      </c>
      <c r="L7054" s="80" t="s">
        <v>102</v>
      </c>
    </row>
    <row r="7055">
      <c r="A7055" s="80" t="s">
        <v>6711</v>
      </c>
      <c r="B7055" s="81" t="str">
        <f>HYPERLINK("https://www.youtube.com/channel/UCwAPo1PxfhC-CSSjsRtlY3A", "喜歡電影的人都有病 Movie Psychopath")</f>
        <v>喜歡電影的人都有病 Movie Psychopath</v>
      </c>
      <c r="C7055" s="80" t="s">
        <v>7599</v>
      </c>
      <c r="D7055" s="81" t="str">
        <f>HYPERLINK("https://youtube.com/watch?v=nXDKHMJK1gs", "《白日之下》還原度極高，揭示現實黑暗面｜演員表現逐個講｜簡君晉｜余香凝｜姜大衞｜胡楓｜林保怡｜陳湛文｜梁雍婷｜周漢寧｜港產片｜親生仔｜廣東話｜粵語｜影評｜阿影")</f>
        <v>《白日之下》還原度極高，揭示現實黑暗面｜演員表現逐個講｜簡君晉｜余香凝｜姜大衞｜胡楓｜林保怡｜陳湛文｜梁雍婷｜周漢寧｜港產片｜親生仔｜廣東話｜粵語｜影評｜阿影</v>
      </c>
      <c r="E7055" s="82">
        <v>45232.0</v>
      </c>
      <c r="F7055" s="80">
        <v>820.0</v>
      </c>
      <c r="G7055" s="80" t="s">
        <v>63</v>
      </c>
      <c r="I7055" s="80" t="s">
        <v>63</v>
      </c>
      <c r="J7055" s="80">
        <v>3508.0</v>
      </c>
      <c r="K7055" s="80">
        <v>0.987612612612612</v>
      </c>
      <c r="L7055" s="80" t="s">
        <v>64</v>
      </c>
    </row>
    <row r="7056">
      <c r="A7056" s="80" t="s">
        <v>6960</v>
      </c>
      <c r="B7056" s="81" t="str">
        <f t="shared" ref="B7056:B7057" si="412">HYPERLINK("https://www.youtube.com/channel/UCQS2_zzisMq5C_FggxsQwTQ", "Comprehensible Cantonese")</f>
        <v>Comprehensible Cantonese</v>
      </c>
      <c r="C7056" s="80" t="s">
        <v>7600</v>
      </c>
      <c r="D7056" s="81" t="str">
        <f>HYPERLINK("https://youtube.com/watch?v=iC8AzjPYR7g", "[CC] Game Time with Candy: Camping |Slow and Clear Comprehensible Cantonese | Basic Beginner廣東話")</f>
        <v>[CC] Game Time with Candy: Camping |Slow and Clear Comprehensible Cantonese | Basic Beginner廣東話</v>
      </c>
      <c r="E7056" s="82">
        <v>45247.0</v>
      </c>
      <c r="F7056" s="80">
        <v>331.0</v>
      </c>
      <c r="G7056" s="80" t="s">
        <v>63</v>
      </c>
      <c r="I7056" s="80" t="s">
        <v>63</v>
      </c>
      <c r="J7056" s="80">
        <v>699.0</v>
      </c>
      <c r="K7056" s="80">
        <v>0.944594594594594</v>
      </c>
      <c r="L7056" s="80" t="s">
        <v>102</v>
      </c>
    </row>
    <row r="7057">
      <c r="A7057" s="80" t="s">
        <v>6960</v>
      </c>
      <c r="B7057" s="81" t="str">
        <f t="shared" si="412"/>
        <v>Comprehensible Cantonese</v>
      </c>
      <c r="C7057" s="80" t="s">
        <v>7601</v>
      </c>
      <c r="D7057" s="81" t="str">
        <f>HYPERLINK("https://youtube.com/watch?v=OcBeLivUJUU", "[CC] 廣東話 Story Time with Candy: Uncle Bear | Slow and Clear Cantonese Story| Basic Beginner")</f>
        <v>[CC] 廣東話 Story Time with Candy: Uncle Bear | Slow and Clear Cantonese Story| Basic Beginner</v>
      </c>
      <c r="E7057" s="82">
        <v>45234.0</v>
      </c>
      <c r="F7057" s="80">
        <v>196.0</v>
      </c>
      <c r="G7057" s="80" t="s">
        <v>63</v>
      </c>
      <c r="I7057" s="80" t="s">
        <v>63</v>
      </c>
      <c r="J7057" s="80">
        <v>337.0</v>
      </c>
      <c r="K7057" s="80">
        <v>0.991176470588235</v>
      </c>
      <c r="L7057" s="80" t="s">
        <v>102</v>
      </c>
    </row>
    <row r="7058">
      <c r="A7058" s="80" t="s">
        <v>7099</v>
      </c>
      <c r="B7058" s="81" t="str">
        <f>HYPERLINK("https://www.youtube.com/channel/UCBwfrMS785JyWDUBRhOQkjw", "Karenly :")</f>
        <v>Karenly :</v>
      </c>
      <c r="C7058" s="80" t="s">
        <v>7602</v>
      </c>
      <c r="D7058" s="81" t="str">
        <f>HYPERLINK("https://youtube.com/watch?v=7InfcB5JSu8", "M3 MacBook Pro + M3 iMac 發佈會 5分鐘懶人包｜整合價錢顏色發售日期｜Apple多次點名intel MBP用家！你係咪目標客群？｜繁中字幕｜廣東話【Karenly:】")</f>
        <v>M3 MacBook Pro + M3 iMac 發佈會 5分鐘懶人包｜整合價錢顏色發售日期｜Apple多次點名intel MBP用家！你係咪目標客群？｜繁中字幕｜廣東話【Karenly:】</v>
      </c>
      <c r="E7058" s="82">
        <v>45230.0</v>
      </c>
      <c r="F7058" s="80">
        <v>314.0</v>
      </c>
      <c r="G7058" s="80" t="s">
        <v>63</v>
      </c>
      <c r="I7058" s="80" t="s">
        <v>63</v>
      </c>
      <c r="J7058" s="80">
        <v>999.0</v>
      </c>
      <c r="K7058" s="80">
        <v>0.653795811518324</v>
      </c>
      <c r="L7058" s="80" t="s">
        <v>64</v>
      </c>
    </row>
    <row r="7059">
      <c r="A7059" s="80" t="s">
        <v>6960</v>
      </c>
      <c r="B7059" s="81" t="str">
        <f t="shared" ref="B7059:B7060" si="413">HYPERLINK("https://www.youtube.com/channel/UCQS2_zzisMq5C_FggxsQwTQ", "Comprehensible Cantonese")</f>
        <v>Comprehensible Cantonese</v>
      </c>
      <c r="C7059" s="80" t="s">
        <v>7603</v>
      </c>
      <c r="D7059" s="81" t="str">
        <f>HYPERLINK("https://youtube.com/watch?v=ii53n2rX04U", "[CC] 廣東話 Movie Talk: A Girl Tried to Cook-Part 1 |Comprehensible Cantonese | Advanced Beginner")</f>
        <v>[CC] 廣東話 Movie Talk: A Girl Tried to Cook-Part 1 |Comprehensible Cantonese | Advanced Beginner</v>
      </c>
      <c r="E7059" s="82">
        <v>45230.0</v>
      </c>
      <c r="F7059" s="80">
        <v>378.0</v>
      </c>
      <c r="G7059" s="80" t="s">
        <v>63</v>
      </c>
      <c r="I7059" s="80" t="s">
        <v>63</v>
      </c>
      <c r="J7059" s="80">
        <v>847.0</v>
      </c>
      <c r="K7059" s="80">
        <v>0.862525458248472</v>
      </c>
      <c r="L7059" s="80" t="s">
        <v>102</v>
      </c>
    </row>
    <row r="7060">
      <c r="A7060" s="80" t="s">
        <v>6960</v>
      </c>
      <c r="B7060" s="81" t="str">
        <f t="shared" si="413"/>
        <v>Comprehensible Cantonese</v>
      </c>
      <c r="C7060" s="80" t="s">
        <v>7604</v>
      </c>
      <c r="D7060" s="81" t="str">
        <f>HYPERLINK("https://youtube.com/watch?v=9eySFFfz5gk", "[CC] Picture Talk: It's All About Perspective! | Comprehensible Cantonese |  ( Advanced Beginner)")</f>
        <v>[CC] Picture Talk: It's All About Perspective! | Comprehensible Cantonese |  ( Advanced Beginner)</v>
      </c>
      <c r="E7060" s="82">
        <v>45243.0</v>
      </c>
      <c r="F7060" s="80">
        <v>642.0</v>
      </c>
      <c r="G7060" s="80" t="s">
        <v>63</v>
      </c>
      <c r="I7060" s="80" t="s">
        <v>63</v>
      </c>
      <c r="J7060" s="80">
        <v>1272.0</v>
      </c>
      <c r="K7060" s="80">
        <v>0.883333333333333</v>
      </c>
      <c r="L7060" s="80" t="s">
        <v>102</v>
      </c>
    </row>
    <row r="7061">
      <c r="A7061" s="80" t="s">
        <v>3134</v>
      </c>
      <c r="B7061" s="81" t="str">
        <f>HYPERLINK("https://www.youtube.com/channel/UC_vZsUCJrwYrbIRPHacAS_Q", "Coco哥")</f>
        <v>Coco哥</v>
      </c>
      <c r="C7061" s="80" t="s">
        <v>7605</v>
      </c>
      <c r="D7061" s="81" t="str">
        <f>HYPERLINK("https://youtube.com/watch?v=I58efvWaQkQ", "2024香港股市樓市經濟預測 🚀 金融中心 好難過🔥")</f>
        <v>2024香港股市樓市經濟預測 🚀 金融中心 好難過🔥</v>
      </c>
      <c r="E7061" s="82">
        <v>45284.0</v>
      </c>
      <c r="F7061" s="80">
        <v>1344.0</v>
      </c>
      <c r="G7061" s="80" t="s">
        <v>63</v>
      </c>
      <c r="I7061" s="80" t="s">
        <v>63</v>
      </c>
      <c r="J7061" s="80">
        <v>4171.0</v>
      </c>
      <c r="K7061" s="80">
        <v>0.966852109411219</v>
      </c>
      <c r="L7061" s="80" t="s">
        <v>2755</v>
      </c>
    </row>
    <row r="7062">
      <c r="A7062" s="80" t="s">
        <v>2041</v>
      </c>
      <c r="B7062" s="81" t="str">
        <f>HYPERLINK("https://www.youtube.com/channel/UCO6pB-ZN4XJ6MVkibvuEe0A", "SingSingTracker 星昇財經指標")</f>
        <v>SingSingTracker 星昇財經指標</v>
      </c>
      <c r="C7062" s="80" t="s">
        <v>7606</v>
      </c>
      <c r="D7062" s="81" t="str">
        <f>HYPERLINK("https://youtube.com/watch?v=5dTLdaDL-Rc", "圍爐取暖【AI 女主持-小Sing🌸】黃金漲勢如破竹！ 外匯輕鬆易玩？「窮忙族」恩物｜股票｜投資｜指標｜港股｜美股｜入市 24/1/2024 #投資入門 #美股 #經濟")</f>
        <v>圍爐取暖【AI 女主持-小Sing🌸】黃金漲勢如破竹！ 外匯輕鬆易玩？「窮忙族」恩物｜股票｜投資｜指標｜港股｜美股｜入市 24/1/2024 #投資入門 #美股 #經濟</v>
      </c>
      <c r="E7062" s="82">
        <v>45315.0</v>
      </c>
      <c r="F7062" s="80">
        <v>192.0</v>
      </c>
      <c r="G7062" s="80" t="s">
        <v>63</v>
      </c>
      <c r="I7062" s="80" t="s">
        <v>63</v>
      </c>
      <c r="J7062" s="80">
        <v>872.0</v>
      </c>
      <c r="K7062" s="80">
        <v>0.981981981981981</v>
      </c>
      <c r="L7062" s="80" t="s">
        <v>64</v>
      </c>
    </row>
    <row r="7063">
      <c r="A7063" s="80" t="s">
        <v>7607</v>
      </c>
      <c r="B7063" s="81" t="str">
        <f>HYPERLINK("https://www.youtube.com/channel/UCpGm9u4iYIev-BCA7mbAt6Q", "TVBean")</f>
        <v>TVBean</v>
      </c>
      <c r="C7063" s="80" t="s">
        <v>7608</v>
      </c>
      <c r="D7063" s="81" t="str">
        <f>HYPERLINK("https://youtube.com/watch?v=w0IW5aZF-4w", "慳錢秘笈💥| 平過有金執!!  | 垃圾徵費 不如源頭減廢 | #山姆 #Costco 以外的選擇 | 必買推介 | #環保超市 | #Green Price | CC字幕 | TVBean")</f>
        <v>慳錢秘笈💥| 平過有金執!!  | 垃圾徵費 不如源頭減廢 | #山姆 #Costco 以外的選擇 | 必買推介 | #環保超市 | #Green Price | CC字幕 | TVBean</v>
      </c>
      <c r="E7063" s="82">
        <v>45309.0</v>
      </c>
      <c r="F7063" s="80">
        <v>980.0</v>
      </c>
      <c r="G7063" s="80" t="s">
        <v>63</v>
      </c>
      <c r="I7063" s="80" t="s">
        <v>63</v>
      </c>
      <c r="J7063" s="80">
        <v>2538.0</v>
      </c>
      <c r="K7063" s="80">
        <v>0.901918976545842</v>
      </c>
      <c r="L7063" s="80" t="s">
        <v>91</v>
      </c>
    </row>
    <row r="7064">
      <c r="A7064" s="80" t="s">
        <v>1183</v>
      </c>
      <c r="B7064" s="81" t="str">
        <f>HYPERLINK("https://www.youtube.com/channel/UCPBBbFYG51QpjuptQtYfCDA", "siuwaiboy")</f>
        <v>siuwaiboy</v>
      </c>
      <c r="C7064" s="80" t="s">
        <v>7609</v>
      </c>
      <c r="D7064" s="81" t="str">
        <f>HYPERLINK("https://youtube.com/watch?v=cXaj-apRBwY", "過氣為不甘被淘汰唯有話自己係反潮流")</f>
        <v>過氣為不甘被淘汰唯有話自己係反潮流</v>
      </c>
      <c r="E7064" s="82">
        <v>45309.0</v>
      </c>
      <c r="F7064" s="80">
        <v>36.0</v>
      </c>
      <c r="G7064" s="80" t="s">
        <v>63</v>
      </c>
      <c r="I7064" s="80" t="s">
        <v>63</v>
      </c>
      <c r="J7064" s="80">
        <v>157.0</v>
      </c>
      <c r="K7064" s="80">
        <v>1.0</v>
      </c>
      <c r="L7064" s="80" t="s">
        <v>64</v>
      </c>
    </row>
    <row r="7065">
      <c r="A7065" s="80" t="s">
        <v>288</v>
      </c>
      <c r="B7065" s="81" t="str">
        <f>HYPERLINK("https://www.youtube.com/channel/UCDWOYEhVnyD4IHZGVAMLc0g", "Brendan 毛爸")</f>
        <v>Brendan 毛爸</v>
      </c>
      <c r="C7065" s="80" t="s">
        <v>7610</v>
      </c>
      <c r="D7065" s="81" t="str">
        <f>HYPERLINK("https://youtube.com/watch?v=2ddPrM-OGuw", "『全香港最強雞煲放題店？』Openrice超過800好評丨雞煲好好食？丨美國牛頸脊丨飲品選擇少？丨￼@18樓雞煲火鍋專門店 (荃灣)【毛爸回港EP9】")</f>
        <v>『全香港最強雞煲放題店？』Openrice超過800好評丨雞煲好好食？丨美國牛頸脊丨飲品選擇少？丨￼@18樓雞煲火鍋專門店 (荃灣)【毛爸回港EP9】</v>
      </c>
      <c r="E7065" s="82">
        <v>45325.0</v>
      </c>
      <c r="F7065" s="80">
        <v>480.0</v>
      </c>
      <c r="G7065" s="80" t="s">
        <v>63</v>
      </c>
      <c r="I7065" s="80" t="s">
        <v>63</v>
      </c>
      <c r="J7065" s="80">
        <v>1789.0</v>
      </c>
      <c r="K7065" s="80">
        <v>0.951089845826688</v>
      </c>
      <c r="L7065" s="80" t="s">
        <v>64</v>
      </c>
    </row>
    <row r="7066">
      <c r="A7066" s="80" t="s">
        <v>3139</v>
      </c>
      <c r="B7066" s="81" t="str">
        <f>HYPERLINK("https://www.youtube.com/channel/UCThO2xnH7XMg6plE8OgJm_w", "choyuen草原")</f>
        <v>choyuen草原</v>
      </c>
      <c r="C7066" s="80" t="s">
        <v>7611</v>
      </c>
      <c r="D7066" s="81" t="str">
        <f>HYPERLINK("https://youtube.com/watch?v=j2wecHZOdPc", "邁亞密「外星巨人」行商場查無此事 , 但話「逢外星人片就鬆郁矇」我就唔同意   No Alien, in Miami, AT THE MOMENT")</f>
        <v>邁亞密「外星巨人」行商場查無此事 , 但話「逢外星人片就鬆郁矇」我就唔同意   No Alien, in Miami, AT THE MOMENT</v>
      </c>
      <c r="E7066" s="82">
        <v>45322.0</v>
      </c>
      <c r="F7066" s="80">
        <v>689.0</v>
      </c>
      <c r="G7066" s="80" t="s">
        <v>63</v>
      </c>
      <c r="I7066" s="80" t="s">
        <v>63</v>
      </c>
      <c r="J7066" s="80">
        <v>2034.0</v>
      </c>
      <c r="K7066" s="80">
        <v>0.883579496090356</v>
      </c>
      <c r="L7066" s="80" t="s">
        <v>64</v>
      </c>
    </row>
    <row r="7067">
      <c r="A7067" s="80" t="s">
        <v>5854</v>
      </c>
      <c r="B7067" s="81" t="str">
        <f>HYPERLINK("https://www.youtube.com/channel/UCiJnCs2K5gP-DXnMxlstC9A", "毛記電視")</f>
        <v>毛記電視</v>
      </c>
      <c r="C7067" s="80" t="s">
        <v>7612</v>
      </c>
      <c r="D7067" s="81" t="str">
        <f>HYPERLINK("https://youtube.com/watch?v=fySQjW3XuT8", "隨機訪問路人🎤90%人都有容貌焦慮🥵？新世代都市病😞？《Terry遊學團》你有容貌焦慮嗎？")</f>
        <v>隨機訪問路人🎤90%人都有容貌焦慮🥵？新世代都市病😞？《Terry遊學團》你有容貌焦慮嗎？</v>
      </c>
      <c r="E7067" s="82">
        <v>45265.0</v>
      </c>
      <c r="F7067" s="80">
        <v>663.0</v>
      </c>
      <c r="G7067" s="80" t="s">
        <v>63</v>
      </c>
      <c r="I7067" s="80" t="s">
        <v>63</v>
      </c>
      <c r="J7067" s="80">
        <v>3317.0</v>
      </c>
      <c r="K7067" s="80">
        <v>0.940192743764172</v>
      </c>
      <c r="L7067" s="80" t="s">
        <v>102</v>
      </c>
    </row>
    <row r="7068">
      <c r="A7068" s="80" t="s">
        <v>7613</v>
      </c>
      <c r="B7068" s="81" t="str">
        <f>HYPERLINK("https://www.youtube.com/channel/UCLYWo70xBDrPYJgJsxoX7Qg", "綠豆 Green Bean Media")</f>
        <v>綠豆 Green Bean Media</v>
      </c>
      <c r="C7068" s="80" t="s">
        <v>7614</v>
      </c>
      <c r="D7068" s="81" t="str">
        <f>HYPERLINK("https://youtube.com/watch?v=Gp7tTf-K1qs", "劇協會長馮祿德：當戴上眼鏡有顏色 ，看甚麼都有顏色的！｜編輯推介")</f>
        <v>劇協會長馮祿德：當戴上眼鏡有顏色 ，看甚麼都有顏色的！｜編輯推介</v>
      </c>
      <c r="E7068" s="82">
        <v>45314.0</v>
      </c>
      <c r="F7068" s="80">
        <v>460.0</v>
      </c>
      <c r="G7068" s="80" t="s">
        <v>63</v>
      </c>
      <c r="I7068" s="80" t="s">
        <v>63</v>
      </c>
      <c r="J7068" s="80">
        <v>1505.0</v>
      </c>
      <c r="K7068" s="80">
        <v>0.99933598937583</v>
      </c>
      <c r="L7068" s="80" t="s">
        <v>64</v>
      </c>
    </row>
    <row r="7069">
      <c r="A7069" s="80" t="s">
        <v>748</v>
      </c>
      <c r="B7069" s="81" t="str">
        <f>HYPERLINK("https://www.youtube.com/channel/UC_ZT2UjRiNSy1I33LEiflJQ", "撒野作風 WILDSTYLE RECORDS")</f>
        <v>撒野作風 WILDSTYLE RECORDS</v>
      </c>
      <c r="C7069" s="80" t="s">
        <v>7615</v>
      </c>
      <c r="D7069" s="81" t="str">
        <f>HYPERLINK("https://youtube.com/watch?v=mU33GKwJnrE", "YoungQueenz, N.O.L.Y - ""Hoyeonjung""")</f>
        <v>YoungQueenz, N.O.L.Y - "Hoyeonjung"</v>
      </c>
      <c r="E7069" s="82">
        <v>45295.0</v>
      </c>
      <c r="F7069" s="80">
        <v>204.0</v>
      </c>
      <c r="G7069" s="80" t="s">
        <v>63</v>
      </c>
      <c r="I7069" s="80" t="s">
        <v>63</v>
      </c>
      <c r="J7069" s="80">
        <v>273.0</v>
      </c>
      <c r="K7069" s="80">
        <v>0.214117647058823</v>
      </c>
      <c r="L7069" s="80" t="s">
        <v>893</v>
      </c>
    </row>
    <row r="7070">
      <c r="A7070" s="80" t="s">
        <v>6238</v>
      </c>
      <c r="B7070" s="81" t="str">
        <f>HYPERLINK("https://www.youtube.com/channel/UC_ogl0qjBdXrTiZZJ6ltsQQ", "Flat Out 地板油")</f>
        <v>Flat Out 地板油</v>
      </c>
      <c r="C7070" s="80" t="s">
        <v>7616</v>
      </c>
      <c r="D7070" s="81" t="str">
        <f>HYPERLINK("https://youtube.com/watch?v=kwvPb71em0Q", "史上最貴韓國車？77萬KIA EV9 GT-Line 電動七座SUV闊落夠霸氣！五米車長成功挑戰美居中心地獄停車場？| Flat Out Review #FlatOut試車 #地板油")</f>
        <v>史上最貴韓國車？77萬KIA EV9 GT-Line 電動七座SUV闊落夠霸氣！五米車長成功挑戰美居中心地獄停車場？| Flat Out Review #FlatOut試車 #地板油</v>
      </c>
      <c r="E7070" s="82">
        <v>45310.0</v>
      </c>
      <c r="F7070" s="80">
        <v>2022.0</v>
      </c>
      <c r="G7070" s="80" t="s">
        <v>63</v>
      </c>
      <c r="I7070" s="80" t="s">
        <v>63</v>
      </c>
      <c r="J7070" s="80">
        <v>5023.0</v>
      </c>
      <c r="K7070" s="80">
        <v>0.865139510850844</v>
      </c>
      <c r="L7070" s="80" t="s">
        <v>64</v>
      </c>
    </row>
    <row r="7071">
      <c r="A7071" s="80" t="s">
        <v>6960</v>
      </c>
      <c r="B7071" s="81" t="str">
        <f>HYPERLINK("https://www.youtube.com/channel/UCQS2_zzisMq5C_FggxsQwTQ", "Comprehensible Cantonese")</f>
        <v>Comprehensible Cantonese</v>
      </c>
      <c r="C7071" s="80" t="s">
        <v>7617</v>
      </c>
      <c r="D7071" s="81" t="str">
        <f>HYPERLINK("https://youtube.com/watch?v=UHFPtuUvniQ", "He only knew 6 words when he was 11 but now he sounds like a native speaker without any accent.")</f>
        <v>He only knew 6 words when he was 11 but now he sounds like a native speaker without any accent.</v>
      </c>
      <c r="E7071" s="82">
        <v>45317.0</v>
      </c>
      <c r="F7071" s="80">
        <v>196.0</v>
      </c>
      <c r="G7071" s="80" t="s">
        <v>63</v>
      </c>
      <c r="I7071" s="80" t="s">
        <v>63</v>
      </c>
      <c r="J7071" s="80">
        <v>566.0</v>
      </c>
      <c r="K7071" s="80">
        <v>0.938640132669983</v>
      </c>
      <c r="L7071" s="80" t="s">
        <v>102</v>
      </c>
    </row>
    <row r="7072">
      <c r="A7072" s="80" t="s">
        <v>140</v>
      </c>
      <c r="B7072" s="81" t="str">
        <f>HYPERLINK("https://www.youtube.com/channel/UCHK0CZf9HEXs42qIO1GUouA", "TechiCardia")</f>
        <v>TechiCardia</v>
      </c>
      <c r="C7072" s="80" t="s">
        <v>7618</v>
      </c>
      <c r="D7072" s="81" t="str">
        <f>HYPERLINK("https://youtube.com/watch?v=vu0opK7EZSI", "我的簡約高效工作桌面！👨🏻‍💻🔥香港醫科生宿舍 Desk Setup 改造！👨‍⚕️為超集中工作而設的 M1 Pro MacBook 配置｜4K【TechiCardia】[CC廣東話字幕]")</f>
        <v>我的簡約高效工作桌面！👨🏻‍💻🔥香港醫科生宿舍 Desk Setup 改造！👨‍⚕️為超集中工作而設的 M1 Pro MacBook 配置｜4K【TechiCardia】[CC廣東話字幕]</v>
      </c>
      <c r="E7072" s="82">
        <v>45319.0</v>
      </c>
      <c r="F7072" s="80">
        <v>1301.0</v>
      </c>
      <c r="G7072" s="80" t="s">
        <v>63</v>
      </c>
      <c r="I7072" s="80" t="s">
        <v>63</v>
      </c>
      <c r="J7072" s="80">
        <v>5359.0</v>
      </c>
      <c r="K7072" s="80">
        <v>0.712632978723404</v>
      </c>
      <c r="L7072" s="80" t="s">
        <v>102</v>
      </c>
    </row>
    <row r="7073">
      <c r="A7073" s="80" t="s">
        <v>755</v>
      </c>
      <c r="B7073" s="81" t="str">
        <f>HYPERLINK("https://www.youtube.com/channel/UCBiJDTc82IM68KVH873VeAw", "Live in Kwangsi廣西人·情·味")</f>
        <v>Live in Kwangsi廣西人·情·味</v>
      </c>
      <c r="C7073" s="80" t="s">
        <v>7619</v>
      </c>
      <c r="D7073" s="81" t="str">
        <f>HYPERLINK("https://youtube.com/watch?v=nw9A9tVOP-s", "廣州大觀濕地公園散步全程記錄，呢度有一大片落羽松，免費入場，秋冬轉色嗰時嚟真係勁靚！｜廣東日常實拍 20231216")</f>
        <v>廣州大觀濕地公園散步全程記錄，呢度有一大片落羽松，免費入場，秋冬轉色嗰時嚟真係勁靚！｜廣東日常實拍 20231216</v>
      </c>
      <c r="E7073" s="82">
        <v>45295.0</v>
      </c>
      <c r="F7073" s="80">
        <v>1817.0</v>
      </c>
      <c r="G7073" s="80" t="s">
        <v>63</v>
      </c>
      <c r="I7073" s="80" t="s">
        <v>63</v>
      </c>
      <c r="J7073" s="80">
        <v>2931.0</v>
      </c>
      <c r="K7073" s="80">
        <v>0.987201077803974</v>
      </c>
      <c r="L7073" s="80" t="s">
        <v>757</v>
      </c>
    </row>
    <row r="7074">
      <c r="A7074" s="80" t="s">
        <v>6960</v>
      </c>
      <c r="B7074" s="81" t="str">
        <f>HYPERLINK("https://www.youtube.com/channel/UCQS2_zzisMq5C_FggxsQwTQ", "Comprehensible Cantonese")</f>
        <v>Comprehensible Cantonese</v>
      </c>
      <c r="C7074" s="80" t="s">
        <v>7620</v>
      </c>
      <c r="D7074" s="81" t="str">
        <f>HYPERLINK("https://youtube.com/watch?v=Zxvd_1VxQPA", "[CC] A Shirt Got Yan in Trouble| Slow and Clear Comprehensible Cantonese Story| Advanced Beginner")</f>
        <v>[CC] A Shirt Got Yan in Trouble| Slow and Clear Comprehensible Cantonese Story| Advanced Beginner</v>
      </c>
      <c r="E7074" s="82">
        <v>45290.0</v>
      </c>
      <c r="F7074" s="80">
        <v>404.0</v>
      </c>
      <c r="G7074" s="80" t="s">
        <v>63</v>
      </c>
      <c r="I7074" s="80" t="s">
        <v>63</v>
      </c>
      <c r="J7074" s="80">
        <v>1058.0</v>
      </c>
      <c r="K7074" s="80">
        <v>0.99063670411985</v>
      </c>
      <c r="L7074" s="80" t="s">
        <v>102</v>
      </c>
    </row>
    <row r="7075">
      <c r="A7075" s="80" t="s">
        <v>1183</v>
      </c>
      <c r="B7075" s="81" t="str">
        <f>HYPERLINK("https://www.youtube.com/channel/UCPBBbFYG51QpjuptQtYfCDA", "siuwaiboy")</f>
        <v>siuwaiboy</v>
      </c>
      <c r="C7075" s="80" t="s">
        <v>7621</v>
      </c>
      <c r="D7075" s="81" t="str">
        <f>HYPERLINK("https://youtube.com/watch?v=L0geZkksRo0", "[直播精華] 井底小為以為自己味覺代表全宇宙喺度講芫茜講3哥")</f>
        <v>[直播精華] 井底小為以為自己味覺代表全宇宙喺度講芫茜講3哥</v>
      </c>
      <c r="E7075" s="82">
        <v>45293.0</v>
      </c>
      <c r="F7075" s="80">
        <v>84.0</v>
      </c>
      <c r="G7075" s="80" t="s">
        <v>63</v>
      </c>
      <c r="I7075" s="80" t="s">
        <v>63</v>
      </c>
      <c r="J7075" s="80">
        <v>476.0</v>
      </c>
      <c r="K7075" s="80">
        <v>0.989604989604989</v>
      </c>
      <c r="L7075" s="80" t="s">
        <v>64</v>
      </c>
    </row>
    <row r="7076">
      <c r="A7076" s="80" t="s">
        <v>6711</v>
      </c>
      <c r="B7076" s="81" t="str">
        <f>HYPERLINK("https://www.youtube.com/channel/UCwAPo1PxfhC-CSSjsRtlY3A", "喜歡電影的人都有病 Movie Psychopath")</f>
        <v>喜歡電影的人都有病 Movie Psychopath</v>
      </c>
      <c r="C7076" s="80" t="s">
        <v>7622</v>
      </c>
      <c r="D7076" s="81" t="str">
        <f>HYPERLINK("https://youtube.com/watch?v=q1vl13_G2l4", "《真的狠愛你》老套路歡喜冤家劇情，為甚麼可以創造票房奇蹟？｜愛愛愛上你｜Anyone But You｜粵語｜廣東話｜影評｜阿影")</f>
        <v>《真的狠愛你》老套路歡喜冤家劇情，為甚麼可以創造票房奇蹟？｜愛愛愛上你｜Anyone But You｜粵語｜廣東話｜影評｜阿影</v>
      </c>
      <c r="E7076" s="82">
        <v>45316.0</v>
      </c>
      <c r="F7076" s="80">
        <v>570.0</v>
      </c>
      <c r="G7076" s="80" t="s">
        <v>63</v>
      </c>
      <c r="I7076" s="80" t="s">
        <v>63</v>
      </c>
      <c r="J7076" s="80">
        <v>2508.0</v>
      </c>
      <c r="K7076" s="80">
        <v>0.948921679909194</v>
      </c>
      <c r="L7076" s="80" t="s">
        <v>64</v>
      </c>
    </row>
    <row r="7077">
      <c r="A7077" s="80" t="s">
        <v>755</v>
      </c>
      <c r="B7077" s="81" t="str">
        <f>HYPERLINK("https://www.youtube.com/channel/UCBiJDTc82IM68KVH873VeAw", "Live in Kwangsi廣西人·情·味")</f>
        <v>Live in Kwangsi廣西人·情·味</v>
      </c>
      <c r="C7077" s="80" t="s">
        <v>7623</v>
      </c>
      <c r="D7077" s="81" t="str">
        <f>HYPERLINK("https://youtube.com/watch?v=uL6OiS-zHz8", "連南之旅，廣東北部山區充滿民族特色嘅地方｜廣東日常實拍 20231203")</f>
        <v>連南之旅，廣東北部山區充滿民族特色嘅地方｜廣東日常實拍 20231203</v>
      </c>
      <c r="E7077" s="82">
        <v>45294.0</v>
      </c>
      <c r="F7077" s="80">
        <v>286.0</v>
      </c>
      <c r="G7077" s="80" t="s">
        <v>63</v>
      </c>
      <c r="I7077" s="80" t="s">
        <v>63</v>
      </c>
      <c r="J7077" s="80">
        <v>780.0</v>
      </c>
      <c r="K7077" s="80">
        <v>0.997442455242966</v>
      </c>
      <c r="L7077" s="80" t="s">
        <v>757</v>
      </c>
    </row>
    <row r="7078">
      <c r="A7078" s="80" t="s">
        <v>6960</v>
      </c>
      <c r="B7078" s="81" t="str">
        <f>HYPERLINK("https://www.youtube.com/channel/UCQS2_zzisMq5C_FggxsQwTQ", "Comprehensible Cantonese")</f>
        <v>Comprehensible Cantonese</v>
      </c>
      <c r="C7078" s="80" t="s">
        <v>7624</v>
      </c>
      <c r="D7078" s="81" t="str">
        <f>HYPERLINK("https://youtube.com/watch?v=hZvdttdDeQ4", "[CC]廣東話 New Series: True Story (ep.1) | Slow and Clear Comprehensible Cantonese| Intermediate  Level")</f>
        <v>[CC]廣東話 New Series: True Story (ep.1) | Slow and Clear Comprehensible Cantonese| Intermediate  Level</v>
      </c>
      <c r="E7078" s="82">
        <v>45260.0</v>
      </c>
      <c r="F7078" s="80">
        <v>580.0</v>
      </c>
      <c r="G7078" s="80" t="s">
        <v>63</v>
      </c>
      <c r="I7078" s="80" t="s">
        <v>63</v>
      </c>
      <c r="J7078" s="80">
        <v>1616.0</v>
      </c>
      <c r="K7078" s="80">
        <v>0.963625521765056</v>
      </c>
      <c r="L7078" s="80" t="s">
        <v>102</v>
      </c>
    </row>
    <row r="7079">
      <c r="A7079" s="80" t="s">
        <v>6892</v>
      </c>
      <c r="B7079" s="81" t="str">
        <f>HYPERLINK("https://www.youtube.com/channel/UC8_hxeY0nDCL-8ETbcGUZ9g", "PT食為先")</f>
        <v>PT食為先</v>
      </c>
      <c r="C7079" s="80" t="s">
        <v>7625</v>
      </c>
      <c r="D7079" s="81" t="str">
        <f>HYPERLINK("https://youtube.com/watch?v=cVBQwKl_a54", "[PT食為先] 得獎小籠包 8款口味有創意又有水準！火焰烤雞打卡必備～川菜水煮牛肉都有得食！")</f>
        <v>[PT食為先] 得獎小籠包 8款口味有創意又有水準！火焰烤雞打卡必備～川菜水煮牛肉都有得食！</v>
      </c>
      <c r="E7079" s="82">
        <v>45312.0</v>
      </c>
      <c r="F7079" s="80">
        <v>489.0</v>
      </c>
      <c r="G7079" s="80" t="s">
        <v>63</v>
      </c>
      <c r="I7079" s="80" t="s">
        <v>63</v>
      </c>
      <c r="J7079" s="80">
        <v>1238.0</v>
      </c>
      <c r="K7079" s="80">
        <v>0.963424124513618</v>
      </c>
      <c r="L7079" s="80" t="s">
        <v>64</v>
      </c>
    </row>
    <row r="7080">
      <c r="A7080" s="80" t="s">
        <v>6960</v>
      </c>
      <c r="B7080" s="81" t="str">
        <f>HYPERLINK("https://www.youtube.com/channel/UCQS2_zzisMq5C_FggxsQwTQ", "Comprehensible Cantonese")</f>
        <v>Comprehensible Cantonese</v>
      </c>
      <c r="C7080" s="80" t="s">
        <v>7626</v>
      </c>
      <c r="D7080" s="81" t="str">
        <f>HYPERLINK("https://youtube.com/watch?v=MLCqxjq_k1Q", "[CC] 廣東話 Comprehensible Cantonese Story for Beginners: A Dog Loves Eating Shoes🐕❤️👞| Basic Beginner")</f>
        <v>[CC] 廣東話 Comprehensible Cantonese Story for Beginners: A Dog Loves Eating Shoes🐕❤️👞| Basic Beginner</v>
      </c>
      <c r="E7080" s="82">
        <v>45334.0</v>
      </c>
      <c r="F7080" s="80">
        <v>193.0</v>
      </c>
      <c r="G7080" s="80" t="s">
        <v>63</v>
      </c>
      <c r="I7080" s="80" t="s">
        <v>63</v>
      </c>
      <c r="J7080" s="80">
        <v>245.0</v>
      </c>
      <c r="K7080" s="80">
        <v>1.0</v>
      </c>
      <c r="L7080" s="80" t="s">
        <v>102</v>
      </c>
    </row>
    <row r="7081">
      <c r="A7081" s="80" t="s">
        <v>288</v>
      </c>
      <c r="B7081" s="81" t="str">
        <f>HYPERLINK("https://www.youtube.com/channel/UCDWOYEhVnyD4IHZGVAMLc0g", "Brendan 毛爸")</f>
        <v>Brendan 毛爸</v>
      </c>
      <c r="C7081" s="80" t="s">
        <v>7627</v>
      </c>
      <c r="D7081" s="81" t="str">
        <f>HYPERLINK("https://youtube.com/watch?v=oBqQf0xpJOE", "《去Costco原來有限制？！隨時比人罰£100🥲》都係正正常常shopping😞 ｜@Costco(Reading, UK) 《🇬🇧毛爸英國生活小分享》")</f>
        <v>《去Costco原來有限制？！隨時比人罰£100🥲》都係正正常常shopping😞 ｜@Costco(Reading, UK) 《🇬🇧毛爸英國生活小分享》</v>
      </c>
      <c r="E7081" s="82">
        <v>45330.0</v>
      </c>
      <c r="F7081" s="80">
        <v>319.0</v>
      </c>
      <c r="G7081" s="80" t="s">
        <v>63</v>
      </c>
      <c r="I7081" s="80" t="s">
        <v>63</v>
      </c>
      <c r="J7081" s="80">
        <v>1224.0</v>
      </c>
      <c r="K7081" s="80">
        <v>0.908685968819599</v>
      </c>
      <c r="L7081" s="80" t="s">
        <v>64</v>
      </c>
    </row>
    <row r="7082">
      <c r="A7082" s="80" t="s">
        <v>217</v>
      </c>
      <c r="B7082" s="81" t="str">
        <f>HYPERLINK("https://www.youtube.com/channel/UCXKg0qPRz32bs5Z4mTGF3TQ", "Stormtrooper白兵")</f>
        <v>Stormtrooper白兵</v>
      </c>
      <c r="C7082" s="80" t="s">
        <v>7628</v>
      </c>
      <c r="D7082" s="81" t="str">
        <f>HYPERLINK("https://youtube.com/watch?v=fKSpWQUj8qw", "10分鐘理解天才腦中的世界｜為何成為學童自殺其中一個因素？｜飲食可改善當中問題？｜不是陰謀論｜中文字幕")</f>
        <v>10分鐘理解天才腦中的世界｜為何成為學童自殺其中一個因素？｜飲食可改善當中問題？｜不是陰謀論｜中文字幕</v>
      </c>
      <c r="E7082" s="82">
        <v>45309.0</v>
      </c>
      <c r="F7082" s="80">
        <v>672.0</v>
      </c>
      <c r="G7082" s="80" t="s">
        <v>63</v>
      </c>
      <c r="I7082" s="80" t="s">
        <v>63</v>
      </c>
      <c r="J7082" s="80">
        <v>2758.0</v>
      </c>
      <c r="K7082" s="80">
        <v>0.935866983372921</v>
      </c>
      <c r="L7082" s="80" t="s">
        <v>64</v>
      </c>
    </row>
    <row r="7083">
      <c r="A7083" s="80" t="s">
        <v>7607</v>
      </c>
      <c r="B7083" s="81" t="str">
        <f>HYPERLINK("https://www.youtube.com/channel/UCpGm9u4iYIev-BCA7mbAt6Q", "TVBean")</f>
        <v>TVBean</v>
      </c>
      <c r="C7083" s="80" t="s">
        <v>7629</v>
      </c>
      <c r="D7083" s="81" t="str">
        <f>HYPERLINK("https://youtube.com/watch?v=Kv4rk-SQsl8", "突發! | 行冬日美食節 | 花了$500蚊 | 又買了什麼? | 首日直擊超過200個攤位 優惠推介 | $7.5豬手? $40羊腩煲? | 第21屆香港冬日美食節  | cc字幕 | TVBean")</f>
        <v>突發! | 行冬日美食節 | 花了$500蚊 | 又買了什麼? | 首日直擊超過200個攤位 優惠推介 | $7.5豬手? $40羊腩煲? | 第21屆香港冬日美食節  | cc字幕 | TVBean</v>
      </c>
      <c r="E7083" s="82">
        <v>45284.0</v>
      </c>
      <c r="F7083" s="80">
        <v>2926.0</v>
      </c>
      <c r="G7083" s="80" t="s">
        <v>63</v>
      </c>
      <c r="I7083" s="80" t="s">
        <v>63</v>
      </c>
      <c r="J7083" s="80">
        <v>8285.0</v>
      </c>
      <c r="K7083" s="80">
        <v>0.974132863021752</v>
      </c>
      <c r="L7083" s="80" t="s">
        <v>91</v>
      </c>
    </row>
    <row r="7084">
      <c r="A7084" s="80" t="s">
        <v>2041</v>
      </c>
      <c r="B7084" s="81" t="str">
        <f>HYPERLINK("https://www.youtube.com/channel/UCO6pB-ZN4XJ6MVkibvuEe0A", "SingSingTracker 星昇財經指標")</f>
        <v>SingSingTracker 星昇財經指標</v>
      </c>
      <c r="C7084" s="80" t="s">
        <v>7630</v>
      </c>
      <c r="D7084" s="81" t="str">
        <f>HYPERLINK("https://youtube.com/watch?v=tMgfzrEkIVc", "AI 女主持-小Sing🌸分享講解追蹤🔍未來股市動向📈]【呢一星期賺超過$9K？】「窮忙族」恩物｜股票｜投資｜指標｜港股｜美股｜入市 6/12/2023 #aiart #寫真 #vtuber")</f>
        <v>AI 女主持-小Sing🌸分享講解追蹤🔍未來股市動向📈]【呢一星期賺超過$9K？】「窮忙族」恩物｜股票｜投資｜指標｜港股｜美股｜入市 6/12/2023 #aiart #寫真 #vtuber</v>
      </c>
      <c r="E7084" s="82">
        <v>45266.0</v>
      </c>
      <c r="F7084" s="80">
        <v>122.0</v>
      </c>
      <c r="G7084" s="80" t="s">
        <v>63</v>
      </c>
      <c r="I7084" s="80" t="s">
        <v>63</v>
      </c>
      <c r="J7084" s="80">
        <v>360.0</v>
      </c>
      <c r="K7084" s="80">
        <v>0.975609756097561</v>
      </c>
      <c r="L7084" s="80" t="s">
        <v>91</v>
      </c>
    </row>
    <row r="7085">
      <c r="A7085" s="80" t="s">
        <v>2829</v>
      </c>
      <c r="B7085" s="81" t="str">
        <f>HYPERLINK("https://www.youtube.com/channel/UC7GnES6AEQlDzaP04UqtyjA", "SOLID IDEA")</f>
        <v>SOLID IDEA</v>
      </c>
      <c r="C7085" s="80" t="s">
        <v>7631</v>
      </c>
      <c r="D7085" s="81" t="str">
        <f>HYPERLINK("https://youtube.com/watch?v=OvP4IPE0tuk", "【設計 • idea】 粉嶺．One Innovale｜280呎｜ 納米單位可以點變大間房？｜設計 • idea｜Solid Idea｜室內設計｜家居規劃｜星級設計｜［CC字幕］")</f>
        <v>【設計 • idea】 粉嶺．One Innovale｜280呎｜ 納米單位可以點變大間房？｜設計 • idea｜Solid Idea｜室內設計｜家居規劃｜星級設計｜［CC字幕］</v>
      </c>
      <c r="E7085" s="82">
        <v>45300.0</v>
      </c>
      <c r="F7085" s="80">
        <v>141.0</v>
      </c>
      <c r="G7085" s="80" t="s">
        <v>63</v>
      </c>
      <c r="I7085" s="80" t="s">
        <v>63</v>
      </c>
      <c r="J7085" s="80">
        <v>551.0</v>
      </c>
      <c r="K7085" s="80">
        <v>0.973498233215547</v>
      </c>
      <c r="L7085" s="80" t="s">
        <v>64</v>
      </c>
    </row>
    <row r="7086">
      <c r="A7086" s="80" t="s">
        <v>6892</v>
      </c>
      <c r="B7086" s="81" t="str">
        <f>HYPERLINK("https://www.youtube.com/channel/UC8_hxeY0nDCL-8ETbcGUZ9g", "PT食為先")</f>
        <v>PT食為先</v>
      </c>
      <c r="C7086" s="80" t="s">
        <v>7632</v>
      </c>
      <c r="D7086" s="81" t="str">
        <f>HYPERLINK("https://youtube.com/watch?v=GCZQOcWmpcQ", "[PT自費食評] 灣仔隱世餐廳：非一般星馬菜 JOM 🍽️ 必食辣椒蟹饅頭！聖誕限定龍躉煲！特色咖啡骨！")</f>
        <v>[PT自費食評] 灣仔隱世餐廳：非一般星馬菜 JOM 🍽️ 必食辣椒蟹饅頭！聖誕限定龍躉煲！特色咖啡骨！</v>
      </c>
      <c r="E7086" s="82">
        <v>45285.0</v>
      </c>
      <c r="F7086" s="80">
        <v>730.0</v>
      </c>
      <c r="G7086" s="80" t="s">
        <v>63</v>
      </c>
      <c r="I7086" s="80" t="s">
        <v>63</v>
      </c>
      <c r="J7086" s="80">
        <v>1841.0</v>
      </c>
      <c r="K7086" s="80">
        <v>0.94120654396728</v>
      </c>
      <c r="L7086" s="80" t="s">
        <v>64</v>
      </c>
    </row>
    <row r="7087">
      <c r="A7087" s="80" t="s">
        <v>217</v>
      </c>
      <c r="B7087" s="81" t="str">
        <f>HYPERLINK("https://www.youtube.com/channel/UCXKg0qPRz32bs5Z4mTGF3TQ", "Stormtrooper白兵")</f>
        <v>Stormtrooper白兵</v>
      </c>
      <c r="C7087" s="80" t="s">
        <v>7633</v>
      </c>
      <c r="D7087" s="81" t="str">
        <f>HYPERLINK("https://youtube.com/watch?v=ALd8QLRlj-c", "飯食唔食得？｜升糖指數係靠害？｜官方糖尿病飲食，只會越食越糖尿？｜糖尿病係幾百億經濟產業｜不是陰謀論｜中文字幕")</f>
        <v>飯食唔食得？｜升糖指數係靠害？｜官方糖尿病飲食，只會越食越糖尿？｜糖尿病係幾百億經濟產業｜不是陰謀論｜中文字幕</v>
      </c>
      <c r="E7087" s="82">
        <v>45295.0</v>
      </c>
      <c r="F7087" s="80">
        <v>1180.0</v>
      </c>
      <c r="G7087" s="80" t="s">
        <v>63</v>
      </c>
      <c r="I7087" s="80" t="s">
        <v>63</v>
      </c>
      <c r="J7087" s="80">
        <v>4325.0</v>
      </c>
      <c r="K7087" s="80">
        <v>0.950967458223394</v>
      </c>
      <c r="L7087" s="80" t="s">
        <v>64</v>
      </c>
    </row>
    <row r="7088">
      <c r="A7088" s="80" t="s">
        <v>7607</v>
      </c>
      <c r="B7088" s="81" t="str">
        <f>HYPERLINK("https://www.youtube.com/channel/UCpGm9u4iYIev-BCA7mbAt6Q", "TVBean")</f>
        <v>TVBean</v>
      </c>
      <c r="C7088" s="80" t="s">
        <v>7634</v>
      </c>
      <c r="D7088" s="81" t="str">
        <f>HYPERLINK("https://youtube.com/watch?v=upoeG-_o9UA", "突發‼️同山姆鬥過!! | 本地超市反擊 | 超過50款抵買 | 各式最新年貨必買推介 | TVBean")</f>
        <v>突發‼️同山姆鬥過!! | 本地超市反擊 | 超過50款抵買 | 各式最新年貨必買推介 | TVBean</v>
      </c>
      <c r="E7088" s="82">
        <v>45303.0</v>
      </c>
      <c r="F7088" s="80">
        <v>861.0</v>
      </c>
      <c r="G7088" s="80" t="s">
        <v>63</v>
      </c>
      <c r="I7088" s="80" t="s">
        <v>63</v>
      </c>
      <c r="J7088" s="80">
        <v>2461.0</v>
      </c>
      <c r="K7088" s="80">
        <v>0.968516332152695</v>
      </c>
      <c r="L7088" s="80" t="s">
        <v>91</v>
      </c>
    </row>
    <row r="7089">
      <c r="A7089" s="80" t="s">
        <v>6960</v>
      </c>
      <c r="B7089" s="81" t="str">
        <f>HYPERLINK("https://www.youtube.com/channel/UCQS2_zzisMq5C_FggxsQwTQ", "Comprehensible Cantonese")</f>
        <v>Comprehensible Cantonese</v>
      </c>
      <c r="C7089" s="80" t="s">
        <v>7635</v>
      </c>
      <c r="D7089" s="81" t="str">
        <f>HYPERLINK("https://youtube.com/watch?v=qepT0fzRvCU", "[CC] Cantonese Idiom (Lunar New Year Special) 年初四噉嘅樣| Comprehensible Input Cantonese| Intermediate")</f>
        <v>[CC] Cantonese Idiom (Lunar New Year Special) 年初四噉嘅樣| Comprehensible Input Cantonese| Intermediate</v>
      </c>
      <c r="E7089" s="82">
        <v>45338.0</v>
      </c>
      <c r="F7089" s="80">
        <v>429.0</v>
      </c>
      <c r="G7089" s="80" t="s">
        <v>63</v>
      </c>
      <c r="I7089" s="80" t="s">
        <v>63</v>
      </c>
      <c r="J7089" s="80">
        <v>1083.0</v>
      </c>
      <c r="K7089" s="80">
        <v>0.959255978742249</v>
      </c>
      <c r="L7089" s="80" t="s">
        <v>102</v>
      </c>
    </row>
    <row r="7090">
      <c r="A7090" s="80" t="s">
        <v>6817</v>
      </c>
      <c r="B7090" s="81" t="str">
        <f>HYPERLINK("https://www.youtube.com/channel/UCWo5nbifkKDRNyD2nF2KJ0Q", "陳柏宇 Jason Chan")</f>
        <v>陳柏宇 Jason Chan</v>
      </c>
      <c r="C7090" s="80" t="s">
        <v>7636</v>
      </c>
      <c r="D7090" s="81" t="str">
        <f>HYPERLINK("https://youtube.com/watch?v=11h-Ucr3c6M", "一人一個難忘奇遇之喺非洲比流量狗(?)攻擊｜行山撞到周潤發仲算唔算係奇遇？陳伯自認同發哥有好多相似嘅地方😂｜子宮痛以為絕症 結果醫生話係因為做太多運動？｜陳柏宇 Jason Chan（中文字幕）")</f>
        <v>一人一個難忘奇遇之喺非洲比流量狗(?)攻擊｜行山撞到周潤發仲算唔算係奇遇？陳伯自認同發哥有好多相似嘅地方😂｜子宮痛以為絕症 結果醫生話係因為做太多運動？｜陳柏宇 Jason Chan（中文字幕）</v>
      </c>
      <c r="E7090" s="82">
        <v>45294.0</v>
      </c>
      <c r="F7090" s="80">
        <v>640.0</v>
      </c>
      <c r="G7090" s="80" t="s">
        <v>63</v>
      </c>
      <c r="I7090" s="80" t="s">
        <v>63</v>
      </c>
      <c r="J7090" s="80">
        <v>2013.0</v>
      </c>
      <c r="K7090" s="80">
        <v>0.962237093690248</v>
      </c>
      <c r="L7090" s="80" t="s">
        <v>102</v>
      </c>
    </row>
    <row r="7091">
      <c r="A7091" s="80" t="s">
        <v>6711</v>
      </c>
      <c r="B7091" s="81" t="str">
        <f>HYPERLINK("https://www.youtube.com/channel/UCwAPo1PxfhC-CSSjsRtlY3A", "喜歡電影的人都有病 Movie Psychopath")</f>
        <v>喜歡電影的人都有病 Movie Psychopath</v>
      </c>
      <c r="C7091" s="80" t="s">
        <v>7637</v>
      </c>
      <c r="D7091" s="81" t="str">
        <f>HYPERLINK("https://youtube.com/watch?v=ILMWqlYuxgQ", "［2023愚蠢活動］絕命律師｜恐懼鬥室｜Better Call Saul｜SAW｜影01對談")</f>
        <v>［2023愚蠢活動］絕命律師｜恐懼鬥室｜Better Call Saul｜SAW｜影01對談</v>
      </c>
      <c r="E7091" s="82">
        <v>45305.0</v>
      </c>
      <c r="F7091" s="80">
        <v>2614.0</v>
      </c>
      <c r="G7091" s="80" t="s">
        <v>63</v>
      </c>
      <c r="I7091" s="80" t="s">
        <v>63</v>
      </c>
      <c r="J7091" s="80">
        <v>10320.0</v>
      </c>
      <c r="K7091" s="80">
        <v>0.916681470953988</v>
      </c>
      <c r="L7091" s="80" t="s">
        <v>64</v>
      </c>
    </row>
    <row r="7092">
      <c r="A7092" s="80" t="s">
        <v>242</v>
      </c>
      <c r="B7092" s="81" t="str">
        <f>HYPERLINK("https://www.youtube.com/channel/UCZGVB6g74LXWtkR3fX50ykg", "Edwin H.")</f>
        <v>Edwin H.</v>
      </c>
      <c r="C7092" s="80" t="s">
        <v>7638</v>
      </c>
      <c r="D7092" s="81" t="str">
        <f>HYPERLINK("https://youtube.com/watch?v=FoMORpPUQOc", "2024全年最大盛事！ CES 2024 終極懶人包 全集 Part1 🚀 2024 年度必睇科技新品")</f>
        <v>2024全年最大盛事！ CES 2024 終極懶人包 全集 Part1 🚀 2024 年度必睇科技新品</v>
      </c>
      <c r="E7092" s="82">
        <v>45303.0</v>
      </c>
      <c r="F7092" s="80">
        <v>1188.0</v>
      </c>
      <c r="G7092" s="80" t="s">
        <v>63</v>
      </c>
      <c r="I7092" s="80" t="s">
        <v>63</v>
      </c>
      <c r="J7092" s="80">
        <v>4928.0</v>
      </c>
      <c r="K7092" s="80">
        <v>0.831729957805907</v>
      </c>
      <c r="L7092" s="80" t="s">
        <v>64</v>
      </c>
    </row>
    <row r="7093">
      <c r="A7093" s="80" t="s">
        <v>7607</v>
      </c>
      <c r="B7093" s="81" t="str">
        <f>HYPERLINK("https://www.youtube.com/channel/UCpGm9u4iYIev-BCA7mbAt6Q", "TVBean")</f>
        <v>TVBean</v>
      </c>
      <c r="C7093" s="80" t="s">
        <v>7639</v>
      </c>
      <c r="D7093" s="81" t="str">
        <f>HYPERLINK("https://youtube.com/watch?v=iqxAoAk4HYs", "新品咖啡屈機☕️ | 勁有創意好taste👍🏻 | 雲湧咖啡 | 百利女神 | 奮鬥精神 | Coffee Tonic | 試食進行中 | 西九龍中心 | TVBean")</f>
        <v>新品咖啡屈機☕️ | 勁有創意好taste👍🏻 | 雲湧咖啡 | 百利女神 | 奮鬥精神 | Coffee Tonic | 試食進行中 | 西九龍中心 | TVBean</v>
      </c>
      <c r="E7093" s="82">
        <v>45289.0</v>
      </c>
      <c r="F7093" s="80">
        <v>179.0</v>
      </c>
      <c r="G7093" s="80" t="s">
        <v>63</v>
      </c>
      <c r="I7093" s="80" t="s">
        <v>63</v>
      </c>
      <c r="J7093" s="80">
        <v>651.0</v>
      </c>
      <c r="K7093" s="80">
        <v>0.861111111111111</v>
      </c>
      <c r="L7093" s="80" t="s">
        <v>91</v>
      </c>
    </row>
    <row r="7094">
      <c r="A7094" s="80" t="s">
        <v>748</v>
      </c>
      <c r="B7094" s="81" t="str">
        <f>HYPERLINK("https://www.youtube.com/channel/UC_ZT2UjRiNSy1I33LEiflJQ", "撒野作風 WILDSTYLE RECORDS")</f>
        <v>撒野作風 WILDSTYLE RECORDS</v>
      </c>
      <c r="C7094" s="80" t="s">
        <v>7640</v>
      </c>
      <c r="D7094" s="81" t="str">
        <f>HYPERLINK("https://youtube.com/watch?v=3CCML7njj9k", "Matt Force - "" BLOOD SWEAT TEARS AND GEARS "" (feat. YoungQueenz)  (Official Video)")</f>
        <v>Matt Force - " BLOOD SWEAT TEARS AND GEARS " (feat. YoungQueenz)  (Official Video)</v>
      </c>
      <c r="E7094" s="82">
        <v>45278.0</v>
      </c>
      <c r="F7094" s="80">
        <v>141.0</v>
      </c>
      <c r="G7094" s="80" t="s">
        <v>63</v>
      </c>
      <c r="I7094" s="80" t="s">
        <v>63</v>
      </c>
      <c r="J7094" s="80">
        <v>334.0</v>
      </c>
      <c r="K7094" s="80">
        <v>0.574870912220309</v>
      </c>
      <c r="L7094" s="80" t="s">
        <v>820</v>
      </c>
    </row>
    <row r="7095">
      <c r="A7095" s="80" t="s">
        <v>755</v>
      </c>
      <c r="B7095" s="81" t="str">
        <f>HYPERLINK("https://www.youtube.com/channel/UCBiJDTc82IM68KVH873VeAw", "Live in Kwangsi廣西人·情·味")</f>
        <v>Live in Kwangsi廣西人·情·味</v>
      </c>
      <c r="C7095" s="80" t="s">
        <v>7641</v>
      </c>
      <c r="D7095" s="81" t="str">
        <f>HYPERLINK("https://youtube.com/watch?v=kaXuSjw7A6s", "番禺市橋西坊大院，舊區變身文創園，行街好去處！｜廣東日常實拍20231125")</f>
        <v>番禺市橋西坊大院，舊區變身文創園，行街好去處！｜廣東日常實拍20231125</v>
      </c>
      <c r="E7095" s="82">
        <v>45278.0</v>
      </c>
      <c r="F7095" s="80">
        <v>262.0</v>
      </c>
      <c r="G7095" s="80" t="s">
        <v>63</v>
      </c>
      <c r="I7095" s="80" t="s">
        <v>63</v>
      </c>
      <c r="J7095" s="80">
        <v>623.0</v>
      </c>
      <c r="K7095" s="80">
        <v>1.0</v>
      </c>
      <c r="L7095" s="80" t="s">
        <v>757</v>
      </c>
    </row>
    <row r="7096">
      <c r="A7096" s="80" t="s">
        <v>2041</v>
      </c>
      <c r="B7096" s="81" t="str">
        <f>HYPERLINK("https://www.youtube.com/channel/UCO6pB-ZN4XJ6MVkibvuEe0A", "SingSingTracker 星昇財經指標")</f>
        <v>SingSingTracker 星昇財經指標</v>
      </c>
      <c r="C7096" s="80" t="s">
        <v>7642</v>
      </c>
      <c r="D7096" s="81" t="str">
        <f>HYPERLINK("https://youtube.com/watch?v=MbpNPQF9exs", "【呢一星期賺超過$1萬8HKD？】AI 女主持-小Sing🌸分享講解追蹤🔍未來股市動向📈]「窮忙族」恩物｜股票｜投資｜指標｜港股｜美股｜入市 13/12/2023 #aiart #寫真 #vtuber")</f>
        <v>【呢一星期賺超過$1萬8HKD？】AI 女主持-小Sing🌸分享講解追蹤🔍未來股市動向📈]「窮忙族」恩物｜股票｜投資｜指標｜港股｜美股｜入市 13/12/2023 #aiart #寫真 #vtuber</v>
      </c>
      <c r="E7096" s="82">
        <v>45273.0</v>
      </c>
      <c r="F7096" s="80">
        <v>212.0</v>
      </c>
      <c r="G7096" s="80" t="s">
        <v>63</v>
      </c>
      <c r="I7096" s="80" t="s">
        <v>63</v>
      </c>
      <c r="J7096" s="80">
        <v>746.0</v>
      </c>
      <c r="K7096" s="80">
        <v>0.980289093298291</v>
      </c>
      <c r="L7096" s="80" t="s">
        <v>64</v>
      </c>
    </row>
    <row r="7097">
      <c r="A7097" s="80" t="s">
        <v>7607</v>
      </c>
      <c r="B7097" s="81" t="str">
        <f>HYPERLINK("https://www.youtube.com/channel/UCpGm9u4iYIev-BCA7mbAt6Q", "TVBean")</f>
        <v>TVBean</v>
      </c>
      <c r="C7097" s="80" t="s">
        <v>7643</v>
      </c>
      <c r="D7097" s="81" t="str">
        <f>HYPERLINK("https://youtube.com/watch?v=nUaotacrq5I", "突發!! | 燒肉放題2024 買一送一 | 再減$100 | 澳洲M6和牛放題 | 廣島蠔 帆立貝 超大海蝦 Movenpick雪糕任食 | 試食進行中 | CC字幕 | TVBean")</f>
        <v>突發!! | 燒肉放題2024 買一送一 | 再減$100 | 澳洲M6和牛放題 | 廣島蠔 帆立貝 超大海蝦 Movenpick雪糕任食 | 試食進行中 | CC字幕 | TVBean</v>
      </c>
      <c r="E7097" s="82">
        <v>45325.0</v>
      </c>
      <c r="F7097" s="80">
        <v>786.0</v>
      </c>
      <c r="G7097" s="80" t="s">
        <v>63</v>
      </c>
      <c r="I7097" s="80" t="s">
        <v>63</v>
      </c>
      <c r="J7097" s="80">
        <v>2257.0</v>
      </c>
      <c r="K7097" s="80">
        <v>0.90606182256122</v>
      </c>
      <c r="L7097" s="80" t="s">
        <v>91</v>
      </c>
    </row>
    <row r="7098">
      <c r="A7098" s="80" t="s">
        <v>6169</v>
      </c>
      <c r="B7098" s="81" t="str">
        <f>HYPERLINK("https://www.youtube.com/channel/UC8UAj9wPCBdyd709kD0eEFQ", "P3NTATON1C MUSIC")</f>
        <v>P3NTATON1C MUSIC</v>
      </c>
      <c r="C7098" s="80" t="s">
        <v>7644</v>
      </c>
      <c r="D7098" s="81" t="str">
        <f>HYPERLINK("https://youtube.com/watch?v=e3p3yODF79U", "Z - 2. P3NTATON1C (Official Audio)")</f>
        <v>Z - 2. P3NTATON1C (Official Audio)</v>
      </c>
      <c r="E7098" s="82">
        <v>45292.0</v>
      </c>
      <c r="F7098" s="80">
        <v>148.0</v>
      </c>
      <c r="G7098" s="80" t="s">
        <v>63</v>
      </c>
      <c r="I7098" s="80" t="s">
        <v>63</v>
      </c>
      <c r="J7098" s="80">
        <v>87.0</v>
      </c>
      <c r="K7098" s="80">
        <v>0.151304347826086</v>
      </c>
      <c r="L7098" s="80" t="s">
        <v>64</v>
      </c>
    </row>
    <row r="7099">
      <c r="A7099" s="80" t="s">
        <v>217</v>
      </c>
      <c r="B7099" s="81" t="str">
        <f>HYPERLINK("https://www.youtube.com/channel/UCXKg0qPRz32bs5Z4mTGF3TQ", "Stormtrooper白兵")</f>
        <v>Stormtrooper白兵</v>
      </c>
      <c r="C7099" s="80" t="s">
        <v>7645</v>
      </c>
      <c r="D7099" s="81" t="str">
        <f>HYPERLINK("https://youtube.com/watch?v=CsblR9ztOTU", "大麻純天然又有益？比精神病藥功效更好，副作用更少｜禁大麻為保護煙草商？｜不是陰謀論｜中文字幕")</f>
        <v>大麻純天然又有益？比精神病藥功效更好，副作用更少｜禁大麻為保護煙草商？｜不是陰謀論｜中文字幕</v>
      </c>
      <c r="E7099" s="82">
        <v>45337.0</v>
      </c>
      <c r="F7099" s="80">
        <v>722.0</v>
      </c>
      <c r="G7099" s="80" t="s">
        <v>63</v>
      </c>
      <c r="I7099" s="80" t="s">
        <v>63</v>
      </c>
      <c r="J7099" s="80">
        <v>3016.0</v>
      </c>
      <c r="K7099" s="80">
        <v>0.929429892141756</v>
      </c>
      <c r="L7099" s="80" t="s">
        <v>64</v>
      </c>
    </row>
    <row r="7100">
      <c r="A7100" s="80" t="s">
        <v>6238</v>
      </c>
      <c r="B7100" s="81" t="str">
        <f>HYPERLINK("https://www.youtube.com/channel/UC_ogl0qjBdXrTiZZJ6ltsQQ", "Flat Out 地板油")</f>
        <v>Flat Out 地板油</v>
      </c>
      <c r="C7100" s="80" t="s">
        <v>7646</v>
      </c>
      <c r="D7100" s="81" t="str">
        <f>HYPERLINK("https://youtube.com/watch?v=CT4nZMDGRgY", "平玩末代披佬！Honda Prelude Type S五皮有交易？220匹VTEC機器+前後雙搖臂 轉彎爽到痺？|Flat Out Project Car #FlatOut #地板油")</f>
        <v>平玩末代披佬！Honda Prelude Type S五皮有交易？220匹VTEC機器+前後雙搖臂 轉彎爽到痺？|Flat Out Project Car #FlatOut #地板油</v>
      </c>
      <c r="E7100" s="82">
        <v>45324.0</v>
      </c>
      <c r="F7100" s="80">
        <v>1958.0</v>
      </c>
      <c r="G7100" s="80" t="s">
        <v>63</v>
      </c>
      <c r="I7100" s="80" t="s">
        <v>63</v>
      </c>
      <c r="J7100" s="80">
        <v>5427.0</v>
      </c>
      <c r="K7100" s="80">
        <v>0.741596064498496</v>
      </c>
      <c r="L7100" s="80" t="s">
        <v>64</v>
      </c>
    </row>
    <row r="7101">
      <c r="A7101" s="80" t="s">
        <v>755</v>
      </c>
      <c r="B7101" s="81" t="str">
        <f>HYPERLINK("https://www.youtube.com/channel/UCBiJDTc82IM68KVH873VeAw", "Live in Kwangsi廣西人·情·味")</f>
        <v>Live in Kwangsi廣西人·情·味</v>
      </c>
      <c r="C7101" s="80" t="s">
        <v>7647</v>
      </c>
      <c r="D7101" s="81" t="str">
        <f>HYPERLINK("https://youtube.com/watch?v=2p6hLaOtnSQ", "連南3日2夜之探索郊野 去咗：越秀廊橋、萬山朝王石漠公園、圓緣山、油嶺瑤寨、萬山朝王觀景台｜廣東日常實拍 20231202")</f>
        <v>連南3日2夜之探索郊野 去咗：越秀廊橋、萬山朝王石漠公園、圓緣山、油嶺瑤寨、萬山朝王觀景台｜廣東日常實拍 20231202</v>
      </c>
      <c r="E7101" s="82">
        <v>45267.0</v>
      </c>
      <c r="F7101" s="80">
        <v>1341.0</v>
      </c>
      <c r="G7101" s="80" t="s">
        <v>63</v>
      </c>
      <c r="I7101" s="80" t="s">
        <v>63</v>
      </c>
      <c r="J7101" s="80">
        <v>3362.0</v>
      </c>
      <c r="K7101" s="80">
        <v>0.990279823269514</v>
      </c>
      <c r="L7101" s="80" t="s">
        <v>757</v>
      </c>
    </row>
    <row r="7102">
      <c r="A7102" s="80" t="s">
        <v>140</v>
      </c>
      <c r="B7102" s="81" t="str">
        <f>HYPERLINK("https://www.youtube.com/channel/UCHK0CZf9HEXs42qIO1GUouA", "TechiCardia")</f>
        <v>TechiCardia</v>
      </c>
      <c r="C7102" s="80" t="s">
        <v>7648</v>
      </c>
      <c r="D7102" s="81" t="str">
        <f>HYPERLINK("https://youtube.com/watch?v=ZY5SsnBVCu4", "2024 必試無線電競滑鼠大集合！🖱️🎮試齊17隻頂級滑鼠🔥4000Hz 回報率全面進場！值唔值得用？全新人體工學、對稱滑鼠、舊款強勢升級！🆙 //4K【TechiCardia】［CC中文字幕］")</f>
        <v>2024 必試無線電競滑鼠大集合！🖱️🎮試齊17隻頂級滑鼠🔥4000Hz 回報率全面進場！值唔值得用？全新人體工學、對稱滑鼠、舊款強勢升級！🆙 //4K【TechiCardia】［CC中文字幕］</v>
      </c>
      <c r="E7102" s="82">
        <v>45305.0</v>
      </c>
      <c r="F7102" s="80">
        <v>1998.0</v>
      </c>
      <c r="G7102" s="80" t="s">
        <v>63</v>
      </c>
      <c r="I7102" s="80" t="s">
        <v>63</v>
      </c>
      <c r="J7102" s="80">
        <v>7811.0</v>
      </c>
      <c r="K7102" s="80">
        <v>0.690139600636154</v>
      </c>
      <c r="L7102" s="80" t="s">
        <v>102</v>
      </c>
    </row>
    <row r="7103">
      <c r="A7103" s="80" t="s">
        <v>755</v>
      </c>
      <c r="B7103" s="81" t="str">
        <f t="shared" ref="B7103:B7104" si="414">HYPERLINK("https://www.youtube.com/channel/UCBiJDTc82IM68KVH873VeAw", "Live in Kwangsi廣西人·情·味")</f>
        <v>Live in Kwangsi廣西人·情·味</v>
      </c>
      <c r="C7103" s="80" t="s">
        <v>7649</v>
      </c>
      <c r="D7103" s="81" t="str">
        <f>HYPERLINK("https://youtube.com/watch?v=okcgIi6flus", "冬遊梧州白雲山 觀賞新地標：西江明珠塔｜廣西美景 20231123")</f>
        <v>冬遊梧州白雲山 觀賞新地標：西江明珠塔｜廣西美景 20231123</v>
      </c>
      <c r="E7103" s="82">
        <v>45273.0</v>
      </c>
      <c r="F7103" s="80">
        <v>192.0</v>
      </c>
      <c r="G7103" s="80" t="s">
        <v>63</v>
      </c>
      <c r="I7103" s="80" t="s">
        <v>63</v>
      </c>
      <c r="J7103" s="80">
        <v>526.0</v>
      </c>
      <c r="K7103" s="80">
        <v>1.0</v>
      </c>
      <c r="L7103" s="80" t="s">
        <v>757</v>
      </c>
    </row>
    <row r="7104">
      <c r="A7104" s="80" t="s">
        <v>755</v>
      </c>
      <c r="B7104" s="81" t="str">
        <f t="shared" si="414"/>
        <v>Live in Kwangsi廣西人·情·味</v>
      </c>
      <c r="C7104" s="80" t="s">
        <v>7650</v>
      </c>
      <c r="D7104" s="81" t="str">
        <f>HYPERLINK("https://youtube.com/watch?v=O35o1L-XK2U", "連南3日2夜之行街市搵嘢食｜廣東日常實拍 20231202")</f>
        <v>連南3日2夜之行街市搵嘢食｜廣東日常實拍 20231202</v>
      </c>
      <c r="E7104" s="82">
        <v>45265.0</v>
      </c>
      <c r="F7104" s="80">
        <v>592.0</v>
      </c>
      <c r="G7104" s="80" t="s">
        <v>63</v>
      </c>
      <c r="I7104" s="80" t="s">
        <v>63</v>
      </c>
      <c r="J7104" s="80">
        <v>1151.0</v>
      </c>
      <c r="K7104" s="80">
        <v>0.992241379310344</v>
      </c>
      <c r="L7104" s="80" t="s">
        <v>757</v>
      </c>
    </row>
    <row r="7105">
      <c r="A7105" s="80" t="s">
        <v>2766</v>
      </c>
      <c r="B7105" s="81" t="str">
        <f>HYPERLINK("https://www.youtube.com/channel/UCrZG5sGryxwgSDQSlHgmZTw", "GadgetGang HK")</f>
        <v>GadgetGang HK</v>
      </c>
      <c r="C7105" s="80" t="s">
        <v>7651</v>
      </c>
      <c r="D7105" s="81" t="str">
        <f>HYPERLINK("https://youtube.com/watch?v=Ss_HjU2OXKQ", "科技新G｜新 iPad 3月發佈｜Google Pixel 9 外形流出｜Disney HoloTile VR地板｜ Palworld明抄Pokemon｜Apple Car 2028面世？")</f>
        <v>科技新G｜新 iPad 3月發佈｜Google Pixel 9 外形流出｜Disney HoloTile VR地板｜ Palworld明抄Pokemon｜Apple Car 2028面世？</v>
      </c>
      <c r="E7105" s="82">
        <v>45319.0</v>
      </c>
      <c r="F7105" s="80">
        <v>568.0</v>
      </c>
      <c r="G7105" s="80" t="s">
        <v>63</v>
      </c>
      <c r="I7105" s="80" t="s">
        <v>63</v>
      </c>
      <c r="J7105" s="80">
        <v>2150.0</v>
      </c>
      <c r="K7105" s="80">
        <v>0.770885622086769</v>
      </c>
      <c r="L7105" s="80" t="s">
        <v>64</v>
      </c>
    </row>
    <row r="7106">
      <c r="A7106" s="80" t="s">
        <v>6169</v>
      </c>
      <c r="B7106" s="81" t="str">
        <f>HYPERLINK("https://www.youtube.com/channel/UC8UAj9wPCBdyd709kD0eEFQ", "P3NTATON1C MUSIC")</f>
        <v>P3NTATON1C MUSIC</v>
      </c>
      <c r="C7106" s="80" t="s">
        <v>7652</v>
      </c>
      <c r="D7106" s="81" t="str">
        <f>HYPERLINK("https://youtube.com/watch?v=JADSfaliFgw", "Z - 12. NOTHING LAST (Official Audio)")</f>
        <v>Z - 12. NOTHING LAST (Official Audio)</v>
      </c>
      <c r="E7106" s="82">
        <v>45292.0</v>
      </c>
      <c r="F7106" s="80">
        <v>189.0</v>
      </c>
      <c r="G7106" s="80" t="s">
        <v>63</v>
      </c>
      <c r="I7106" s="80" t="s">
        <v>63</v>
      </c>
      <c r="J7106" s="80">
        <v>329.0</v>
      </c>
      <c r="K7106" s="80">
        <v>0.38569753810082</v>
      </c>
      <c r="L7106" s="80" t="s">
        <v>64</v>
      </c>
    </row>
    <row r="7107">
      <c r="A7107" s="80" t="s">
        <v>6054</v>
      </c>
      <c r="B7107" s="81" t="str">
        <f>HYPERLINK("https://www.youtube.com/channel/UCZc-RwRZUYVuwu3A9pVBISg", "ToNick")</f>
        <v>ToNick</v>
      </c>
      <c r="C7107" s="80" t="s">
        <v>7653</v>
      </c>
      <c r="D7107" s="81" t="str">
        <f>HYPERLINK("https://youtube.com/watch?v=BElXrcvJrWI", "ToNick - Let's Make The Stupid Famous (Official MV)")</f>
        <v>ToNick - Let's Make The Stupid Famous (Official MV)</v>
      </c>
      <c r="E7107" s="82">
        <v>45314.0</v>
      </c>
      <c r="F7107" s="80">
        <v>243.0</v>
      </c>
      <c r="G7107" s="80" t="s">
        <v>63</v>
      </c>
      <c r="I7107" s="80" t="s">
        <v>63</v>
      </c>
      <c r="J7107" s="80">
        <v>246.0</v>
      </c>
      <c r="K7107" s="80">
        <v>0.225274725274725</v>
      </c>
      <c r="L7107" s="80" t="s">
        <v>64</v>
      </c>
    </row>
    <row r="7108">
      <c r="A7108" s="80" t="s">
        <v>6892</v>
      </c>
      <c r="B7108" s="81" t="str">
        <f>HYPERLINK("https://www.youtube.com/channel/UC8_hxeY0nDCL-8ETbcGUZ9g", "PT食為先")</f>
        <v>PT食為先</v>
      </c>
      <c r="C7108" s="80" t="s">
        <v>7654</v>
      </c>
      <c r="D7108" s="81" t="str">
        <f>HYPERLINK("https://youtube.com/watch?v=3yTTyd1Hm8c", "[PT自費食評] #泰國菜 超抵食！蝦膏炒飯 醉貓炒河 $68有交易！冬蔭功 炸蝦餅 有質素！泰基隆")</f>
        <v>[PT自費食評] #泰國菜 超抵食！蝦膏炒飯 醉貓炒河 $68有交易！冬蔭功 炸蝦餅 有質素！泰基隆</v>
      </c>
      <c r="E7108" s="82">
        <v>45268.0</v>
      </c>
      <c r="F7108" s="80">
        <v>526.0</v>
      </c>
      <c r="G7108" s="80" t="s">
        <v>63</v>
      </c>
      <c r="I7108" s="80" t="s">
        <v>63</v>
      </c>
      <c r="J7108" s="80">
        <v>1218.0</v>
      </c>
      <c r="K7108" s="80">
        <v>0.961325966850828</v>
      </c>
      <c r="L7108" s="80" t="s">
        <v>64</v>
      </c>
    </row>
    <row r="7109">
      <c r="A7109" s="80" t="s">
        <v>2829</v>
      </c>
      <c r="B7109" s="81" t="str">
        <f>HYPERLINK("https://www.youtube.com/channel/UC7GnES6AEQlDzaP04UqtyjA", "SOLID IDEA")</f>
        <v>SOLID IDEA</v>
      </c>
      <c r="C7109" s="80" t="s">
        <v>7655</v>
      </c>
      <c r="D7109" s="81" t="str">
        <f>HYPERLINK("https://youtube.com/watch?v=Bm4ThG8KATE", "【設計 • idea】大埔．Silicon Hill｜661呎｜ 50年舊居變新居｜設計 • idea｜Solid Idea｜室內設計｜家居規劃｜星級設計｜［CC字幕］")</f>
        <v>【設計 • idea】大埔．Silicon Hill｜661呎｜ 50年舊居變新居｜設計 • idea｜Solid Idea｜室內設計｜家居規劃｜星級設計｜［CC字幕］</v>
      </c>
      <c r="E7109" s="82">
        <v>45286.0</v>
      </c>
      <c r="F7109" s="80">
        <v>156.0</v>
      </c>
      <c r="G7109" s="80" t="s">
        <v>63</v>
      </c>
      <c r="I7109" s="80" t="s">
        <v>63</v>
      </c>
      <c r="J7109" s="80">
        <v>574.0</v>
      </c>
      <c r="K7109" s="80">
        <v>0.92730210016155</v>
      </c>
      <c r="L7109" s="80" t="s">
        <v>64</v>
      </c>
    </row>
    <row r="7110">
      <c r="A7110" s="80" t="s">
        <v>3134</v>
      </c>
      <c r="B7110" s="81" t="str">
        <f>HYPERLINK("https://www.youtube.com/channel/UC_vZsUCJrwYrbIRPHacAS_Q", "Coco哥")</f>
        <v>Coco哥</v>
      </c>
      <c r="C7110" s="80" t="s">
        <v>7656</v>
      </c>
      <c r="D7110" s="81" t="str">
        <f>HYPERLINK("https://youtube.com/watch?v=ikBExs4q2UQ", "誰是「投資騙案」主腦？ 點解 香港 變「金融中心遺址」？")</f>
        <v>誰是「投資騙案」主腦？ 點解 香港 變「金融中心遺址」？</v>
      </c>
      <c r="E7110" s="82">
        <v>45267.0</v>
      </c>
      <c r="F7110" s="80">
        <v>1212.0</v>
      </c>
      <c r="G7110" s="80" t="s">
        <v>63</v>
      </c>
      <c r="I7110" s="80" t="s">
        <v>63</v>
      </c>
      <c r="J7110" s="80">
        <v>4253.0</v>
      </c>
      <c r="K7110" s="80">
        <v>0.894615061001262</v>
      </c>
      <c r="L7110" s="80" t="s">
        <v>2755</v>
      </c>
    </row>
    <row r="7111">
      <c r="A7111" s="80" t="s">
        <v>217</v>
      </c>
      <c r="B7111" s="81" t="str">
        <f>HYPERLINK("https://www.youtube.com/channel/UCXKg0qPRz32bs5Z4mTGF3TQ", "Stormtrooper白兵")</f>
        <v>Stormtrooper白兵</v>
      </c>
      <c r="C7111" s="80" t="s">
        <v>7657</v>
      </c>
      <c r="D7111" s="81" t="str">
        <f>HYPERLINK("https://youtube.com/watch?v=QY1efzg7IJY", "糖尿病＋情緒病真相｜如何被利用，成為揸乾老人剩餘價值的產業鏈！｜現今測糖尿方法不準確？｜不是陰謀論｜中文字幕")</f>
        <v>糖尿病＋情緒病真相｜如何被利用，成為揸乾老人剩餘價值的產業鏈！｜現今測糖尿方法不準確？｜不是陰謀論｜中文字幕</v>
      </c>
      <c r="E7111" s="82">
        <v>45288.0</v>
      </c>
      <c r="F7111" s="80">
        <v>729.0</v>
      </c>
      <c r="G7111" s="80" t="s">
        <v>63</v>
      </c>
      <c r="I7111" s="80" t="s">
        <v>63</v>
      </c>
      <c r="J7111" s="80">
        <v>2933.0</v>
      </c>
      <c r="K7111" s="80">
        <v>0.918859649122807</v>
      </c>
      <c r="L7111" s="80" t="s">
        <v>64</v>
      </c>
    </row>
    <row r="7112">
      <c r="A7112" s="80" t="s">
        <v>6892</v>
      </c>
      <c r="B7112" s="81" t="str">
        <f>HYPERLINK("https://www.youtube.com/channel/UC8_hxeY0nDCL-8ETbcGUZ9g", "PT食為先")</f>
        <v>PT食為先</v>
      </c>
      <c r="C7112" s="80" t="s">
        <v>7658</v>
      </c>
      <c r="D7112" s="81" t="str">
        <f>HYPERLINK("https://youtube.com/watch?v=cLA8yNmQ33k", "[PT自費食評] 酒店星級中菜館一樣有鑊氣！升級版魚香茄子／薑葱炒蟹🦀 豆酥炸蠔必食！")</f>
        <v>[PT自費食評] 酒店星級中菜館一樣有鑊氣！升級版魚香茄子／薑葱炒蟹🦀 豆酥炸蠔必食！</v>
      </c>
      <c r="E7112" s="82">
        <v>45263.0</v>
      </c>
      <c r="F7112" s="80">
        <v>969.0</v>
      </c>
      <c r="G7112" s="80" t="s">
        <v>63</v>
      </c>
      <c r="I7112" s="80" t="s">
        <v>63</v>
      </c>
      <c r="J7112" s="80">
        <v>2473.0</v>
      </c>
      <c r="K7112" s="80">
        <v>0.953353893600616</v>
      </c>
      <c r="L7112" s="80" t="s">
        <v>64</v>
      </c>
    </row>
    <row r="7113">
      <c r="A7113" s="80" t="s">
        <v>6960</v>
      </c>
      <c r="B7113" s="81" t="str">
        <f>HYPERLINK("https://www.youtube.com/channel/UCQS2_zzisMq5C_FggxsQwTQ", "Comprehensible Cantonese")</f>
        <v>Comprehensible Cantonese</v>
      </c>
      <c r="C7113" s="80" t="s">
        <v>7659</v>
      </c>
      <c r="D7113" s="81" t="str">
        <f>HYPERLINK("https://youtube.com/watch?v=6nB5crhnY0E", "[CC] 廣東話 Useful Cantonese with Candy (Ep. 3) | Slow and Clear Cantonese| Advanced Beginner Cantonese")</f>
        <v>[CC] 廣東話 Useful Cantonese with Candy (Ep. 3) | Slow and Clear Cantonese| Advanced Beginner Cantonese</v>
      </c>
      <c r="E7113" s="82">
        <v>45306.0</v>
      </c>
      <c r="F7113" s="80">
        <v>102.0</v>
      </c>
      <c r="G7113" s="80" t="s">
        <v>63</v>
      </c>
      <c r="I7113" s="80" t="s">
        <v>63</v>
      </c>
      <c r="J7113" s="80">
        <v>230.0</v>
      </c>
      <c r="K7113" s="80">
        <v>0.923694779116465</v>
      </c>
      <c r="L7113" s="80" t="s">
        <v>102</v>
      </c>
    </row>
    <row r="7114">
      <c r="A7114" s="80" t="s">
        <v>2041</v>
      </c>
      <c r="B7114" s="81" t="str">
        <f>HYPERLINK("https://www.youtube.com/channel/UCO6pB-ZN4XJ6MVkibvuEe0A", "SingSingTracker 星昇財經指標")</f>
        <v>SingSingTracker 星昇財經指標</v>
      </c>
      <c r="C7114" s="80" t="s">
        <v>7660</v>
      </c>
      <c r="D7114" s="81" t="str">
        <f>HYPERLINK("https://youtube.com/watch?v=lQ5vn8FSVsI", "港股抄底？【AI 女主持-小Sing🌸】黃金漲勢如破竹！ 外匯輕鬆易玩？「窮忙族」恩物｜股票｜投資｜指標｜港股｜美股｜入市 31/1/2024 #投資入門 #美股 #經濟")</f>
        <v>港股抄底？【AI 女主持-小Sing🌸】黃金漲勢如破竹！ 外匯輕鬆易玩？「窮忙族」恩物｜股票｜投資｜指標｜港股｜美股｜入市 31/1/2024 #投資入門 #美股 #經濟</v>
      </c>
      <c r="E7114" s="82">
        <v>45322.0</v>
      </c>
      <c r="F7114" s="80">
        <v>172.0</v>
      </c>
      <c r="G7114" s="80" t="s">
        <v>63</v>
      </c>
      <c r="I7114" s="80" t="s">
        <v>63</v>
      </c>
      <c r="J7114" s="80">
        <v>649.0</v>
      </c>
      <c r="K7114" s="80">
        <v>0.981845688350983</v>
      </c>
      <c r="L7114" s="80" t="s">
        <v>64</v>
      </c>
    </row>
    <row r="7115">
      <c r="A7115" s="80" t="s">
        <v>5301</v>
      </c>
      <c r="B7115" s="81" t="str">
        <f>HYPERLINK("https://www.youtube.com/channel/UCTH_IecfGTuKdew5dTb_D6A", "BOYS' CHOIR")</f>
        <v>BOYS' CHOIR</v>
      </c>
      <c r="C7115" s="80" t="s">
        <v>7661</v>
      </c>
      <c r="D7115" s="81" t="str">
        <f>HYPERLINK("https://youtube.com/watch?v=lbEwEwEgXss", "Stankè - 88keys (Audio)")</f>
        <v>Stankè - 88keys (Audio)</v>
      </c>
      <c r="E7115" s="82">
        <v>45284.0</v>
      </c>
      <c r="F7115" s="80">
        <v>211.0</v>
      </c>
      <c r="G7115" s="80" t="s">
        <v>63</v>
      </c>
      <c r="I7115" s="80" t="s">
        <v>63</v>
      </c>
      <c r="J7115" s="80">
        <v>524.0</v>
      </c>
      <c r="K7115" s="80">
        <v>0.278279341476367</v>
      </c>
      <c r="L7115" s="80" t="s">
        <v>64</v>
      </c>
    </row>
    <row r="7116">
      <c r="A7116" s="80" t="s">
        <v>7607</v>
      </c>
      <c r="B7116" s="81" t="str">
        <f>HYPERLINK("https://www.youtube.com/channel/UCpGm9u4iYIev-BCA7mbAt6Q", "TVBean")</f>
        <v>TVBean</v>
      </c>
      <c r="C7116" s="80" t="s">
        <v>7662</v>
      </c>
      <c r="D7116" s="81" t="str">
        <f>HYPERLINK("https://youtube.com/watch?v=CQPb0Bih9SI", "星期一特價燒肉 | 仲有野送寫個服 | 燒肉拼盤牛胸腹 豚五花 雞腿肉!!吃到飽~ | 加送豚腩肉五花100g | cc宇幕 |試食進行中 | TVBean")</f>
        <v>星期一特價燒肉 | 仲有野送寫個服 | 燒肉拼盤牛胸腹 豚五花 雞腿肉!!吃到飽~ | 加送豚腩肉五花100g | cc宇幕 |試食進行中 | TVBean</v>
      </c>
      <c r="E7116" s="82">
        <v>45280.0</v>
      </c>
      <c r="F7116" s="80">
        <v>493.0</v>
      </c>
      <c r="G7116" s="80" t="s">
        <v>63</v>
      </c>
      <c r="I7116" s="80" t="s">
        <v>63</v>
      </c>
      <c r="J7116" s="80">
        <v>1782.0</v>
      </c>
      <c r="K7116" s="80">
        <v>0.914784394250513</v>
      </c>
      <c r="L7116" s="80" t="s">
        <v>91</v>
      </c>
    </row>
    <row r="7117">
      <c r="A7117" s="80" t="s">
        <v>6892</v>
      </c>
      <c r="B7117" s="81" t="str">
        <f>HYPERLINK("https://www.youtube.com/channel/UC8_hxeY0nDCL-8ETbcGUZ9g", "PT食為先")</f>
        <v>PT食為先</v>
      </c>
      <c r="C7117" s="80" t="s">
        <v>7663</v>
      </c>
      <c r="D7117" s="81" t="str">
        <f>HYPERLINK("https://youtube.com/watch?v=SgxFH8WNlQA", "[PT自費食評] 全港最長4.5小時自助餐～生蠔源源不絕！主菜即叫即煮！")</f>
        <v>[PT自費食評] 全港最長4.5小時自助餐～生蠔源源不絕！主菜即叫即煮！</v>
      </c>
      <c r="E7117" s="82">
        <v>45304.0</v>
      </c>
      <c r="F7117" s="80">
        <v>946.0</v>
      </c>
      <c r="G7117" s="80" t="s">
        <v>63</v>
      </c>
      <c r="I7117" s="80" t="s">
        <v>63</v>
      </c>
      <c r="J7117" s="80">
        <v>2229.0</v>
      </c>
      <c r="K7117" s="80">
        <v>0.938131313131313</v>
      </c>
      <c r="L7117" s="80" t="s">
        <v>64</v>
      </c>
    </row>
    <row r="7118">
      <c r="A7118" s="80" t="s">
        <v>217</v>
      </c>
      <c r="B7118" s="81" t="str">
        <f>HYPERLINK("https://www.youtube.com/channel/UCXKg0qPRz32bs5Z4mTGF3TQ", "Stormtrooper白兵")</f>
        <v>Stormtrooper白兵</v>
      </c>
      <c r="C7118" s="80" t="s">
        <v>7664</v>
      </c>
      <c r="D7118" s="81" t="str">
        <f>HYPERLINK("https://youtube.com/watch?v=T296pakDBE8", "易潔鑊真相｜又致癌又陽痿？｜白兵初試煮野食？｜不是陰謀論｜中文字幕")</f>
        <v>易潔鑊真相｜又致癌又陽痿？｜白兵初試煮野食？｜不是陰謀論｜中文字幕</v>
      </c>
      <c r="E7118" s="82">
        <v>45316.0</v>
      </c>
      <c r="F7118" s="80">
        <v>1064.0</v>
      </c>
      <c r="G7118" s="80" t="s">
        <v>63</v>
      </c>
      <c r="I7118" s="80" t="s">
        <v>63</v>
      </c>
      <c r="J7118" s="80">
        <v>4233.0</v>
      </c>
      <c r="K7118" s="80">
        <v>0.95445321307779</v>
      </c>
      <c r="L7118" s="80" t="s">
        <v>64</v>
      </c>
    </row>
    <row r="7119">
      <c r="A7119" s="80" t="s">
        <v>6169</v>
      </c>
      <c r="B7119" s="81" t="str">
        <f>HYPERLINK("https://www.youtube.com/channel/UC8UAj9wPCBdyd709kD0eEFQ", "P3NTATON1C MUSIC")</f>
        <v>P3NTATON1C MUSIC</v>
      </c>
      <c r="C7119" s="80" t="s">
        <v>7665</v>
      </c>
      <c r="D7119" s="81" t="str">
        <f>HYPERLINK("https://youtube.com/watch?v=KJe67olL5QM", "Z - 6. GODDAMN (Official Audio)")</f>
        <v>Z - 6. GODDAMN (Official Audio)</v>
      </c>
      <c r="E7119" s="82">
        <v>45292.0</v>
      </c>
      <c r="F7119" s="80">
        <v>141.0</v>
      </c>
      <c r="G7119" s="80" t="s">
        <v>63</v>
      </c>
      <c r="I7119" s="80" t="s">
        <v>63</v>
      </c>
      <c r="J7119" s="80">
        <v>202.0</v>
      </c>
      <c r="K7119" s="80">
        <v>0.234338747099767</v>
      </c>
      <c r="L7119" s="80" t="s">
        <v>64</v>
      </c>
    </row>
    <row r="7120">
      <c r="A7120" s="80" t="s">
        <v>7532</v>
      </c>
      <c r="B7120" s="81" t="str">
        <f>HYPERLINK("https://www.youtube.com/channel/UC_gbnbd5F7wbkhz_DiB30BA", "Highway Recording")</f>
        <v>Highway Recording</v>
      </c>
      <c r="C7120" s="80" t="s">
        <v>7666</v>
      </c>
      <c r="D7120" s="81" t="str">
        <f>HYPERLINK("https://youtube.com/watch?v=nk7yj6Pt1u4", "【感情橋】聖誕特備節目 - 貓毛球抽貓大師的神喻卡 [廣東話]")</f>
        <v>【感情橋】聖誕特備節目 - 貓毛球抽貓大師的神喻卡 [廣東話]</v>
      </c>
      <c r="E7120" s="82">
        <v>45284.0</v>
      </c>
      <c r="F7120" s="80">
        <v>717.0</v>
      </c>
      <c r="G7120" s="80" t="s">
        <v>63</v>
      </c>
      <c r="I7120" s="80" t="s">
        <v>63</v>
      </c>
      <c r="J7120" s="80">
        <v>2748.0</v>
      </c>
      <c r="K7120" s="80">
        <v>0.983888292158968</v>
      </c>
      <c r="L7120" s="80" t="s">
        <v>64</v>
      </c>
    </row>
    <row r="7121">
      <c r="A7121" s="80" t="s">
        <v>2785</v>
      </c>
      <c r="B7121" s="81" t="str">
        <f>HYPERLINK("https://www.youtube.com/channel/UC_w7pV_Xz9XO0ChNFxMtV0w", "MPWeekly明周")</f>
        <v>MPWeekly明周</v>
      </c>
      <c r="C7121" s="80" t="s">
        <v>7667</v>
      </c>
      <c r="D7121" s="81" t="str">
        <f>HYPERLINK("https://youtube.com/watch?v=jg6KiBdTt24", "獎項增加知名度 陳蕾︰申請工作證都容易咗 ｜ 明周封面人物")</f>
        <v>獎項增加知名度 陳蕾︰申請工作證都容易咗 ｜ 明周封面人物</v>
      </c>
      <c r="E7121" s="82">
        <v>45297.0</v>
      </c>
      <c r="F7121" s="80">
        <v>169.0</v>
      </c>
      <c r="G7121" s="80" t="s">
        <v>63</v>
      </c>
      <c r="I7121" s="80" t="s">
        <v>63</v>
      </c>
      <c r="J7121" s="80">
        <v>469.0</v>
      </c>
      <c r="K7121" s="80">
        <v>0.991543340380549</v>
      </c>
      <c r="L7121" s="80" t="s">
        <v>64</v>
      </c>
    </row>
    <row r="7122">
      <c r="A7122" s="80" t="s">
        <v>217</v>
      </c>
      <c r="B7122" s="81" t="str">
        <f>HYPERLINK("https://www.youtube.com/channel/UCXKg0qPRz32bs5Z4mTGF3TQ", "Stormtrooper白兵")</f>
        <v>Stormtrooper白兵</v>
      </c>
      <c r="C7122" s="80" t="s">
        <v>7668</v>
      </c>
      <c r="D7122" s="81" t="str">
        <f>HYPERLINK("https://youtube.com/watch?v=d2qkU-m5Zak", "SAGAMI 特約：濕潤真相｜中西醫如何解釋分泌不足問題｜白兵親身示範……｜中文字幕")</f>
        <v>SAGAMI 特約：濕潤真相｜中西醫如何解釋分泌不足問題｜白兵親身示範……｜中文字幕</v>
      </c>
      <c r="E7122" s="82">
        <v>45279.0</v>
      </c>
      <c r="F7122" s="80">
        <v>689.0</v>
      </c>
      <c r="G7122" s="80" t="s">
        <v>63</v>
      </c>
      <c r="I7122" s="80" t="s">
        <v>63</v>
      </c>
      <c r="J7122" s="80">
        <v>2813.0</v>
      </c>
      <c r="K7122" s="80">
        <v>0.956477388643318</v>
      </c>
      <c r="L7122" s="80" t="s">
        <v>64</v>
      </c>
    </row>
    <row r="7123">
      <c r="A7123" s="80" t="s">
        <v>1183</v>
      </c>
      <c r="B7123" s="81" t="str">
        <f>HYPERLINK("https://www.youtube.com/channel/UCPBBbFYG51QpjuptQtYfCDA", "siuwaiboy")</f>
        <v>siuwaiboy</v>
      </c>
      <c r="C7123" s="80" t="s">
        <v>7669</v>
      </c>
      <c r="D7123" s="81" t="str">
        <f>HYPERLINK("https://youtube.com/watch?v=nbuR2piNCq0", "[直播精華] 傻9小為連拍拖係乜都唔知")</f>
        <v>[直播精華] 傻9小為連拍拖係乜都唔知</v>
      </c>
      <c r="E7123" s="82">
        <v>45289.0</v>
      </c>
      <c r="F7123" s="80">
        <v>111.0</v>
      </c>
      <c r="G7123" s="80" t="s">
        <v>63</v>
      </c>
      <c r="I7123" s="80" t="s">
        <v>63</v>
      </c>
      <c r="J7123" s="80">
        <v>469.0</v>
      </c>
      <c r="K7123" s="80">
        <v>0.989451476793249</v>
      </c>
      <c r="L7123" s="80" t="s">
        <v>64</v>
      </c>
    </row>
    <row r="7124">
      <c r="A7124" s="80" t="s">
        <v>6960</v>
      </c>
      <c r="B7124" s="81" t="str">
        <f>HYPERLINK("https://www.youtube.com/channel/UCQS2_zzisMq5C_FggxsQwTQ", "Comprehensible Cantonese")</f>
        <v>Comprehensible Cantonese</v>
      </c>
      <c r="C7124" s="80" t="s">
        <v>7670</v>
      </c>
      <c r="D7124" s="81" t="str">
        <f>HYPERLINK("https://youtube.com/watch?v=Ty5gwXhKKWI", "[CC] Useful Cantonese with Candy (Ep. 2) Guessing Game: Daily Use Item |  Advanced Beginner")</f>
        <v>[CC] Useful Cantonese with Candy (Ep. 2) Guessing Game: Daily Use Item |  Advanced Beginner</v>
      </c>
      <c r="E7124" s="82">
        <v>45293.0</v>
      </c>
      <c r="F7124" s="80">
        <v>70.0</v>
      </c>
      <c r="G7124" s="80" t="s">
        <v>63</v>
      </c>
      <c r="I7124" s="80" t="s">
        <v>63</v>
      </c>
      <c r="J7124" s="80">
        <v>156.0</v>
      </c>
      <c r="K7124" s="80">
        <v>0.923076923076923</v>
      </c>
      <c r="L7124" s="80" t="s">
        <v>102</v>
      </c>
    </row>
    <row r="7125">
      <c r="A7125" s="80" t="s">
        <v>1670</v>
      </c>
      <c r="B7125" s="81" t="str">
        <f>HYPERLINK("https://www.youtube.com/channel/UC-PIt5m-WOg8UVBkt2RnN0g", "阿JACK睇樓團")</f>
        <v>阿JACK睇樓團</v>
      </c>
      <c r="C7125" s="80" t="s">
        <v>7671</v>
      </c>
      <c r="D7125" s="81" t="str">
        <f>HYPERLINK("https://youtube.com/watch?v=pmfkchBsadc", "突發減價2成🤯丨睇現樓🔥丨土瓜灣510呎2房🥰丨城軒新盤推新優惠丨阿JACK睇樓團丨市區樓丨#4k #字幕 #買樓")</f>
        <v>突發減價2成🤯丨睇現樓🔥丨土瓜灣510呎2房🥰丨城軒新盤推新優惠丨阿JACK睇樓團丨市區樓丨#4k #字幕 #買樓</v>
      </c>
      <c r="E7125" s="82">
        <v>45330.0</v>
      </c>
      <c r="F7125" s="80">
        <v>1167.0</v>
      </c>
      <c r="G7125" s="80" t="s">
        <v>63</v>
      </c>
      <c r="I7125" s="80" t="s">
        <v>63</v>
      </c>
      <c r="J7125" s="80">
        <v>4234.0</v>
      </c>
      <c r="K7125" s="80">
        <v>0.989483524187894</v>
      </c>
      <c r="L7125" s="80" t="s">
        <v>7672</v>
      </c>
    </row>
    <row r="7126">
      <c r="A7126" s="80" t="s">
        <v>7607</v>
      </c>
      <c r="B7126" s="81" t="str">
        <f>HYPERLINK("https://www.youtube.com/channel/UCpGm9u4iYIev-BCA7mbAt6Q", "TVBean")</f>
        <v>TVBean</v>
      </c>
      <c r="C7126" s="80" t="s">
        <v>7673</v>
      </c>
      <c r="D7126" s="81" t="str">
        <f>HYPERLINK("https://youtube.com/watch?v=L0CV4Zx0kbQ", "突發!! | 山姆Costco產品 | 攻入香港市場 | 年貨賀年禮品 | 超過30款特價產品推介 | 本地消費 | 香港超市 | 必買推介 | CC字幕 | TVBean")</f>
        <v>突發!! | 山姆Costco產品 | 攻入香港市場 | 年貨賀年禮品 | 超過30款特價產品推介 | 本地消費 | 香港超市 | 必買推介 | CC字幕 | TVBean</v>
      </c>
      <c r="E7126" s="82">
        <v>45317.0</v>
      </c>
      <c r="F7126" s="80">
        <v>881.0</v>
      </c>
      <c r="G7126" s="80" t="s">
        <v>63</v>
      </c>
      <c r="I7126" s="80" t="s">
        <v>63</v>
      </c>
      <c r="J7126" s="80">
        <v>2581.0</v>
      </c>
      <c r="K7126" s="80">
        <v>0.959479553903345</v>
      </c>
      <c r="L7126" s="80" t="s">
        <v>91</v>
      </c>
    </row>
    <row r="7127">
      <c r="A7127" s="80" t="s">
        <v>5301</v>
      </c>
      <c r="B7127" s="81" t="str">
        <f>HYPERLINK("https://www.youtube.com/channel/UCTH_IecfGTuKdew5dTb_D6A", "BOYS' CHOIR")</f>
        <v>BOYS' CHOIR</v>
      </c>
      <c r="C7127" s="80" t="s">
        <v>7674</v>
      </c>
      <c r="D7127" s="81" t="str">
        <f>HYPERLINK("https://youtube.com/watch?v=7214ujk-sSk", "Stankè - Hanghigh Feat. Yung Raise (Audio)")</f>
        <v>Stankè - Hanghigh Feat. Yung Raise (Audio)</v>
      </c>
      <c r="E7127" s="82">
        <v>45284.0</v>
      </c>
      <c r="F7127" s="80">
        <v>206.0</v>
      </c>
      <c r="G7127" s="80" t="s">
        <v>63</v>
      </c>
      <c r="I7127" s="80" t="s">
        <v>63</v>
      </c>
      <c r="J7127" s="80">
        <v>340.0</v>
      </c>
      <c r="K7127" s="80">
        <v>0.194619347452776</v>
      </c>
      <c r="L7127" s="80" t="s">
        <v>64</v>
      </c>
    </row>
    <row r="7128">
      <c r="A7128" s="80" t="s">
        <v>6960</v>
      </c>
      <c r="B7128" s="81" t="str">
        <f>HYPERLINK("https://www.youtube.com/channel/UCQS2_zzisMq5C_FggxsQwTQ", "Comprehensible Cantonese")</f>
        <v>Comprehensible Cantonese</v>
      </c>
      <c r="C7128" s="80" t="s">
        <v>7675</v>
      </c>
      <c r="D7128" s="81" t="str">
        <f>HYPERLINK("https://youtube.com/watch?v=CnqO6pHPi6Y", "One of Most Common Mistakes That Cantonese Learners Make | Comprehensible Cantonese | Intermediate")</f>
        <v>One of Most Common Mistakes That Cantonese Learners Make | Comprehensible Cantonese | Intermediate</v>
      </c>
      <c r="E7128" s="82">
        <v>45265.0</v>
      </c>
      <c r="F7128" s="80">
        <v>158.0</v>
      </c>
      <c r="G7128" s="80" t="s">
        <v>63</v>
      </c>
      <c r="I7128" s="80" t="s">
        <v>63</v>
      </c>
      <c r="J7128" s="80">
        <v>582.0</v>
      </c>
      <c r="K7128" s="80">
        <v>0.981450252951096</v>
      </c>
      <c r="L7128" s="80" t="s">
        <v>102</v>
      </c>
    </row>
    <row r="7129">
      <c r="A7129" s="80" t="s">
        <v>2041</v>
      </c>
      <c r="B7129" s="81" t="str">
        <f>HYPERLINK("https://www.youtube.com/channel/UCO6pB-ZN4XJ6MVkibvuEe0A", "SingSingTracker 星昇財經指標")</f>
        <v>SingSingTracker 星昇財經指標</v>
      </c>
      <c r="C7129" s="80" t="s">
        <v>7676</v>
      </c>
      <c r="D7129" s="81" t="str">
        <f>HYPERLINK("https://youtube.com/watch?v=2VgrXj8H9Uw", "仲要搶平機票？！跟星昇啦~【AI 女主持-小Sing🌸】「窮忙族」恩物｜股票｜投資｜指標｜港股｜美股｜入市 10/1/2024 #投資入門 #美股 #經濟")</f>
        <v>仲要搶平機票？！跟星昇啦~【AI 女主持-小Sing🌸】「窮忙族」恩物｜股票｜投資｜指標｜港股｜美股｜入市 10/1/2024 #投資入門 #美股 #經濟</v>
      </c>
      <c r="E7129" s="82">
        <v>45301.0</v>
      </c>
      <c r="F7129" s="80">
        <v>158.0</v>
      </c>
      <c r="G7129" s="80" t="s">
        <v>63</v>
      </c>
      <c r="I7129" s="80" t="s">
        <v>63</v>
      </c>
      <c r="J7129" s="80">
        <v>714.0</v>
      </c>
      <c r="K7129" s="80">
        <v>0.987551867219917</v>
      </c>
      <c r="L7129" s="80" t="s">
        <v>91</v>
      </c>
    </row>
    <row r="7130">
      <c r="A7130" s="80" t="s">
        <v>6892</v>
      </c>
      <c r="B7130" s="81" t="str">
        <f>HYPERLINK("https://www.youtube.com/channel/UC8_hxeY0nDCL-8ETbcGUZ9g", "PT食為先")</f>
        <v>PT食為先</v>
      </c>
      <c r="C7130" s="80" t="s">
        <v>7677</v>
      </c>
      <c r="D7130" s="81" t="str">
        <f>HYPERLINK("https://youtube.com/watch?v=p6TSS3yHhLw", "龍年行大運🐲日本過新年必做！參觀福岡最受歡迎神社～市中心30分鐘到達🚃食明太子飯＋行九州國立博物館！")</f>
        <v>龍年行大運🐲日本過新年必做！參觀福岡最受歡迎神社～市中心30分鐘到達🚃食明太子飯＋行九州國立博物館！</v>
      </c>
      <c r="E7130" s="82">
        <v>45332.0</v>
      </c>
      <c r="F7130" s="80">
        <v>683.0</v>
      </c>
      <c r="G7130" s="80" t="s">
        <v>63</v>
      </c>
      <c r="I7130" s="80" t="s">
        <v>63</v>
      </c>
      <c r="J7130" s="80">
        <v>1886.0</v>
      </c>
      <c r="K7130" s="80">
        <v>0.958333333333333</v>
      </c>
      <c r="L7130" s="80" t="s">
        <v>64</v>
      </c>
    </row>
    <row r="7131">
      <c r="A7131" s="80" t="s">
        <v>1670</v>
      </c>
      <c r="B7131" s="81" t="str">
        <f>HYPERLINK("https://www.youtube.com/channel/UC-PIt5m-WOg8UVBkt2RnN0g", "阿JACK睇樓團")</f>
        <v>阿JACK睇樓團</v>
      </c>
      <c r="C7131" s="80" t="s">
        <v>7678</v>
      </c>
      <c r="D7131" s="81" t="str">
        <f>HYPERLINK("https://youtube.com/watch?v=hWKs437hWWc", "395萬買九龍城樓丨減三成奏效即走40間🔥🤯丨現樓示範新一房示範單位丨阿JACK睇樓團丨瓏碧丨")</f>
        <v>395萬買九龍城樓丨減三成奏效即走40間🔥🤯丨現樓示範新一房示範單位丨阿JACK睇樓團丨瓏碧丨</v>
      </c>
      <c r="E7131" s="82">
        <v>45337.0</v>
      </c>
      <c r="F7131" s="80">
        <v>1738.0</v>
      </c>
      <c r="G7131" s="80" t="s">
        <v>63</v>
      </c>
      <c r="I7131" s="80" t="s">
        <v>63</v>
      </c>
      <c r="J7131" s="80">
        <v>5975.0</v>
      </c>
      <c r="K7131" s="80">
        <v>0.982730263157894</v>
      </c>
      <c r="L7131" s="80" t="s">
        <v>64</v>
      </c>
    </row>
    <row r="7132">
      <c r="A7132" s="80" t="s">
        <v>5301</v>
      </c>
      <c r="B7132" s="81" t="str">
        <f>HYPERLINK("https://www.youtube.com/channel/UCTH_IecfGTuKdew5dTb_D6A", "BOYS' CHOIR")</f>
        <v>BOYS' CHOIR</v>
      </c>
      <c r="C7132" s="80" t="s">
        <v>7679</v>
      </c>
      <c r="D7132" s="81" t="str">
        <f>HYPERLINK("https://youtube.com/watch?v=eGzUO4vlC4k", "Stankè - Train (Audio)")</f>
        <v>Stankè - Train (Audio)</v>
      </c>
      <c r="E7132" s="82">
        <v>45284.0</v>
      </c>
      <c r="F7132" s="80">
        <v>171.0</v>
      </c>
      <c r="G7132" s="80" t="s">
        <v>63</v>
      </c>
      <c r="I7132" s="80" t="s">
        <v>63</v>
      </c>
      <c r="J7132" s="80">
        <v>377.0</v>
      </c>
      <c r="K7132" s="80">
        <v>0.508771929824561</v>
      </c>
      <c r="L7132" s="80" t="s">
        <v>64</v>
      </c>
    </row>
    <row r="7133">
      <c r="A7133" s="80" t="s">
        <v>124</v>
      </c>
      <c r="B7133" s="81" t="str">
        <f>HYPERLINK("https://www.youtube.com/channel/UCg0vuSE0fBF_NvodyYhMcWg", "Wallace Studio HK")</f>
        <v>Wallace Studio HK</v>
      </c>
      <c r="C7133" s="80" t="s">
        <v>7680</v>
      </c>
      <c r="D7133" s="81" t="str">
        <f>HYPERLINK("https://youtube.com/watch?v=31pHy9zGzrw", "Dell G15 &amp; G16 (2023) ，設計大升級！195W高效能入門電競手提電腦")</f>
        <v>Dell G15 &amp; G16 (2023) ，設計大升級！195W高效能入門電競手提電腦</v>
      </c>
      <c r="E7133" s="82">
        <v>45264.0</v>
      </c>
      <c r="F7133" s="80">
        <v>523.0</v>
      </c>
      <c r="G7133" s="80" t="s">
        <v>63</v>
      </c>
      <c r="I7133" s="80" t="s">
        <v>63</v>
      </c>
      <c r="J7133" s="80">
        <v>1721.0</v>
      </c>
      <c r="K7133" s="80">
        <v>0.679699842022116</v>
      </c>
      <c r="L7133" s="80" t="s">
        <v>64</v>
      </c>
    </row>
    <row r="7134">
      <c r="A7134" s="80" t="s">
        <v>6169</v>
      </c>
      <c r="B7134" s="81" t="str">
        <f>HYPERLINK("https://www.youtube.com/channel/UC8UAj9wPCBdyd709kD0eEFQ", "P3NTATON1C MUSIC")</f>
        <v>P3NTATON1C MUSIC</v>
      </c>
      <c r="C7134" s="80" t="s">
        <v>7681</v>
      </c>
      <c r="D7134" s="81" t="str">
        <f>HYPERLINK("https://youtube.com/watch?v=iW9GHRh_SiQ", "Z - 4. TBC (Official Audio)")</f>
        <v>Z - 4. TBC (Official Audio)</v>
      </c>
      <c r="E7134" s="82">
        <v>45292.0</v>
      </c>
      <c r="F7134" s="80">
        <v>129.0</v>
      </c>
      <c r="G7134" s="80" t="s">
        <v>63</v>
      </c>
      <c r="I7134" s="80" t="s">
        <v>63</v>
      </c>
      <c r="J7134" s="80">
        <v>263.0</v>
      </c>
      <c r="K7134" s="80">
        <v>0.425566343042071</v>
      </c>
      <c r="L7134" s="80" t="s">
        <v>64</v>
      </c>
    </row>
    <row r="7135">
      <c r="A7135" s="80" t="s">
        <v>1670</v>
      </c>
      <c r="B7135" s="81" t="str">
        <f>HYPERLINK("https://www.youtube.com/channel/UC-PIt5m-WOg8UVBkt2RnN0g", "阿JACK睇樓團")</f>
        <v>阿JACK睇樓團</v>
      </c>
      <c r="C7135" s="80" t="s">
        <v>7682</v>
      </c>
      <c r="D7135" s="81" t="str">
        <f>HYPERLINK("https://youtube.com/watch?v=9yRiE-aeWO0", "講笑咋？4500蚊呎！？丨2XX萬買元朗市中心334呎平台特色戶🤯丨同大家拜個年🙈身體健康🥰如意吉祥丨阿JACK睇樓團")</f>
        <v>講笑咋？4500蚊呎！？丨2XX萬買元朗市中心334呎平台特色戶🤯丨同大家拜個年🙈身體健康🥰如意吉祥丨阿JACK睇樓團</v>
      </c>
      <c r="E7135" s="82">
        <v>45333.0</v>
      </c>
      <c r="F7135" s="80">
        <v>511.0</v>
      </c>
      <c r="G7135" s="80" t="s">
        <v>63</v>
      </c>
      <c r="I7135" s="80" t="s">
        <v>63</v>
      </c>
      <c r="J7135" s="80">
        <v>1841.0</v>
      </c>
      <c r="K7135" s="80">
        <v>0.983965793693212</v>
      </c>
      <c r="L7135" s="80" t="s">
        <v>7683</v>
      </c>
    </row>
    <row r="7136">
      <c r="A7136" s="80" t="s">
        <v>3255</v>
      </c>
      <c r="B7136" s="81" t="str">
        <f>HYPERLINK("https://www.youtube.com/channel/UC-RAzAVCKwf_o0XUlmoWGuQ", "半職人妻 Halfwife")</f>
        <v>半職人妻 Halfwife</v>
      </c>
      <c r="C7136" s="80" t="s">
        <v>7684</v>
      </c>
      <c r="D7136" s="81" t="str">
        <f>HYPERLINK("https://youtube.com/watch?v=BpB-GPB6cxM", "珠海海泉灣海景私人溫泉♨️48小時自駕遊｜港車北上｜自然湯泉汗蒸新場｜白藤頭水產｜半職人妻")</f>
        <v>珠海海泉灣海景私人溫泉♨️48小時自駕遊｜港車北上｜自然湯泉汗蒸新場｜白藤頭水產｜半職人妻</v>
      </c>
      <c r="E7136" s="82">
        <v>45307.0</v>
      </c>
      <c r="F7136" s="80">
        <v>1055.0</v>
      </c>
      <c r="G7136" s="80" t="s">
        <v>63</v>
      </c>
      <c r="I7136" s="80" t="s">
        <v>63</v>
      </c>
      <c r="J7136" s="80">
        <v>3059.0</v>
      </c>
      <c r="K7136" s="80">
        <v>0.976380466007022</v>
      </c>
      <c r="L7136" s="80" t="s">
        <v>64</v>
      </c>
    </row>
    <row r="7137">
      <c r="A7137" s="80" t="s">
        <v>6817</v>
      </c>
      <c r="B7137" s="81" t="str">
        <f>HYPERLINK("https://www.youtube.com/channel/UCWo5nbifkKDRNyD2nF2KJ0Q", "陳柏宇 Jason Chan")</f>
        <v>陳柏宇 Jason Chan</v>
      </c>
      <c r="C7137" s="80" t="s">
        <v>7685</v>
      </c>
      <c r="D7137" s="81" t="str">
        <f>HYPERLINK("https://youtube.com/watch?v=eOoIl2j7604", "程人富大爆求婚細節 一下跪未婚妻即刻逃走？！ 陳柏宇讀觀眾投稿 竟聯想到AV情節😂｜情人節特輯 恐怖情人故事集｜衣櫃驚現血淋淋內臟 眼鏡男分手後瘋狂跟蹤3年｜陳柏宇 Jason Chan（中文字幕）")</f>
        <v>程人富大爆求婚細節 一下跪未婚妻即刻逃走？！ 陳柏宇讀觀眾投稿 竟聯想到AV情節😂｜情人節特輯 恐怖情人故事集｜衣櫃驚現血淋淋內臟 眼鏡男分手後瘋狂跟蹤3年｜陳柏宇 Jason Chan（中文字幕）</v>
      </c>
      <c r="E7137" s="82">
        <v>45336.0</v>
      </c>
      <c r="F7137" s="80">
        <v>835.0</v>
      </c>
      <c r="G7137" s="80" t="s">
        <v>63</v>
      </c>
      <c r="I7137" s="80" t="s">
        <v>63</v>
      </c>
      <c r="J7137" s="80">
        <v>3556.0</v>
      </c>
      <c r="K7137" s="80">
        <v>0.979884265637916</v>
      </c>
      <c r="L7137" s="80" t="s">
        <v>102</v>
      </c>
    </row>
    <row r="7138">
      <c r="A7138" s="80" t="s">
        <v>755</v>
      </c>
      <c r="B7138" s="81" t="str">
        <f>HYPERLINK("https://www.youtube.com/channel/UCBiJDTc82IM68KVH873VeAw", "Live in Kwangsi廣西人·情·味")</f>
        <v>Live in Kwangsi廣西人·情·味</v>
      </c>
      <c r="C7138" s="80" t="s">
        <v>7686</v>
      </c>
      <c r="D7138" s="81" t="str">
        <f>HYPERLINK("https://youtube.com/watch?v=OXmYK8scBMk", "廣州南沙之旅 領略廣州嘅海濱風光 去咗：南沙遊艇會、蒲洲花園｜廣東日常實拍 20231118")</f>
        <v>廣州南沙之旅 領略廣州嘅海濱風光 去咗：南沙遊艇會、蒲洲花園｜廣東日常實拍 20231118</v>
      </c>
      <c r="E7138" s="82">
        <v>45274.0</v>
      </c>
      <c r="F7138" s="80">
        <v>332.0</v>
      </c>
      <c r="G7138" s="80" t="s">
        <v>63</v>
      </c>
      <c r="I7138" s="80" t="s">
        <v>63</v>
      </c>
      <c r="J7138" s="80">
        <v>820.0</v>
      </c>
      <c r="K7138" s="80">
        <v>0.98676293622142</v>
      </c>
      <c r="L7138" s="80" t="s">
        <v>757</v>
      </c>
    </row>
    <row r="7139">
      <c r="A7139" s="80" t="s">
        <v>124</v>
      </c>
      <c r="B7139" s="81" t="str">
        <f>HYPERLINK("https://www.youtube.com/channel/UCg0vuSE0fBF_NvodyYhMcWg", "Wallace Studio HK")</f>
        <v>Wallace Studio HK</v>
      </c>
      <c r="C7139" s="80" t="s">
        <v>7687</v>
      </c>
      <c r="D7139" s="81" t="str">
        <f>HYPERLINK("https://youtube.com/watch?v=cIw7jPkszcc", "Galaxy Tab S9 FE 性價比極高，就係點都差一步")</f>
        <v>Galaxy Tab S9 FE 性價比極高，就係點都差一步</v>
      </c>
      <c r="E7139" s="82">
        <v>45269.0</v>
      </c>
      <c r="F7139" s="80">
        <v>560.0</v>
      </c>
      <c r="G7139" s="80" t="s">
        <v>63</v>
      </c>
      <c r="H7139" s="80" t="s">
        <v>63</v>
      </c>
      <c r="I7139" s="80" t="s">
        <v>63</v>
      </c>
      <c r="J7139" s="80">
        <v>2305.0</v>
      </c>
      <c r="K7139" s="80">
        <v>0.794279807029634</v>
      </c>
      <c r="L7139" s="80" t="s">
        <v>959</v>
      </c>
    </row>
    <row r="7140">
      <c r="A7140" s="80" t="s">
        <v>242</v>
      </c>
      <c r="B7140" s="81" t="str">
        <f>HYPERLINK("https://www.youtube.com/channel/UCZGVB6g74LXWtkR3fX50ykg", "Edwin H.")</f>
        <v>Edwin H.</v>
      </c>
      <c r="C7140" s="80" t="s">
        <v>7688</v>
      </c>
      <c r="D7140" s="81" t="str">
        <f>HYPERLINK("https://youtube.com/watch?v=jvcHmdsmHiI", "50蚊有交易！年終掃貨🎄 MacBook Air 加 Apple Watch ✨ 還有更多必買！Edwin買乜野 2023年最後一期")</f>
        <v>50蚊有交易！年終掃貨🎄 MacBook Air 加 Apple Watch ✨ 還有更多必買！Edwin買乜野 2023年最後一期</v>
      </c>
      <c r="E7140" s="82">
        <v>45268.0</v>
      </c>
      <c r="F7140" s="80">
        <v>1489.0</v>
      </c>
      <c r="G7140" s="80" t="s">
        <v>63</v>
      </c>
      <c r="I7140" s="80" t="s">
        <v>63</v>
      </c>
      <c r="J7140" s="80">
        <v>6256.0</v>
      </c>
      <c r="K7140" s="80">
        <v>0.793002915451895</v>
      </c>
      <c r="L7140" s="80" t="s">
        <v>64</v>
      </c>
    </row>
    <row r="7141">
      <c r="A7141" s="80" t="s">
        <v>1183</v>
      </c>
      <c r="B7141" s="81" t="str">
        <f>HYPERLINK("https://www.youtube.com/channel/UCPBBbFYG51QpjuptQtYfCDA", "siuwaiboy")</f>
        <v>siuwaiboy</v>
      </c>
      <c r="C7141" s="80" t="s">
        <v>7689</v>
      </c>
      <c r="D7141" s="81" t="str">
        <f>HYPERLINK("https://youtube.com/watch?v=Lp_wMS9i66w", "[直播精華] 小為大戰觀眾300回合之「筷子vs叉」")</f>
        <v>[直播精華] 小為大戰觀眾300回合之「筷子vs叉」</v>
      </c>
      <c r="E7141" s="82">
        <v>45287.0</v>
      </c>
      <c r="F7141" s="80">
        <v>522.0</v>
      </c>
      <c r="G7141" s="80" t="s">
        <v>63</v>
      </c>
      <c r="I7141" s="80" t="s">
        <v>63</v>
      </c>
      <c r="J7141" s="80">
        <v>2244.0</v>
      </c>
      <c r="K7141" s="80">
        <v>0.972691807542262</v>
      </c>
      <c r="L7141" s="80" t="s">
        <v>64</v>
      </c>
    </row>
    <row r="7142">
      <c r="A7142" s="80" t="s">
        <v>6960</v>
      </c>
      <c r="B7142" s="81" t="str">
        <f>HYPERLINK("https://www.youtube.com/channel/UCQS2_zzisMq5C_FggxsQwTQ", "Comprehensible Cantonese")</f>
        <v>Comprehensible Cantonese</v>
      </c>
      <c r="C7142" s="80" t="s">
        <v>7690</v>
      </c>
      <c r="D7142" s="81" t="str">
        <f>HYPERLINK("https://youtube.com/watch?v=-2qVBVVU-hs", "[CC] 廣東話 Cantonese Story: A Tall Man and A Short Woman (Part 1) | Slow Cantonese| Basic Beginner")</f>
        <v>[CC] 廣東話 Cantonese Story: A Tall Man and A Short Woman (Part 1) | Slow Cantonese| Basic Beginner</v>
      </c>
      <c r="E7142" s="82">
        <v>45313.0</v>
      </c>
      <c r="F7142" s="80">
        <v>388.0</v>
      </c>
      <c r="G7142" s="80" t="s">
        <v>63</v>
      </c>
      <c r="I7142" s="80" t="s">
        <v>63</v>
      </c>
      <c r="J7142" s="80">
        <v>303.0</v>
      </c>
      <c r="K7142" s="80">
        <v>0.664473684210526</v>
      </c>
      <c r="L7142" s="80" t="s">
        <v>102</v>
      </c>
    </row>
    <row r="7143">
      <c r="A7143" s="80" t="s">
        <v>2766</v>
      </c>
      <c r="B7143" s="81" t="str">
        <f>HYPERLINK("https://www.youtube.com/channel/UCrZG5sGryxwgSDQSlHgmZTw", "GadgetGang HK")</f>
        <v>GadgetGang HK</v>
      </c>
      <c r="C7143" s="80" t="s">
        <v>7691</v>
      </c>
      <c r="D7143" s="81" t="str">
        <f>HYPERLINK("https://youtube.com/watch?v=lZRu9LNL-6g", "科技新G｜ iPad Air 12.9吋 3月發佈｜Google最新AI Model Gemini｜阿聰實試蔡司 ClearView 鏡片眼鏡｜港牌ThinkThing出MagSafe版SSD配件")</f>
        <v>科技新G｜ iPad Air 12.9吋 3月發佈｜Google最新AI Model Gemini｜阿聰實試蔡司 ClearView 鏡片眼鏡｜港牌ThinkThing出MagSafe版SSD配件</v>
      </c>
      <c r="E7143" s="82">
        <v>45270.0</v>
      </c>
      <c r="F7143" s="80">
        <v>683.0</v>
      </c>
      <c r="G7143" s="80" t="s">
        <v>63</v>
      </c>
      <c r="I7143" s="80" t="s">
        <v>63</v>
      </c>
      <c r="J7143" s="80">
        <v>2550.0</v>
      </c>
      <c r="K7143" s="80">
        <v>0.733601841196778</v>
      </c>
      <c r="L7143" s="80" t="s">
        <v>64</v>
      </c>
    </row>
    <row r="7144">
      <c r="A7144" s="80" t="s">
        <v>6238</v>
      </c>
      <c r="B7144" s="81" t="str">
        <f>HYPERLINK("https://www.youtube.com/channel/UC_ogl0qjBdXrTiZZJ6ltsQQ", "Flat Out 地板油")</f>
        <v>Flat Out 地板油</v>
      </c>
      <c r="C7144" s="80" t="s">
        <v>7692</v>
      </c>
      <c r="D7144" s="81" t="str">
        <f>HYPERLINK("https://youtube.com/watch?v=82oqxoXt3XY", "⁠@HungKaho 駕到！洪嘉豪唔愛超跑最愛Honda Civic Type R FL5？「污糟兒」試坐Subaru BRZ心動嗎？| Flat Out TALK #FlatOut #地板油")</f>
        <v>⁠@HungKaho 駕到！洪嘉豪唔愛超跑最愛Honda Civic Type R FL5？「污糟兒」試坐Subaru BRZ心動嗎？| Flat Out TALK #FlatOut #地板油</v>
      </c>
      <c r="E7144" s="82">
        <v>45317.0</v>
      </c>
      <c r="F7144" s="80">
        <v>2599.0</v>
      </c>
      <c r="G7144" s="80" t="s">
        <v>63</v>
      </c>
      <c r="I7144" s="80" t="s">
        <v>63</v>
      </c>
      <c r="J7144" s="80">
        <v>7704.0</v>
      </c>
      <c r="K7144" s="80">
        <v>0.851176665561816</v>
      </c>
      <c r="L7144" s="80" t="s">
        <v>64</v>
      </c>
    </row>
    <row r="7145">
      <c r="A7145" s="80" t="s">
        <v>6892</v>
      </c>
      <c r="B7145" s="81" t="str">
        <f>HYPERLINK("https://www.youtube.com/channel/UC8_hxeY0nDCL-8ETbcGUZ9g", "PT食為先")</f>
        <v>PT食為先</v>
      </c>
      <c r="C7145" s="80" t="s">
        <v>7693</v>
      </c>
      <c r="D7145" s="81" t="str">
        <f>HYPERLINK("https://youtube.com/watch?v=u-qzRftIO8E", "#廟街夜繽紛 天氣轉冷 適宜燒肉＋火鍋！泰國人主理最地道泰國菜～仲有泰北口味生菜包！")</f>
        <v>#廟街夜繽紛 天氣轉冷 適宜燒肉＋火鍋！泰國人主理最地道泰國菜～仲有泰北口味生菜包！</v>
      </c>
      <c r="E7145" s="82">
        <v>45276.0</v>
      </c>
      <c r="F7145" s="80">
        <v>819.0</v>
      </c>
      <c r="G7145" s="80" t="s">
        <v>63</v>
      </c>
      <c r="I7145" s="80" t="s">
        <v>63</v>
      </c>
      <c r="J7145" s="80">
        <v>2080.0</v>
      </c>
      <c r="K7145" s="80">
        <v>0.951509606587374</v>
      </c>
      <c r="L7145" s="80" t="s">
        <v>64</v>
      </c>
    </row>
    <row r="7146">
      <c r="A7146" s="80" t="s">
        <v>2898</v>
      </c>
      <c r="B7146" s="81" t="str">
        <f>HYPERLINK("https://www.youtube.com/channel/UCy5bjMXbFPglSBNDXfivtOA", "消費者委員會")</f>
        <v>消費者委員會</v>
      </c>
      <c r="C7146" s="80" t="s">
        <v>7694</v>
      </c>
      <c r="D7146" s="81" t="str">
        <f>HYPERLINK("https://youtube.com/watch?v=F9SMSEsoc1M", "【18樓C座 X 即食麵 高脂高鈉！點食點揀好？】")</f>
        <v>【18樓C座 X 即食麵 高脂高鈉！點食點揀好？】</v>
      </c>
      <c r="E7146" s="82">
        <v>45337.0</v>
      </c>
      <c r="F7146" s="80">
        <v>211.0</v>
      </c>
      <c r="G7146" s="80" t="s">
        <v>63</v>
      </c>
      <c r="I7146" s="80" t="s">
        <v>63</v>
      </c>
      <c r="J7146" s="80">
        <v>630.0</v>
      </c>
      <c r="K7146" s="80">
        <v>0.936106983655274</v>
      </c>
      <c r="L7146" s="80" t="s">
        <v>102</v>
      </c>
    </row>
    <row r="7147">
      <c r="A7147" s="80" t="s">
        <v>6892</v>
      </c>
      <c r="B7147" s="81" t="str">
        <f>HYPERLINK("https://www.youtube.com/channel/UC8_hxeY0nDCL-8ETbcGUZ9g", "PT食為先")</f>
        <v>PT食為先</v>
      </c>
      <c r="C7147" s="80" t="s">
        <v>7695</v>
      </c>
      <c r="D7147" s="81" t="str">
        <f>HYPERLINK("https://youtube.com/watch?v=ZIYYtLA5fuo", "[PT自費食評] 樓底極高宴會廳食自助餐！龍蝦生蠔毋須排隊？人人話抵食係咪真？")</f>
        <v>[PT自費食評] 樓底極高宴會廳食自助餐！龍蝦生蠔毋須排隊？人人話抵食係咪真？</v>
      </c>
      <c r="E7147" s="82">
        <v>45283.0</v>
      </c>
      <c r="F7147" s="80">
        <v>1210.0</v>
      </c>
      <c r="G7147" s="80" t="s">
        <v>63</v>
      </c>
      <c r="I7147" s="80" t="s">
        <v>63</v>
      </c>
      <c r="J7147" s="80">
        <v>3024.0</v>
      </c>
      <c r="K7147" s="80">
        <v>0.960915157292659</v>
      </c>
      <c r="L7147" s="80" t="s">
        <v>64</v>
      </c>
    </row>
    <row r="7148">
      <c r="A7148" s="80" t="s">
        <v>755</v>
      </c>
      <c r="B7148" s="81" t="str">
        <f>HYPERLINK("https://www.youtube.com/channel/UCBiJDTc82IM68KVH873VeAw", "Live in Kwangsi廣西人·情·味")</f>
        <v>Live in Kwangsi廣西人·情·味</v>
      </c>
      <c r="C7148" s="80" t="s">
        <v>7696</v>
      </c>
      <c r="D7148" s="81" t="str">
        <f>HYPERLINK("https://youtube.com/watch?v=GtaSPCPDY1g", "冬遊賀州市灤水村 一個色彩斑斕嘅水庫漁村｜廣西美景 20231120")</f>
        <v>冬遊賀州市灤水村 一個色彩斑斕嘅水庫漁村｜廣西美景 20231120</v>
      </c>
      <c r="E7148" s="82">
        <v>45259.0</v>
      </c>
      <c r="F7148" s="80">
        <v>332.0</v>
      </c>
      <c r="G7148" s="80" t="s">
        <v>63</v>
      </c>
      <c r="I7148" s="80" t="s">
        <v>63</v>
      </c>
      <c r="J7148" s="80">
        <v>755.0</v>
      </c>
      <c r="K7148" s="80">
        <v>0.997357992073976</v>
      </c>
      <c r="L7148" s="80" t="s">
        <v>757</v>
      </c>
    </row>
    <row r="7149">
      <c r="A7149" s="80" t="s">
        <v>1183</v>
      </c>
      <c r="B7149" s="81" t="str">
        <f t="shared" ref="B7149:B7150" si="415">HYPERLINK("https://www.youtube.com/channel/UCPBBbFYG51QpjuptQtYfCDA", "siuwaiboy")</f>
        <v>siuwaiboy</v>
      </c>
      <c r="C7149" s="80" t="s">
        <v>7697</v>
      </c>
      <c r="D7149" s="81" t="str">
        <f>HYPERLINK("https://youtube.com/watch?v=RNSsJVefFjw", "[直播精華] 貪婪為破天荒在自己頻道售賣產品：極地戰衣")</f>
        <v>[直播精華] 貪婪為破天荒在自己頻道售賣產品：極地戰衣</v>
      </c>
      <c r="E7149" s="82">
        <v>45297.0</v>
      </c>
      <c r="F7149" s="80">
        <v>51.0</v>
      </c>
      <c r="G7149" s="80" t="s">
        <v>63</v>
      </c>
      <c r="I7149" s="80" t="s">
        <v>63</v>
      </c>
      <c r="J7149" s="80">
        <v>257.0</v>
      </c>
      <c r="K7149" s="80">
        <v>0.984674329501915</v>
      </c>
      <c r="L7149" s="80" t="s">
        <v>64</v>
      </c>
    </row>
    <row r="7150">
      <c r="A7150" s="80" t="s">
        <v>1183</v>
      </c>
      <c r="B7150" s="81" t="str">
        <f t="shared" si="415"/>
        <v>siuwaiboy</v>
      </c>
      <c r="C7150" s="80" t="s">
        <v>7698</v>
      </c>
      <c r="D7150" s="81" t="str">
        <f>HYPERLINK("https://youtube.com/watch?v=4hadhK8IuCs", "低俗為含蕉ASMR")</f>
        <v>低俗為含蕉ASMR</v>
      </c>
      <c r="E7150" s="82">
        <v>45315.0</v>
      </c>
      <c r="F7150" s="80">
        <v>68.0</v>
      </c>
      <c r="G7150" s="80" t="s">
        <v>63</v>
      </c>
      <c r="I7150" s="80" t="s">
        <v>63</v>
      </c>
      <c r="J7150" s="80">
        <v>104.0</v>
      </c>
      <c r="K7150" s="80">
        <v>0.37410071942446</v>
      </c>
      <c r="L7150" s="80" t="s">
        <v>64</v>
      </c>
    </row>
    <row r="7151">
      <c r="A7151" s="80" t="s">
        <v>260</v>
      </c>
      <c r="B7151" s="81" t="str">
        <f>HYPERLINK("https://www.youtube.com/channel/UC-HXOikkLx7BGEfILGIpYOg", "港短 . 英移")</f>
        <v>港短 . 英移</v>
      </c>
      <c r="C7151" s="80" t="s">
        <v>7699</v>
      </c>
      <c r="D7151" s="81" t="str">
        <f>HYPERLINK("https://youtube.com/watch?v=pR2OQoCyL3Y", "一個故事 輕鬆學識10條Life in UK Test題目 「英國入籍試模擬試題廣東話解說第3集」 | 港短英移")</f>
        <v>一個故事 輕鬆學識10條Life in UK Test題目 「英國入籍試模擬試題廣東話解說第3集」 | 港短英移</v>
      </c>
      <c r="E7151" s="82">
        <v>45337.0</v>
      </c>
      <c r="F7151" s="80">
        <v>489.0</v>
      </c>
      <c r="G7151" s="80" t="s">
        <v>63</v>
      </c>
      <c r="I7151" s="80" t="s">
        <v>63</v>
      </c>
      <c r="J7151" s="80">
        <v>1932.0</v>
      </c>
      <c r="K7151" s="80">
        <v>0.919124643196955</v>
      </c>
      <c r="L7151" s="80" t="s">
        <v>102</v>
      </c>
    </row>
    <row r="7152">
      <c r="A7152" s="80" t="s">
        <v>3139</v>
      </c>
      <c r="B7152" s="81" t="str">
        <f>HYPERLINK("https://www.youtube.com/channel/UCThO2xnH7XMg6plE8OgJm_w", "choyuen草原")</f>
        <v>choyuen草原</v>
      </c>
      <c r="C7152" s="80" t="s">
        <v>7700</v>
      </c>
      <c r="D7152" s="81" t="str">
        <f>HYPERLINK("https://youtube.com/watch?v=LOeNApxctn0", "你隻外星人假到痹, 不如探下隔籬UFO 「聖」地  Lake Titicaca: REAL Chariots of Gods")</f>
        <v>你隻外星人假到痹, 不如探下隔籬UFO 「聖」地  Lake Titicaca: REAL Chariots of Gods</v>
      </c>
      <c r="E7152" s="82">
        <v>45260.0</v>
      </c>
      <c r="F7152" s="80">
        <v>547.0</v>
      </c>
      <c r="G7152" s="80" t="s">
        <v>63</v>
      </c>
      <c r="I7152" s="80" t="s">
        <v>63</v>
      </c>
      <c r="J7152" s="80">
        <v>1486.0</v>
      </c>
      <c r="K7152" s="80">
        <v>0.883997620464009</v>
      </c>
      <c r="L7152" s="80" t="s">
        <v>64</v>
      </c>
    </row>
    <row r="7153">
      <c r="A7153" s="80" t="s">
        <v>127</v>
      </c>
      <c r="B7153" s="81" t="str">
        <f>HYPERLINK("https://www.youtube.com/channel/UC97oYK3XMf9RLtkc0lO8C-Q", "健康旦 HiEggo")</f>
        <v>健康旦 HiEggo</v>
      </c>
      <c r="C7153" s="80" t="s">
        <v>7701</v>
      </c>
      <c r="D7153" s="81" t="str">
        <f>HYPERLINK("https://youtube.com/watch?v=pBRdJllvvgw", "歌神X香港兒童合唱團 歡樂歌聲穿透人心 鄭丹瑞《健康旦》歌神 #許冠傑 #香港兒童合唱團 (CC中文字幕)")</f>
        <v>歌神X香港兒童合唱團 歡樂歌聲穿透人心 鄭丹瑞《健康旦》歌神 #許冠傑 #香港兒童合唱團 (CC中文字幕)</v>
      </c>
      <c r="E7153" s="82">
        <v>45310.0</v>
      </c>
      <c r="F7153" s="80">
        <v>417.0</v>
      </c>
      <c r="G7153" s="80" t="s">
        <v>63</v>
      </c>
      <c r="I7153" s="80" t="s">
        <v>63</v>
      </c>
      <c r="J7153" s="80">
        <v>612.0</v>
      </c>
      <c r="K7153" s="80">
        <v>0.987096774193548</v>
      </c>
      <c r="L7153" s="80" t="s">
        <v>64</v>
      </c>
    </row>
    <row r="7154">
      <c r="A7154" s="80" t="s">
        <v>6960</v>
      </c>
      <c r="B7154" s="81" t="str">
        <f>HYPERLINK("https://www.youtube.com/channel/UCQS2_zzisMq5C_FggxsQwTQ", "Comprehensible Cantonese")</f>
        <v>Comprehensible Cantonese</v>
      </c>
      <c r="C7154" s="80" t="s">
        <v>7702</v>
      </c>
      <c r="D7154" s="81" t="str">
        <f>HYPERLINK("https://youtube.com/watch?v=fCQQqtvhTrM", "農曆新年 Lunar New Year Special | Chinese Culture| Comprehensible Input Cantonese| Intermediate 中級 廣東話")</f>
        <v>農曆新年 Lunar New Year Special | Chinese Culture| Comprehensible Input Cantonese| Intermediate 中級 廣東話</v>
      </c>
      <c r="E7154" s="82">
        <v>45331.0</v>
      </c>
      <c r="F7154" s="80">
        <v>333.0</v>
      </c>
      <c r="G7154" s="80" t="s">
        <v>63</v>
      </c>
      <c r="I7154" s="80" t="s">
        <v>63</v>
      </c>
      <c r="J7154" s="80">
        <v>916.0</v>
      </c>
      <c r="K7154" s="80">
        <v>0.902463054187192</v>
      </c>
      <c r="L7154" s="80" t="s">
        <v>102</v>
      </c>
    </row>
    <row r="7155">
      <c r="A7155" s="80" t="s">
        <v>6238</v>
      </c>
      <c r="B7155" s="81" t="str">
        <f>HYPERLINK("https://www.youtube.com/channel/UC_ogl0qjBdXrTiZZJ6ltsQQ", "Flat Out 地板油")</f>
        <v>Flat Out 地板油</v>
      </c>
      <c r="C7155" s="80" t="s">
        <v>7703</v>
      </c>
      <c r="D7155" s="81" t="str">
        <f>HYPERLINK("https://youtube.com/watch?v=XxTJsDIr32M", "三萬蚊平玩辣椒仔！Suzuki Swift Sport 新手女司機操棍神器！ZC31S vs ZC32S 邊代鈴木辣椒最抵玩？| Flat Out Review #FlatOut試車 #地板油")</f>
        <v>三萬蚊平玩辣椒仔！Suzuki Swift Sport 新手女司機操棍神器！ZC31S vs ZC32S 邊代鈴木辣椒最抵玩？| Flat Out Review #FlatOut試車 #地板油</v>
      </c>
      <c r="E7155" s="82">
        <v>45331.0</v>
      </c>
      <c r="F7155" s="80">
        <v>1987.0</v>
      </c>
      <c r="G7155" s="80" t="s">
        <v>63</v>
      </c>
      <c r="I7155" s="80" t="s">
        <v>63</v>
      </c>
      <c r="J7155" s="80">
        <v>5730.0</v>
      </c>
      <c r="K7155" s="80">
        <v>0.807269653423499</v>
      </c>
      <c r="L7155" s="80" t="s">
        <v>64</v>
      </c>
    </row>
    <row r="7156">
      <c r="A7156" s="80" t="s">
        <v>3134</v>
      </c>
      <c r="B7156" s="81" t="str">
        <f>HYPERLINK("https://www.youtube.com/channel/UC_vZsUCJrwYrbIRPHacAS_Q", "Coco哥")</f>
        <v>Coco哥</v>
      </c>
      <c r="C7156" s="80" t="s">
        <v>7704</v>
      </c>
      <c r="D7156" s="81" t="str">
        <f>HYPERLINK("https://youtube.com/watch?v=n4Ne1_TZRk8", "香港 跌夠未？恒指26年低位 地產大跌21% 🇭🇰「 金融廢墟」2024年 最後逃生門❗️")</f>
        <v>香港 跌夠未？恒指26年低位 地產大跌21% 🇭🇰「 金融廢墟」2024年 最後逃生門❗️</v>
      </c>
      <c r="E7156" s="82">
        <v>45270.0</v>
      </c>
      <c r="F7156" s="80">
        <v>1443.0</v>
      </c>
      <c r="G7156" s="80" t="s">
        <v>63</v>
      </c>
      <c r="I7156" s="80" t="s">
        <v>63</v>
      </c>
      <c r="J7156" s="80">
        <v>4745.0</v>
      </c>
      <c r="K7156" s="80">
        <v>0.923690870157679</v>
      </c>
      <c r="L7156" s="80" t="s">
        <v>2755</v>
      </c>
    </row>
    <row r="7157">
      <c r="A7157" s="80" t="s">
        <v>2041</v>
      </c>
      <c r="B7157" s="81" t="str">
        <f>HYPERLINK("https://www.youtube.com/channel/UCO6pB-ZN4XJ6MVkibvuEe0A", "SingSingTracker 星昇財經指標")</f>
        <v>SingSingTracker 星昇財經指標</v>
      </c>
      <c r="C7157" s="80" t="s">
        <v>7705</v>
      </c>
      <c r="D7157" s="81" t="str">
        <f>HYPERLINK("https://youtube.com/watch?v=1th0LIyXbls", "心水股票分享？【AI 女主持-小Sing🌸】黃金漲勢如破竹！ 外匯輕鬆易玩？「窮忙族」恩物｜股票｜投資｜指標｜港股｜美股｜入市 4/1/2024 #投資入門 #美股 #經濟")</f>
        <v>心水股票分享？【AI 女主持-小Sing🌸】黃金漲勢如破竹！ 外匯輕鬆易玩？「窮忙族」恩物｜股票｜投資｜指標｜港股｜美股｜入市 4/1/2024 #投資入門 #美股 #經濟</v>
      </c>
      <c r="E7157" s="82">
        <v>45295.0</v>
      </c>
      <c r="F7157" s="80">
        <v>145.0</v>
      </c>
      <c r="G7157" s="80" t="s">
        <v>63</v>
      </c>
      <c r="I7157" s="80" t="s">
        <v>63</v>
      </c>
      <c r="J7157" s="80">
        <v>643.0</v>
      </c>
      <c r="K7157" s="80">
        <v>0.983180428134556</v>
      </c>
      <c r="L7157" s="80" t="s">
        <v>64</v>
      </c>
    </row>
    <row r="7158">
      <c r="A7158" s="80" t="s">
        <v>6960</v>
      </c>
      <c r="B7158" s="81" t="str">
        <f>HYPERLINK("https://www.youtube.com/channel/UCQS2_zzisMq5C_FggxsQwTQ", "Comprehensible Cantonese")</f>
        <v>Comprehensible Cantonese</v>
      </c>
      <c r="C7158" s="80" t="s">
        <v>7706</v>
      </c>
      <c r="D7158" s="81" t="str">
        <f>HYPERLINK("https://youtube.com/watch?v=rJ0RFy2oeG8", "廣東話 Real Story: A Talented Aussie Guy👨🎨👩💢 |  Comprehensible Input Cantonese | Advanced Beginner")</f>
        <v>廣東話 Real Story: A Talented Aussie Guy👨🎨👩💢 |  Comprehensible Input Cantonese | Advanced Beginner</v>
      </c>
      <c r="E7158" s="82">
        <v>45324.0</v>
      </c>
      <c r="F7158" s="80">
        <v>588.0</v>
      </c>
      <c r="G7158" s="80" t="s">
        <v>63</v>
      </c>
      <c r="I7158" s="80" t="s">
        <v>63</v>
      </c>
      <c r="J7158" s="80">
        <v>1361.0</v>
      </c>
      <c r="K7158" s="80">
        <v>0.949093444909344</v>
      </c>
      <c r="L7158" s="80" t="s">
        <v>102</v>
      </c>
    </row>
    <row r="7159">
      <c r="A7159" s="80" t="s">
        <v>7607</v>
      </c>
      <c r="B7159" s="81" t="str">
        <f>HYPERLINK("https://www.youtube.com/channel/UCpGm9u4iYIev-BCA7mbAt6Q", "TVBean")</f>
        <v>TVBean</v>
      </c>
      <c r="C7159" s="80" t="s">
        <v>7707</v>
      </c>
      <c r="D7159" s="81" t="str">
        <f>HYPERLINK("https://youtube.com/watch?v=iD_sVgiNwW4", "聖誕送什麼? 這裏有很多! | 迷你唱K神器 | 花花bear bear熊 | 九尾孤水晶雕刻 | 聖誕手作工作室 |  最新高科技 | 必買推介 | #西九龍中心 | TVBean")</f>
        <v>聖誕送什麼? 這裏有很多! | 迷你唱K神器 | 花花bear bear熊 | 九尾孤水晶雕刻 | 聖誕手作工作室 |  最新高科技 | 必買推介 | #西九龍中心 | TVBean</v>
      </c>
      <c r="E7159" s="82">
        <v>45267.0</v>
      </c>
      <c r="F7159" s="80">
        <v>152.0</v>
      </c>
      <c r="G7159" s="80" t="s">
        <v>63</v>
      </c>
      <c r="I7159" s="80" t="s">
        <v>63</v>
      </c>
      <c r="J7159" s="80">
        <v>598.0</v>
      </c>
      <c r="K7159" s="80">
        <v>0.921417565485362</v>
      </c>
      <c r="L7159" s="80" t="s">
        <v>91</v>
      </c>
    </row>
    <row r="7160">
      <c r="A7160" s="80" t="s">
        <v>6711</v>
      </c>
      <c r="B7160" s="81" t="str">
        <f>HYPERLINK("https://www.youtube.com/channel/UCwAPo1PxfhC-CSSjsRtlY3A", "喜歡電影的人都有病 Movie Psychopath")</f>
        <v>喜歡電影的人都有病 Movie Psychopath</v>
      </c>
      <c r="C7160" s="80" t="s">
        <v>7708</v>
      </c>
      <c r="D7160" s="81" t="str">
        <f>HYPERLINK("https://youtube.com/watch?v=AlQpwcZgQOQ", "《墮下的對證》即使基礎薄弱，仍然無損神作地位｜既談感情，也談法治｜Anatomy of a Fall｜墜惡真相｜粵語｜廣東話｜影評｜阿影")</f>
        <v>《墮下的對證》即使基礎薄弱，仍然無損神作地位｜既談感情，也談法治｜Anatomy of a Fall｜墜惡真相｜粵語｜廣東話｜影評｜阿影</v>
      </c>
      <c r="E7160" s="82">
        <v>45304.0</v>
      </c>
      <c r="F7160" s="80">
        <v>687.0</v>
      </c>
      <c r="G7160" s="80" t="s">
        <v>63</v>
      </c>
      <c r="I7160" s="80" t="s">
        <v>63</v>
      </c>
      <c r="J7160" s="80">
        <v>2821.0</v>
      </c>
      <c r="K7160" s="80">
        <v>0.9501515661839</v>
      </c>
      <c r="L7160" s="80" t="s">
        <v>64</v>
      </c>
    </row>
    <row r="7161">
      <c r="A7161" s="80" t="s">
        <v>2041</v>
      </c>
      <c r="B7161" s="81" t="str">
        <f>HYPERLINK("https://www.youtube.com/channel/UCO6pB-ZN4XJ6MVkibvuEe0A", "SingSingTracker 星昇財經指標")</f>
        <v>SingSingTracker 星昇財經指標</v>
      </c>
      <c r="C7161" s="80" t="s">
        <v>7709</v>
      </c>
      <c r="D7161" s="81" t="str">
        <f>HYPERLINK("https://youtube.com/watch?v=DuvS7lyt_Ys", "AI 女主持-小Sing🌸【呢一星期賺超過$10K？】分享、講解、追蹤~未來股市動向📈] 「窮忙族」恩物｜股票｜投資｜指標｜港股｜美股｜入市 29/11/2023 #aiart #寫真 #投資理財")</f>
        <v>AI 女主持-小Sing🌸【呢一星期賺超過$10K？】分享、講解、追蹤~未來股市動向📈] 「窮忙族」恩物｜股票｜投資｜指標｜港股｜美股｜入市 29/11/2023 #aiart #寫真 #投資理財</v>
      </c>
      <c r="E7161" s="82">
        <v>45259.0</v>
      </c>
      <c r="F7161" s="80">
        <v>154.0</v>
      </c>
      <c r="G7161" s="80" t="s">
        <v>63</v>
      </c>
      <c r="I7161" s="80" t="s">
        <v>63</v>
      </c>
      <c r="J7161" s="80">
        <v>650.0</v>
      </c>
      <c r="K7161" s="80">
        <v>0.981873111782477</v>
      </c>
      <c r="L7161" s="80" t="s">
        <v>64</v>
      </c>
    </row>
    <row r="7162">
      <c r="A7162" s="80" t="s">
        <v>5134</v>
      </c>
      <c r="B7162" s="81" t="str">
        <f>HYPERLINK("https://www.youtube.com/channel/UCGq7xle9PrLHpmdxrk0IlLw", "磚加專家 Danny Ching Top10%地產局金牌經紀百萬圓桌")</f>
        <v>磚加專家 Danny Ching Top10%地產局金牌經紀百萬圓桌</v>
      </c>
      <c r="C7162" s="80" t="s">
        <v>7710</v>
      </c>
      <c r="D7162" s="81" t="str">
        <f>HYPERLINK("https://youtube.com/watch?v=cWBkmRRAWa8", "【樓市程講】23回顧 24展望 + 【眼睛去旅行】程太補度蜜月 迪拜、香港、臺灣")</f>
        <v>【樓市程講】23回顧 24展望 + 【眼睛去旅行】程太補度蜜月 迪拜、香港、臺灣</v>
      </c>
      <c r="E7162" s="82">
        <v>45298.0</v>
      </c>
      <c r="F7162" s="80">
        <v>1861.0</v>
      </c>
      <c r="G7162" s="80" t="s">
        <v>63</v>
      </c>
      <c r="I7162" s="80" t="s">
        <v>63</v>
      </c>
      <c r="J7162" s="80">
        <v>4656.0</v>
      </c>
      <c r="K7162" s="80">
        <v>0.847315741583257</v>
      </c>
      <c r="L7162" s="80" t="s">
        <v>102</v>
      </c>
    </row>
    <row r="7163">
      <c r="A7163" s="80" t="s">
        <v>588</v>
      </c>
      <c r="B7163" s="81" t="str">
        <f>HYPERLINK("https://www.youtube.com/channel/UCaJ77iWZ8galtePlS_BtEKw", "西DorSi偽中產生活態度")</f>
        <v>西DorSi偽中產生活態度</v>
      </c>
      <c r="C7163" s="80" t="s">
        <v>7711</v>
      </c>
      <c r="D7163" s="81" t="str">
        <f>HYPERLINK("https://youtube.com/watch?v=fNapvlIXHts", "[深圳灣口岸] 過關🏃‍♂️其實好方便！🚇平過搭東鐵 ⏱️時間差唔多 👨‍🦳長者2蚊過關 🌙24小時通關交通資料")</f>
        <v>[深圳灣口岸] 過關🏃‍♂️其實好方便！🚇平過搭東鐵 ⏱️時間差唔多 👨‍🦳長者2蚊過關 🌙24小時通關交通資料</v>
      </c>
      <c r="E7163" s="82">
        <v>45332.0</v>
      </c>
      <c r="F7163" s="80">
        <v>618.0</v>
      </c>
      <c r="G7163" s="80" t="s">
        <v>63</v>
      </c>
      <c r="I7163" s="80" t="s">
        <v>63</v>
      </c>
      <c r="J7163" s="80">
        <v>2358.0</v>
      </c>
      <c r="K7163" s="80">
        <v>0.94927536231884</v>
      </c>
      <c r="L7163" s="80" t="s">
        <v>64</v>
      </c>
    </row>
    <row r="7164">
      <c r="A7164" s="80" t="s">
        <v>6169</v>
      </c>
      <c r="B7164" s="81" t="str">
        <f>HYPERLINK("https://www.youtube.com/channel/UC8UAj9wPCBdyd709kD0eEFQ", "P3NTATON1C MUSIC")</f>
        <v>P3NTATON1C MUSIC</v>
      </c>
      <c r="C7164" s="80" t="s">
        <v>7712</v>
      </c>
      <c r="D7164" s="81" t="str">
        <f>HYPERLINK("https://youtube.com/watch?v=C3m1oXOBoq8", "Z - 11. DECEMBER R&amp;B (Official Audio)")</f>
        <v>Z - 11. DECEMBER R&amp;B (Official Audio)</v>
      </c>
      <c r="E7164" s="82">
        <v>45292.0</v>
      </c>
      <c r="F7164" s="80">
        <v>200.0</v>
      </c>
      <c r="G7164" s="80" t="s">
        <v>63</v>
      </c>
      <c r="I7164" s="80" t="s">
        <v>63</v>
      </c>
      <c r="J7164" s="80">
        <v>343.0</v>
      </c>
      <c r="K7164" s="80">
        <v>0.322671683913452</v>
      </c>
      <c r="L7164" s="80" t="s">
        <v>64</v>
      </c>
    </row>
    <row r="7165">
      <c r="A7165" s="80" t="s">
        <v>7607</v>
      </c>
      <c r="B7165" s="81" t="str">
        <f>HYPERLINK("https://www.youtube.com/channel/UCpGm9u4iYIev-BCA7mbAt6Q", "TVBean")</f>
        <v>TVBean</v>
      </c>
      <c r="C7165" s="80" t="s">
        <v>7713</v>
      </c>
      <c r="D7165" s="81" t="str">
        <f>HYPERLINK("https://youtube.com/watch?v=4GMLuFrTshA", "突發! | 行工展會 | 花了幾百蚊 | 都買了什麼? | 首日直擊超過100個攤位優惠推介 | 1折? 1蚊? | 第57屆工展會2023  | 必買推介 | cc字幕 | TVBean")</f>
        <v>突發! | 行工展會 | 花了幾百蚊 | 都買了什麼? | 首日直擊超過100個攤位優惠推介 | 1折? 1蚊? | 第57屆工展會2023  | 必買推介 | cc字幕 | TVBean</v>
      </c>
      <c r="E7165" s="82">
        <v>45277.0</v>
      </c>
      <c r="F7165" s="80">
        <v>2188.0</v>
      </c>
      <c r="G7165" s="80" t="s">
        <v>63</v>
      </c>
      <c r="I7165" s="80" t="s">
        <v>63</v>
      </c>
      <c r="J7165" s="80">
        <v>6462.0</v>
      </c>
      <c r="K7165" s="80">
        <v>0.970707525912573</v>
      </c>
      <c r="L7165" s="80" t="s">
        <v>91</v>
      </c>
    </row>
    <row r="7166">
      <c r="A7166" s="80" t="s">
        <v>6248</v>
      </c>
      <c r="B7166" s="81" t="str">
        <f>HYPERLINK("https://www.youtube.com/channel/UCmlr1is6e9bV34fgg3u0xng", "Ruby.S")</f>
        <v>Ruby.S</v>
      </c>
      <c r="C7166" s="80" t="s">
        <v>7714</v>
      </c>
      <c r="D7166" s="81" t="str">
        <f>HYPERLINK("https://youtube.com/watch?v=VcS_FkFgaDQ", "@Rubys426 越級挑戰🚴🏻‍♀️南大嶼越野單車練習場🔥崎嶇🔥碎石🪨泥路| 單車友必去🚴🏻小朋友都鍾意嘅場|佔地4.5公頃｜多條徑路適合不同程度人士🔥")</f>
        <v>@Rubys426 越級挑戰🚴🏻‍♀️南大嶼越野單車練習場🔥崎嶇🔥碎石🪨泥路| 單車友必去🚴🏻小朋友都鍾意嘅場|佔地4.5公頃｜多條徑路適合不同程度人士🔥</v>
      </c>
      <c r="E7166" s="82">
        <v>45280.0</v>
      </c>
      <c r="F7166" s="80">
        <v>1488.0</v>
      </c>
      <c r="G7166" s="80" t="s">
        <v>63</v>
      </c>
      <c r="I7166" s="80" t="s">
        <v>63</v>
      </c>
      <c r="J7166" s="80">
        <v>518.0</v>
      </c>
      <c r="K7166" s="80">
        <v>0.948717948717948</v>
      </c>
      <c r="L7166" s="80" t="s">
        <v>64</v>
      </c>
    </row>
    <row r="7167">
      <c r="A7167" s="80" t="s">
        <v>260</v>
      </c>
      <c r="B7167" s="81" t="str">
        <f>HYPERLINK("https://www.youtube.com/channel/UC-HXOikkLx7BGEfILGIpYOg", "港短 . 英移")</f>
        <v>港短 . 英移</v>
      </c>
      <c r="C7167" s="80" t="s">
        <v>7715</v>
      </c>
      <c r="D7167" s="81" t="str">
        <f>HYPERLINK("https://youtube.com/watch?v=jWWjzJHV_8c", "Life in UK Test英國永居入籍模擬試題廣東話解說 第2彈!! | 港短英移")</f>
        <v>Life in UK Test英國永居入籍模擬試題廣東話解說 第2彈!! | 港短英移</v>
      </c>
      <c r="E7167" s="82">
        <v>45302.0</v>
      </c>
      <c r="F7167" s="80">
        <v>901.0</v>
      </c>
      <c r="G7167" s="80" t="s">
        <v>63</v>
      </c>
      <c r="I7167" s="80" t="s">
        <v>63</v>
      </c>
      <c r="J7167" s="80">
        <v>3311.0</v>
      </c>
      <c r="K7167" s="80">
        <v>0.866300366300366</v>
      </c>
      <c r="L7167" s="80" t="s">
        <v>102</v>
      </c>
    </row>
    <row r="7168">
      <c r="A7168" s="80" t="s">
        <v>2041</v>
      </c>
      <c r="B7168" s="81" t="str">
        <f>HYPERLINK("https://www.youtube.com/channel/UCO6pB-ZN4XJ6MVkibvuEe0A", "SingSingTracker 星昇財經指標")</f>
        <v>SingSingTracker 星昇財經指標</v>
      </c>
      <c r="C7168" s="80" t="s">
        <v>7716</v>
      </c>
      <c r="D7168" s="81" t="str">
        <f>HYPERLINK("https://youtube.com/watch?v=8FdXoyy5svI", "恆指暴跌?!【AI 女主持-小Sing🌸】黃金漲勢如破竹！ 外匯輕鬆易玩？「窮忙族」恩物｜股票｜投資｜指標｜港股｜美股｜入市 17/1/2024 #投資入門 #美股 #經濟")</f>
        <v>恆指暴跌?!【AI 女主持-小Sing🌸】黃金漲勢如破竹！ 外匯輕鬆易玩？「窮忙族」恩物｜股票｜投資｜指標｜港股｜美股｜入市 17/1/2024 #投資入門 #美股 #經濟</v>
      </c>
      <c r="E7168" s="82">
        <v>45308.0</v>
      </c>
      <c r="F7168" s="80">
        <v>169.0</v>
      </c>
      <c r="G7168" s="80" t="s">
        <v>63</v>
      </c>
      <c r="I7168" s="80" t="s">
        <v>63</v>
      </c>
      <c r="J7168" s="80">
        <v>775.0</v>
      </c>
      <c r="K7168" s="80">
        <v>0.983502538071066</v>
      </c>
      <c r="L7168" s="80" t="s">
        <v>64</v>
      </c>
    </row>
    <row r="7169">
      <c r="A7169" s="80" t="s">
        <v>242</v>
      </c>
      <c r="B7169" s="81" t="str">
        <f>HYPERLINK("https://www.youtube.com/channel/UCZGVB6g74LXWtkR3fX50ykg", "Edwin H.")</f>
        <v>Edwin H.</v>
      </c>
      <c r="C7169" s="80" t="s">
        <v>7717</v>
      </c>
      <c r="D7169" s="81" t="str">
        <f>HYPERLINK("https://youtube.com/watch?v=lJ7eokcB1ec", "本片全部由AI生成 - 影片生成AI - SORA")</f>
        <v>本片全部由AI生成 - 影片生成AI - SORA</v>
      </c>
      <c r="E7169" s="82">
        <v>45338.0</v>
      </c>
      <c r="F7169" s="80">
        <v>250.0</v>
      </c>
      <c r="G7169" s="80" t="s">
        <v>63</v>
      </c>
      <c r="I7169" s="80" t="s">
        <v>63</v>
      </c>
      <c r="J7169" s="80">
        <v>520.0</v>
      </c>
      <c r="K7169" s="80">
        <v>0.848287112561174</v>
      </c>
      <c r="L7169" s="80" t="s">
        <v>66</v>
      </c>
    </row>
    <row r="7170">
      <c r="A7170" s="80" t="s">
        <v>5134</v>
      </c>
      <c r="B7170" s="81" t="str">
        <f>HYPERLINK("https://www.youtube.com/channel/UCGq7xle9PrLHpmdxrk0IlLw", "磚加專家 Danny Ching Top10%地產局金牌經紀百萬圓桌")</f>
        <v>磚加專家 Danny Ching Top10%地產局金牌經紀百萬圓桌</v>
      </c>
      <c r="C7170" s="80" t="s">
        <v>7718</v>
      </c>
      <c r="D7170" s="81" t="str">
        <f>HYPERLINK("https://youtube.com/watch?v=ckpbbGXQ_RY", "40萬起$8萬訂4年後入伙 3大發展商 搶推溫哥華未來發展火車頭🚂 Surrey Central￼  - JUNO by 70年發展商 Qualico 價錢👍質量👍賣信心￼ （共3集、第1集）")</f>
        <v>40萬起$8萬訂4年後入伙 3大發展商 搶推溫哥華未來發展火車頭🚂 Surrey Central￼  - JUNO by 70年發展商 Qualico 價錢👍質量👍賣信心￼ （共3集、第1集）</v>
      </c>
      <c r="E7170" s="82">
        <v>45314.0</v>
      </c>
      <c r="F7170" s="80">
        <v>2002.0</v>
      </c>
      <c r="G7170" s="80" t="s">
        <v>63</v>
      </c>
      <c r="I7170" s="80" t="s">
        <v>63</v>
      </c>
      <c r="J7170" s="80">
        <v>7521.0</v>
      </c>
      <c r="K7170" s="80">
        <v>0.813961038961039</v>
      </c>
      <c r="L7170" s="80" t="s">
        <v>102</v>
      </c>
    </row>
    <row r="7171">
      <c r="A7171" s="80" t="s">
        <v>588</v>
      </c>
      <c r="B7171" s="81" t="str">
        <f>HYPERLINK("https://www.youtube.com/channel/UCaJ77iWZ8galtePlS_BtEKw", "西DorSi偽中產生活態度")</f>
        <v>西DorSi偽中產生活態度</v>
      </c>
      <c r="C7171" s="80" t="s">
        <v>7719</v>
      </c>
      <c r="D7171" s="81" t="str">
        <f>HYPERLINK("https://youtube.com/watch?v=y6zj1bnnxeU", "🎄大陸邊度最有聖誕氣氛🎅？教你拎$88消費券😍！我第一次粉絲見面會嚟啦🥰！")</f>
        <v>🎄大陸邊度最有聖誕氣氛🎅？教你拎$88消費券😍！我第一次粉絲見面會嚟啦🥰！</v>
      </c>
      <c r="E7171" s="82">
        <v>45277.0</v>
      </c>
      <c r="F7171" s="80">
        <v>507.0</v>
      </c>
      <c r="G7171" s="80" t="s">
        <v>63</v>
      </c>
      <c r="I7171" s="80" t="s">
        <v>63</v>
      </c>
      <c r="J7171" s="80">
        <v>1966.0</v>
      </c>
      <c r="K7171" s="80">
        <v>0.900595510765002</v>
      </c>
      <c r="L7171" s="80" t="s">
        <v>64</v>
      </c>
    </row>
    <row r="7172">
      <c r="A7172" s="80" t="s">
        <v>7607</v>
      </c>
      <c r="B7172" s="81" t="str">
        <f>HYPERLINK("https://www.youtube.com/channel/UCpGm9u4iYIev-BCA7mbAt6Q", "TVBean")</f>
        <v>TVBean</v>
      </c>
      <c r="C7172" s="80" t="s">
        <v>7720</v>
      </c>
      <c r="D7172" s="81" t="str">
        <f>HYPERLINK("https://youtube.com/watch?v=WGUakJZHBY0", "佳寶你好! 又有著數 | 港式平民貼地超市 | 超過30款抵買推介 | 打邊爐配料 | 新鮮豬肉 蔬菜 生果 | 必買推介 | TVBean")</f>
        <v>佳寶你好! 又有著數 | 港式平民貼地超市 | 超過30款抵買推介 | 打邊爐配料 | 新鮮豬肉 蔬菜 生果 | 必買推介 | TVBean</v>
      </c>
      <c r="E7172" s="82">
        <v>45264.0</v>
      </c>
      <c r="F7172" s="80">
        <v>986.0</v>
      </c>
      <c r="G7172" s="80" t="s">
        <v>63</v>
      </c>
      <c r="I7172" s="80" t="s">
        <v>63</v>
      </c>
      <c r="J7172" s="80">
        <v>3064.0</v>
      </c>
      <c r="K7172" s="80">
        <v>0.977976380466007</v>
      </c>
      <c r="L7172" s="80" t="s">
        <v>91</v>
      </c>
    </row>
    <row r="7173">
      <c r="A7173" s="80" t="s">
        <v>1183</v>
      </c>
      <c r="B7173" s="81" t="str">
        <f>HYPERLINK("https://www.youtube.com/channel/UCPBBbFYG51QpjuptQtYfCDA", "siuwaiboy")</f>
        <v>siuwaiboy</v>
      </c>
      <c r="C7173" s="80" t="s">
        <v>7721</v>
      </c>
      <c r="D7173" s="81" t="str">
        <f>HYPERLINK("https://youtube.com/watch?v=2PPhat-FXHI", "[直播精華] 7頭為老屈女人係雞")</f>
        <v>[直播精華] 7頭為老屈女人係雞</v>
      </c>
      <c r="E7173" s="82">
        <v>45290.0</v>
      </c>
      <c r="F7173" s="80">
        <v>98.0</v>
      </c>
      <c r="G7173" s="80" t="s">
        <v>63</v>
      </c>
      <c r="I7173" s="80" t="s">
        <v>63</v>
      </c>
      <c r="J7173" s="80">
        <v>451.0</v>
      </c>
      <c r="K7173" s="80">
        <v>0.989035087719298</v>
      </c>
      <c r="L7173" s="80" t="s">
        <v>64</v>
      </c>
    </row>
    <row r="7174">
      <c r="A7174" s="80" t="s">
        <v>242</v>
      </c>
      <c r="B7174" s="81" t="str">
        <f>HYPERLINK("https://www.youtube.com/channel/UCZGVB6g74LXWtkR3fX50ykg", "Edwin H.")</f>
        <v>Edwin H.</v>
      </c>
      <c r="C7174" s="80" t="s">
        <v>7722</v>
      </c>
      <c r="D7174" s="81" t="str">
        <f>HYPERLINK("https://youtube.com/watch?v=TVnvdkrPVYE", "10件關於PlayStation Portal的事 | 實機詳細評測 | 終極評測")</f>
        <v>10件關於PlayStation Portal的事 | 實機詳細評測 | 終極評測</v>
      </c>
      <c r="E7174" s="82">
        <v>45261.0</v>
      </c>
      <c r="F7174" s="80">
        <v>916.0</v>
      </c>
      <c r="G7174" s="80" t="s">
        <v>63</v>
      </c>
      <c r="I7174" s="80" t="s">
        <v>63</v>
      </c>
      <c r="J7174" s="80">
        <v>4823.0</v>
      </c>
      <c r="K7174" s="80">
        <v>0.781052631578947</v>
      </c>
      <c r="L7174" s="80" t="s">
        <v>64</v>
      </c>
    </row>
    <row r="7175">
      <c r="A7175" s="80" t="s">
        <v>1183</v>
      </c>
      <c r="B7175" s="81" t="str">
        <f>HYPERLINK("https://www.youtube.com/channel/UCPBBbFYG51QpjuptQtYfCDA", "siuwaiboy")</f>
        <v>siuwaiboy</v>
      </c>
      <c r="C7175" s="80" t="s">
        <v>7723</v>
      </c>
      <c r="D7175" s="81" t="str">
        <f>HYPERLINK("https://youtube.com/watch?v=1h12AfzzZDU", "獨L為回憶食車仔麵被侮辱")</f>
        <v>獨L為回憶食車仔麵被侮辱</v>
      </c>
      <c r="E7175" s="82">
        <v>45306.0</v>
      </c>
      <c r="F7175" s="80">
        <v>82.0</v>
      </c>
      <c r="G7175" s="80" t="s">
        <v>63</v>
      </c>
      <c r="I7175" s="80" t="s">
        <v>63</v>
      </c>
      <c r="J7175" s="80">
        <v>341.0</v>
      </c>
      <c r="K7175" s="80">
        <v>0.974285714285714</v>
      </c>
      <c r="L7175" s="80" t="s">
        <v>64</v>
      </c>
    </row>
    <row r="7176">
      <c r="A7176" s="80" t="s">
        <v>1670</v>
      </c>
      <c r="B7176" s="81" t="str">
        <f>HYPERLINK("https://www.youtube.com/channel/UC-PIt5m-WOg8UVBkt2RnN0g", "阿JACK睇樓團")</f>
        <v>阿JACK睇樓團</v>
      </c>
      <c r="C7176" s="80" t="s">
        <v>7724</v>
      </c>
      <c r="D7176" s="81" t="str">
        <f>HYPERLINK("https://youtube.com/watch?v=peIfvt3bTuY", "7位數裝修既特色豪宅🤩到底係點既樣？￼丨天賦海灣特色戶｜一整牆的收藏｜ft.@athomedesign1120丨阿JACK睇樓團 #4k #裝修")</f>
        <v>7位數裝修既特色豪宅🤩到底係點既樣？￼丨天賦海灣特色戶｜一整牆的收藏｜ft.@athomedesign1120丨阿JACK睇樓團 #4k #裝修</v>
      </c>
      <c r="E7176" s="82">
        <v>45326.0</v>
      </c>
      <c r="F7176" s="80">
        <v>746.0</v>
      </c>
      <c r="G7176" s="80" t="s">
        <v>63</v>
      </c>
      <c r="I7176" s="80" t="s">
        <v>63</v>
      </c>
      <c r="J7176" s="80">
        <v>2845.0</v>
      </c>
      <c r="K7176" s="80">
        <v>0.964733808070532</v>
      </c>
      <c r="L7176" s="80" t="s">
        <v>7725</v>
      </c>
    </row>
    <row r="7177">
      <c r="A7177" s="80" t="s">
        <v>6960</v>
      </c>
      <c r="B7177" s="81" t="str">
        <f>HYPERLINK("https://www.youtube.com/channel/UCQS2_zzisMq5C_FggxsQwTQ", "Comprehensible Cantonese")</f>
        <v>Comprehensible Cantonese</v>
      </c>
      <c r="C7177" s="80" t="s">
        <v>7726</v>
      </c>
      <c r="D7177" s="81" t="str">
        <f>HYPERLINK("https://youtube.com/watch?v=G6TDsWFzo9E", "[CC] Cantonese Story with Candy: An Innocent Penguin | Comprehensible Cantonese|  Advanced Beginner")</f>
        <v>[CC] Cantonese Story with Candy: An Innocent Penguin | Comprehensible Cantonese|  Advanced Beginner</v>
      </c>
      <c r="E7177" s="82">
        <v>45299.0</v>
      </c>
      <c r="F7177" s="80">
        <v>232.0</v>
      </c>
      <c r="G7177" s="80" t="s">
        <v>63</v>
      </c>
      <c r="I7177" s="80" t="s">
        <v>63</v>
      </c>
      <c r="J7177" s="80">
        <v>471.0</v>
      </c>
      <c r="K7177" s="80">
        <v>0.993670886075949</v>
      </c>
      <c r="L7177" s="80" t="s">
        <v>102</v>
      </c>
    </row>
    <row r="7178">
      <c r="A7178" s="80" t="s">
        <v>242</v>
      </c>
      <c r="B7178" s="81" t="str">
        <f>HYPERLINK("https://www.youtube.com/channel/UCZGVB6g74LXWtkR3fX50ykg", "Edwin H.")</f>
        <v>Edwin H.</v>
      </c>
      <c r="C7178" s="80" t="s">
        <v>7727</v>
      </c>
      <c r="D7178" s="81" t="str">
        <f>HYPERLINK("https://youtube.com/watch?v=ocMZDxD976Y", "超好用男士銀包 200蚊就有？💰仲有神級咪高風！🎤 Edwin買乜野")</f>
        <v>超好用男士銀包 200蚊就有？💰仲有神級咪高風！🎤 Edwin買乜野</v>
      </c>
      <c r="E7178" s="82">
        <v>45323.0</v>
      </c>
      <c r="F7178" s="80">
        <v>945.0</v>
      </c>
      <c r="G7178" s="80" t="s">
        <v>63</v>
      </c>
      <c r="I7178" s="80" t="s">
        <v>63</v>
      </c>
      <c r="J7178" s="80">
        <v>4784.0</v>
      </c>
      <c r="K7178" s="80">
        <v>0.863382060999819</v>
      </c>
      <c r="L7178" s="80" t="s">
        <v>64</v>
      </c>
    </row>
    <row r="7179">
      <c r="A7179" s="80" t="s">
        <v>5134</v>
      </c>
      <c r="B7179" s="81" t="str">
        <f>HYPERLINK("https://www.youtube.com/channel/UCGq7xle9PrLHpmdxrk0IlLw", "磚加專家 Danny Ching Top10%地產局金牌經紀百萬圓桌")</f>
        <v>磚加專家 Danny Ching Top10%地產局金牌經紀百萬圓桌</v>
      </c>
      <c r="C7179" s="80" t="s">
        <v>7728</v>
      </c>
      <c r="D7179" s="81" t="str">
        <f>HYPERLINK("https://youtube.com/watch?v=cGRzctGsiMA", "溫哥華27分鐘生活圈 85萬1359呎全新或樓花 最大4房1464呎 超大型發展 27分鐘大直路直達機場&amp;溫哥華 新手車牌都識揸 【Chelsa by Qualico】")</f>
        <v>溫哥華27分鐘生活圈 85萬1359呎全新或樓花 最大4房1464呎 超大型發展 27分鐘大直路直達機場&amp;溫哥華 新手車牌都識揸 【Chelsa by Qualico】</v>
      </c>
      <c r="E7179" s="82">
        <v>45321.0</v>
      </c>
      <c r="F7179" s="80">
        <v>621.0</v>
      </c>
      <c r="G7179" s="80" t="s">
        <v>63</v>
      </c>
      <c r="I7179" s="80" t="s">
        <v>63</v>
      </c>
      <c r="J7179" s="80">
        <v>2323.0</v>
      </c>
      <c r="K7179" s="80">
        <v>0.77459153051017</v>
      </c>
      <c r="L7179" s="80" t="s">
        <v>102</v>
      </c>
    </row>
    <row r="7180">
      <c r="A7180" s="80" t="s">
        <v>245</v>
      </c>
      <c r="B7180" s="81" t="str">
        <f>HYPERLINK("https://www.youtube.com/channel/UCkZ3cOWgnhJheCK7Ywpiezw", "Eagen Kao")</f>
        <v>Eagen Kao</v>
      </c>
      <c r="C7180" s="80" t="s">
        <v>7729</v>
      </c>
      <c r="D7180" s="81" t="str">
        <f>HYPERLINK("https://youtube.com/watch?v=eoXFEPKpt_E", "[台LIFE] 安平燈會探險 | Insta360 Ace Pro實測 | 生活Vlog")</f>
        <v>[台LIFE] 安平燈會探險 | Insta360 Ace Pro實測 | 生活Vlog</v>
      </c>
      <c r="E7180" s="82">
        <v>45334.0</v>
      </c>
      <c r="F7180" s="80">
        <v>511.0</v>
      </c>
      <c r="G7180" s="80" t="s">
        <v>63</v>
      </c>
      <c r="H7180" s="80" t="s">
        <v>63</v>
      </c>
      <c r="I7180" s="80" t="s">
        <v>63</v>
      </c>
      <c r="J7180" s="80">
        <v>1506.0</v>
      </c>
      <c r="K7180" s="80">
        <v>0.962915601023017</v>
      </c>
      <c r="L7180" s="80" t="s">
        <v>86</v>
      </c>
    </row>
    <row r="7181">
      <c r="A7181" s="80" t="s">
        <v>217</v>
      </c>
      <c r="B7181" s="81" t="str">
        <f>HYPERLINK("https://www.youtube.com/channel/UCXKg0qPRz32bs5Z4mTGF3TQ", "Stormtrooper白兵")</f>
        <v>Stormtrooper白兵</v>
      </c>
      <c r="C7181" s="80" t="s">
        <v>7730</v>
      </c>
      <c r="D7181" s="81" t="str">
        <f>HYPERLINK("https://youtube.com/watch?v=IPW6WAAcb4I", "心機算盡，如何踢走千年歷史的草藥／自然／中藥療法？｜如何變成無窮盡的搵錢機器？ ｜不是陰謀論｜中文字幕")</f>
        <v>心機算盡，如何踢走千年歷史的草藥／自然／中藥療法？｜如何變成無窮盡的搵錢機器？ ｜不是陰謀論｜中文字幕</v>
      </c>
      <c r="E7181" s="82">
        <v>45281.0</v>
      </c>
      <c r="F7181" s="80">
        <v>1153.0</v>
      </c>
      <c r="G7181" s="80" t="s">
        <v>63</v>
      </c>
      <c r="I7181" s="80" t="s">
        <v>63</v>
      </c>
      <c r="J7181" s="80">
        <v>4699.0</v>
      </c>
      <c r="K7181" s="80">
        <v>0.884934086629001</v>
      </c>
      <c r="L7181" s="80" t="s">
        <v>64</v>
      </c>
    </row>
    <row r="7182">
      <c r="A7182" s="80" t="s">
        <v>96</v>
      </c>
      <c r="B7182" s="81" t="str">
        <f>HYPERLINK("https://www.youtube.com/channel/UCGtyHJ-L_4RDIHe3XaLofQQ", "Anson Cheung")</f>
        <v>Anson Cheung</v>
      </c>
      <c r="C7182" s="80" t="s">
        <v>7731</v>
      </c>
      <c r="D7182" s="81" t="str">
        <f>HYPERLINK("https://youtube.com/watch?v=Grs87jl9cx8", "Samsung Galaxy S24 Ultra 初步印象：「新-ish」設計、新物料、新AI？🤔")</f>
        <v>Samsung Galaxy S24 Ultra 初步印象：「新-ish」設計、新物料、新AI？🤔</v>
      </c>
      <c r="E7182" s="82">
        <v>45308.0</v>
      </c>
      <c r="F7182" s="80">
        <v>745.0</v>
      </c>
      <c r="G7182" s="80" t="s">
        <v>63</v>
      </c>
      <c r="I7182" s="80" t="s">
        <v>63</v>
      </c>
      <c r="J7182" s="80">
        <v>3035.0</v>
      </c>
      <c r="K7182" s="80">
        <v>0.691974464204286</v>
      </c>
      <c r="L7182" s="80" t="s">
        <v>102</v>
      </c>
    </row>
    <row r="7183">
      <c r="A7183" s="80" t="s">
        <v>260</v>
      </c>
      <c r="B7183" s="81" t="str">
        <f>HYPERLINK("https://www.youtube.com/channel/UC-HXOikkLx7BGEfILGIpYOg", "港短 . 英移")</f>
        <v>港短 . 英移</v>
      </c>
      <c r="C7183" s="80" t="s">
        <v>7732</v>
      </c>
      <c r="D7183" s="81" t="str">
        <f>HYPERLINK("https://youtube.com/watch?v=rN61zdJzYdA", "英國買咩手信返香港? 開箱5款另類英國手信 #港短英移")</f>
        <v>英國買咩手信返香港? 開箱5款另類英國手信 #港短英移</v>
      </c>
      <c r="E7183" s="82">
        <v>45295.0</v>
      </c>
      <c r="F7183" s="80">
        <v>409.0</v>
      </c>
      <c r="G7183" s="80" t="s">
        <v>63</v>
      </c>
      <c r="I7183" s="80" t="s">
        <v>63</v>
      </c>
      <c r="J7183" s="80">
        <v>1722.0</v>
      </c>
      <c r="K7183" s="80">
        <v>0.812647475224162</v>
      </c>
      <c r="L7183" s="80" t="s">
        <v>102</v>
      </c>
    </row>
    <row r="7184">
      <c r="A7184" s="80" t="s">
        <v>6238</v>
      </c>
      <c r="B7184" s="81" t="str">
        <f>HYPERLINK("https://www.youtube.com/channel/UC_ogl0qjBdXrTiZZJ6ltsQQ", "Flat Out 地板油")</f>
        <v>Flat Out 地板油</v>
      </c>
      <c r="C7184" s="80" t="s">
        <v>7733</v>
      </c>
      <c r="D7184" s="81" t="str">
        <f>HYPERLINK("https://youtube.com/watch?v=zCnS1SUd4T0", "Mercedes-Benz E-Class W214「巨大化屏幕」仲貴過Honda Jazz？平治E仔相差44年爭幾遠？  | Flat Out Review #FlatOut試車 #地板油")</f>
        <v>Mercedes-Benz E-Class W214「巨大化屏幕」仲貴過Honda Jazz？平治E仔相差44年爭幾遠？  | Flat Out Review #FlatOut試車 #地板油</v>
      </c>
      <c r="E7184" s="82">
        <v>45338.0</v>
      </c>
      <c r="F7184" s="80">
        <v>1865.0</v>
      </c>
      <c r="G7184" s="80" t="s">
        <v>63</v>
      </c>
      <c r="I7184" s="80" t="s">
        <v>63</v>
      </c>
      <c r="J7184" s="80">
        <v>4961.0</v>
      </c>
      <c r="K7184" s="80">
        <v>0.753264500455511</v>
      </c>
      <c r="L7184" s="80" t="s">
        <v>64</v>
      </c>
    </row>
    <row r="7185">
      <c r="A7185" s="80" t="s">
        <v>2829</v>
      </c>
      <c r="B7185" s="81" t="str">
        <f>HYPERLINK("https://www.youtube.com/channel/UC7GnES6AEQlDzaP04UqtyjA", "SOLID IDEA")</f>
        <v>SOLID IDEA</v>
      </c>
      <c r="C7185" s="80" t="s">
        <v>7734</v>
      </c>
      <c r="D7185" s="81" t="str">
        <f>HYPERLINK("https://youtube.com/watch?v=VSMyVQx7eg8", "【設計 • idea】美孚． 美孚新邨｜657呎｜ 舊居變新居｜設計 • idea｜Solid Idea｜室內設計｜家居規劃｜星級設計｜［CC字幕］")</f>
        <v>【設計 • idea】美孚． 美孚新邨｜657呎｜ 舊居變新居｜設計 • idea｜Solid Idea｜室內設計｜家居規劃｜星級設計｜［CC字幕］</v>
      </c>
      <c r="E7185" s="82">
        <v>45279.0</v>
      </c>
      <c r="F7185" s="80">
        <v>139.0</v>
      </c>
      <c r="G7185" s="80" t="s">
        <v>63</v>
      </c>
      <c r="I7185" s="80" t="s">
        <v>63</v>
      </c>
      <c r="J7185" s="80">
        <v>545.0</v>
      </c>
      <c r="K7185" s="80">
        <v>0.98731884057971</v>
      </c>
      <c r="L7185" s="80" t="s">
        <v>64</v>
      </c>
    </row>
    <row r="7186">
      <c r="A7186" s="80" t="s">
        <v>242</v>
      </c>
      <c r="B7186" s="81" t="str">
        <f>HYPERLINK("https://www.youtube.com/channel/UCZGVB6g74LXWtkR3fX50ykg", "Edwin H.")</f>
        <v>Edwin H.</v>
      </c>
      <c r="C7186" s="80" t="s">
        <v>7735</v>
      </c>
      <c r="D7186" s="81" t="str">
        <f>HYPERLINK("https://youtube.com/watch?v=zkCHU-9tBnk", "某國抄人AI技術被篤灰 😡 35件必睇科技新品  11月12月 有趣科技新聞")</f>
        <v>某國抄人AI技術被篤灰 😡 35件必睇科技新品  11月12月 有趣科技新聞</v>
      </c>
      <c r="E7186" s="82">
        <v>45281.0</v>
      </c>
      <c r="F7186" s="80">
        <v>888.0</v>
      </c>
      <c r="G7186" s="80" t="s">
        <v>63</v>
      </c>
      <c r="I7186" s="80" t="s">
        <v>63</v>
      </c>
      <c r="J7186" s="80">
        <v>3762.0</v>
      </c>
      <c r="K7186" s="80">
        <v>0.700167504187604</v>
      </c>
      <c r="L7186" s="80" t="s">
        <v>64</v>
      </c>
    </row>
    <row r="7187">
      <c r="A7187" s="80" t="s">
        <v>7607</v>
      </c>
      <c r="B7187" s="81" t="str">
        <f>HYPERLINK("https://www.youtube.com/channel/UCpGm9u4iYIev-BCA7mbAt6Q", "TVBean")</f>
        <v>TVBean</v>
      </c>
      <c r="C7187" s="80" t="s">
        <v>7736</v>
      </c>
      <c r="D7187" s="81" t="str">
        <f>HYPERLINK("https://youtube.com/watch?v=CAG1pf3FbIA", "即拍即剪💥突發! | 新年聖誕車尾箱市集 | 除夕倒數來8 | 勁有氣氛LIVE BAND | 日落景緻 | 九龍區人氣市集@中港城 | 煙花觀賞位 | 26, 30-31/12 | TVBean")</f>
        <v>即拍即剪💥突發! | 新年聖誕車尾箱市集 | 除夕倒數來8 | 勁有氣氛LIVE BAND | 日落景緻 | 九龍區人氣市集@中港城 | 煙花觀賞位 | 26, 30-31/12 | TVBean</v>
      </c>
      <c r="E7187" s="82">
        <v>45286.0</v>
      </c>
      <c r="F7187" s="80">
        <v>553.0</v>
      </c>
      <c r="G7187" s="80" t="s">
        <v>63</v>
      </c>
      <c r="I7187" s="80" t="s">
        <v>63</v>
      </c>
      <c r="J7187" s="80">
        <v>1715.0</v>
      </c>
      <c r="K7187" s="80">
        <v>0.922043010752688</v>
      </c>
      <c r="L7187" s="80" t="s">
        <v>91</v>
      </c>
    </row>
    <row r="7188">
      <c r="A7188" s="80" t="s">
        <v>6892</v>
      </c>
      <c r="B7188" s="81" t="str">
        <f>HYPERLINK("https://www.youtube.com/channel/UC8_hxeY0nDCL-8ETbcGUZ9g", "PT食為先")</f>
        <v>PT食為先</v>
      </c>
      <c r="C7188" s="80" t="s">
        <v>7737</v>
      </c>
      <c r="D7188" s="81" t="str">
        <f>HYPERLINK("https://youtube.com/watch?v=pqV2z23SHZs", "[PT自費食評] 近期最滿意的自助餐！清蒸龍蝦絕非麗晶酒店獨有！有儀式感的水吧🥂")</f>
        <v>[PT自費食評] 近期最滿意的自助餐！清蒸龍蝦絕非麗晶酒店獨有！有儀式感的水吧🥂</v>
      </c>
      <c r="E7188" s="82">
        <v>45335.0</v>
      </c>
      <c r="F7188" s="80">
        <v>972.0</v>
      </c>
      <c r="G7188" s="80" t="s">
        <v>63</v>
      </c>
      <c r="I7188" s="80" t="s">
        <v>63</v>
      </c>
      <c r="J7188" s="80">
        <v>2451.0</v>
      </c>
      <c r="K7188" s="80">
        <v>0.966101694915254</v>
      </c>
      <c r="L7188" s="80" t="s">
        <v>64</v>
      </c>
    </row>
    <row r="7189">
      <c r="A7189" s="80" t="s">
        <v>2041</v>
      </c>
      <c r="B7189" s="81" t="str">
        <f>HYPERLINK("https://www.youtube.com/channel/UCO6pB-ZN4XJ6MVkibvuEe0A", "SingSingTracker 星昇財經指標")</f>
        <v>SingSingTracker 星昇財經指標</v>
      </c>
      <c r="C7189" s="80" t="s">
        <v>7738</v>
      </c>
      <c r="D7189" s="81" t="str">
        <f>HYPERLINK("https://youtube.com/watch?v=mA_aVpCtIFk", "仲玩港股？！ 散戶必跟！【AI 女主持-小Sing🌸】黃金漲勢如破竹！ 外匯輕鬆易玩？「窮忙族」恩物｜股票｜投資｜指標｜港股｜美股｜入市 28/12/2023 #投資入門 #美股 #經濟")</f>
        <v>仲玩港股？！ 散戶必跟！【AI 女主持-小Sing🌸】黃金漲勢如破竹！ 外匯輕鬆易玩？「窮忙族」恩物｜股票｜投資｜指標｜港股｜美股｜入市 28/12/2023 #投資入門 #美股 #經濟</v>
      </c>
      <c r="E7189" s="82">
        <v>45288.0</v>
      </c>
      <c r="F7189" s="80">
        <v>181.0</v>
      </c>
      <c r="G7189" s="80" t="s">
        <v>63</v>
      </c>
      <c r="I7189" s="80" t="s">
        <v>63</v>
      </c>
      <c r="J7189" s="80">
        <v>815.0</v>
      </c>
      <c r="K7189" s="80">
        <v>0.984299516908212</v>
      </c>
      <c r="L7189" s="80" t="s">
        <v>64</v>
      </c>
    </row>
    <row r="7190">
      <c r="A7190" s="80" t="s">
        <v>755</v>
      </c>
      <c r="B7190" s="81" t="str">
        <f>HYPERLINK("https://www.youtube.com/channel/UCBiJDTc82IM68KVH873VeAw", "Live in Kwangsi廣西人·情·味")</f>
        <v>Live in Kwangsi廣西人·情·味</v>
      </c>
      <c r="C7190" s="80" t="s">
        <v>7739</v>
      </c>
      <c r="D7190" s="81" t="str">
        <f>HYPERLINK("https://youtube.com/watch?v=h5UtCUn_F_U", "連山縣茅田界觀景台，呢度睇到晒縣城全景而且景色優美！｜廣東日常實拍 20231127")</f>
        <v>連山縣茅田界觀景台，呢度睇到晒縣城全景而且景色優美！｜廣東日常實拍 20231127</v>
      </c>
      <c r="E7190" s="82">
        <v>45283.0</v>
      </c>
      <c r="F7190" s="80">
        <v>130.0</v>
      </c>
      <c r="G7190" s="80" t="s">
        <v>63</v>
      </c>
      <c r="I7190" s="80" t="s">
        <v>63</v>
      </c>
      <c r="J7190" s="80">
        <v>333.0</v>
      </c>
      <c r="K7190" s="80">
        <v>1.0</v>
      </c>
      <c r="L7190" s="80" t="s">
        <v>757</v>
      </c>
    </row>
    <row r="7191">
      <c r="A7191" s="80" t="s">
        <v>7607</v>
      </c>
      <c r="B7191" s="81" t="str">
        <f>HYPERLINK("https://www.youtube.com/channel/UCpGm9u4iYIev-BCA7mbAt6Q", "TVBean")</f>
        <v>TVBean</v>
      </c>
      <c r="C7191" s="80" t="s">
        <v>7740</v>
      </c>
      <c r="D7191" s="81" t="str">
        <f>HYPERLINK("https://youtube.com/watch?v=Q8e7j1WOiQU", "煲仔飯$45起 | 超強性價比💥| 反通脹定價! | 秋冬之選 | 雙拼鐵板燒都係$4X | 串燒#$1X 兩串 | 西九龍中心貼地遊 | 試食進行中 | TVBean")</f>
        <v>煲仔飯$45起 | 超強性價比💥| 反通脹定價! | 秋冬之選 | 雙拼鐵板燒都係$4X | 串燒#$1X 兩串 | 西九龍中心貼地遊 | 試食進行中 | TVBean</v>
      </c>
      <c r="E7191" s="82">
        <v>45259.0</v>
      </c>
      <c r="F7191" s="80">
        <v>139.0</v>
      </c>
      <c r="G7191" s="80" t="s">
        <v>63</v>
      </c>
      <c r="I7191" s="80" t="s">
        <v>63</v>
      </c>
      <c r="J7191" s="80">
        <v>537.0</v>
      </c>
      <c r="K7191" s="80">
        <v>0.964093357271095</v>
      </c>
      <c r="L7191" s="80" t="s">
        <v>91</v>
      </c>
    </row>
    <row r="7192">
      <c r="A7192" s="80" t="s">
        <v>755</v>
      </c>
      <c r="B7192" s="81" t="str">
        <f>HYPERLINK("https://www.youtube.com/channel/UCBiJDTc82IM68KVH873VeAw", "Live in Kwangsi廣西人·情·味")</f>
        <v>Live in Kwangsi廣西人·情·味</v>
      </c>
      <c r="C7192" s="80" t="s">
        <v>7741</v>
      </c>
      <c r="D7192" s="81" t="str">
        <f>HYPERLINK("https://youtube.com/watch?v=XWh6U-hUyAw", "連南3日2夜之夜遊小城再去埋隔離嘅連州行街、參觀全國最大嘅瑤族博物館｜廣東日常實拍 20231203")</f>
        <v>連南3日2夜之夜遊小城再去埋隔離嘅連州行街、參觀全國最大嘅瑤族博物館｜廣東日常實拍 20231203</v>
      </c>
      <c r="E7192" s="82">
        <v>45268.0</v>
      </c>
      <c r="F7192" s="80">
        <v>839.0</v>
      </c>
      <c r="G7192" s="80" t="s">
        <v>63</v>
      </c>
      <c r="I7192" s="80" t="s">
        <v>63</v>
      </c>
      <c r="J7192" s="80">
        <v>1399.0</v>
      </c>
      <c r="K7192" s="80">
        <v>0.977638015373864</v>
      </c>
      <c r="L7192" s="80" t="s">
        <v>757</v>
      </c>
    </row>
    <row r="7193">
      <c r="A7193" s="80" t="s">
        <v>6817</v>
      </c>
      <c r="B7193" s="81" t="str">
        <f>HYPERLINK("https://www.youtube.com/channel/UCWo5nbifkKDRNyD2nF2KJ0Q", "陳柏宇 Jason Chan")</f>
        <v>陳柏宇 Jason Chan</v>
      </c>
      <c r="C7193" s="80" t="s">
        <v>7742</v>
      </c>
      <c r="D7193" s="81" t="str">
        <f>HYPERLINK("https://youtube.com/watch?v=AkYEc5e3yVg", "陳柏宇：我係特別矮 叱咤2023離奇下陷唔係因為坐得衰？！｜我唔要再見到有聲音 合埋口食飯 你隻眼係咪跛㗎？｜諗唔諗明之老師的廢話金句 老師：你哋唔明就啱啦！｜陳柏宇 Jason Chan（中文字幕）")</f>
        <v>陳柏宇：我係特別矮 叱咤2023離奇下陷唔係因為坐得衰？！｜我唔要再見到有聲音 合埋口食飯 你隻眼係咪跛㗎？｜諗唔諗明之老師的廢話金句 老師：你哋唔明就啱啦！｜陳柏宇 Jason Chan（中文字幕）</v>
      </c>
      <c r="E7193" s="82">
        <v>45329.0</v>
      </c>
      <c r="F7193" s="80">
        <v>573.0</v>
      </c>
      <c r="G7193" s="80" t="s">
        <v>63</v>
      </c>
      <c r="I7193" s="80" t="s">
        <v>63</v>
      </c>
      <c r="J7193" s="80">
        <v>1590.0</v>
      </c>
      <c r="K7193" s="80">
        <v>0.958986731001206</v>
      </c>
      <c r="L7193" s="80" t="s">
        <v>102</v>
      </c>
    </row>
    <row r="7194">
      <c r="A7194" s="80" t="s">
        <v>755</v>
      </c>
      <c r="B7194" s="81" t="str">
        <f>HYPERLINK("https://www.youtube.com/channel/UCBiJDTc82IM68KVH873VeAw", "Live in Kwangsi廣西人·情·味")</f>
        <v>Live in Kwangsi廣西人·情·味</v>
      </c>
      <c r="C7194" s="80" t="s">
        <v>7743</v>
      </c>
      <c r="D7194" s="81" t="str">
        <f>HYPERLINK("https://youtube.com/watch?v=TiK3DWz7n6Q", "冬日探訪恭城百年銀杏樹之旅：途經鍾山縣兩安鄉、恭城縣三江鄉｜廣西美景 20231113")</f>
        <v>冬日探訪恭城百年銀杏樹之旅：途經鍾山縣兩安鄉、恭城縣三江鄉｜廣西美景 20231113</v>
      </c>
      <c r="E7194" s="82">
        <v>45261.0</v>
      </c>
      <c r="F7194" s="80">
        <v>343.0</v>
      </c>
      <c r="G7194" s="80" t="s">
        <v>63</v>
      </c>
      <c r="I7194" s="80" t="s">
        <v>63</v>
      </c>
      <c r="J7194" s="80">
        <v>919.0</v>
      </c>
      <c r="K7194" s="80">
        <v>0.990301724137931</v>
      </c>
      <c r="L7194" s="80" t="s">
        <v>757</v>
      </c>
    </row>
    <row r="7195">
      <c r="A7195" s="80" t="s">
        <v>1670</v>
      </c>
      <c r="B7195" s="81" t="str">
        <f>HYPERLINK("https://www.youtube.com/channel/UC-PIt5m-WOg8UVBkt2RnN0g", "阿JACK睇樓團")</f>
        <v>阿JACK睇樓團</v>
      </c>
      <c r="C7195" s="80" t="s">
        <v>7744</v>
      </c>
      <c r="D7195" s="81" t="str">
        <f>HYPERLINK("https://youtube.com/watch?v=6tLmXtj9y5I", "445萬🔥千呎總面積丨原3房+天台+電車位丨9成按揭丨不過要裝修丨阿JACK睇樓團 丨車位丨低密度住宅")</f>
        <v>445萬🔥千呎總面積丨原3房+天台+電車位丨9成按揭丨不過要裝修丨阿JACK睇樓團 丨車位丨低密度住宅</v>
      </c>
      <c r="E7195" s="82">
        <v>45323.0</v>
      </c>
      <c r="F7195" s="80">
        <v>615.0</v>
      </c>
      <c r="G7195" s="80" t="s">
        <v>63</v>
      </c>
      <c r="I7195" s="80" t="s">
        <v>63</v>
      </c>
      <c r="J7195" s="80">
        <v>2404.0</v>
      </c>
      <c r="K7195" s="80">
        <v>0.992978108219743</v>
      </c>
      <c r="L7195" s="80" t="s">
        <v>521</v>
      </c>
    </row>
    <row r="7196">
      <c r="A7196" s="80" t="s">
        <v>7607</v>
      </c>
      <c r="B7196" s="81" t="str">
        <f>HYPERLINK("https://www.youtube.com/channel/UCpGm9u4iYIev-BCA7mbAt6Q", "TVBean")</f>
        <v>TVBean</v>
      </c>
      <c r="C7196" s="80" t="s">
        <v>7745</v>
      </c>
      <c r="D7196" s="81" t="str">
        <f>HYPERLINK("https://youtube.com/watch?v=Om-ceJan9JQ", "突發!! | 嚇親寶寶 新年倒數 | 熱搜優惠益街坊 | 全港最平超市!! | 超過60款賀年食品、用品、優惠推介 | 良心超市 | 必買推介 | CC字幕 | TVBean")</f>
        <v>突發!! | 嚇親寶寶 新年倒數 | 熱搜優惠益街坊 | 全港最平超市!! | 超過60款賀年食品、用品、優惠推介 | 良心超市 | 必買推介 | CC字幕 | TVBean</v>
      </c>
      <c r="E7196" s="82">
        <v>45312.0</v>
      </c>
      <c r="F7196" s="80">
        <v>1283.0</v>
      </c>
      <c r="G7196" s="80" t="s">
        <v>63</v>
      </c>
      <c r="I7196" s="80" t="s">
        <v>63</v>
      </c>
      <c r="J7196" s="80">
        <v>3154.0</v>
      </c>
      <c r="K7196" s="80">
        <v>0.954022988505747</v>
      </c>
      <c r="L7196" s="80" t="s">
        <v>91</v>
      </c>
    </row>
    <row r="7197">
      <c r="A7197" s="80" t="s">
        <v>3051</v>
      </c>
      <c r="B7197" s="81" t="str">
        <f>HYPERLINK("https://www.youtube.com/channel/UCvE0FPIL24o2mnUQIqcSHYA", "柴犬春卷的英國日常 Shiba Harumaki in UK")</f>
        <v>柴犬春卷的英國日常 Shiba Harumaki in UK</v>
      </c>
      <c r="C7197" s="80" t="s">
        <v>7746</v>
      </c>
      <c r="D7197" s="81" t="str">
        <f>HYPERLINK("https://youtube.com/watch?v=bSLW6gweGQY", "【短途旅遊推介】快遊英國蘇格蘭愛丁堡Edinburgh｜後悔來得太遲｜狗狗都可以行商場｜絕對不能錯過的城市 #英國旅行 #英國生活 #vlog")</f>
        <v>【短途旅遊推介】快遊英國蘇格蘭愛丁堡Edinburgh｜後悔來得太遲｜狗狗都可以行商場｜絕對不能錯過的城市 #英國旅行 #英國生活 #vlog</v>
      </c>
      <c r="E7197" s="82">
        <v>45257.0</v>
      </c>
      <c r="F7197" s="80">
        <v>1478.0</v>
      </c>
      <c r="G7197" s="80" t="s">
        <v>63</v>
      </c>
      <c r="I7197" s="80" t="s">
        <v>63</v>
      </c>
      <c r="J7197" s="80">
        <v>4742.0</v>
      </c>
      <c r="K7197" s="80">
        <v>0.919526856699631</v>
      </c>
      <c r="L7197" s="80" t="s">
        <v>64</v>
      </c>
    </row>
    <row r="7198">
      <c r="A7198" s="80" t="s">
        <v>6817</v>
      </c>
      <c r="B7198" s="81" t="str">
        <f>HYPERLINK("https://www.youtube.com/channel/UCWo5nbifkKDRNyD2nF2KJ0Q", "陳柏宇 Jason Chan")</f>
        <v>陳柏宇 Jason Chan</v>
      </c>
      <c r="C7198" s="80" t="s">
        <v>7747</v>
      </c>
      <c r="D7198" s="81" t="str">
        <f>HYPERLINK("https://youtube.com/watch?v=RVW6DVuRkhw", "陳柏宇太多嘢講 返學被邀每日個人演講｜老師話自己嫁得好 因爲奶奶一早瓜咗？！｜老師教：齋咬唔吞 陳伯：我試過含住唔吞冇快感？！｜諗唔諗明之學校篇 老師，你究竟講乜｜陳柏宇JasonChan（中文字幕）")</f>
        <v>陳柏宇太多嘢講 返學被邀每日個人演講｜老師話自己嫁得好 因爲奶奶一早瓜咗？！｜老師教：齋咬唔吞 陳伯：我試過含住唔吞冇快感？！｜諗唔諗明之學校篇 老師，你究竟講乜｜陳柏宇JasonChan（中文字幕）</v>
      </c>
      <c r="E7198" s="82">
        <v>45322.0</v>
      </c>
      <c r="F7198" s="80">
        <v>565.0</v>
      </c>
      <c r="G7198" s="80" t="s">
        <v>63</v>
      </c>
      <c r="I7198" s="80" t="s">
        <v>63</v>
      </c>
      <c r="J7198" s="80">
        <v>1792.0</v>
      </c>
      <c r="K7198" s="80">
        <v>0.987872105843439</v>
      </c>
      <c r="L7198" s="80" t="s">
        <v>102</v>
      </c>
    </row>
    <row r="7199">
      <c r="A7199" s="80" t="s">
        <v>217</v>
      </c>
      <c r="B7199" s="81" t="str">
        <f>HYPERLINK("https://www.youtube.com/channel/UCXKg0qPRz32bs5Z4mTGF3TQ", "Stormtrooper白兵")</f>
        <v>Stormtrooper白兵</v>
      </c>
      <c r="C7199" s="80" t="s">
        <v>7748</v>
      </c>
      <c r="D7199" s="81" t="str">
        <f>HYPERLINK("https://youtube.com/watch?v=4PXUk2DlT00", "[大量醫學實證]食鈣片＝防骨質疏鬆？反而令你生腎石、風濕、心血管病！｜教你2招免費補鈣大法｜不是陰謀論｜中文字幕")</f>
        <v>[大量醫學實證]食鈣片＝防骨質疏鬆？反而令你生腎石、風濕、心血管病！｜教你2招免費補鈣大法｜不是陰謀論｜中文字幕</v>
      </c>
      <c r="E7199" s="82">
        <v>45267.0</v>
      </c>
      <c r="F7199" s="80">
        <v>922.0</v>
      </c>
      <c r="G7199" s="80" t="s">
        <v>63</v>
      </c>
      <c r="I7199" s="80" t="s">
        <v>63</v>
      </c>
      <c r="J7199" s="80">
        <v>3446.0</v>
      </c>
      <c r="K7199" s="80">
        <v>0.924108340037543</v>
      </c>
      <c r="L7199" s="80" t="s">
        <v>64</v>
      </c>
    </row>
    <row r="7200">
      <c r="A7200" s="80" t="s">
        <v>3255</v>
      </c>
      <c r="B7200" s="81" t="str">
        <f>HYPERLINK("https://www.youtube.com/channel/UC-RAzAVCKwf_o0XUlmoWGuQ", "半職人妻 Halfwife")</f>
        <v>半職人妻 Halfwife</v>
      </c>
      <c r="C7200" s="80" t="s">
        <v>7749</v>
      </c>
      <c r="D7200" s="81" t="str">
        <f>HYPERLINK("https://youtube.com/watch?v=khmDPlEUwAY", "珠海御溫泉♨️3日2夜自駕遊｜港車北上｜農家菜泥燴雞｜景山滑道｜環宇城｜半職人妻")</f>
        <v>珠海御溫泉♨️3日2夜自駕遊｜港車北上｜農家菜泥燴雞｜景山滑道｜環宇城｜半職人妻</v>
      </c>
      <c r="E7200" s="82">
        <v>45274.0</v>
      </c>
      <c r="F7200" s="80">
        <v>1063.0</v>
      </c>
      <c r="G7200" s="80" t="s">
        <v>63</v>
      </c>
      <c r="I7200" s="80" t="s">
        <v>63</v>
      </c>
      <c r="J7200" s="80">
        <v>2829.0</v>
      </c>
      <c r="K7200" s="80">
        <v>0.965858654831</v>
      </c>
      <c r="L7200" s="80" t="s">
        <v>64</v>
      </c>
    </row>
    <row r="7201">
      <c r="A7201" s="80" t="s">
        <v>2829</v>
      </c>
      <c r="B7201" s="81" t="str">
        <f>HYPERLINK("https://www.youtube.com/channel/UC7GnES6AEQlDzaP04UqtyjA", "SOLID IDEA")</f>
        <v>SOLID IDEA</v>
      </c>
      <c r="C7201" s="80" t="s">
        <v>7750</v>
      </c>
      <c r="D7201" s="81" t="str">
        <f>HYPERLINK("https://youtube.com/watch?v=BTU7UE7OPAY", "【設計 • idea】 鑽石山．啟鑽苑｜376呎｜ 居屋1房子人住！｜設計 • idea｜Solid Idea｜室內設計｜家居規劃｜星級設計｜［CC字幕］")</f>
        <v>【設計 • idea】 鑽石山．啟鑽苑｜376呎｜ 居屋1房子人住！｜設計 • idea｜Solid Idea｜室內設計｜家居規劃｜星級設計｜［CC字幕］</v>
      </c>
      <c r="E7201" s="82">
        <v>45314.0</v>
      </c>
      <c r="F7201" s="80">
        <v>171.0</v>
      </c>
      <c r="G7201" s="80" t="s">
        <v>63</v>
      </c>
      <c r="I7201" s="80" t="s">
        <v>63</v>
      </c>
      <c r="J7201" s="80">
        <v>643.0</v>
      </c>
      <c r="K7201" s="80">
        <v>0.998447204968944</v>
      </c>
      <c r="L7201" s="80" t="s">
        <v>64</v>
      </c>
    </row>
    <row r="7202">
      <c r="A7202" s="80" t="s">
        <v>288</v>
      </c>
      <c r="B7202" s="81" t="str">
        <f>HYPERLINK("https://www.youtube.com/channel/UCDWOYEhVnyD4IHZGVAMLc0g", "Brendan 毛爸")</f>
        <v>Brendan 毛爸</v>
      </c>
      <c r="C7202" s="80" t="s">
        <v>7751</v>
      </c>
      <c r="D7202" s="81" t="str">
        <f>HYPERLINK("https://youtube.com/watch?v=V8YivfHXumg", "『件魚生呢？！淨係得舊壽司飯？！』炸蝦小山丘 $27丨邊隻蝦最抵食？丨鰻魚肝 鮟鱇魚肝丨冰凍梅酒丨 @壽司郎(屯門)【毛爸回港EP6 含CC字幕】")</f>
        <v>『件魚生呢？！淨係得舊壽司飯？！』炸蝦小山丘 $27丨邊隻蝦最抵食？丨鰻魚肝 鮟鱇魚肝丨冰凍梅酒丨 @壽司郎(屯門)【毛爸回港EP6 含CC字幕】</v>
      </c>
      <c r="E7202" s="82">
        <v>45261.0</v>
      </c>
      <c r="F7202" s="80">
        <v>485.0</v>
      </c>
      <c r="G7202" s="80" t="s">
        <v>63</v>
      </c>
      <c r="I7202" s="80" t="s">
        <v>63</v>
      </c>
      <c r="J7202" s="80">
        <v>1587.0</v>
      </c>
      <c r="K7202" s="80">
        <v>0.970642201834862</v>
      </c>
      <c r="L7202" s="80" t="s">
        <v>64</v>
      </c>
    </row>
    <row r="7203">
      <c r="A7203" s="80" t="s">
        <v>1670</v>
      </c>
      <c r="B7203" s="81" t="str">
        <f>HYPERLINK("https://www.youtube.com/channel/UC-PIt5m-WOg8UVBkt2RnN0g", "阿JACK睇樓團")</f>
        <v>阿JACK睇樓團</v>
      </c>
      <c r="C7203" s="80" t="s">
        <v>7752</v>
      </c>
      <c r="D7203" s="81" t="str">
        <f>HYPERLINK("https://youtube.com/watch?v=IIfyDyzCUjw", "先減100萬丨八成按揭買洋房丨好似去咗度假屋咁🙈有feel丨阿JACK睇樓團 丨四季雅苑丨洋房別墅丨車位")</f>
        <v>先減100萬丨八成按揭買洋房丨好似去咗度假屋咁🙈有feel丨阿JACK睇樓團 丨四季雅苑丨洋房別墅丨車位</v>
      </c>
      <c r="E7203" s="82">
        <v>45319.0</v>
      </c>
      <c r="F7203" s="80">
        <v>603.0</v>
      </c>
      <c r="G7203" s="80" t="s">
        <v>63</v>
      </c>
      <c r="I7203" s="80" t="s">
        <v>63</v>
      </c>
      <c r="J7203" s="80">
        <v>2507.0</v>
      </c>
      <c r="K7203" s="80">
        <v>0.980829420970266</v>
      </c>
      <c r="L7203" s="80" t="s">
        <v>7753</v>
      </c>
    </row>
    <row r="7204">
      <c r="A7204" s="80" t="s">
        <v>6960</v>
      </c>
      <c r="B7204" s="81" t="str">
        <f>HYPERLINK("https://www.youtube.com/channel/UCQS2_zzisMq5C_FggxsQwTQ", "Comprehensible Cantonese")</f>
        <v>Comprehensible Cantonese</v>
      </c>
      <c r="C7204" s="80" t="s">
        <v>7754</v>
      </c>
      <c r="D7204" s="81" t="str">
        <f>HYPERLINK("https://youtube.com/watch?v=JqHEdbyJtvI", "[CC] 廣東話 Story: Don't Make the Same Mistake as Yan's Friend |Slow &amp; Clear Cantonese | Basic Beginner")</f>
        <v>[CC] 廣東話 Story: Don't Make the Same Mistake as Yan's Friend |Slow &amp; Clear Cantonese | Basic Beginner</v>
      </c>
      <c r="E7204" s="82">
        <v>45303.0</v>
      </c>
      <c r="F7204" s="80">
        <v>238.0</v>
      </c>
      <c r="G7204" s="80" t="s">
        <v>63</v>
      </c>
      <c r="I7204" s="80" t="s">
        <v>63</v>
      </c>
      <c r="J7204" s="80">
        <v>422.0</v>
      </c>
      <c r="K7204" s="80">
        <v>0.90752688172043</v>
      </c>
      <c r="L7204" s="80" t="s">
        <v>102</v>
      </c>
    </row>
    <row r="7205">
      <c r="A7205" s="80" t="s">
        <v>5301</v>
      </c>
      <c r="B7205" s="81" t="str">
        <f>HYPERLINK("https://www.youtube.com/channel/UCTH_IecfGTuKdew5dTb_D6A", "BOYS' CHOIR")</f>
        <v>BOYS' CHOIR</v>
      </c>
      <c r="C7205" s="80" t="s">
        <v>7755</v>
      </c>
      <c r="D7205" s="81" t="str">
        <f>HYPERLINK("https://youtube.com/watch?v=KSkBZsNrZGo", "Stankè - Banquet Feat. Grymeman (Audio)")</f>
        <v>Stankè - Banquet Feat. Grymeman (Audio)</v>
      </c>
      <c r="E7205" s="82">
        <v>45284.0</v>
      </c>
      <c r="F7205" s="80">
        <v>191.0</v>
      </c>
      <c r="G7205" s="80" t="s">
        <v>63</v>
      </c>
      <c r="I7205" s="80" t="s">
        <v>63</v>
      </c>
      <c r="J7205" s="80">
        <v>589.0</v>
      </c>
      <c r="K7205" s="80">
        <v>0.645833333333333</v>
      </c>
      <c r="L7205" s="80" t="s">
        <v>64</v>
      </c>
    </row>
    <row r="7206">
      <c r="A7206" s="80" t="s">
        <v>6960</v>
      </c>
      <c r="B7206" s="81" t="str">
        <f>HYPERLINK("https://www.youtube.com/channel/UCQS2_zzisMq5C_FggxsQwTQ", "Comprehensible Cantonese")</f>
        <v>Comprehensible Cantonese</v>
      </c>
      <c r="C7206" s="80" t="s">
        <v>7756</v>
      </c>
      <c r="D7206" s="81" t="str">
        <f>HYPERLINK("https://youtube.com/watch?v=6ZlaEevwZoo", "[CC] 廣東話 Personal Story: My First Job was a Nightmare| Cantonese Story| Intermediate Cantonese")</f>
        <v>[CC] 廣東話 Personal Story: My First Job was a Nightmare| Cantonese Story| Intermediate Cantonese</v>
      </c>
      <c r="E7206" s="82">
        <v>45296.0</v>
      </c>
      <c r="F7206" s="80">
        <v>409.0</v>
      </c>
      <c r="G7206" s="80" t="s">
        <v>63</v>
      </c>
      <c r="I7206" s="80" t="s">
        <v>63</v>
      </c>
      <c r="J7206" s="80">
        <v>1118.0</v>
      </c>
      <c r="K7206" s="80">
        <v>0.871395167575993</v>
      </c>
      <c r="L7206" s="80" t="s">
        <v>102</v>
      </c>
    </row>
    <row r="7207">
      <c r="A7207" s="80" t="s">
        <v>7607</v>
      </c>
      <c r="B7207" s="81" t="str">
        <f>HYPERLINK("https://www.youtube.com/channel/UCpGm9u4iYIev-BCA7mbAt6Q", "TVBean")</f>
        <v>TVBean</v>
      </c>
      <c r="C7207" s="80" t="s">
        <v>7757</v>
      </c>
      <c r="D7207" s="81" t="str">
        <f>HYPERLINK("https://youtube.com/watch?v=Udkkx1lLBR4", "新開張突發!! | 全港最平超市 | 網民熱搜爆推 | 唔係親眼見你都唔信!! | 超過50款抵買推介 | 仲抵過山姆 | 真係好離譜!! | TVBean")</f>
        <v>新開張突發!! | 全港最平超市 | 網民熱搜爆推 | 唔係親眼見你都唔信!! | 超過50款抵買推介 | 仲抵過山姆 | 真係好離譜!! | TVBean</v>
      </c>
      <c r="E7207" s="82">
        <v>45300.0</v>
      </c>
      <c r="F7207" s="80">
        <v>1418.0</v>
      </c>
      <c r="G7207" s="80" t="s">
        <v>63</v>
      </c>
      <c r="I7207" s="80" t="s">
        <v>63</v>
      </c>
      <c r="J7207" s="80">
        <v>4312.0</v>
      </c>
      <c r="K7207" s="80">
        <v>0.972046889089269</v>
      </c>
      <c r="L7207" s="80" t="s">
        <v>91</v>
      </c>
    </row>
    <row r="7208">
      <c r="A7208" s="80" t="s">
        <v>217</v>
      </c>
      <c r="B7208" s="81" t="str">
        <f>HYPERLINK("https://www.youtube.com/channel/UCXKg0qPRz32bs5Z4mTGF3TQ", "Stormtrooper白兵")</f>
        <v>Stormtrooper白兵</v>
      </c>
      <c r="C7208" s="80" t="s">
        <v>7758</v>
      </c>
      <c r="D7208" s="81" t="str">
        <f>HYPERLINK("https://youtube.com/watch?v=dODulcRb-Ik", "[百病之源]糖尿病如何引發癌症等疾病？｜如何靠改變飲食，搞掂糖尿病？｜慢性炎症如何引致癌症？｜不是陰謀論｜中文字幕")</f>
        <v>[百病之源]糖尿病如何引發癌症等疾病？｜如何靠改變飲食，搞掂糖尿病？｜慢性炎症如何引致癌症？｜不是陰謀論｜中文字幕</v>
      </c>
      <c r="E7208" s="82">
        <v>45302.0</v>
      </c>
      <c r="F7208" s="80">
        <v>821.0</v>
      </c>
      <c r="G7208" s="80" t="s">
        <v>63</v>
      </c>
      <c r="I7208" s="80" t="s">
        <v>63</v>
      </c>
      <c r="J7208" s="80">
        <v>3319.0</v>
      </c>
      <c r="K7208" s="80">
        <v>0.938896746817538</v>
      </c>
      <c r="L7208" s="80" t="s">
        <v>64</v>
      </c>
    </row>
    <row r="7209">
      <c r="A7209" s="80" t="s">
        <v>6892</v>
      </c>
      <c r="B7209" s="81" t="str">
        <f>HYPERLINK("https://www.youtube.com/channel/UC8_hxeY0nDCL-8ETbcGUZ9g", "PT食為先")</f>
        <v>PT食為先</v>
      </c>
      <c r="C7209" s="80" t="s">
        <v>7759</v>
      </c>
      <c r="D7209" s="81" t="str">
        <f>HYPERLINK("https://youtube.com/watch?v=quxoZKuoM7s", "[PT自費食評] IG熱話＋排隊名店：實測3間主打食飯嘅餐廳！")</f>
        <v>[PT自費食評] IG熱話＋排隊名店：實測3間主打食飯嘅餐廳！</v>
      </c>
      <c r="E7209" s="82">
        <v>45322.0</v>
      </c>
      <c r="F7209" s="80">
        <v>700.0</v>
      </c>
      <c r="G7209" s="80" t="s">
        <v>63</v>
      </c>
      <c r="I7209" s="80" t="s">
        <v>63</v>
      </c>
      <c r="J7209" s="80">
        <v>1938.0</v>
      </c>
      <c r="K7209" s="80">
        <v>0.973869346733668</v>
      </c>
      <c r="L7209" s="80" t="s">
        <v>64</v>
      </c>
    </row>
    <row r="7210">
      <c r="A7210" s="80" t="s">
        <v>242</v>
      </c>
      <c r="B7210" s="81" t="str">
        <f>HYPERLINK("https://www.youtube.com/channel/UCZGVB6g74LXWtkR3fX50ykg", "Edwin H.")</f>
        <v>Edwin H.</v>
      </c>
      <c r="C7210" s="80" t="s">
        <v>7760</v>
      </c>
      <c r="D7210" s="81" t="str">
        <f>HYPERLINK("https://youtube.com/watch?v=jPg_UYoFXeI", "移民8個月，我後悔...")</f>
        <v>移民8個月，我後悔...</v>
      </c>
      <c r="E7210" s="82">
        <v>45330.0</v>
      </c>
      <c r="F7210" s="80">
        <v>1590.0</v>
      </c>
      <c r="G7210" s="80" t="s">
        <v>63</v>
      </c>
      <c r="I7210" s="80" t="s">
        <v>63</v>
      </c>
      <c r="J7210" s="80">
        <v>7265.0</v>
      </c>
      <c r="K7210" s="80">
        <v>0.864160818365647</v>
      </c>
      <c r="L7210" s="80" t="s">
        <v>64</v>
      </c>
    </row>
    <row r="7211">
      <c r="A7211" s="80" t="s">
        <v>2785</v>
      </c>
      <c r="B7211" s="81" t="str">
        <f>HYPERLINK("https://www.youtube.com/channel/UC_w7pV_Xz9XO0ChNFxMtV0w", "MPWeekly明周")</f>
        <v>MPWeekly明周</v>
      </c>
      <c r="C7211" s="80" t="s">
        <v>7761</v>
      </c>
      <c r="D7211" s="81" t="str">
        <f>HYPERLINK("https://youtube.com/watch?v=5aYZWFLMmcA", "混入茶記聽「Man姐」民意 佘詩曼結婚首要條件 ｜ 明周封面人物")</f>
        <v>混入茶記聽「Man姐」民意 佘詩曼結婚首要條件 ｜ 明周封面人物</v>
      </c>
      <c r="E7211" s="82">
        <v>45285.0</v>
      </c>
      <c r="F7211" s="80">
        <v>157.0</v>
      </c>
      <c r="G7211" s="80" t="s">
        <v>63</v>
      </c>
      <c r="I7211" s="80" t="s">
        <v>63</v>
      </c>
      <c r="J7211" s="80">
        <v>330.0</v>
      </c>
      <c r="K7211" s="80">
        <v>0.967741935483871</v>
      </c>
      <c r="L7211" s="80" t="s">
        <v>64</v>
      </c>
    </row>
    <row r="7212">
      <c r="A7212" s="80" t="s">
        <v>6169</v>
      </c>
      <c r="B7212" s="81" t="str">
        <f>HYPERLINK("https://www.youtube.com/channel/UC8UAj9wPCBdyd709kD0eEFQ", "P3NTATON1C MUSIC")</f>
        <v>P3NTATON1C MUSIC</v>
      </c>
      <c r="C7212" s="80" t="s">
        <v>7762</v>
      </c>
      <c r="D7212" s="81" t="str">
        <f>HYPERLINK("https://youtube.com/watch?v=myANyhOVOJk", "Z - 8. DEEP BREATH (Official Audio)")</f>
        <v>Z - 8. DEEP BREATH (Official Audio)</v>
      </c>
      <c r="E7212" s="82">
        <v>45292.0</v>
      </c>
      <c r="F7212" s="80">
        <v>170.0</v>
      </c>
      <c r="G7212" s="80" t="s">
        <v>63</v>
      </c>
      <c r="I7212" s="80" t="s">
        <v>63</v>
      </c>
      <c r="J7212" s="80">
        <v>253.0</v>
      </c>
      <c r="K7212" s="80">
        <v>0.502982107355864</v>
      </c>
      <c r="L7212" s="80" t="s">
        <v>64</v>
      </c>
    </row>
    <row r="7213">
      <c r="A7213" s="80" t="s">
        <v>7607</v>
      </c>
      <c r="B7213" s="81" t="str">
        <f>HYPERLINK("https://www.youtube.com/channel/UCpGm9u4iYIev-BCA7mbAt6Q", "TVBean")</f>
        <v>TVBean</v>
      </c>
      <c r="C7213" s="80" t="s">
        <v>7763</v>
      </c>
      <c r="D7213" s="81" t="str">
        <f>HYPERLINK("https://youtube.com/watch?v=3ltPzIeT16Q", "挑戰譚仔三哥 | $98 米線火鍋套餐 | 有無中伏?? | cc宇幕 |試食進行中 | TVBean")</f>
        <v>挑戰譚仔三哥 | $98 米線火鍋套餐 | 有無中伏?? | cc宇幕 |試食進行中 | TVBean</v>
      </c>
      <c r="E7213" s="82">
        <v>45278.0</v>
      </c>
      <c r="F7213" s="80">
        <v>485.0</v>
      </c>
      <c r="G7213" s="80" t="s">
        <v>63</v>
      </c>
      <c r="I7213" s="80" t="s">
        <v>63</v>
      </c>
      <c r="J7213" s="80">
        <v>1688.0</v>
      </c>
      <c r="K7213" s="80">
        <v>0.965675057208238</v>
      </c>
      <c r="L7213" s="80" t="s">
        <v>91</v>
      </c>
    </row>
    <row r="7214">
      <c r="A7214" s="80" t="s">
        <v>5301</v>
      </c>
      <c r="B7214" s="81" t="str">
        <f>HYPERLINK("https://www.youtube.com/channel/UCTH_IecfGTuKdew5dTb_D6A", "BOYS' CHOIR")</f>
        <v>BOYS' CHOIR</v>
      </c>
      <c r="C7214" s="80" t="s">
        <v>7764</v>
      </c>
      <c r="D7214" s="81" t="str">
        <f>HYPERLINK("https://youtube.com/watch?v=C4L63AGn5PU", "Stankè - B mode (Audio)")</f>
        <v>Stankè - B mode (Audio)</v>
      </c>
      <c r="E7214" s="82">
        <v>45284.0</v>
      </c>
      <c r="F7214" s="80">
        <v>203.0</v>
      </c>
      <c r="G7214" s="80" t="s">
        <v>63</v>
      </c>
      <c r="I7214" s="80" t="s">
        <v>63</v>
      </c>
      <c r="J7214" s="80">
        <v>277.0</v>
      </c>
      <c r="K7214" s="80">
        <v>0.150707290533188</v>
      </c>
      <c r="L7214" s="80" t="s">
        <v>64</v>
      </c>
    </row>
    <row r="7215">
      <c r="A7215" s="80" t="s">
        <v>6960</v>
      </c>
      <c r="B7215" s="81" t="str">
        <f>HYPERLINK("https://www.youtube.com/channel/UCQS2_zzisMq5C_FggxsQwTQ", "Comprehensible Cantonese")</f>
        <v>Comprehensible Cantonese</v>
      </c>
      <c r="C7215" s="80" t="s">
        <v>7765</v>
      </c>
      <c r="D7215" s="81" t="str">
        <f>HYPERLINK("https://youtube.com/watch?v=WMkN-k_D0HM", "[CC] 廣東話 Useful Cantonese with Candy (Ep. 1) | Slow and Clear Cantonese| Advanced Beginner Cantonese")</f>
        <v>[CC] 廣東話 Useful Cantonese with Candy (Ep. 1) | Slow and Clear Cantonese| Advanced Beginner Cantonese</v>
      </c>
      <c r="E7215" s="82">
        <v>45274.0</v>
      </c>
      <c r="F7215" s="80">
        <v>89.0</v>
      </c>
      <c r="G7215" s="80" t="s">
        <v>63</v>
      </c>
      <c r="I7215" s="80" t="s">
        <v>63</v>
      </c>
      <c r="J7215" s="80">
        <v>201.0</v>
      </c>
      <c r="K7215" s="80">
        <v>0.948113207547169</v>
      </c>
      <c r="L7215" s="80" t="s">
        <v>102</v>
      </c>
    </row>
    <row r="7216">
      <c r="A7216" s="80" t="s">
        <v>242</v>
      </c>
      <c r="B7216" s="81" t="str">
        <f>HYPERLINK("https://www.youtube.com/channel/UCZGVB6g74LXWtkR3fX50ykg", "Edwin H.")</f>
        <v>Edwin H.</v>
      </c>
      <c r="C7216" s="80" t="s">
        <v>7766</v>
      </c>
      <c r="D7216" s="81" t="str">
        <f>HYPERLINK("https://youtube.com/watch?v=WhxRLK_gR3s", "🤯 AI科技可令你變長 😳 CES 2024 終極懶人包 全集 Part 2 🚄 2024 年度必睇科技新品")</f>
        <v>🤯 AI科技可令你變長 😳 CES 2024 終極懶人包 全集 Part 2 🚄 2024 年度必睇科技新品</v>
      </c>
      <c r="E7216" s="82">
        <v>45310.0</v>
      </c>
      <c r="F7216" s="80">
        <v>1578.0</v>
      </c>
      <c r="G7216" s="80" t="s">
        <v>63</v>
      </c>
      <c r="I7216" s="80" t="s">
        <v>63</v>
      </c>
      <c r="J7216" s="80">
        <v>7315.0</v>
      </c>
      <c r="K7216" s="80">
        <v>0.78428219148708</v>
      </c>
      <c r="L7216" s="80" t="s">
        <v>64</v>
      </c>
    </row>
    <row r="7217">
      <c r="A7217" s="80" t="s">
        <v>755</v>
      </c>
      <c r="B7217" s="81" t="str">
        <f>HYPERLINK("https://www.youtube.com/channel/UCBiJDTc82IM68KVH873VeAw", "Live in Kwangsi廣西人·情·味")</f>
        <v>Live in Kwangsi廣西人·情·味</v>
      </c>
      <c r="C7217" s="80" t="s">
        <v>7767</v>
      </c>
      <c r="D7217" s="81" t="str">
        <f>HYPERLINK("https://youtube.com/watch?v=c104rnelD7E", "連山縣蒙峒古村：嶺南民族特色村｜廣東日常實拍 20231127")</f>
        <v>連山縣蒙峒古村：嶺南民族特色村｜廣東日常實拍 20231127</v>
      </c>
      <c r="E7217" s="82">
        <v>45284.0</v>
      </c>
      <c r="F7217" s="80">
        <v>157.0</v>
      </c>
      <c r="G7217" s="80" t="s">
        <v>63</v>
      </c>
      <c r="I7217" s="80" t="s">
        <v>63</v>
      </c>
      <c r="J7217" s="80">
        <v>286.0</v>
      </c>
      <c r="K7217" s="80">
        <v>1.0</v>
      </c>
      <c r="L7217" s="80" t="s">
        <v>757</v>
      </c>
    </row>
    <row r="7218">
      <c r="A7218" s="80" t="s">
        <v>7607</v>
      </c>
      <c r="B7218" s="81" t="str">
        <f>HYPERLINK("https://www.youtube.com/channel/UCpGm9u4iYIev-BCA7mbAt6Q", "TVBean")</f>
        <v>TVBean</v>
      </c>
      <c r="C7218" s="80" t="s">
        <v>7768</v>
      </c>
      <c r="D7218" s="81" t="str">
        <f>HYPERLINK("https://youtube.com/watch?v=dD8jtKV3CNY", "觀塘夜🌙繽紛 | 有無畀人昆😨 | 25/1-16/2 突發‼️| 超過50個夜市攤位全推介 | TVBean")</f>
        <v>觀塘夜🌙繽紛 | 有無畀人昆😨 | 25/1-16/2 突發‼️| 超過50個夜市攤位全推介 | TVBean</v>
      </c>
      <c r="E7218" s="82">
        <v>45320.0</v>
      </c>
      <c r="F7218" s="80">
        <v>1412.0</v>
      </c>
      <c r="G7218" s="80" t="s">
        <v>63</v>
      </c>
      <c r="I7218" s="80" t="s">
        <v>63</v>
      </c>
      <c r="J7218" s="80">
        <v>4414.0</v>
      </c>
      <c r="K7218" s="80">
        <v>0.973104056437389</v>
      </c>
      <c r="L7218" s="80" t="s">
        <v>91</v>
      </c>
    </row>
    <row r="7219">
      <c r="A7219" s="80" t="s">
        <v>96</v>
      </c>
      <c r="B7219" s="81" t="str">
        <f>HYPERLINK("https://www.youtube.com/channel/UCGtyHJ-L_4RDIHe3XaLofQQ", "Anson Cheung")</f>
        <v>Anson Cheung</v>
      </c>
      <c r="C7219" s="80" t="s">
        <v>7769</v>
      </c>
      <c r="D7219" s="81" t="str">
        <f>HYPERLINK("https://youtube.com/watch?v=Qy1QwdJERDI", "不是 2023 科技產品聖誕禮物推介：近來用過6件好用/得意的科技產品")</f>
        <v>不是 2023 科技產品聖誕禮物推介：近來用過6件好用/得意的科技產品</v>
      </c>
      <c r="E7219" s="82">
        <v>45282.0</v>
      </c>
      <c r="F7219" s="80">
        <v>661.0</v>
      </c>
      <c r="G7219" s="80" t="s">
        <v>63</v>
      </c>
      <c r="I7219" s="80" t="s">
        <v>63</v>
      </c>
      <c r="J7219" s="80">
        <v>2462.0</v>
      </c>
      <c r="K7219" s="80">
        <v>0.637823834196891</v>
      </c>
      <c r="L7219" s="80" t="s">
        <v>102</v>
      </c>
    </row>
    <row r="7220">
      <c r="A7220" s="80" t="s">
        <v>6169</v>
      </c>
      <c r="B7220" s="81" t="str">
        <f>HYPERLINK("https://www.youtube.com/channel/UC8UAj9wPCBdyd709kD0eEFQ", "P3NTATON1C MUSIC")</f>
        <v>P3NTATON1C MUSIC</v>
      </c>
      <c r="C7220" s="80" t="s">
        <v>7770</v>
      </c>
      <c r="D7220" s="81" t="str">
        <f>HYPERLINK("https://youtube.com/watch?v=JXd-spsjxUg", "Z - 10. BLEU DE CHANEL (Official Audio)")</f>
        <v>Z - 10. BLEU DE CHANEL (Official Audio)</v>
      </c>
      <c r="E7220" s="82">
        <v>45292.0</v>
      </c>
      <c r="F7220" s="80">
        <v>167.0</v>
      </c>
      <c r="G7220" s="80" t="s">
        <v>63</v>
      </c>
      <c r="I7220" s="80" t="s">
        <v>63</v>
      </c>
      <c r="J7220" s="80">
        <v>211.0</v>
      </c>
      <c r="K7220" s="80">
        <v>0.266750948166877</v>
      </c>
      <c r="L7220" s="80" t="s">
        <v>64</v>
      </c>
    </row>
    <row r="7221">
      <c r="A7221" s="80" t="s">
        <v>1183</v>
      </c>
      <c r="B7221" s="81" t="str">
        <f>HYPERLINK("https://www.youtube.com/channel/UCPBBbFYG51QpjuptQtYfCDA", "siuwaiboy")</f>
        <v>siuwaiboy</v>
      </c>
      <c r="C7221" s="80" t="s">
        <v>7771</v>
      </c>
      <c r="D7221" s="81" t="str">
        <f>HYPERLINK("https://youtube.com/watch?v=MyWo0UAXUPI", "[直播精華] 先知為強行塞錢落星座L個袋")</f>
        <v>[直播精華] 先知為強行塞錢落星座L個袋</v>
      </c>
      <c r="E7221" s="82">
        <v>45286.0</v>
      </c>
      <c r="F7221" s="80">
        <v>117.0</v>
      </c>
      <c r="G7221" s="80" t="s">
        <v>63</v>
      </c>
      <c r="I7221" s="80" t="s">
        <v>63</v>
      </c>
      <c r="J7221" s="80">
        <v>481.0</v>
      </c>
      <c r="K7221" s="80">
        <v>0.979633401221995</v>
      </c>
      <c r="L7221" s="80" t="s">
        <v>64</v>
      </c>
    </row>
    <row r="7222">
      <c r="A7222" s="80" t="s">
        <v>6960</v>
      </c>
      <c r="B7222" s="81" t="str">
        <f t="shared" ref="B7222:B7223" si="416">HYPERLINK("https://www.youtube.com/channel/UCQS2_zzisMq5C_FggxsQwTQ", "Comprehensible Cantonese")</f>
        <v>Comprehensible Cantonese</v>
      </c>
      <c r="C7222" s="80" t="s">
        <v>7772</v>
      </c>
      <c r="D7222" s="81" t="str">
        <f>HYPERLINK("https://youtube.com/watch?v=Uix1Y2MlH5w", "[CC] Cantonese Story for Complete Beginner: At the Farm👶 (ep.2) | Comprehensible Input Cantonese|")</f>
        <v>[CC] Cantonese Story for Complete Beginner: At the Farm👶 (ep.2) | Comprehensible Input Cantonese|</v>
      </c>
      <c r="E7222" s="82">
        <v>45327.0</v>
      </c>
      <c r="F7222" s="80">
        <v>153.0</v>
      </c>
      <c r="G7222" s="80" t="s">
        <v>63</v>
      </c>
      <c r="I7222" s="80" t="s">
        <v>63</v>
      </c>
      <c r="J7222" s="80">
        <v>128.0</v>
      </c>
      <c r="K7222" s="80">
        <v>0.955223880597014</v>
      </c>
      <c r="L7222" s="80" t="s">
        <v>102</v>
      </c>
    </row>
    <row r="7223">
      <c r="A7223" s="80" t="s">
        <v>6960</v>
      </c>
      <c r="B7223" s="81" t="str">
        <f t="shared" si="416"/>
        <v>Comprehensible Cantonese</v>
      </c>
      <c r="C7223" s="80" t="s">
        <v>7773</v>
      </c>
      <c r="D7223" s="81" t="str">
        <f>HYPERLINK("https://youtube.com/watch?v=_ox3bJtpqsE", "[中級 廣東話 ] Chitchat with Candy🤠👒 | Comprehensible Input Cantonese| Intermediate Cantonese")</f>
        <v>[中級 廣東話 ] Chitchat with Candy🤠👒 | Comprehensible Input Cantonese| Intermediate Cantonese</v>
      </c>
      <c r="E7223" s="82">
        <v>45331.0</v>
      </c>
      <c r="F7223" s="80">
        <v>235.0</v>
      </c>
      <c r="G7223" s="80" t="s">
        <v>63</v>
      </c>
      <c r="I7223" s="80" t="s">
        <v>63</v>
      </c>
      <c r="J7223" s="80">
        <v>622.0</v>
      </c>
      <c r="K7223" s="80">
        <v>0.982622432859399</v>
      </c>
      <c r="L7223" s="80" t="s">
        <v>102</v>
      </c>
    </row>
    <row r="7224">
      <c r="A7224" s="80" t="s">
        <v>288</v>
      </c>
      <c r="B7224" s="81" t="str">
        <f>HYPERLINK("https://www.youtube.com/channel/UCDWOYEhVnyD4IHZGVAMLc0g", "Brendan 毛爸")</f>
        <v>Brendan 毛爸</v>
      </c>
      <c r="C7224" s="80" t="s">
        <v>7774</v>
      </c>
      <c r="D7224" s="81" t="str">
        <f>HYPERLINK("https://youtube.com/watch?v=EDHcZhNtCCc", "『午市$168！晚市$238！仲有五送一』| 無限時串燒任食丨牛舌心 白鱔丨送 海鮮拼盤 泰式燒雞 小型盆菜丨馬卡龍甜品￼丨揸車福音 0% 嘉士伯￼ @巴巴串  (觀塘)【毛爸回港EP6 含CC字幕】")</f>
        <v>『午市$168！晚市$238！仲有五送一』| 無限時串燒任食丨牛舌心 白鱔丨送 海鮮拼盤 泰式燒雞 小型盆菜丨馬卡龍甜品￼丨揸車福音 0% 嘉士伯￼ @巴巴串  (觀塘)【毛爸回港EP6 含CC字幕】</v>
      </c>
      <c r="E7224" s="82">
        <v>45263.0</v>
      </c>
      <c r="F7224" s="80">
        <v>418.0</v>
      </c>
      <c r="G7224" s="80" t="s">
        <v>63</v>
      </c>
      <c r="I7224" s="80" t="s">
        <v>63</v>
      </c>
      <c r="J7224" s="80">
        <v>1541.0</v>
      </c>
      <c r="K7224" s="80">
        <v>0.955955334987593</v>
      </c>
      <c r="L7224" s="80" t="s">
        <v>64</v>
      </c>
    </row>
    <row r="7225">
      <c r="A7225" s="80" t="s">
        <v>2785</v>
      </c>
      <c r="B7225" s="81" t="str">
        <f>HYPERLINK("https://www.youtube.com/channel/UC_w7pV_Xz9XO0ChNFxMtV0w", "MPWeekly明周")</f>
        <v>MPWeekly明周</v>
      </c>
      <c r="C7225" s="80" t="s">
        <v>7775</v>
      </c>
      <c r="D7225" s="81" t="str">
        <f>HYPERLINK("https://youtube.com/watch?v=p93Ryjkh2ww", "桃色風波後遺症 至今仍需服藥 細貓應智越：最唔想屋企人擔心｜應智越專訪")</f>
        <v>桃色風波後遺症 至今仍需服藥 細貓應智越：最唔想屋企人擔心｜應智越專訪</v>
      </c>
      <c r="E7225" s="82">
        <v>45327.0</v>
      </c>
      <c r="F7225" s="80">
        <v>174.0</v>
      </c>
      <c r="G7225" s="80" t="s">
        <v>63</v>
      </c>
      <c r="I7225" s="80" t="s">
        <v>63</v>
      </c>
      <c r="J7225" s="80">
        <v>471.0</v>
      </c>
      <c r="K7225" s="80">
        <v>0.971134020618556</v>
      </c>
      <c r="L7225" s="80" t="s">
        <v>64</v>
      </c>
    </row>
    <row r="7226">
      <c r="A7226" s="80" t="s">
        <v>242</v>
      </c>
      <c r="B7226" s="81" t="str">
        <f>HYPERLINK("https://www.youtube.com/channel/UCZGVB6g74LXWtkR3fX50ykg", "Edwin H.")</f>
        <v>Edwin H.</v>
      </c>
      <c r="C7226" s="80" t="s">
        <v>7776</v>
      </c>
      <c r="D7226" s="81" t="str">
        <f>HYPERLINK("https://youtube.com/watch?v=Vlxv1Z783JQ", "Samsung AI 發佈會 Galaxy AI 誠實豆沙包版 🥪 發佈會精華 🍩 Samsung Galaxy S24 Ultra | 懶人包 中文 🧇 Galaxy S24 S24 Plus 🥞")</f>
        <v>Samsung AI 發佈會 Galaxy AI 誠實豆沙包版 🥪 發佈會精華 🍩 Samsung Galaxy S24 Ultra | 懶人包 中文 🧇 Galaxy S24 S24 Plus 🥞</v>
      </c>
      <c r="E7226" s="82">
        <v>45316.0</v>
      </c>
      <c r="F7226" s="80">
        <v>874.0</v>
      </c>
      <c r="G7226" s="80" t="s">
        <v>63</v>
      </c>
      <c r="I7226" s="80" t="s">
        <v>63</v>
      </c>
      <c r="J7226" s="80">
        <v>2512.0</v>
      </c>
      <c r="K7226" s="80">
        <v>0.719564594672013</v>
      </c>
      <c r="L7226" s="80" t="s">
        <v>64</v>
      </c>
    </row>
    <row r="7227">
      <c r="A7227" s="80" t="s">
        <v>2750</v>
      </c>
      <c r="B7227" s="81" t="str">
        <f>HYPERLINK("https://www.youtube.com/channel/UCSuH-OhqmtA_2OladWB56Xw", "Knight Lai")</f>
        <v>Knight Lai</v>
      </c>
      <c r="C7227" s="80" t="s">
        <v>7777</v>
      </c>
      <c r="D7227" s="81" t="str">
        <f>HYPERLINK("https://youtube.com/watch?v=9KKIEjUu9jA", "【勁短片】請食二寶，不如唔好請")</f>
        <v>【勁短片】請食二寶，不如唔好請</v>
      </c>
      <c r="E7227" s="82">
        <v>45243.0</v>
      </c>
      <c r="F7227" s="80">
        <v>40.0</v>
      </c>
      <c r="G7227" s="80" t="s">
        <v>63</v>
      </c>
      <c r="H7227" s="80" t="s">
        <v>63</v>
      </c>
      <c r="I7227" s="80" t="s">
        <v>63</v>
      </c>
      <c r="J7227" s="80">
        <v>55.0</v>
      </c>
      <c r="K7227" s="80">
        <v>0.774647887323943</v>
      </c>
      <c r="L7227" s="80" t="s">
        <v>1044</v>
      </c>
    </row>
    <row r="7228">
      <c r="A7228" s="80" t="s">
        <v>7607</v>
      </c>
      <c r="B7228" s="81" t="str">
        <f>HYPERLINK("https://www.youtube.com/channel/UCpGm9u4iYIev-BCA7mbAt6Q", "TVBean")</f>
        <v>TVBean</v>
      </c>
      <c r="C7228" s="80" t="s">
        <v>7778</v>
      </c>
      <c r="D7228" s="81" t="str">
        <f>HYPERLINK("https://youtube.com/watch?v=iOrKnTa-M8c", "突發‼️ 行本地漁農美食嘉年華 | 一連3日炸| 免費入場 | 都買了什麼? | 工展會延續 | 首日直擊超過100個美食攤位優惠介紹 | 無伏必買推介 | 試食進行中 | TVBean")</f>
        <v>突發‼️ 行本地漁農美食嘉年華 | 一連3日炸| 免費入場 | 都買了什麼? | 工展會延續 | 首日直擊超過100個美食攤位優惠介紹 | 無伏必買推介 | 試食進行中 | TVBean</v>
      </c>
      <c r="E7228" s="82">
        <v>45297.0</v>
      </c>
      <c r="F7228" s="80">
        <v>2132.0</v>
      </c>
      <c r="G7228" s="80" t="s">
        <v>63</v>
      </c>
      <c r="I7228" s="80" t="s">
        <v>63</v>
      </c>
      <c r="J7228" s="80">
        <v>6457.0</v>
      </c>
      <c r="K7228" s="80">
        <v>0.973612786489746</v>
      </c>
      <c r="L7228" s="80" t="s">
        <v>91</v>
      </c>
    </row>
    <row r="7229">
      <c r="A7229" s="80" t="s">
        <v>96</v>
      </c>
      <c r="B7229" s="81" t="str">
        <f>HYPERLINK("https://www.youtube.com/channel/UCGtyHJ-L_4RDIHe3XaLofQQ", "Anson Cheung")</f>
        <v>Anson Cheung</v>
      </c>
      <c r="C7229" s="80" t="s">
        <v>7779</v>
      </c>
      <c r="D7229" s="81" t="str">
        <f>HYPERLINK("https://youtube.com/watch?v=FcgzBffyKtQ", "【The Big Byte 精華片段】我想講講 cantonese.ai：小心啲用 ⚠️  AI程式免費幫你將whatsapp廣東話語音訊息轉文字，當中潛藏甚麼私隱風險？😰")</f>
        <v>【The Big Byte 精華片段】我想講講 cantonese.ai：小心啲用 ⚠️  AI程式免費幫你將whatsapp廣東話語音訊息轉文字，當中潛藏甚麼私隱風險？😰</v>
      </c>
      <c r="E7229" s="82">
        <v>45294.0</v>
      </c>
      <c r="F7229" s="80">
        <v>409.0</v>
      </c>
      <c r="G7229" s="80" t="s">
        <v>63</v>
      </c>
      <c r="I7229" s="80" t="s">
        <v>63</v>
      </c>
      <c r="J7229" s="80">
        <v>1631.0</v>
      </c>
      <c r="K7229" s="80">
        <v>0.676482787225217</v>
      </c>
      <c r="L7229" s="80" t="s">
        <v>64</v>
      </c>
    </row>
    <row r="7230">
      <c r="A7230" s="80" t="s">
        <v>6817</v>
      </c>
      <c r="B7230" s="81" t="str">
        <f>HYPERLINK("https://www.youtube.com/channel/UCWo5nbifkKDRNyD2nF2KJ0Q", "陳柏宇 Jason Chan")</f>
        <v>陳柏宇 Jason Chan</v>
      </c>
      <c r="C7230" s="80" t="s">
        <v>7780</v>
      </c>
      <c r="D7230" s="81" t="str">
        <f>HYPERLINK("https://youtube.com/watch?v=IaHbdWAWnr4", "陳柏宇被老婆投稿爆料 再自爆試過醉酒後用底褲抿💩？｜諗唔諗明之醉酒後嘅滑稽行為 走去偷安全X😂｜拍老竇房門叫佢出嚟隻揪 呀媽拎住袋草話買咗菜｜醉到睇晒溏心風暴｜陳柏宇Jason Chan（中文字幕）")</f>
        <v>陳柏宇被老婆投稿爆料 再自爆試過醉酒後用底褲抿💩？｜諗唔諗明之醉酒後嘅滑稽行為 走去偷安全X😂｜拍老竇房門叫佢出嚟隻揪 呀媽拎住袋草話買咗菜｜醉到睇晒溏心風暴｜陳柏宇Jason Chan（中文字幕）</v>
      </c>
      <c r="E7230" s="82">
        <v>45315.0</v>
      </c>
      <c r="F7230" s="80">
        <v>805.0</v>
      </c>
      <c r="G7230" s="80" t="s">
        <v>63</v>
      </c>
      <c r="I7230" s="80" t="s">
        <v>63</v>
      </c>
      <c r="J7230" s="80">
        <v>2732.0</v>
      </c>
      <c r="K7230" s="80">
        <v>0.95424380020957</v>
      </c>
      <c r="L7230" s="80" t="s">
        <v>102</v>
      </c>
    </row>
    <row r="7231">
      <c r="A7231" s="80" t="s">
        <v>6892</v>
      </c>
      <c r="B7231" s="81" t="str">
        <f>HYPERLINK("https://www.youtube.com/channel/UC8_hxeY0nDCL-8ETbcGUZ9g", "PT食為先")</f>
        <v>PT食為先</v>
      </c>
      <c r="C7231" s="80" t="s">
        <v>7781</v>
      </c>
      <c r="D7231" s="81" t="str">
        <f>HYPERLINK("https://youtube.com/watch?v=jbUSs2wyJn0", "[PT自費食評] 帶子拖羅食材超豪華 維港海景無人匹敵 尖沙咀自助餐經典回歸 全港獨家花雕鴨肝 即煮新鮮龍蝦 ｜花膠 鮑魚 海參 講得出都有 ｜麗晶酒店 Harbourside 港畔餐廳 聖誕節自助餐")</f>
        <v>[PT自費食評] 帶子拖羅食材超豪華 維港海景無人匹敵 尖沙咀自助餐經典回歸 全港獨家花雕鴨肝 即煮新鮮龍蝦 ｜花膠 鮑魚 海參 講得出都有 ｜麗晶酒店 Harbourside 港畔餐廳 聖誕節自助餐</v>
      </c>
      <c r="E7231" s="82">
        <v>45261.0</v>
      </c>
      <c r="F7231" s="80">
        <v>1416.0</v>
      </c>
      <c r="G7231" s="80" t="s">
        <v>63</v>
      </c>
      <c r="I7231" s="80" t="s">
        <v>63</v>
      </c>
      <c r="J7231" s="80">
        <v>3580.0</v>
      </c>
      <c r="K7231" s="80">
        <v>0.907247845919918</v>
      </c>
      <c r="L7231" s="80" t="s">
        <v>64</v>
      </c>
    </row>
    <row r="7232">
      <c r="A7232" s="80" t="s">
        <v>1183</v>
      </c>
      <c r="B7232" s="81" t="str">
        <f>HYPERLINK("https://www.youtube.com/channel/UCPBBbFYG51QpjuptQtYfCDA", "siuwaiboy")</f>
        <v>siuwaiboy</v>
      </c>
      <c r="C7232" s="80" t="s">
        <v>7782</v>
      </c>
      <c r="D7232" s="81" t="str">
        <f>HYPERLINK("https://youtube.com/watch?v=hC9zJtU3ko4", "[直播精華] 毒為完美解釋點解有拖拍都仲要睇AV打丁")</f>
        <v>[直播精華] 毒為完美解釋點解有拖拍都仲要睇AV打丁</v>
      </c>
      <c r="E7232" s="82">
        <v>45288.0</v>
      </c>
      <c r="F7232" s="80">
        <v>282.0</v>
      </c>
      <c r="G7232" s="80" t="s">
        <v>63</v>
      </c>
      <c r="I7232" s="80" t="s">
        <v>63</v>
      </c>
      <c r="J7232" s="80">
        <v>1239.0</v>
      </c>
      <c r="K7232" s="80">
        <v>0.943640517897943</v>
      </c>
      <c r="L7232" s="80" t="s">
        <v>64</v>
      </c>
    </row>
    <row r="7233">
      <c r="A7233" s="80" t="s">
        <v>217</v>
      </c>
      <c r="B7233" s="81" t="str">
        <f>HYPERLINK("https://www.youtube.com/channel/UCXKg0qPRz32bs5Z4mTGF3TQ", "Stormtrooper白兵")</f>
        <v>Stormtrooper白兵</v>
      </c>
      <c r="C7233" s="80" t="s">
        <v>7783</v>
      </c>
      <c r="D7233" s="81" t="str">
        <f>HYPERLINK("https://youtube.com/watch?v=8nEVgezD14k", "什麼是自閉症？｜背後黑幕｜賣藥＋超仔細人口普查？｜不是陰謀論｜中文字幕")</f>
        <v>什麼是自閉症？｜背後黑幕｜賣藥＋超仔細人口普查？｜不是陰謀論｜中文字幕</v>
      </c>
      <c r="E7233" s="82">
        <v>45323.0</v>
      </c>
      <c r="F7233" s="80">
        <v>743.0</v>
      </c>
      <c r="G7233" s="80" t="s">
        <v>63</v>
      </c>
      <c r="I7233" s="80" t="s">
        <v>63</v>
      </c>
      <c r="J7233" s="80">
        <v>3115.0</v>
      </c>
      <c r="K7233" s="80">
        <v>0.907105416423995</v>
      </c>
      <c r="L7233" s="80" t="s">
        <v>64</v>
      </c>
    </row>
    <row r="7234">
      <c r="A7234" s="80" t="s">
        <v>3139</v>
      </c>
      <c r="B7234" s="81" t="str">
        <f>HYPERLINK("https://www.youtube.com/channel/UCThO2xnH7XMg6plE8OgJm_w", "choyuen草原")</f>
        <v>choyuen草原</v>
      </c>
      <c r="C7234" s="80" t="s">
        <v>7784</v>
      </c>
      <c r="D7234" s="81" t="str">
        <f>HYPERLINK("https://youtube.com/watch?v=jiPZoRgbVyo", "瀕死會靈魂出竅入隧道? 自命理性的試探   Near-death experience EXPLAINED. Challenge Your Belief system")</f>
        <v>瀕死會靈魂出竅入隧道? 自命理性的試探   Near-death experience EXPLAINED. Challenge Your Belief system</v>
      </c>
      <c r="E7234" s="82">
        <v>45291.0</v>
      </c>
      <c r="F7234" s="80">
        <v>753.0</v>
      </c>
      <c r="G7234" s="80" t="s">
        <v>63</v>
      </c>
      <c r="I7234" s="80" t="s">
        <v>63</v>
      </c>
      <c r="J7234" s="80">
        <v>2279.0</v>
      </c>
      <c r="K7234" s="80">
        <v>0.944076222038111</v>
      </c>
      <c r="L7234" s="80" t="s">
        <v>64</v>
      </c>
    </row>
    <row r="7235">
      <c r="A7235" s="80" t="s">
        <v>755</v>
      </c>
      <c r="B7235" s="81" t="str">
        <f>HYPERLINK("https://www.youtube.com/channel/UCBiJDTc82IM68KVH873VeAw", "Live in Kwangsi廣西人·情·味")</f>
        <v>Live in Kwangsi廣西人·情·味</v>
      </c>
      <c r="C7235" s="80" t="s">
        <v>7785</v>
      </c>
      <c r="D7235" s="81" t="str">
        <f>HYPERLINK("https://youtube.com/watch?v=EwRvWn5xTHQ", "賀街鎮白沙灣，人少景靚又好啱散步嘅地方｜廣西美景 20231120")</f>
        <v>賀街鎮白沙灣，人少景靚又好啱散步嘅地方｜廣西美景 20231120</v>
      </c>
      <c r="E7235" s="82">
        <v>45264.0</v>
      </c>
      <c r="F7235" s="80">
        <v>134.0</v>
      </c>
      <c r="G7235" s="80" t="s">
        <v>63</v>
      </c>
      <c r="I7235" s="80" t="s">
        <v>63</v>
      </c>
      <c r="J7235" s="80">
        <v>369.0</v>
      </c>
      <c r="K7235" s="80">
        <v>1.0</v>
      </c>
      <c r="L7235" s="80" t="s">
        <v>757</v>
      </c>
    </row>
    <row r="7236">
      <c r="A7236" s="80" t="s">
        <v>6960</v>
      </c>
      <c r="B7236" s="81" t="str">
        <f>HYPERLINK("https://www.youtube.com/channel/UCQS2_zzisMq5C_FggxsQwTQ", "Comprehensible Cantonese")</f>
        <v>Comprehensible Cantonese</v>
      </c>
      <c r="C7236" s="80" t="s">
        <v>7786</v>
      </c>
      <c r="D7236" s="81" t="str">
        <f>HYPERLINK("https://youtube.com/watch?v=zD5r6uXFTCI", "[CC] 廣東話 2024 New Year’s Resolutions | 新年目標| Comprehensible Input Cantonese| Intermediate Cantonese")</f>
        <v>[CC] 廣東話 2024 New Year’s Resolutions | 新年目標| Comprehensible Input Cantonese| Intermediate Cantonese</v>
      </c>
      <c r="E7236" s="82">
        <v>45320.0</v>
      </c>
      <c r="F7236" s="80">
        <v>200.0</v>
      </c>
      <c r="G7236" s="80" t="s">
        <v>63</v>
      </c>
      <c r="I7236" s="80" t="s">
        <v>63</v>
      </c>
      <c r="J7236" s="80">
        <v>509.0</v>
      </c>
      <c r="K7236" s="80">
        <v>0.978846153846153</v>
      </c>
      <c r="L7236" s="80" t="s">
        <v>102</v>
      </c>
    </row>
    <row r="7237">
      <c r="A7237" s="80" t="s">
        <v>7607</v>
      </c>
      <c r="B7237" s="81" t="str">
        <f>HYPERLINK("https://www.youtube.com/channel/UCpGm9u4iYIev-BCA7mbAt6Q", "TVBean")</f>
        <v>TVBean</v>
      </c>
      <c r="C7237" s="80" t="s">
        <v>7787</v>
      </c>
      <c r="D7237" s="81" t="str">
        <f>HYPERLINK("https://youtube.com/watch?v=o6Kn-c6bWPk", "惠康聖誕大特賣2023 | 唔睇就畀人買哂 | 我真係恭喜你吖 | 超過30款抵買產品 | 買一送一優惠 | cc宇幕 |必買推介 | TVBean")</f>
        <v>惠康聖誕大特賣2023 | 唔睇就畀人買哂 | 我真係恭喜你吖 | 超過30款抵買產品 | 買一送一優惠 | cc宇幕 |必買推介 | TVBean</v>
      </c>
      <c r="E7237" s="82">
        <v>45279.0</v>
      </c>
      <c r="F7237" s="80">
        <v>797.0</v>
      </c>
      <c r="G7237" s="80" t="s">
        <v>63</v>
      </c>
      <c r="I7237" s="80" t="s">
        <v>63</v>
      </c>
      <c r="J7237" s="80">
        <v>2664.0</v>
      </c>
      <c r="K7237" s="80">
        <v>0.955523672883787</v>
      </c>
      <c r="L7237" s="80" t="s">
        <v>91</v>
      </c>
    </row>
    <row r="7238">
      <c r="A7238" s="80" t="s">
        <v>6960</v>
      </c>
      <c r="B7238" s="81" t="str">
        <f>HYPERLINK("https://www.youtube.com/channel/UCQS2_zzisMq5C_FggxsQwTQ", "Comprehensible Cantonese")</f>
        <v>Comprehensible Cantonese</v>
      </c>
      <c r="C7238" s="80" t="s">
        <v>7788</v>
      </c>
      <c r="D7238" s="81" t="str">
        <f>HYPERLINK("https://youtube.com/watch?v=AjLBGofKzI4", "[CC] 廣東話 Important Announcements about the Channel!!| Comprehensible Input Cantonese| Intermediate")</f>
        <v>[CC] 廣東話 Important Announcements about the Channel!!| Comprehensible Input Cantonese| Intermediate</v>
      </c>
      <c r="E7238" s="82">
        <v>45310.0</v>
      </c>
      <c r="F7238" s="80">
        <v>631.0</v>
      </c>
      <c r="G7238" s="80" t="s">
        <v>63</v>
      </c>
      <c r="I7238" s="80" t="s">
        <v>63</v>
      </c>
      <c r="J7238" s="80">
        <v>1817.0</v>
      </c>
      <c r="K7238" s="80">
        <v>0.88937836514929</v>
      </c>
      <c r="L7238" s="80" t="s">
        <v>102</v>
      </c>
    </row>
    <row r="7239">
      <c r="A7239" s="80" t="s">
        <v>5134</v>
      </c>
      <c r="B7239" s="81" t="str">
        <f>HYPERLINK("https://www.youtube.com/channel/UCGq7xle9PrLHpmdxrk0IlLw", "磚加專家 Danny Ching Top10%地產局金牌經紀百萬圓桌")</f>
        <v>磚加專家 Danny Ching Top10%地產局金牌經紀百萬圓桌</v>
      </c>
      <c r="C7239" s="80" t="s">
        <v>7789</v>
      </c>
      <c r="D7239" s="81" t="str">
        <f>HYPERLINK("https://youtube.com/watch?v=ysSaRnqiLd4", "[字幕] 50萬細2房 30萬細1房2029入伙 Piano by Concord Pacific 地鐵￼直達Downtown市中心 👍價錢👍質量👍信心￼ 開始收票優先揀樓")</f>
        <v>[字幕] 50萬細2房 30萬細1房2029入伙 Piano by Concord Pacific 地鐵￼直達Downtown市中心 👍價錢👍質量👍信心￼ 開始收票優先揀樓</v>
      </c>
      <c r="E7239" s="82">
        <v>45318.0</v>
      </c>
      <c r="F7239" s="80">
        <v>1508.0</v>
      </c>
      <c r="G7239" s="80" t="s">
        <v>63</v>
      </c>
      <c r="I7239" s="80" t="s">
        <v>63</v>
      </c>
      <c r="J7239" s="80">
        <v>5275.0</v>
      </c>
      <c r="K7239" s="80">
        <v>0.754002287021154</v>
      </c>
      <c r="L7239" s="80" t="s">
        <v>102</v>
      </c>
    </row>
    <row r="7240">
      <c r="A7240" s="80" t="s">
        <v>3134</v>
      </c>
      <c r="B7240" s="81" t="str">
        <f>HYPERLINK("https://www.youtube.com/channel/UC_vZsUCJrwYrbIRPHacAS_Q", "Coco哥")</f>
        <v>Coco哥</v>
      </c>
      <c r="C7240" s="80" t="s">
        <v>7790</v>
      </c>
      <c r="D7240" s="81" t="str">
        <f>HYPERLINK("https://youtube.com/watch?v=dEYjeMA6avE", "港樓末日！開徵資產增值稅💰點部署？股樓閃跌在即！香港「窮途末路」")</f>
        <v>港樓末日！開徵資產增值稅💰點部署？股樓閃跌在即！香港「窮途末路」</v>
      </c>
      <c r="E7240" s="82">
        <v>45299.0</v>
      </c>
      <c r="F7240" s="80">
        <v>1462.0</v>
      </c>
      <c r="G7240" s="80" t="s">
        <v>63</v>
      </c>
      <c r="I7240" s="80" t="s">
        <v>63</v>
      </c>
      <c r="J7240" s="80">
        <v>5065.0</v>
      </c>
      <c r="K7240" s="80">
        <v>0.884407193993364</v>
      </c>
      <c r="L7240" s="80" t="s">
        <v>2755</v>
      </c>
    </row>
    <row r="7241">
      <c r="A7241" s="80" t="s">
        <v>242</v>
      </c>
      <c r="B7241" s="81" t="str">
        <f>HYPERLINK("https://www.youtube.com/channel/UCZGVB6g74LXWtkR3fX50ykg", "Edwin H.")</f>
        <v>Edwin H.</v>
      </c>
      <c r="C7241" s="80" t="s">
        <v>7791</v>
      </c>
      <c r="D7241" s="81" t="str">
        <f>HYPERLINK("https://youtube.com/watch?v=8L16-2U2iuY", "移民4個月，我返咗香港")</f>
        <v>移民4個月，我返咗香港</v>
      </c>
      <c r="E7241" s="82">
        <v>45274.0</v>
      </c>
      <c r="F7241" s="80">
        <v>1450.0</v>
      </c>
      <c r="G7241" s="80" t="s">
        <v>63</v>
      </c>
      <c r="I7241" s="80" t="s">
        <v>63</v>
      </c>
      <c r="J7241" s="80">
        <v>7226.0</v>
      </c>
      <c r="K7241" s="80">
        <v>0.901109864072827</v>
      </c>
      <c r="L7241" s="80" t="s">
        <v>64</v>
      </c>
    </row>
    <row r="7242">
      <c r="A7242" s="80" t="s">
        <v>260</v>
      </c>
      <c r="B7242" s="81" t="str">
        <f>HYPERLINK("https://www.youtube.com/channel/UC-HXOikkLx7BGEfILGIpYOg", "港短 . 英移")</f>
        <v>港短 . 英移</v>
      </c>
      <c r="C7242" s="80" t="s">
        <v>7792</v>
      </c>
      <c r="D7242" s="81" t="str">
        <f>HYPERLINK("https://youtube.com/watch?v=NUabZUGtVts", "諾定咸又破產🇬🇧工黨上台後英國會變成點? #港短英移")</f>
        <v>諾定咸又破產🇬🇧工黨上台後英國會變成點? #港短英移</v>
      </c>
      <c r="E7242" s="82">
        <v>45267.0</v>
      </c>
      <c r="F7242" s="80">
        <v>347.0</v>
      </c>
      <c r="G7242" s="80" t="s">
        <v>63</v>
      </c>
      <c r="I7242" s="80" t="s">
        <v>63</v>
      </c>
      <c r="J7242" s="80">
        <v>1606.0</v>
      </c>
      <c r="K7242" s="80">
        <v>0.943041691133294</v>
      </c>
      <c r="L7242" s="80" t="s">
        <v>102</v>
      </c>
    </row>
    <row r="7243">
      <c r="A7243" s="80" t="s">
        <v>7793</v>
      </c>
      <c r="B7243" s="81" t="str">
        <f>HYPERLINK("https://www.youtube.com/channel/UCao8gakIayC1LIkAUD4Hr2Q", "兩腳大貓怪@monster2cat")</f>
        <v>兩腳大貓怪@monster2cat</v>
      </c>
      <c r="C7243" s="80" t="s">
        <v>7794</v>
      </c>
      <c r="D7243" s="81" t="str">
        <f>HYPERLINK("https://youtube.com/watch?v=_4jEIsB6Ouc", "[京都 丨天橋立、伊根町] 「飛龍觀🐉」| 舟屋 🏘丨食🦐蝦條⁉️嘅鷹🦅海鷗🕊⁉️超刺激！😱 KKday一日團體驗分享🤗 省卻揾交通🚝時間⏰️，超方便💯 (可開啓cc字幕🤗)")</f>
        <v>[京都 丨天橋立、伊根町] 「飛龍觀🐉」| 舟屋 🏘丨食🦐蝦條⁉️嘅鷹🦅海鷗🕊⁉️超刺激！😱 KKday一日團體驗分享🤗 省卻揾交通🚝時間⏰️，超方便💯 (可開啓cc字幕🤗)</v>
      </c>
      <c r="E7243" s="82">
        <v>45338.0</v>
      </c>
      <c r="F7243" s="80">
        <v>628.0</v>
      </c>
      <c r="G7243" s="80" t="s">
        <v>63</v>
      </c>
      <c r="I7243" s="80" t="s">
        <v>63</v>
      </c>
      <c r="J7243" s="80">
        <v>1423.0</v>
      </c>
      <c r="K7243" s="80">
        <v>0.973324213406292</v>
      </c>
      <c r="L7243" s="80" t="s">
        <v>64</v>
      </c>
    </row>
    <row r="7244">
      <c r="A7244" s="80" t="s">
        <v>6169</v>
      </c>
      <c r="B7244" s="81" t="str">
        <f>HYPERLINK("https://www.youtube.com/channel/UC8UAj9wPCBdyd709kD0eEFQ", "P3NTATON1C MUSIC")</f>
        <v>P3NTATON1C MUSIC</v>
      </c>
      <c r="C7244" s="80" t="s">
        <v>7795</v>
      </c>
      <c r="D7244" s="81" t="str">
        <f>HYPERLINK("https://youtube.com/watch?v=CgOTLH9kX8o", "Z - 3. MODEL Z (Official Audio)")</f>
        <v>Z - 3. MODEL Z (Official Audio)</v>
      </c>
      <c r="E7244" s="82">
        <v>45292.0</v>
      </c>
      <c r="F7244" s="80">
        <v>183.0</v>
      </c>
      <c r="G7244" s="80" t="s">
        <v>63</v>
      </c>
      <c r="I7244" s="80" t="s">
        <v>63</v>
      </c>
      <c r="J7244" s="80">
        <v>145.0</v>
      </c>
      <c r="K7244" s="80">
        <v>0.166093928980526</v>
      </c>
      <c r="L7244" s="80" t="s">
        <v>64</v>
      </c>
    </row>
    <row r="7245">
      <c r="A7245" s="80" t="s">
        <v>288</v>
      </c>
      <c r="B7245" s="81" t="str">
        <f>HYPERLINK("https://www.youtube.com/channel/UCDWOYEhVnyD4IHZGVAMLc0g", "Brendan 毛爸")</f>
        <v>Brendan 毛爸</v>
      </c>
      <c r="C7245" s="80" t="s">
        <v>7796</v>
      </c>
      <c r="D7245" s="81" t="str">
        <f>HYPERLINK("https://youtube.com/watch?v=aR3-puHykMY", "『可能係香港唯一無通脹既地方』$4包蒟蒻￼丨￼$7個韓式年糕￼丨$7.5一袋韓式魚乾丨$5/2粒糯米糍￼丨$8咚兵衛烏冬丨$5枝燒酒 @友誠(深水埗) 【毛爸Vlog】")</f>
        <v>『可能係香港唯一無通脹既地方』$4包蒟蒻￼丨￼$7個韓式年糕￼丨$7.5一袋韓式魚乾丨$5/2粒糯米糍￼丨$8咚兵衛烏冬丨$5枝燒酒 @友誠(深水埗) 【毛爸Vlog】</v>
      </c>
      <c r="E7245" s="82">
        <v>45257.0</v>
      </c>
      <c r="F7245" s="80">
        <v>494.0</v>
      </c>
      <c r="G7245" s="80" t="s">
        <v>63</v>
      </c>
      <c r="I7245" s="80" t="s">
        <v>63</v>
      </c>
      <c r="J7245" s="80">
        <v>1883.0</v>
      </c>
      <c r="K7245" s="80">
        <v>0.954868154158215</v>
      </c>
      <c r="L7245" s="80" t="s">
        <v>64</v>
      </c>
    </row>
    <row r="7246">
      <c r="A7246" s="80" t="s">
        <v>2829</v>
      </c>
      <c r="B7246" s="81" t="str">
        <f t="shared" ref="B7246:B7247" si="417">HYPERLINK("https://www.youtube.com/channel/UC7GnES6AEQlDzaP04UqtyjA", "SOLID IDEA")</f>
        <v>SOLID IDEA</v>
      </c>
      <c r="C7246" s="80" t="s">
        <v>7797</v>
      </c>
      <c r="D7246" s="81" t="str">
        <f>HYPERLINK("https://youtube.com/watch?v=d8wncmUCw7M", "【設計 • idea】荃灣．御凱｜1553呎｜室內有設計；室外更加要設計｜設計 • idea｜Solid Idea｜室內設計｜家居規劃｜星級設計｜［CC字幕］")</f>
        <v>【設計 • idea】荃灣．御凱｜1553呎｜室內有設計；室外更加要設計｜設計 • idea｜Solid Idea｜室內設計｜家居規劃｜星級設計｜［CC字幕］</v>
      </c>
      <c r="E7246" s="82">
        <v>45265.0</v>
      </c>
      <c r="F7246" s="80">
        <v>164.0</v>
      </c>
      <c r="G7246" s="80" t="s">
        <v>63</v>
      </c>
      <c r="I7246" s="80" t="s">
        <v>63</v>
      </c>
      <c r="J7246" s="80">
        <v>698.0</v>
      </c>
      <c r="K7246" s="80">
        <v>0.998569384835479</v>
      </c>
      <c r="L7246" s="80" t="s">
        <v>64</v>
      </c>
    </row>
    <row r="7247">
      <c r="A7247" s="80" t="s">
        <v>2829</v>
      </c>
      <c r="B7247" s="81" t="str">
        <f t="shared" si="417"/>
        <v>SOLID IDEA</v>
      </c>
      <c r="C7247" s="80" t="s">
        <v>7798</v>
      </c>
      <c r="D7247" s="81" t="str">
        <f>HYPERLINK("https://youtube.com/watch?v=LUqV4BDySaw", "【設計 • idea】將軍澳．都會駅｜651呎｜ 輕奢風格設計｜設計 • idea｜Solid Idea｜室內設計｜家居規劃｜星級設計｜［CC字幕］")</f>
        <v>【設計 • idea】將軍澳．都會駅｜651呎｜ 輕奢風格設計｜設計 • idea｜Solid Idea｜室內設計｜家居規劃｜星級設計｜［CC字幕］</v>
      </c>
      <c r="E7247" s="82">
        <v>45272.0</v>
      </c>
      <c r="F7247" s="80">
        <v>158.0</v>
      </c>
      <c r="G7247" s="80" t="s">
        <v>63</v>
      </c>
      <c r="I7247" s="80" t="s">
        <v>63</v>
      </c>
      <c r="J7247" s="80">
        <v>653.0</v>
      </c>
      <c r="K7247" s="80">
        <v>0.976083707025411</v>
      </c>
      <c r="L7247" s="80" t="s">
        <v>64</v>
      </c>
    </row>
    <row r="7248">
      <c r="A7248" s="80" t="s">
        <v>260</v>
      </c>
      <c r="B7248" s="81" t="str">
        <f>HYPERLINK("https://www.youtube.com/channel/UC-HXOikkLx7BGEfILGIpYOg", "港短 . 英移")</f>
        <v>港短 . 英移</v>
      </c>
      <c r="C7248" s="80" t="s">
        <v>7799</v>
      </c>
      <c r="D7248" s="81" t="str">
        <f>HYPERLINK("https://youtube.com/watch?v=wNnulmbITBA", "12分鐘完成24題英國入籍試 [Life in UK Test模擬試題廣東話解說] #港短英移")</f>
        <v>12分鐘完成24題英國入籍試 [Life in UK Test模擬試題廣東話解說] #港短英移</v>
      </c>
      <c r="E7248" s="82">
        <v>45260.0</v>
      </c>
      <c r="F7248" s="80">
        <v>727.0</v>
      </c>
      <c r="G7248" s="80" t="s">
        <v>63</v>
      </c>
      <c r="I7248" s="80" t="s">
        <v>63</v>
      </c>
      <c r="J7248" s="80">
        <v>2548.0</v>
      </c>
      <c r="K7248" s="80">
        <v>0.805819101834282</v>
      </c>
      <c r="L7248" s="80" t="s">
        <v>102</v>
      </c>
    </row>
    <row r="7249">
      <c r="A7249" s="80" t="s">
        <v>6960</v>
      </c>
      <c r="B7249" s="81" t="str">
        <f>HYPERLINK("https://www.youtube.com/channel/UCQS2_zzisMq5C_FggxsQwTQ", "Comprehensible Cantonese")</f>
        <v>Comprehensible Cantonese</v>
      </c>
      <c r="C7249" s="80" t="s">
        <v>7800</v>
      </c>
      <c r="D7249" s="81" t="str">
        <f>HYPERLINK("https://youtube.com/watch?v=KPkvN3fuLSU", "[CC] New Series for Complete Beginner | Slow and Clear Comprehensible Cantonese |  Absolute Beginner")</f>
        <v>[CC] New Series for Complete Beginner | Slow and Clear Comprehensible Cantonese |  Absolute Beginner</v>
      </c>
      <c r="E7249" s="82">
        <v>45270.0</v>
      </c>
      <c r="F7249" s="80">
        <v>90.0</v>
      </c>
      <c r="G7249" s="80" t="s">
        <v>63</v>
      </c>
      <c r="I7249" s="80" t="s">
        <v>63</v>
      </c>
      <c r="J7249" s="80">
        <v>86.0</v>
      </c>
      <c r="K7249" s="80">
        <v>1.0</v>
      </c>
      <c r="L7249" s="80" t="s">
        <v>7260</v>
      </c>
    </row>
    <row r="7250">
      <c r="A7250" s="80" t="s">
        <v>3134</v>
      </c>
      <c r="B7250" s="81" t="str">
        <f>HYPERLINK("https://www.youtube.com/channel/UC_vZsUCJrwYrbIRPHacAS_Q", "Coco哥")</f>
        <v>Coco哥</v>
      </c>
      <c r="C7250" s="80" t="s">
        <v>7801</v>
      </c>
      <c r="D7250" s="81" t="str">
        <f>HYPERLINK("https://youtube.com/watch?v=AC7Vq_k3fwc", "福布斯 預告 香港大蕭條 ？人踩人投降式大跌 萬億救市最後防線")</f>
        <v>福布斯 預告 香港大蕭條 ？人踩人投降式大跌 萬億救市最後防線</v>
      </c>
      <c r="E7250" s="82">
        <v>45317.0</v>
      </c>
      <c r="F7250" s="80">
        <v>1437.0</v>
      </c>
      <c r="G7250" s="80" t="s">
        <v>63</v>
      </c>
      <c r="I7250" s="80" t="s">
        <v>63</v>
      </c>
      <c r="J7250" s="80">
        <v>4991.0</v>
      </c>
      <c r="K7250" s="80">
        <v>0.951028963414634</v>
      </c>
      <c r="L7250" s="80" t="s">
        <v>2755</v>
      </c>
    </row>
    <row r="7251">
      <c r="A7251" s="80" t="s">
        <v>217</v>
      </c>
      <c r="B7251" s="81" t="str">
        <f>HYPERLINK("https://www.youtube.com/channel/UCXKg0qPRz32bs5Z4mTGF3TQ", "Stormtrooper白兵")</f>
        <v>Stormtrooper白兵</v>
      </c>
      <c r="C7251" s="80" t="s">
        <v>7802</v>
      </c>
      <c r="D7251" s="81" t="str">
        <f>HYPERLINK("https://youtube.com/watch?v=JWvYqfjzza0", "歐盟早係90年代就唔比用抗生素，香港呢？｜農場餵動物食抗生素唔係防止疾病，而係另有原因？｜豬牛羊雞，究竟點揀好？｜不是陰謀論｜中文字幕")</f>
        <v>歐盟早係90年代就唔比用抗生素，香港呢？｜農場餵動物食抗生素唔係防止疾病，而係另有原因？｜豬牛羊雞，究竟點揀好？｜不是陰謀論｜中文字幕</v>
      </c>
      <c r="E7251" s="82">
        <v>45260.0</v>
      </c>
      <c r="F7251" s="80">
        <v>817.0</v>
      </c>
      <c r="G7251" s="80" t="s">
        <v>63</v>
      </c>
      <c r="I7251" s="80" t="s">
        <v>63</v>
      </c>
      <c r="J7251" s="80">
        <v>3301.0</v>
      </c>
      <c r="K7251" s="80">
        <v>0.93671963677639</v>
      </c>
      <c r="L7251" s="80" t="s">
        <v>64</v>
      </c>
    </row>
    <row r="7252">
      <c r="A7252" s="80" t="s">
        <v>3255</v>
      </c>
      <c r="B7252" s="81" t="str">
        <f>HYPERLINK("https://www.youtube.com/channel/UC-RAzAVCKwf_o0XUlmoWGuQ", "半職人妻 Halfwife")</f>
        <v>半職人妻 Halfwife</v>
      </c>
      <c r="C7252" s="80" t="s">
        <v>7803</v>
      </c>
      <c r="D7252" s="81" t="str">
        <f>HYPERLINK("https://youtube.com/watch?v=D1qWLO_EHSY", "可怕的柴犬換毛期! Sharp EC-SC95H-H直立式無線吸塵機 開箱實測 | 半職人妻")</f>
        <v>可怕的柴犬換毛期! Sharp EC-SC95H-H直立式無線吸塵機 開箱實測 | 半職人妻</v>
      </c>
      <c r="E7252" s="82">
        <v>45318.0</v>
      </c>
      <c r="F7252" s="80">
        <v>470.0</v>
      </c>
      <c r="G7252" s="80" t="s">
        <v>63</v>
      </c>
      <c r="I7252" s="80" t="s">
        <v>63</v>
      </c>
      <c r="J7252" s="80">
        <v>1425.0</v>
      </c>
      <c r="K7252" s="80">
        <v>0.956375838926174</v>
      </c>
      <c r="L7252" s="80" t="s">
        <v>64</v>
      </c>
    </row>
    <row r="7253">
      <c r="A7253" s="80" t="s">
        <v>1183</v>
      </c>
      <c r="B7253" s="81" t="str">
        <f>HYPERLINK("https://www.youtube.com/channel/UCPBBbFYG51QpjuptQtYfCDA", "siuwaiboy")</f>
        <v>siuwaiboy</v>
      </c>
      <c r="C7253" s="80" t="s">
        <v>7804</v>
      </c>
      <c r="D7253" s="81" t="str">
        <f>HYPERLINK("https://youtube.com/watch?v=Ukd4onJGQZg", "[直播精華] 仇女為怒轟女人唔講道理")</f>
        <v>[直播精華] 仇女為怒轟女人唔講道理</v>
      </c>
      <c r="E7253" s="82">
        <v>45298.0</v>
      </c>
      <c r="F7253" s="80">
        <v>74.0</v>
      </c>
      <c r="G7253" s="80" t="s">
        <v>63</v>
      </c>
      <c r="I7253" s="80" t="s">
        <v>63</v>
      </c>
      <c r="J7253" s="80">
        <v>427.0</v>
      </c>
      <c r="K7253" s="80">
        <v>0.997663551401869</v>
      </c>
      <c r="L7253" s="80" t="s">
        <v>64</v>
      </c>
    </row>
    <row r="7254">
      <c r="A7254" s="80" t="s">
        <v>242</v>
      </c>
      <c r="B7254" s="81" t="str">
        <f>HYPERLINK("https://www.youtube.com/channel/UCZGVB6g74LXWtkR3fX50ykg", "Edwin H.")</f>
        <v>Edwin H.</v>
      </c>
      <c r="C7254" s="80" t="s">
        <v>7805</v>
      </c>
      <c r="D7254" s="81" t="str">
        <f>HYPERLINK("https://youtube.com/watch?v=tWi3WWD4SQg", "磁能線與咖啡兄弟 ☕️ 10個科技眾籌集資騙局 誠實豆沙包版 Part 2")</f>
        <v>磁能線與咖啡兄弟 ☕️ 10個科技眾籌集資騙局 誠實豆沙包版 Part 2</v>
      </c>
      <c r="E7254" s="82">
        <v>45296.0</v>
      </c>
      <c r="F7254" s="80">
        <v>1247.0</v>
      </c>
      <c r="G7254" s="80" t="s">
        <v>63</v>
      </c>
      <c r="I7254" s="80" t="s">
        <v>63</v>
      </c>
      <c r="J7254" s="80">
        <v>4337.0</v>
      </c>
      <c r="K7254" s="80">
        <v>0.804339762611275</v>
      </c>
      <c r="L7254" s="80" t="s">
        <v>64</v>
      </c>
    </row>
    <row r="7255">
      <c r="A7255" s="80" t="s">
        <v>1183</v>
      </c>
      <c r="B7255" s="81" t="str">
        <f>HYPERLINK("https://www.youtube.com/channel/UCPBBbFYG51QpjuptQtYfCDA", "siuwaiboy")</f>
        <v>siuwaiboy</v>
      </c>
      <c r="C7255" s="80" t="s">
        <v>7806</v>
      </c>
      <c r="D7255" s="81" t="str">
        <f>HYPERLINK("https://youtube.com/watch?v=7VLJm2xn_5s", "[直精] 智傷為成為全球首個發現無睡意配方真正用法的人")</f>
        <v>[直精] 智傷為成為全球首個發現無睡意配方真正用法的人</v>
      </c>
      <c r="E7255" s="82">
        <v>45295.0</v>
      </c>
      <c r="F7255" s="80">
        <v>30.0</v>
      </c>
      <c r="G7255" s="80" t="s">
        <v>63</v>
      </c>
      <c r="I7255" s="80" t="s">
        <v>63</v>
      </c>
      <c r="J7255" s="80">
        <v>144.0</v>
      </c>
      <c r="K7255" s="80">
        <v>1.0</v>
      </c>
      <c r="L7255" s="80" t="s">
        <v>64</v>
      </c>
    </row>
    <row r="7256">
      <c r="A7256" s="80" t="s">
        <v>748</v>
      </c>
      <c r="B7256" s="81" t="str">
        <f>HYPERLINK("https://www.youtube.com/channel/UC_ZT2UjRiNSy1I33LEiflJQ", "撒野作風 WILDSTYLE RECORDS")</f>
        <v>撒野作風 WILDSTYLE RECORDS</v>
      </c>
      <c r="C7256" s="80" t="s">
        <v>7807</v>
      </c>
      <c r="D7256" s="81" t="str">
        <f>HYPERLINK("https://youtube.com/watch?v=E9clDiOFOZQ", "YoungQueenz, N.O.L.Y - ""Hoyeonjung"" prod. yellowriver")</f>
        <v>YoungQueenz, N.O.L.Y - "Hoyeonjung" prod. yellowriver</v>
      </c>
      <c r="E7256" s="82">
        <v>45291.0</v>
      </c>
      <c r="F7256" s="80">
        <v>207.0</v>
      </c>
      <c r="G7256" s="80" t="s">
        <v>63</v>
      </c>
      <c r="I7256" s="80" t="s">
        <v>63</v>
      </c>
      <c r="J7256" s="80">
        <v>273.0</v>
      </c>
      <c r="K7256" s="80">
        <v>0.214117647058823</v>
      </c>
      <c r="L7256" s="80" t="s">
        <v>893</v>
      </c>
    </row>
    <row r="7257">
      <c r="A7257" s="80" t="s">
        <v>1670</v>
      </c>
      <c r="B7257" s="81" t="str">
        <f t="shared" ref="B7257:B7258" si="418">HYPERLINK("https://www.youtube.com/channel/UC-PIt5m-WOg8UVBkt2RnN0g", "阿JACK睇樓團")</f>
        <v>阿JACK睇樓團</v>
      </c>
      <c r="C7257" s="80" t="s">
        <v>7808</v>
      </c>
      <c r="D7257" s="81" t="str">
        <f>HYPERLINK("https://youtube.com/watch?v=PV6f8cs1ukQ", "全幢海景村屋🌅😍加入車花園🚗這個景觀你給多少分？丨屯門樓丨阿JACK睇樓團丨海景丨村屋")</f>
        <v>全幢海景村屋🌅😍加入車花園🚗這個景觀你給多少分？丨屯門樓丨阿JACK睇樓團丨海景丨村屋</v>
      </c>
      <c r="E7257" s="82">
        <v>45344.0</v>
      </c>
      <c r="F7257" s="80">
        <v>720.0</v>
      </c>
      <c r="G7257" s="80" t="s">
        <v>63</v>
      </c>
      <c r="I7257" s="80" t="s">
        <v>63</v>
      </c>
      <c r="J7257" s="80">
        <v>2261.0</v>
      </c>
      <c r="K7257" s="80">
        <v>0.979636048526863</v>
      </c>
      <c r="L7257" s="80" t="s">
        <v>64</v>
      </c>
    </row>
    <row r="7258">
      <c r="A7258" s="80" t="s">
        <v>1670</v>
      </c>
      <c r="B7258" s="81" t="str">
        <f t="shared" si="418"/>
        <v>阿JACK睇樓團</v>
      </c>
      <c r="C7258" s="80" t="s">
        <v>7809</v>
      </c>
      <c r="D7258" s="81" t="str">
        <f>HYPERLINK("https://youtube.com/watch?v=AqpEoo4KzFo", "元朗最多人讚既屋苑❓2房/3房/連天台丨🤩東南内園池景丨阿JACK睇樓團丨新鴻基樓丨")</f>
        <v>元朗最多人讚既屋苑❓2房/3房/連天台丨🤩東南内園池景丨阿JACK睇樓團丨新鴻基樓丨</v>
      </c>
      <c r="E7258" s="82">
        <v>45340.0</v>
      </c>
      <c r="F7258" s="80">
        <v>1090.0</v>
      </c>
      <c r="G7258" s="80" t="s">
        <v>63</v>
      </c>
      <c r="I7258" s="80" t="s">
        <v>63</v>
      </c>
      <c r="J7258" s="80">
        <v>3878.0</v>
      </c>
      <c r="K7258" s="80">
        <v>0.994614003590664</v>
      </c>
      <c r="L7258" s="80" t="s">
        <v>64</v>
      </c>
    </row>
    <row r="7259">
      <c r="A7259" s="80" t="s">
        <v>242</v>
      </c>
      <c r="B7259" s="81" t="str">
        <f>HYPERLINK("https://www.youtube.com/channel/UCZGVB6g74LXWtkR3fX50ykg", "Edwin H.")</f>
        <v>Edwin H.</v>
      </c>
      <c r="C7259" s="80" t="s">
        <v>7810</v>
      </c>
      <c r="D7259" s="81" t="str">
        <f>HYPERLINK("https://youtube.com/watch?v=iNRNQu70K_Q", "跌爆咗 🍎🥽 40件必睇科技新品  1月2月 有趣科技新聞")</f>
        <v>跌爆咗 🍎🥽 40件必睇科技新品  1月2月 有趣科技新聞</v>
      </c>
      <c r="E7259" s="82">
        <v>45345.0</v>
      </c>
      <c r="F7259" s="80">
        <v>1209.0</v>
      </c>
      <c r="G7259" s="80" t="s">
        <v>63</v>
      </c>
      <c r="I7259" s="80" t="s">
        <v>63</v>
      </c>
      <c r="J7259" s="80">
        <v>5048.0</v>
      </c>
      <c r="K7259" s="80">
        <v>0.741262848751835</v>
      </c>
      <c r="L7259" s="80" t="s">
        <v>64</v>
      </c>
    </row>
    <row r="7260">
      <c r="A7260" s="80" t="s">
        <v>260</v>
      </c>
      <c r="B7260" s="81" t="str">
        <f>HYPERLINK("https://www.youtube.com/channel/UC-HXOikkLx7BGEfILGIpYOg", "港短 . 英移")</f>
        <v>港短 . 英移</v>
      </c>
      <c r="C7260" s="80" t="s">
        <v>7811</v>
      </c>
      <c r="D7260" s="81" t="str">
        <f>HYPERLINK("https://youtube.com/watch?v=EbTmtjitxlA", "5個英國新屋入伙最易被忽略的致癌物 | 港短英移")</f>
        <v>5個英國新屋入伙最易被忽略的致癌物 | 港短英移</v>
      </c>
      <c r="E7260" s="82">
        <v>45344.0</v>
      </c>
      <c r="F7260" s="80">
        <v>405.0</v>
      </c>
      <c r="G7260" s="80" t="s">
        <v>63</v>
      </c>
      <c r="I7260" s="80" t="s">
        <v>63</v>
      </c>
      <c r="J7260" s="80">
        <v>1721.0</v>
      </c>
      <c r="K7260" s="80">
        <v>0.949255377826806</v>
      </c>
      <c r="L7260" s="80" t="s">
        <v>102</v>
      </c>
    </row>
    <row r="7261">
      <c r="A7261" s="80" t="s">
        <v>1670</v>
      </c>
      <c r="B7261" s="81" t="str">
        <f>HYPERLINK("https://www.youtube.com/channel/UC-PIt5m-WOg8UVBkt2RnN0g", "阿JACK睇樓團")</f>
        <v>阿JACK睇樓團</v>
      </c>
      <c r="C7261" s="80" t="s">
        <v>7812</v>
      </c>
      <c r="D7261" s="81" t="str">
        <f>HYPERLINK("https://youtube.com/watch?v=73-5nupoU1g", "$5000呎價🤯丨下複式連花園🌲丨車泊門口🚗丨阿JACK睇樓團丨龍鼓灘丨下集")</f>
        <v>$5000呎價🤯丨下複式連花園🌲丨車泊門口🚗丨阿JACK睇樓團丨龍鼓灘丨下集</v>
      </c>
      <c r="E7261" s="82">
        <v>45347.0</v>
      </c>
      <c r="F7261" s="80">
        <v>480.0</v>
      </c>
      <c r="G7261" s="80" t="s">
        <v>63</v>
      </c>
      <c r="I7261" s="80" t="s">
        <v>63</v>
      </c>
      <c r="J7261" s="80">
        <v>1918.0</v>
      </c>
      <c r="K7261" s="80">
        <v>0.986625514403292</v>
      </c>
      <c r="L7261" s="80" t="s">
        <v>7813</v>
      </c>
    </row>
    <row r="7262">
      <c r="A7262" s="80" t="s">
        <v>2041</v>
      </c>
      <c r="B7262" s="81" t="str">
        <f>HYPERLINK("https://www.youtube.com/channel/UCO6pB-ZN4XJ6MVkibvuEe0A", "SingSingTracker 星昇財經指標")</f>
        <v>SingSingTracker 星昇財經指標</v>
      </c>
      <c r="C7262" s="80" t="s">
        <v>7814</v>
      </c>
      <c r="D7262" s="81" t="str">
        <f>HYPERLINK("https://youtube.com/watch?v=QrYgeUzuVko", "心水股票分享？【AI 女主持-小Sing🌸】黃金漲勢如破竹！ 外匯輕鬆易玩？「窮忙族」恩物｜股票｜投資｜指標｜港股｜美股｜入市 21/2/2024 #投資入門 #美股 #經濟")</f>
        <v>心水股票分享？【AI 女主持-小Sing🌸】黃金漲勢如破竹！ 外匯輕鬆易玩？「窮忙族」恩物｜股票｜投資｜指標｜港股｜美股｜入市 21/2/2024 #投資入門 #美股 #經濟</v>
      </c>
      <c r="E7262" s="82">
        <v>45343.0</v>
      </c>
      <c r="F7262" s="80">
        <v>134.0</v>
      </c>
      <c r="G7262" s="80" t="s">
        <v>63</v>
      </c>
      <c r="I7262" s="80" t="s">
        <v>63</v>
      </c>
      <c r="J7262" s="80">
        <v>588.0</v>
      </c>
      <c r="K7262" s="80">
        <v>0.98989898989899</v>
      </c>
      <c r="L7262" s="80" t="s">
        <v>91</v>
      </c>
    </row>
    <row r="7263">
      <c r="A7263" s="80" t="s">
        <v>124</v>
      </c>
      <c r="B7263" s="81" t="str">
        <f>HYPERLINK("https://www.youtube.com/channel/UCg0vuSE0fBF_NvodyYhMcWg", "Wallace Studio HK")</f>
        <v>Wallace Studio HK</v>
      </c>
      <c r="C7263" s="80" t="s">
        <v>7815</v>
      </c>
      <c r="D7263" s="81" t="str">
        <f>HYPERLINK("https://youtube.com/watch?v=h_xjPGNk020", "Redmi Note 13 Pro，2億像素係咩玩法!? 又一抵玩登場!")</f>
        <v>Redmi Note 13 Pro，2億像素係咩玩法!? 又一抵玩登場!</v>
      </c>
      <c r="E7263" s="82">
        <v>45347.0</v>
      </c>
      <c r="F7263" s="80">
        <v>175.0</v>
      </c>
      <c r="G7263" s="80" t="s">
        <v>63</v>
      </c>
      <c r="I7263" s="80" t="s">
        <v>63</v>
      </c>
      <c r="J7263" s="80">
        <v>602.0</v>
      </c>
      <c r="K7263" s="80">
        <v>0.832641770401106</v>
      </c>
      <c r="L7263" s="80" t="s">
        <v>64</v>
      </c>
    </row>
    <row r="7264">
      <c r="A7264" s="80" t="s">
        <v>217</v>
      </c>
      <c r="B7264" s="81" t="str">
        <f>HYPERLINK("https://www.youtube.com/channel/UCXKg0qPRz32bs5Z4mTGF3TQ", "Stormtrooper白兵")</f>
        <v>Stormtrooper白兵</v>
      </c>
      <c r="C7264" s="80" t="s">
        <v>7816</v>
      </c>
      <c r="D7264" s="81" t="str">
        <f>HYPERLINK("https://youtube.com/watch?v=sMcJ0wNHC6c", "一招解決便秘！｜膳食纖維supplement又係冇用？｜現時坐廁設計是法國皇室專用，竟然出問題？｜不是陰謀論｜中文字幕")</f>
        <v>一招解決便秘！｜膳食纖維supplement又係冇用？｜現時坐廁設計是法國皇室專用，竟然出問題？｜不是陰謀論｜中文字幕</v>
      </c>
      <c r="E7264" s="82">
        <v>45344.0</v>
      </c>
      <c r="F7264" s="80">
        <v>740.0</v>
      </c>
      <c r="G7264" s="80" t="s">
        <v>63</v>
      </c>
      <c r="I7264" s="80" t="s">
        <v>63</v>
      </c>
      <c r="J7264" s="80">
        <v>3126.0</v>
      </c>
      <c r="K7264" s="80">
        <v>0.950729927007299</v>
      </c>
      <c r="L7264" s="80" t="s">
        <v>64</v>
      </c>
    </row>
    <row r="7265">
      <c r="A7265" s="80" t="s">
        <v>2785</v>
      </c>
      <c r="B7265" s="81" t="str">
        <f>HYPERLINK("https://www.youtube.com/channel/UC_w7pV_Xz9XO0ChNFxMtV0w", "MPWeekly明周")</f>
        <v>MPWeekly明周</v>
      </c>
      <c r="C7265" s="80" t="s">
        <v>7817</v>
      </c>
      <c r="D7265" s="81" t="str">
        <f>HYPERLINK("https://youtube.com/watch?v=sYlDb0c_Scc", "搣甩110磅 細細粒泳裝初體驗")</f>
        <v>搣甩110磅 細細粒泳裝初體驗</v>
      </c>
      <c r="E7265" s="82">
        <v>45345.0</v>
      </c>
      <c r="F7265" s="80">
        <v>104.0</v>
      </c>
      <c r="G7265" s="80" t="s">
        <v>63</v>
      </c>
      <c r="I7265" s="80" t="s">
        <v>63</v>
      </c>
      <c r="J7265" s="80">
        <v>200.0</v>
      </c>
      <c r="K7265" s="80">
        <v>0.970873786407767</v>
      </c>
      <c r="L7265" s="80" t="s">
        <v>64</v>
      </c>
    </row>
    <row r="7266">
      <c r="A7266" s="80" t="s">
        <v>288</v>
      </c>
      <c r="B7266" s="81" t="str">
        <f>HYPERLINK("https://www.youtube.com/channel/UCDWOYEhVnyD4IHZGVAMLc0g", "Brendan 毛爸")</f>
        <v>Brendan 毛爸</v>
      </c>
      <c r="C7266" s="80" t="s">
        <v>7818</v>
      </c>
      <c r="D7266" s="81" t="str">
        <f>HYPERLINK("https://youtube.com/watch?v=xCl7yzPsODg", "《變態業主擅闖民居斷正？！ 下集》業主地產亂罰款！口同鼻拗！兩難局面！點樣據理力爭？！@UK 《🇬🇧毛爸英國生活小分享》")</f>
        <v>《變態業主擅闖民居斷正？！ 下集》業主地產亂罰款！口同鼻拗！兩難局面！點樣據理力爭？！@UK 《🇬🇧毛爸英國生活小分享》</v>
      </c>
      <c r="E7266" s="82">
        <v>45345.0</v>
      </c>
      <c r="F7266" s="80">
        <v>700.0</v>
      </c>
      <c r="G7266" s="80" t="s">
        <v>63</v>
      </c>
      <c r="I7266" s="80" t="s">
        <v>63</v>
      </c>
      <c r="J7266" s="80">
        <v>2701.0</v>
      </c>
      <c r="K7266" s="80">
        <v>0.937521693856299</v>
      </c>
      <c r="L7266" s="80" t="s">
        <v>64</v>
      </c>
    </row>
    <row r="7267">
      <c r="A7267" s="80" t="s">
        <v>6960</v>
      </c>
      <c r="B7267" s="81" t="str">
        <f>HYPERLINK("https://www.youtube.com/channel/UCQS2_zzisMq5C_FggxsQwTQ", "Comprehensible Cantonese")</f>
        <v>Comprehensible Cantonese</v>
      </c>
      <c r="C7267" s="80" t="s">
        <v>7819</v>
      </c>
      <c r="D7267" s="81" t="str">
        <f>HYPERLINK("https://youtube.com/watch?v=gtBF9NKvkS0", "廣東話 Cantonese Story: A Hot Day🥵🏊‍♂️😓| Comprehensible Input Cantonese -Basic Beginner (CC)")</f>
        <v>廣東話 Cantonese Story: A Hot Day🥵🏊‍♂️😓| Comprehensible Input Cantonese -Basic Beginner (CC)</v>
      </c>
      <c r="E7267" s="82">
        <v>45341.0</v>
      </c>
      <c r="F7267" s="80">
        <v>506.0</v>
      </c>
      <c r="G7267" s="80" t="s">
        <v>63</v>
      </c>
      <c r="I7267" s="80" t="s">
        <v>63</v>
      </c>
      <c r="J7267" s="80">
        <v>605.0</v>
      </c>
      <c r="K7267" s="80">
        <v>0.858156028368794</v>
      </c>
      <c r="L7267" s="80" t="s">
        <v>102</v>
      </c>
    </row>
    <row r="7268">
      <c r="A7268" s="80" t="s">
        <v>2785</v>
      </c>
      <c r="B7268" s="81" t="str">
        <f>HYPERLINK("https://www.youtube.com/channel/UC_w7pV_Xz9XO0ChNFxMtV0w", "MPWeekly明周")</f>
        <v>MPWeekly明周</v>
      </c>
      <c r="C7268" s="80" t="s">
        <v>7820</v>
      </c>
      <c r="D7268" s="81" t="str">
        <f>HYPERLINK("https://youtube.com/watch?v=HKOo1I33q4Q", "搣甩110磅 泳裝初體驗 細細粒︰有男仔唔該介紹下！")</f>
        <v>搣甩110磅 泳裝初體驗 細細粒︰有男仔唔該介紹下！</v>
      </c>
      <c r="E7268" s="82">
        <v>45346.0</v>
      </c>
      <c r="F7268" s="80">
        <v>188.0</v>
      </c>
      <c r="G7268" s="80" t="s">
        <v>63</v>
      </c>
      <c r="I7268" s="80" t="s">
        <v>63</v>
      </c>
      <c r="J7268" s="80">
        <v>498.0</v>
      </c>
      <c r="K7268" s="80">
        <v>0.990059642147117</v>
      </c>
      <c r="L7268" s="80" t="s">
        <v>64</v>
      </c>
    </row>
    <row r="7269">
      <c r="A7269" s="80" t="s">
        <v>124</v>
      </c>
      <c r="B7269" s="81" t="str">
        <f t="shared" ref="B7269:B7270" si="419">HYPERLINK("https://www.youtube.com/channel/UCg0vuSE0fBF_NvodyYhMcWg", "Wallace Studio HK")</f>
        <v>Wallace Studio HK</v>
      </c>
      <c r="C7269" s="80" t="s">
        <v>7821</v>
      </c>
      <c r="D7269" s="81" t="str">
        <f>HYPERLINK("https://youtube.com/watch?v=CDYJqMIoY58", "2024 電競手提電腦完整資訊｜Intel 14代｜一條片睇哂CES2024 發佈左咩Gaming Laptop!")</f>
        <v>2024 電競手提電腦完整資訊｜Intel 14代｜一條片睇哂CES2024 發佈左咩Gaming Laptop!</v>
      </c>
      <c r="E7269" s="82">
        <v>45340.0</v>
      </c>
      <c r="F7269" s="80">
        <v>472.0</v>
      </c>
      <c r="G7269" s="80" t="s">
        <v>63</v>
      </c>
      <c r="H7269" s="80" t="s">
        <v>63</v>
      </c>
      <c r="I7269" s="80" t="s">
        <v>63</v>
      </c>
      <c r="J7269" s="80">
        <v>1620.0</v>
      </c>
      <c r="K7269" s="80">
        <v>0.686440677966101</v>
      </c>
      <c r="L7269" s="80" t="s">
        <v>86</v>
      </c>
    </row>
    <row r="7270">
      <c r="A7270" s="80" t="s">
        <v>124</v>
      </c>
      <c r="B7270" s="81" t="str">
        <f t="shared" si="419"/>
        <v>Wallace Studio HK</v>
      </c>
      <c r="C7270" s="80" t="s">
        <v>7822</v>
      </c>
      <c r="D7270" s="81" t="str">
        <f>HYPERLINK("https://youtube.com/watch?v=S9qdxLcYSg0", "POCO X6 評測，2千有找，抵玩之選！")</f>
        <v>POCO X6 評測，2千有找，抵玩之選！</v>
      </c>
      <c r="E7270" s="82">
        <v>45344.0</v>
      </c>
      <c r="F7270" s="80">
        <v>229.0</v>
      </c>
      <c r="G7270" s="80" t="s">
        <v>63</v>
      </c>
      <c r="I7270" s="80" t="s">
        <v>63</v>
      </c>
      <c r="J7270" s="80">
        <v>877.0</v>
      </c>
      <c r="K7270" s="80">
        <v>0.862340216322517</v>
      </c>
      <c r="L7270" s="80" t="s">
        <v>64</v>
      </c>
    </row>
    <row r="7271">
      <c r="A7271" s="80" t="s">
        <v>6960</v>
      </c>
      <c r="B7271" s="81" t="str">
        <f>HYPERLINK("https://www.youtube.com/channel/UCQS2_zzisMq5C_FggxsQwTQ", "Comprehensible Cantonese")</f>
        <v>Comprehensible Cantonese</v>
      </c>
      <c r="C7271" s="80" t="s">
        <v>7823</v>
      </c>
      <c r="D7271" s="81" t="str">
        <f>HYPERLINK("https://youtube.com/watch?v=C1Bb30jIk9Y", "Vlog: Look What We Found in the Park| Comprehensible Input Cantonese| Real Life 廣東話Intermediate [CC]")</f>
        <v>Vlog: Look What We Found in the Park| Comprehensible Input Cantonese| Real Life 廣東話Intermediate [CC]</v>
      </c>
      <c r="E7271" s="82">
        <v>45345.0</v>
      </c>
      <c r="F7271" s="80">
        <v>257.0</v>
      </c>
      <c r="G7271" s="80" t="s">
        <v>63</v>
      </c>
      <c r="I7271" s="80" t="s">
        <v>63</v>
      </c>
      <c r="J7271" s="80">
        <v>875.0</v>
      </c>
      <c r="K7271" s="80">
        <v>0.974387527839643</v>
      </c>
      <c r="L7271" s="80" t="s">
        <v>102</v>
      </c>
    </row>
    <row r="7272">
      <c r="A7272" s="80" t="s">
        <v>288</v>
      </c>
      <c r="B7272" s="81" t="str">
        <f>HYPERLINK("https://www.youtube.com/channel/UCDWOYEhVnyD4IHZGVAMLc0g", "Brendan 毛爸")</f>
        <v>Brendan 毛爸</v>
      </c>
      <c r="C7272" s="80" t="s">
        <v>7824</v>
      </c>
      <c r="D7272" s="81" t="str">
        <f>HYPERLINK("https://youtube.com/watch?v=vhHQ4SE3Zbs", "《遇到變態￼業主 上集￼》￼ 逼租客每星期剪草？水龍頭唔可以有水垢？￼￼￼￼￼個個星期過嚟做考核？有冇朋友探我都要管？￼想加租竟然出超必！￼￼￼￼￼@UK 《🇬🇧毛爸英國生活小分享》")</f>
        <v>《遇到變態￼業主 上集￼》￼ 逼租客每星期剪草？水龍頭唔可以有水垢？￼￼￼￼￼個個星期過嚟做考核？有冇朋友探我都要管？￼想加租竟然出超必！￼￼￼￼￼@UK 《🇬🇧毛爸英國生活小分享》</v>
      </c>
      <c r="E7272" s="82">
        <v>45343.0</v>
      </c>
      <c r="F7272" s="80">
        <v>724.0</v>
      </c>
      <c r="G7272" s="80" t="s">
        <v>63</v>
      </c>
      <c r="I7272" s="80" t="s">
        <v>63</v>
      </c>
      <c r="J7272" s="80">
        <v>2731.0</v>
      </c>
      <c r="K7272" s="80">
        <v>0.973271560940841</v>
      </c>
      <c r="L7272" s="80" t="s">
        <v>64</v>
      </c>
    </row>
    <row r="7273">
      <c r="A7273" s="80" t="s">
        <v>2785</v>
      </c>
      <c r="B7273" s="81" t="str">
        <f>HYPERLINK("https://www.youtube.com/channel/UC_w7pV_Xz9XO0ChNFxMtV0w", "MPWeekly明周")</f>
        <v>MPWeekly明周</v>
      </c>
      <c r="C7273" s="80" t="s">
        <v>7825</v>
      </c>
      <c r="D7273" s="81" t="str">
        <f>HYPERLINK("https://youtube.com/watch?v=4lZ0xd_c9k0", "「金牌媒人」阿Bob都搞唔掂 細細粒保持A0 「我諗呢一世都單身㗎喇！」")</f>
        <v>「金牌媒人」阿Bob都搞唔掂 細細粒保持A0 「我諗呢一世都單身㗎喇！」</v>
      </c>
      <c r="E7273" s="82">
        <v>45348.0</v>
      </c>
      <c r="F7273" s="80">
        <v>165.0</v>
      </c>
      <c r="G7273" s="80" t="s">
        <v>63</v>
      </c>
      <c r="I7273" s="80" t="s">
        <v>63</v>
      </c>
      <c r="J7273" s="80">
        <v>379.0</v>
      </c>
      <c r="K7273" s="80">
        <v>0.952261306532663</v>
      </c>
      <c r="L7273" s="80" t="s">
        <v>64</v>
      </c>
    </row>
    <row r="7274">
      <c r="A7274" s="80" t="s">
        <v>288</v>
      </c>
      <c r="B7274" s="81" t="str">
        <f>HYPERLINK("https://www.youtube.com/channel/UCDWOYEhVnyD4IHZGVAMLc0g", "Brendan 毛爸")</f>
        <v>Brendan 毛爸</v>
      </c>
      <c r="C7274" s="80" t="s">
        <v>7826</v>
      </c>
      <c r="D7274" s="81" t="str">
        <f>HYPERLINK("https://youtube.com/watch?v=2ujej4cILOE", "「戰況快報」PK14003 魏國 飛盟 + 英靈殿已破關！ 但人數佔優 會有激烈對戰嗎？《三國志戰略版 CC中文字幕》")</f>
        <v>「戰況快報」PK14003 魏國 飛盟 + 英靈殿已破關！ 但人數佔優 會有激烈對戰嗎？《三國志戰略版 CC中文字幕》</v>
      </c>
      <c r="E7274" s="82">
        <v>45348.0</v>
      </c>
      <c r="F7274" s="80">
        <v>115.0</v>
      </c>
      <c r="G7274" s="80" t="s">
        <v>63</v>
      </c>
      <c r="I7274" s="80" t="s">
        <v>63</v>
      </c>
      <c r="J7274" s="80">
        <v>412.0</v>
      </c>
      <c r="K7274" s="80">
        <v>0.951501154734411</v>
      </c>
      <c r="L7274" s="80" t="s">
        <v>64</v>
      </c>
    </row>
    <row r="7275">
      <c r="A7275" s="80" t="s">
        <v>6591</v>
      </c>
      <c r="B7275" s="81" t="str">
        <f>HYPERLINK("https://www.youtube.com/channel/UC0DpBgpq_gR7TaNDIvJYZag", "TalkFood")</f>
        <v>TalkFood</v>
      </c>
      <c r="C7275" s="80" t="s">
        <v>7827</v>
      </c>
      <c r="D7275" s="81" t="str">
        <f>HYPERLINK("https://youtube.com/watch?v=tj2wlGZ6odI", "#TalkFood【#18區搵食 本地遊返嚟啦！出發坪洲預約困難店】臥虎藏龍茶餐廳｜提早三星期預約｜只開兩日｜本地漁民拎新鮮漁獲｜大推籠仔蝦糯米飯｜冰火菠蘿包夾雪糕｜名物炒通粉｜真蝦肉蝦多士｜#廣東話")</f>
        <v>#TalkFood【#18區搵食 本地遊返嚟啦！出發坪洲預約困難店】臥虎藏龍茶餐廳｜提早三星期預約｜只開兩日｜本地漁民拎新鮮漁獲｜大推籠仔蝦糯米飯｜冰火菠蘿包夾雪糕｜名物炒通粉｜真蝦肉蝦多士｜#廣東話</v>
      </c>
      <c r="E7275" s="82">
        <v>45351.0</v>
      </c>
      <c r="F7275" s="80">
        <v>541.0</v>
      </c>
      <c r="G7275" s="80" t="s">
        <v>63</v>
      </c>
      <c r="I7275" s="80" t="s">
        <v>63</v>
      </c>
      <c r="J7275" s="80">
        <v>1793.0</v>
      </c>
      <c r="K7275" s="80">
        <v>0.959850107066381</v>
      </c>
      <c r="L7275" s="80" t="s">
        <v>64</v>
      </c>
    </row>
    <row r="7276">
      <c r="A7276" s="80" t="s">
        <v>6373</v>
      </c>
      <c r="B7276" s="81" t="str">
        <f>HYPERLINK("https://www.youtube.com/channel/UCMXOmw_gVvTj8n1gjqUN51w", "瑪姬英文 English with Maggie")</f>
        <v>瑪姬英文 English with Maggie</v>
      </c>
      <c r="C7276" s="80" t="s">
        <v>7828</v>
      </c>
      <c r="D7276" s="81" t="str">
        <f>HYPERLINK("https://youtube.com/watch?v=dp5CSZ7jopg", "「總統大選」的英文不是 President Election?!  #english #DSE英文 #learnenglish")</f>
        <v>「總統大選」的英文不是 President Election?!  #english #DSE英文 #learnenglish</v>
      </c>
      <c r="E7276" s="82">
        <v>45307.0</v>
      </c>
      <c r="F7276" s="80">
        <v>38.0</v>
      </c>
      <c r="G7276" s="80" t="s">
        <v>63</v>
      </c>
      <c r="I7276" s="80" t="s">
        <v>63</v>
      </c>
      <c r="J7276" s="80">
        <v>56.0</v>
      </c>
      <c r="K7276" s="80">
        <v>0.291666666666666</v>
      </c>
      <c r="L7276" s="80" t="s">
        <v>64</v>
      </c>
    </row>
    <row r="7277">
      <c r="A7277" s="80" t="s">
        <v>1670</v>
      </c>
      <c r="B7277" s="81" t="str">
        <f>HYPERLINK("https://www.youtube.com/channel/UC-PIt5m-WOg8UVBkt2RnN0g", "阿JACK睇樓團")</f>
        <v>阿JACK睇樓團</v>
      </c>
      <c r="C7277" s="80" t="s">
        <v>7829</v>
      </c>
      <c r="D7277" s="81" t="str">
        <f>HYPERLINK("https://youtube.com/watch?v=risttPjFIT4", "蝕讓800萬💥丨五年前一個決定丨而家個價錢吸唔吸引到你丨到底發生過什麼事？丨阿JACK睇樓團丨元朗樓丨洋房丨別墅丨")</f>
        <v>蝕讓800萬💥丨五年前一個決定丨而家個價錢吸唔吸引到你丨到底發生過什麼事？丨阿JACK睇樓團丨元朗樓丨洋房丨別墅丨</v>
      </c>
      <c r="E7277" s="82">
        <v>45351.0</v>
      </c>
      <c r="F7277" s="80">
        <v>759.0</v>
      </c>
      <c r="G7277" s="80" t="s">
        <v>63</v>
      </c>
      <c r="I7277" s="80" t="s">
        <v>63</v>
      </c>
      <c r="J7277" s="80">
        <v>2783.0</v>
      </c>
      <c r="K7277" s="80">
        <v>0.970024398745207</v>
      </c>
      <c r="L7277" s="80" t="s">
        <v>64</v>
      </c>
    </row>
    <row r="7278">
      <c r="A7278" s="80" t="s">
        <v>6373</v>
      </c>
      <c r="B7278" s="81" t="str">
        <f>HYPERLINK("https://www.youtube.com/channel/UCMXOmw_gVvTj8n1gjqUN51w", "瑪姬英文 English with Maggie")</f>
        <v>瑪姬英文 English with Maggie</v>
      </c>
      <c r="C7278" s="80" t="s">
        <v>7830</v>
      </c>
      <c r="D7278" s="81" t="str">
        <f>HYPERLINK("https://youtube.com/watch?v=ReaYr8AUI8c", "用英文叫「回水」！/「噓人」英文？👎🏻 Return Water? (Inter Miami vs. 香港足球賽）美斯/碧咸被噓")</f>
        <v>用英文叫「回水」！/「噓人」英文？👎🏻 Return Water? (Inter Miami vs. 香港足球賽）美斯/碧咸被噓</v>
      </c>
      <c r="E7278" s="82">
        <v>45327.0</v>
      </c>
      <c r="F7278" s="80">
        <v>50.0</v>
      </c>
      <c r="G7278" s="80" t="s">
        <v>63</v>
      </c>
      <c r="I7278" s="80" t="s">
        <v>63</v>
      </c>
      <c r="J7278" s="80">
        <v>118.0</v>
      </c>
      <c r="K7278" s="80">
        <v>0.419928825622775</v>
      </c>
      <c r="L7278" s="80" t="s">
        <v>64</v>
      </c>
    </row>
    <row r="7279">
      <c r="A7279" s="80" t="s">
        <v>6817</v>
      </c>
      <c r="B7279" s="81" t="str">
        <f>HYPERLINK("https://www.youtube.com/channel/UCWo5nbifkKDRNyD2nF2KJ0Q", "陳柏宇 Jason Chan")</f>
        <v>陳柏宇 Jason Chan</v>
      </c>
      <c r="C7279" s="80" t="s">
        <v>7831</v>
      </c>
      <c r="D7279" s="81" t="str">
        <f>HYPERLINK("https://youtube.com/watch?v=DEzrYmJDma8", "程人富對SM投稿有獨特見解 陳柏宇：你好似好有經驗喎😂｜恐怖情人故事下集｜偷前度相開IG扮援交妹｜另一半話自己殺過人 嗌交拎刀出嚟恐嚇🔪｜終極恐怖係情緒勒索｜陳柏宇 Jason Chan（中文字幕）")</f>
        <v>程人富對SM投稿有獨特見解 陳柏宇：你好似好有經驗喎😂｜恐怖情人故事下集｜偷前度相開IG扮援交妹｜另一半話自己殺過人 嗌交拎刀出嚟恐嚇🔪｜終極恐怖係情緒勒索｜陳柏宇 Jason Chan（中文字幕）</v>
      </c>
      <c r="E7279" s="82">
        <v>45343.0</v>
      </c>
      <c r="F7279" s="80">
        <v>740.0</v>
      </c>
      <c r="G7279" s="80" t="s">
        <v>63</v>
      </c>
      <c r="I7279" s="80" t="s">
        <v>63</v>
      </c>
      <c r="J7279" s="80">
        <v>2774.0</v>
      </c>
      <c r="K7279" s="80">
        <v>0.969930069930069</v>
      </c>
      <c r="L7279" s="80" t="s">
        <v>102</v>
      </c>
    </row>
    <row r="7280">
      <c r="A7280" s="80" t="s">
        <v>7832</v>
      </c>
      <c r="B7280" s="81" t="str">
        <f>HYPERLINK("https://www.youtube.com/channel/UC2FuHhkQx55320asbW8OnDA", "暴力Violencee生活誌")</f>
        <v>暴力Violencee生活誌</v>
      </c>
      <c r="C7280" s="80" t="s">
        <v>7833</v>
      </c>
      <c r="D7280" s="81" t="str">
        <f>HYPERLINK("https://youtube.com/watch?v=eozcDxPVge8", "【實試】千萬不要買Fujifilm X100 VI？一手實試於東京街拍！試完我已即刻課金！真係咁正咩？！六本木、渋谷、新宿日拍夜拍大量照片影片！")</f>
        <v>【實試】千萬不要買Fujifilm X100 VI？一手實試於東京街拍！試完我已即刻課金！真係咁正咩？！六本木、渋谷、新宿日拍夜拍大量照片影片！</v>
      </c>
      <c r="E7280" s="82">
        <v>45348.0</v>
      </c>
      <c r="F7280" s="80">
        <v>679.0</v>
      </c>
      <c r="G7280" s="80" t="s">
        <v>63</v>
      </c>
      <c r="I7280" s="80" t="s">
        <v>63</v>
      </c>
      <c r="J7280" s="80">
        <v>2679.0</v>
      </c>
      <c r="K7280" s="80">
        <v>0.799701492537313</v>
      </c>
      <c r="L7280" s="80" t="s">
        <v>91</v>
      </c>
    </row>
    <row r="7281">
      <c r="A7281" s="80" t="s">
        <v>217</v>
      </c>
      <c r="B7281" s="81" t="str">
        <f>HYPERLINK("https://www.youtube.com/channel/UCXKg0qPRz32bs5Z4mTGF3TQ", "Stormtrooper白兵")</f>
        <v>Stormtrooper白兵</v>
      </c>
      <c r="C7281" s="80" t="s">
        <v>7834</v>
      </c>
      <c r="D7281" s="81" t="str">
        <f>HYPERLINK("https://youtube.com/watch?v=d1VWc9QMqNs", "茶都有間諜？｜一杯茶令全英國慾罷不能300年！｜令英國搵間諜偷種子！直接導致鴉片戰爭+割讓香港+BNO｜不是陰謀論｜中文字幕")</f>
        <v>茶都有間諜？｜一杯茶令全英國慾罷不能300年！｜令英國搵間諜偷種子！直接導致鴉片戰爭+割讓香港+BNO｜不是陰謀論｜中文字幕</v>
      </c>
      <c r="E7281" s="82">
        <v>45351.0</v>
      </c>
      <c r="F7281" s="80">
        <v>987.0</v>
      </c>
      <c r="G7281" s="80" t="s">
        <v>63</v>
      </c>
      <c r="I7281" s="80" t="s">
        <v>63</v>
      </c>
      <c r="J7281" s="80">
        <v>4291.0</v>
      </c>
      <c r="K7281" s="80">
        <v>0.954616240266963</v>
      </c>
      <c r="L7281" s="80" t="s">
        <v>64</v>
      </c>
    </row>
    <row r="7282">
      <c r="A7282" s="80" t="s">
        <v>248</v>
      </c>
      <c r="B7282" s="81" t="str">
        <f t="shared" ref="B7282:B7283" si="420">HYPERLINK("https://www.youtube.com/channel/UCUEJok-GiWaGlv5nIPwk-GQ", "Price.com.hk 香港格價網")</f>
        <v>Price.com.hk 香港格價網</v>
      </c>
      <c r="C7282" s="80" t="s">
        <v>7835</v>
      </c>
      <c r="D7282" s="81" t="str">
        <f>HYPERLINK("https://youtube.com/watch?v=QFkdXdbPPfE", "【GIVEAWAY】全港首發Wi-Fi 7 Router｜TP-Link Deco BE65 ＆ BE85 Mesh Router｜700呎3房家居速度實試｜用盡2500M光纖寬頻？廣東話【特約專題】")</f>
        <v>【GIVEAWAY】全港首發Wi-Fi 7 Router｜TP-Link Deco BE65 ＆ BE85 Mesh Router｜700呎3房家居速度實試｜用盡2500M光纖寬頻？廣東話【特約專題】</v>
      </c>
      <c r="E7282" s="82">
        <v>45127.0</v>
      </c>
      <c r="F7282" s="80">
        <v>573.0</v>
      </c>
      <c r="G7282" s="80" t="s">
        <v>63</v>
      </c>
      <c r="I7282" s="80" t="s">
        <v>63</v>
      </c>
      <c r="J7282" s="80">
        <v>1671.0</v>
      </c>
      <c r="K7282" s="80">
        <v>0.629378531073446</v>
      </c>
      <c r="L7282" s="80" t="s">
        <v>64</v>
      </c>
    </row>
    <row r="7283">
      <c r="A7283" s="80" t="s">
        <v>248</v>
      </c>
      <c r="B7283" s="81" t="str">
        <f t="shared" si="420"/>
        <v>Price.com.hk 香港格價網</v>
      </c>
      <c r="C7283" s="80" t="s">
        <v>7836</v>
      </c>
      <c r="D7283" s="81" t="str">
        <f>HYPERLINK("https://youtube.com/watch?v=wPxl3YjGz4U", "Technics EAH-AZ80評測｜編輯們最推薦真無線之一？比較XM5、AirPods Pro 2｜音質、通話、ANC、續航力、配戴感、三點連接分享｜廣東話 #產品評測")</f>
        <v>Technics EAH-AZ80評測｜編輯們最推薦真無線之一？比較XM5、AirPods Pro 2｜音質、通話、ANC、續航力、配戴感、三點連接分享｜廣東話 #產品評測</v>
      </c>
      <c r="E7283" s="82">
        <v>45169.0</v>
      </c>
      <c r="F7283" s="80">
        <v>533.0</v>
      </c>
      <c r="G7283" s="80" t="s">
        <v>63</v>
      </c>
      <c r="I7283" s="80" t="s">
        <v>63</v>
      </c>
      <c r="J7283" s="80">
        <v>1681.0</v>
      </c>
      <c r="K7283" s="80">
        <v>0.766529867761057</v>
      </c>
      <c r="L7283" s="80" t="s">
        <v>64</v>
      </c>
    </row>
    <row r="7284">
      <c r="A7284" s="80" t="s">
        <v>7185</v>
      </c>
      <c r="B7284" s="81" t="str">
        <f>HYPERLINK("https://www.youtube.com/channel/UCBdOfjR-IWU0ANEbCoUgYLw", "Acrubbish Radio動漫廢物電台")</f>
        <v>Acrubbish Radio動漫廢物電台</v>
      </c>
      <c r="C7284" s="80" t="s">
        <v>7837</v>
      </c>
      <c r="D7284" s="81" t="str">
        <f>HYPERLINK("https://youtube.com/watch?v=v0FbnTCbsJc", "港漫與美漫的生態轉變(80年代到2017) @ 動廢幾分鐘")</f>
        <v>港漫與美漫的生態轉變(80年代到2017) @ 動廢幾分鐘</v>
      </c>
      <c r="E7284" s="82">
        <v>42840.0</v>
      </c>
      <c r="F7284" s="80">
        <v>346.0</v>
      </c>
      <c r="G7284" s="80" t="s">
        <v>63</v>
      </c>
      <c r="I7284" s="80" t="s">
        <v>63</v>
      </c>
      <c r="J7284" s="80">
        <v>1768.0</v>
      </c>
      <c r="K7284" s="80">
        <v>0.878727634194831</v>
      </c>
      <c r="L7284" s="80" t="s">
        <v>959</v>
      </c>
    </row>
    <row r="7285">
      <c r="A7285" s="80" t="s">
        <v>2829</v>
      </c>
      <c r="B7285" s="81" t="str">
        <f>HYPERLINK("https://www.youtube.com/channel/UC7GnES6AEQlDzaP04UqtyjA", "SOLID IDEA")</f>
        <v>SOLID IDEA</v>
      </c>
      <c r="C7285" s="80" t="s">
        <v>7838</v>
      </c>
      <c r="D7285" s="81" t="str">
        <f>HYPERLINK("https://youtube.com/watch?v=0OaYQx0v1lg", "【設計 • idea】馬鞍山．新港城 |  551呎 | 奶油風格點解咁多人想做？｜設計 • idea｜Solid Idea｜室內設計｜家居規劃｜星級設計｜［CC字幕］")</f>
        <v>【設計 • idea】馬鞍山．新港城 |  551呎 | 奶油風格點解咁多人想做？｜設計 • idea｜Solid Idea｜室內設計｜家居規劃｜星級設計｜［CC字幕］</v>
      </c>
      <c r="E7285" s="82">
        <v>45118.0</v>
      </c>
      <c r="F7285" s="80">
        <v>160.0</v>
      </c>
      <c r="G7285" s="80" t="s">
        <v>63</v>
      </c>
      <c r="I7285" s="80" t="s">
        <v>63</v>
      </c>
      <c r="J7285" s="80">
        <v>624.0</v>
      </c>
      <c r="K7285" s="80">
        <v>0.962962962962962</v>
      </c>
      <c r="L7285" s="80" t="s">
        <v>64</v>
      </c>
    </row>
    <row r="7286">
      <c r="A7286" s="80" t="s">
        <v>5868</v>
      </c>
      <c r="B7286" s="81" t="str">
        <f>HYPERLINK("https://www.youtube.com/channel/UCVvdX8wGBmCM9KerhiVu_Ig", "McFatty 麥花田")</f>
        <v>McFatty 麥花田</v>
      </c>
      <c r="C7286" s="80" t="s">
        <v>7839</v>
      </c>
      <c r="D7286" s="81" t="str">
        <f>HYPERLINK("https://youtube.com/watch?v=M8iTuq1yVZQ", "【花田實測】一試就知焗爐掂唔掂 附廣東話字幕 Ep159")</f>
        <v>【花田實測】一試就知焗爐掂唔掂 附廣東話字幕 Ep159</v>
      </c>
      <c r="E7286" s="82">
        <v>45098.0</v>
      </c>
      <c r="F7286" s="80">
        <v>541.0</v>
      </c>
      <c r="G7286" s="80" t="s">
        <v>63</v>
      </c>
      <c r="I7286" s="80" t="s">
        <v>63</v>
      </c>
      <c r="J7286" s="80">
        <v>2274.0</v>
      </c>
      <c r="K7286" s="80">
        <v>0.902023006743355</v>
      </c>
      <c r="L7286" s="80" t="s">
        <v>102</v>
      </c>
    </row>
    <row r="7287">
      <c r="A7287" s="80" t="s">
        <v>7099</v>
      </c>
      <c r="B7287" s="81" t="str">
        <f>HYPERLINK("https://www.youtube.com/channel/UCBwfrMS785JyWDUBRhOQkjw", "Karenly :")</f>
        <v>Karenly :</v>
      </c>
      <c r="C7287" s="80" t="s">
        <v>7840</v>
      </c>
      <c r="D7287" s="81" t="str">
        <f>HYPERLINK("https://youtube.com/watch?v=HRW-aCJxICw", "#如果我係你 會點揀15吋M2 Apple Macbook air？ (aka 13吋放大版)｜試用最低配8＋256｜規格跑分｜過熱問題｜聲畫表現｜繁中字幕｜廣東話【Karenly:】")</f>
        <v>#如果我係你 會點揀15吋M2 Apple Macbook air？ (aka 13吋放大版)｜試用最低配8＋256｜規格跑分｜過熱問題｜聲畫表現｜繁中字幕｜廣東話【Karenly:】</v>
      </c>
      <c r="E7287" s="82">
        <v>45112.0</v>
      </c>
      <c r="F7287" s="80">
        <v>855.0</v>
      </c>
      <c r="G7287" s="80" t="s">
        <v>63</v>
      </c>
      <c r="I7287" s="80" t="s">
        <v>63</v>
      </c>
      <c r="J7287" s="80">
        <v>3416.0</v>
      </c>
      <c r="K7287" s="80">
        <v>0.830537320690493</v>
      </c>
      <c r="L7287" s="80" t="s">
        <v>64</v>
      </c>
    </row>
    <row r="7288">
      <c r="A7288" s="80" t="s">
        <v>248</v>
      </c>
      <c r="B7288" s="81" t="str">
        <f>HYPERLINK("https://www.youtube.com/channel/UCUEJok-GiWaGlv5nIPwk-GQ", "Price.com.hk 香港格價網")</f>
        <v>Price.com.hk 香港格價網</v>
      </c>
      <c r="C7288" s="80" t="s">
        <v>7841</v>
      </c>
      <c r="D7288" s="81" t="str">
        <f>HYPERLINK("https://youtube.com/watch?v=GCfjHIT8oxU", "耳機新趨勢？Cleer ARC II 開放式耳機｜耳機新體驗｜安全舒適｜漏音測試｜廣東話｜特約專題｜【Price.com.hk 產品評測】")</f>
        <v>耳機新趨勢？Cleer ARC II 開放式耳機｜耳機新體驗｜安全舒適｜漏音測試｜廣東話｜特約專題｜【Price.com.hk 產品評測】</v>
      </c>
      <c r="E7288" s="82">
        <v>45090.0</v>
      </c>
      <c r="F7288" s="80">
        <v>452.0</v>
      </c>
      <c r="G7288" s="80" t="s">
        <v>63</v>
      </c>
      <c r="I7288" s="80" t="s">
        <v>63</v>
      </c>
      <c r="J7288" s="80">
        <v>1712.0</v>
      </c>
      <c r="K7288" s="80">
        <v>0.834714773281326</v>
      </c>
      <c r="L7288" s="80" t="s">
        <v>64</v>
      </c>
    </row>
    <row r="7289">
      <c r="A7289" s="80" t="s">
        <v>1606</v>
      </c>
      <c r="B7289" s="81" t="str">
        <f>HYPERLINK("https://www.youtube.com/channel/UCk25FUc8pLiP3A6Zniknxbg", "希治閣【遊戲情報科】")</f>
        <v>希治閣【遊戲情報科】</v>
      </c>
      <c r="C7289" s="80" t="s">
        <v>7842</v>
      </c>
      <c r="D7289" s="81" t="str">
        <f>HYPERLINK("https://youtube.com/watch?v=eDjwm2B51mw", "【特別推介】 《亙古魔戰》 第一身魔法 射擊 以近戰法師救世界！")</f>
        <v>【特別推介】 《亙古魔戰》 第一身魔法 射擊 以近戰法師救世界！</v>
      </c>
      <c r="E7289" s="82">
        <v>45165.0</v>
      </c>
      <c r="F7289" s="80">
        <v>450.0</v>
      </c>
      <c r="G7289" s="80" t="s">
        <v>63</v>
      </c>
      <c r="I7289" s="80" t="s">
        <v>63</v>
      </c>
      <c r="J7289" s="80">
        <v>1910.0</v>
      </c>
      <c r="K7289" s="80">
        <v>0.946012877662209</v>
      </c>
      <c r="L7289" s="80" t="s">
        <v>64</v>
      </c>
    </row>
    <row r="7290">
      <c r="A7290" s="80" t="s">
        <v>6248</v>
      </c>
      <c r="B7290" s="81" t="str">
        <f>HYPERLINK("https://www.youtube.com/channel/UCmlr1is6e9bV34fgg3u0xng", "Ruby.S")</f>
        <v>Ruby.S</v>
      </c>
      <c r="C7290" s="80" t="s">
        <v>7843</v>
      </c>
      <c r="D7290" s="81" t="str">
        <f>HYPERLINK("https://youtube.com/watch?v=fjpE3CiKhw0", "@Rubys426 露營又得? 獨木舟+ 燒嘢食? 超大草地+ 無敵日落/ 一家大細唔知放假去邊度?/ 閨蜜情侶直立版/ 全天候嘅暑假好去處")</f>
        <v>@Rubys426 露營又得? 獨木舟+ 燒嘢食? 超大草地+ 無敵日落/ 一家大細唔知放假去邊度?/ 閨蜜情侶直立版/ 全天候嘅暑假好去處</v>
      </c>
      <c r="E7290" s="82">
        <v>45147.0</v>
      </c>
      <c r="F7290" s="80">
        <v>1511.0</v>
      </c>
      <c r="G7290" s="80" t="s">
        <v>63</v>
      </c>
      <c r="I7290" s="80" t="s">
        <v>63</v>
      </c>
      <c r="J7290" s="80">
        <v>3919.0</v>
      </c>
      <c r="K7290" s="80">
        <v>0.916296469487958</v>
      </c>
      <c r="L7290" s="80" t="s">
        <v>64</v>
      </c>
    </row>
    <row r="7291">
      <c r="A7291" s="80" t="s">
        <v>248</v>
      </c>
      <c r="B7291" s="81" t="str">
        <f>HYPERLINK("https://www.youtube.com/channel/UCUEJok-GiWaGlv5nIPwk-GQ", "Price.com.hk 香港格價網")</f>
        <v>Price.com.hk 香港格價網</v>
      </c>
      <c r="C7291" s="80" t="s">
        <v>7844</v>
      </c>
      <c r="D7291" s="81" t="str">
        <f>HYPERLINK("https://youtube.com/watch?v=v_7Nr5UZ9u8", "30吋iMac史上最大?!｜Apple Watch Ultra 2資料流出｜台灣「推推閨蜜機」係呢樣?!廣東話【Price Weekly #173 2023年7月】")</f>
        <v>30吋iMac史上最大?!｜Apple Watch Ultra 2資料流出｜台灣「推推閨蜜機」係呢樣?!廣東話【Price Weekly #173 2023年7月】</v>
      </c>
      <c r="E7291" s="82">
        <v>45108.0</v>
      </c>
      <c r="F7291" s="80">
        <v>435.0</v>
      </c>
      <c r="G7291" s="80" t="s">
        <v>63</v>
      </c>
      <c r="I7291" s="80" t="s">
        <v>63</v>
      </c>
      <c r="J7291" s="80">
        <v>1522.0</v>
      </c>
      <c r="K7291" s="80">
        <v>0.746078431372549</v>
      </c>
      <c r="L7291" s="80" t="s">
        <v>64</v>
      </c>
    </row>
    <row r="7292">
      <c r="A7292" s="80" t="s">
        <v>5868</v>
      </c>
      <c r="B7292" s="81" t="str">
        <f>HYPERLINK("https://www.youtube.com/channel/UCVvdX8wGBmCM9KerhiVu_Ig", "McFatty 麥花田")</f>
        <v>McFatty 麥花田</v>
      </c>
      <c r="C7292" s="80" t="s">
        <v>7845</v>
      </c>
      <c r="D7292" s="81" t="str">
        <f>HYPERLINK("https://youtube.com/watch?v=73ARsJ1-Yok", "零廚藝嘅煮肉神器?【記得睇埋Ep159 續集】自費㗎! 附廣東話字幕 Ep158")</f>
        <v>零廚藝嘅煮肉神器?【記得睇埋Ep159 續集】自費㗎! 附廣東話字幕 Ep158</v>
      </c>
      <c r="E7292" s="82">
        <v>45089.0</v>
      </c>
      <c r="F7292" s="80">
        <v>832.0</v>
      </c>
      <c r="G7292" s="80" t="s">
        <v>63</v>
      </c>
      <c r="I7292" s="80" t="s">
        <v>63</v>
      </c>
      <c r="J7292" s="80">
        <v>3291.0</v>
      </c>
      <c r="K7292" s="80">
        <v>0.842765685019206</v>
      </c>
      <c r="L7292" s="80" t="s">
        <v>102</v>
      </c>
    </row>
    <row r="7293">
      <c r="A7293" s="80" t="s">
        <v>1670</v>
      </c>
      <c r="B7293" s="81" t="str">
        <f>HYPERLINK("https://www.youtube.com/channel/UC-PIt5m-WOg8UVBkt2RnN0g", "阿JACK睇樓團")</f>
        <v>阿JACK睇樓團</v>
      </c>
      <c r="C7293" s="80" t="s">
        <v>7846</v>
      </c>
      <c r="D7293" s="81" t="str">
        <f>HYPERLINK("https://youtube.com/watch?v=fmrP9KzP3ac", "勁多人查詢天台單位😮再介紹多一個私隱度最好嘅天台設計🙈業主精心裝修")</f>
        <v>勁多人查詢天台單位😮再介紹多一個私隱度最好嘅天台設計🙈業主精心裝修</v>
      </c>
      <c r="E7293" s="82">
        <v>45161.0</v>
      </c>
      <c r="F7293" s="80">
        <v>541.0</v>
      </c>
      <c r="G7293" s="80" t="s">
        <v>63</v>
      </c>
      <c r="I7293" s="80" t="s">
        <v>63</v>
      </c>
      <c r="J7293" s="80">
        <v>1903.0</v>
      </c>
      <c r="K7293" s="80">
        <v>0.984989648033126</v>
      </c>
      <c r="L7293" s="80" t="s">
        <v>64</v>
      </c>
    </row>
    <row r="7294">
      <c r="A7294" s="80" t="s">
        <v>217</v>
      </c>
      <c r="B7294" s="81" t="str">
        <f>HYPERLINK("https://www.youtube.com/channel/UCXKg0qPRz32bs5Z4mTGF3TQ", "Stormtrooper白兵")</f>
        <v>Stormtrooper白兵</v>
      </c>
      <c r="C7294" s="80" t="s">
        <v>7847</v>
      </c>
      <c r="D7294" s="81" t="str">
        <f>HYPERLINK("https://youtube.com/watch?v=cBtisGQYxqw", "原來係科學！踩草/沙灘就能健康，痛症都得？｜全人類近80年才離地？｜不是陰謀論｜中文字幕")</f>
        <v>原來係科學！踩草/沙灘就能健康，痛症都得？｜全人類近80年才離地？｜不是陰謀論｜中文字幕</v>
      </c>
      <c r="E7294" s="82">
        <v>45106.0</v>
      </c>
      <c r="F7294" s="80">
        <v>994.0</v>
      </c>
      <c r="G7294" s="80" t="s">
        <v>63</v>
      </c>
      <c r="I7294" s="80" t="s">
        <v>63</v>
      </c>
      <c r="J7294" s="80">
        <v>3664.0</v>
      </c>
      <c r="K7294" s="80">
        <v>0.919447929736511</v>
      </c>
      <c r="L7294" s="80" t="s">
        <v>64</v>
      </c>
    </row>
    <row r="7295">
      <c r="A7295" s="80" t="s">
        <v>248</v>
      </c>
      <c r="B7295" s="81" t="str">
        <f>HYPERLINK("https://www.youtube.com/channel/UCUEJok-GiWaGlv5nIPwk-GQ", "Price.com.hk 香港格價網")</f>
        <v>Price.com.hk 香港格價網</v>
      </c>
      <c r="C7295" s="80" t="s">
        <v>7848</v>
      </c>
      <c r="D7295" s="81" t="str">
        <f>HYPERLINK("https://youtube.com/watch?v=IU2YOXcyGbA", "印4千張紙平過食餐晏｜印相每張$0.4｜Epson EcoTank系列打印機｜L3256、L4260、L6290、L8050｜廣東話【特約專題】")</f>
        <v>印4千張紙平過食餐晏｜印相每張$0.4｜Epson EcoTank系列打印機｜L3256、L4260、L6290、L8050｜廣東話【特約專題】</v>
      </c>
      <c r="E7295" s="82">
        <v>45146.0</v>
      </c>
      <c r="F7295" s="80">
        <v>402.0</v>
      </c>
      <c r="G7295" s="80" t="s">
        <v>63</v>
      </c>
      <c r="I7295" s="80" t="s">
        <v>63</v>
      </c>
      <c r="J7295" s="80">
        <v>1483.0</v>
      </c>
      <c r="K7295" s="80">
        <v>0.798599892299407</v>
      </c>
      <c r="L7295" s="80" t="s">
        <v>64</v>
      </c>
    </row>
    <row r="7296">
      <c r="A7296" s="80" t="s">
        <v>6960</v>
      </c>
      <c r="B7296" s="81" t="str">
        <f>HYPERLINK("https://www.youtube.com/channel/UCQS2_zzisMq5C_FggxsQwTQ", "Comprehensible Cantonese")</f>
        <v>Comprehensible Cantonese</v>
      </c>
      <c r="C7296" s="80" t="s">
        <v>7849</v>
      </c>
      <c r="D7296" s="81" t="str">
        <f>HYPERLINK("https://youtube.com/watch?v=uWrJUnCw5Xo", "[CC] Cantonese Story: A Picky Man🥸👎  | Slow &amp; Easy Cantonese (Advanced Beginner)")</f>
        <v>[CC] Cantonese Story: A Picky Man🥸👎  | Slow &amp; Easy Cantonese (Advanced Beginner)</v>
      </c>
      <c r="E7296" s="82">
        <v>45169.0</v>
      </c>
      <c r="F7296" s="80">
        <v>889.0</v>
      </c>
      <c r="G7296" s="80" t="s">
        <v>63</v>
      </c>
      <c r="I7296" s="80" t="s">
        <v>63</v>
      </c>
      <c r="J7296" s="80">
        <v>1446.0</v>
      </c>
      <c r="K7296" s="80">
        <v>0.807821229050279</v>
      </c>
      <c r="L7296" s="80" t="s">
        <v>102</v>
      </c>
    </row>
    <row r="7297">
      <c r="A7297" s="80" t="s">
        <v>2041</v>
      </c>
      <c r="B7297" s="81" t="str">
        <f>HYPERLINK("https://www.youtube.com/channel/UCO6pB-ZN4XJ6MVkibvuEe0A", "SingSingTracker 星昇財經指標")</f>
        <v>SingSingTracker 星昇財經指標</v>
      </c>
      <c r="C7297" s="80" t="s">
        <v>7850</v>
      </c>
      <c r="D7297" s="81" t="str">
        <f>HYPERLINK("https://youtube.com/watch?v=zrTfGoiywok", "《AI 女主持-小Sing🌸》分享【呢一星期賺超過$3萬？】[講解追蹤🔍未來股市動向📈] #ai主播 #人工智能 #vtuber #投資 #股票 #外匯 #致富 #女主播 #aigirl #美女")</f>
        <v>《AI 女主持-小Sing🌸》分享【呢一星期賺超過$3萬？】[講解追蹤🔍未來股市動向📈] #ai主播 #人工智能 #vtuber #投資 #股票 #外匯 #致富 #女主播 #aigirl #美女</v>
      </c>
      <c r="E7297" s="82">
        <v>45147.0</v>
      </c>
      <c r="F7297" s="80">
        <v>238.0</v>
      </c>
      <c r="G7297" s="80" t="s">
        <v>63</v>
      </c>
      <c r="I7297" s="80" t="s">
        <v>63</v>
      </c>
      <c r="J7297" s="80">
        <v>882.0</v>
      </c>
      <c r="K7297" s="80">
        <v>0.973509933774834</v>
      </c>
      <c r="L7297" s="80" t="s">
        <v>64</v>
      </c>
    </row>
    <row r="7298">
      <c r="A7298" s="80" t="s">
        <v>248</v>
      </c>
      <c r="B7298" s="81" t="str">
        <f>HYPERLINK("https://www.youtube.com/channel/UCUEJok-GiWaGlv5nIPwk-GQ", "Price.com.hk 香港格價網")</f>
        <v>Price.com.hk 香港格價網</v>
      </c>
      <c r="C7298" s="80" t="s">
        <v>7851</v>
      </c>
      <c r="D7298" s="81" t="str">
        <f>HYPERLINK("https://youtube.com/watch?v=htAA0mjyN-I", "【日日送PS5】Price網上電腦節2023｜肥豪、夢雨、雞蛋妹、Van仔、Techicardia、丐幫、腦控 介紹激筍產品 (片尾彩蛋有神秘嘉賓！)")</f>
        <v>【日日送PS5】Price網上電腦節2023｜肥豪、夢雨、雞蛋妹、Van仔、Techicardia、丐幫、腦控 介紹激筍產品 (片尾彩蛋有神秘嘉賓！)</v>
      </c>
      <c r="E7298" s="82">
        <v>45148.0</v>
      </c>
      <c r="F7298" s="80">
        <v>93.0</v>
      </c>
      <c r="G7298" s="80" t="s">
        <v>63</v>
      </c>
      <c r="I7298" s="80" t="s">
        <v>63</v>
      </c>
      <c r="J7298" s="80">
        <v>311.0</v>
      </c>
      <c r="K7298" s="80">
        <v>0.685022026431718</v>
      </c>
      <c r="L7298" s="80" t="s">
        <v>64</v>
      </c>
    </row>
    <row r="7299">
      <c r="A7299" s="80" t="s">
        <v>7099</v>
      </c>
      <c r="B7299" s="81" t="str">
        <f t="shared" ref="B7299:B7300" si="421">HYPERLINK("https://www.youtube.com/channel/UCBwfrMS785JyWDUBRhOQkjw", "Karenly :")</f>
        <v>Karenly :</v>
      </c>
      <c r="C7299" s="80" t="s">
        <v>7852</v>
      </c>
      <c r="D7299" s="81" t="str">
        <f>HYPERLINK("https://youtube.com/watch?v=VNMbqSXpxnQ", "文書機選擇！Mini PC慳位又慳錢？播4k 8k片 打埋LOL都得！  ｜GMKtec Nucbox G1｜特約影片 ｜繁中字幕｜廣東話【Karenly:】")</f>
        <v>文書機選擇！Mini PC慳位又慳錢？播4k 8k片 打埋LOL都得！  ｜GMKtec Nucbox G1｜特約影片 ｜繁中字幕｜廣東話【Karenly:】</v>
      </c>
      <c r="E7299" s="82">
        <v>45103.0</v>
      </c>
      <c r="F7299" s="80">
        <v>219.0</v>
      </c>
      <c r="G7299" s="80" t="s">
        <v>63</v>
      </c>
      <c r="I7299" s="80" t="s">
        <v>63</v>
      </c>
      <c r="J7299" s="80">
        <v>837.0</v>
      </c>
      <c r="K7299" s="80">
        <v>0.678832116788321</v>
      </c>
      <c r="L7299" s="80" t="s">
        <v>64</v>
      </c>
    </row>
    <row r="7300">
      <c r="A7300" s="80" t="s">
        <v>7099</v>
      </c>
      <c r="B7300" s="81" t="str">
        <f t="shared" si="421"/>
        <v>Karenly :</v>
      </c>
      <c r="C7300" s="80" t="s">
        <v>7853</v>
      </c>
      <c r="D7300" s="81" t="str">
        <f>HYPERLINK("https://youtube.com/watch?v=5Vj4Hsvs7a0", "睡房必備 無線投影機仔 創造專屬小天地 GV11  BENQ特約｜支援Airplay｜內置 Android TV｜ treVolo 喇叭｜藍芽Speaker｜繁中字幕｜廣東話【Karenly:】")</f>
        <v>睡房必備 無線投影機仔 創造專屬小天地 GV11  BENQ特約｜支援Airplay｜內置 Android TV｜ treVolo 喇叭｜藍芽Speaker｜繁中字幕｜廣東話【Karenly:】</v>
      </c>
      <c r="E7300" s="82">
        <v>45091.0</v>
      </c>
      <c r="F7300" s="80">
        <v>231.0</v>
      </c>
      <c r="G7300" s="80" t="s">
        <v>63</v>
      </c>
      <c r="I7300" s="80" t="s">
        <v>63</v>
      </c>
      <c r="J7300" s="80">
        <v>1020.0</v>
      </c>
      <c r="K7300" s="80">
        <v>0.854271356783919</v>
      </c>
      <c r="L7300" s="80" t="s">
        <v>64</v>
      </c>
    </row>
    <row r="7301">
      <c r="A7301" s="80" t="s">
        <v>6960</v>
      </c>
      <c r="B7301" s="81" t="str">
        <f>HYPERLINK("https://www.youtube.com/channel/UCQS2_zzisMq5C_FggxsQwTQ", "Comprehensible Cantonese")</f>
        <v>Comprehensible Cantonese</v>
      </c>
      <c r="C7301" s="80" t="s">
        <v>7854</v>
      </c>
      <c r="D7301" s="81" t="str">
        <f>HYPERLINK("https://youtube.com/watch?v=T5v8UIMx8fE", "[CC] 廣東話Vlog: Yan shows us her family's favorite park. 👍👩‍👧‍👦| Easy Cantonese| （Advanced Beginner ）")</f>
        <v>[CC] 廣東話Vlog: Yan shows us her family's favorite park. 👍👩‍👧‍👦| Easy Cantonese| （Advanced Beginner ）</v>
      </c>
      <c r="E7301" s="82">
        <v>45159.0</v>
      </c>
      <c r="F7301" s="80">
        <v>227.0</v>
      </c>
      <c r="G7301" s="80" t="s">
        <v>63</v>
      </c>
      <c r="I7301" s="80" t="s">
        <v>63</v>
      </c>
      <c r="J7301" s="80">
        <v>695.0</v>
      </c>
      <c r="K7301" s="80">
        <v>0.991440798858773</v>
      </c>
      <c r="L7301" s="80" t="s">
        <v>102</v>
      </c>
    </row>
    <row r="7302">
      <c r="A7302" s="80" t="s">
        <v>2041</v>
      </c>
      <c r="B7302" s="81" t="str">
        <f>HYPERLINK("https://www.youtube.com/channel/UCO6pB-ZN4XJ6MVkibvuEe0A", "SingSingTracker 星昇財經指標")</f>
        <v>SingSingTracker 星昇財經指標</v>
      </c>
      <c r="C7302" s="80" t="s">
        <v>7855</v>
      </c>
      <c r="D7302" s="81" t="str">
        <f>HYPERLINK("https://youtube.com/watch?v=sg5aSk4DXl8", "《AI 女主持-小Sing🌸》分享【呢一星期又賺超過$2萬!?】[講解追蹤🔍未來股市動向📈]  #ai主播 #人工智能 #vtuber #投資 #股票 #外匯 #致富 #女主播 #aigirl #美女")</f>
        <v>《AI 女主持-小Sing🌸》分享【呢一星期又賺超過$2萬!?】[講解追蹤🔍未來股市動向📈]  #ai主播 #人工智能 #vtuber #投資 #股票 #外匯 #致富 #女主播 #aigirl #美女</v>
      </c>
      <c r="E7302" s="82">
        <v>45154.0</v>
      </c>
      <c r="F7302" s="80">
        <v>276.0</v>
      </c>
      <c r="G7302" s="80" t="s">
        <v>63</v>
      </c>
      <c r="I7302" s="80" t="s">
        <v>63</v>
      </c>
      <c r="J7302" s="80">
        <v>1062.0</v>
      </c>
      <c r="K7302" s="80">
        <v>0.972527472527472</v>
      </c>
      <c r="L7302" s="80" t="s">
        <v>64</v>
      </c>
    </row>
    <row r="7303">
      <c r="A7303" s="80" t="s">
        <v>124</v>
      </c>
      <c r="B7303" s="81" t="str">
        <f>HYPERLINK("https://www.youtube.com/channel/UCg0vuSE0fBF_NvodyYhMcWg", "Wallace Studio HK")</f>
        <v>Wallace Studio HK</v>
      </c>
      <c r="C7303" s="80" t="s">
        <v>7856</v>
      </c>
      <c r="D7303" s="81" t="str">
        <f>HYPERLINK("https://youtube.com/watch?v=5gEkzv-2oCA", "Razer Blade 18 2023 詳細評測! 效能提升及螢幕體驗的取捨! (RTX4080)")</f>
        <v>Razer Blade 18 2023 詳細評測! 效能提升及螢幕體驗的取捨! (RTX4080)</v>
      </c>
      <c r="E7303" s="82">
        <v>45102.0</v>
      </c>
      <c r="F7303" s="80">
        <v>655.0</v>
      </c>
      <c r="G7303" s="80" t="s">
        <v>63</v>
      </c>
      <c r="H7303" s="80" t="s">
        <v>63</v>
      </c>
      <c r="I7303" s="80" t="s">
        <v>63</v>
      </c>
      <c r="J7303" s="80">
        <v>2370.0</v>
      </c>
      <c r="K7303" s="80">
        <v>0.691566968193755</v>
      </c>
      <c r="L7303" s="80" t="s">
        <v>120</v>
      </c>
    </row>
    <row r="7304">
      <c r="A7304" s="80" t="s">
        <v>755</v>
      </c>
      <c r="B7304" s="81" t="str">
        <f t="shared" ref="B7304:B7305" si="422">HYPERLINK("https://www.youtube.com/channel/UCBiJDTc82IM68KVH873VeAw", "Live in Kwangsi廣西人·情·味")</f>
        <v>Live in Kwangsi廣西人·情·味</v>
      </c>
      <c r="C7304" s="80" t="s">
        <v>7857</v>
      </c>
      <c r="D7304" s="81" t="str">
        <f>HYPERLINK("https://youtube.com/watch?v=FhFS2a6BXC4", "廣州泮溪酒家，市內三大園林酒家之一｜廣東日常實拍 20230722")</f>
        <v>廣州泮溪酒家，市內三大園林酒家之一｜廣東日常實拍 20230722</v>
      </c>
      <c r="E7304" s="82">
        <v>45143.0</v>
      </c>
      <c r="F7304" s="80">
        <v>275.0</v>
      </c>
      <c r="G7304" s="80" t="s">
        <v>63</v>
      </c>
      <c r="I7304" s="80" t="s">
        <v>63</v>
      </c>
      <c r="J7304" s="80">
        <v>750.0</v>
      </c>
      <c r="K7304" s="80">
        <v>0.99866844207723</v>
      </c>
      <c r="L7304" s="80" t="s">
        <v>757</v>
      </c>
    </row>
    <row r="7305">
      <c r="A7305" s="80" t="s">
        <v>755</v>
      </c>
      <c r="B7305" s="81" t="str">
        <f t="shared" si="422"/>
        <v>Live in Kwangsi廣西人·情·味</v>
      </c>
      <c r="C7305" s="80" t="s">
        <v>7858</v>
      </c>
      <c r="D7305" s="81" t="str">
        <f>HYPERLINK("https://youtube.com/watch?v=meiuHGNW2mo", "佛山市創意產業園 全年「露天大夜場」貼地得嚟又乜都有｜廣東日常實拍 20230527")</f>
        <v>佛山市創意產業園 全年「露天大夜場」貼地得嚟又乜都有｜廣東日常實拍 20230527</v>
      </c>
      <c r="E7305" s="82">
        <v>45113.0</v>
      </c>
      <c r="F7305" s="80">
        <v>283.0</v>
      </c>
      <c r="G7305" s="80" t="s">
        <v>63</v>
      </c>
      <c r="I7305" s="80" t="s">
        <v>63</v>
      </c>
      <c r="J7305" s="80">
        <v>306.0</v>
      </c>
      <c r="K7305" s="80">
        <v>1.0</v>
      </c>
      <c r="L7305" s="80" t="s">
        <v>757</v>
      </c>
    </row>
    <row r="7306">
      <c r="A7306" s="80" t="s">
        <v>2041</v>
      </c>
      <c r="B7306" s="81" t="str">
        <f>HYPERLINK("https://www.youtube.com/channel/UCO6pB-ZN4XJ6MVkibvuEe0A", "SingSingTracker 星昇財經指標")</f>
        <v>SingSingTracker 星昇財經指標</v>
      </c>
      <c r="C7306" s="80" t="s">
        <v>7859</v>
      </c>
      <c r="D7306" s="81" t="str">
        <f>HYPERLINK("https://youtube.com/watch?v=Dby3aIEWLmE", "【上一星期賺$3萬up?!】[講解追蹤🔍股市走勢📈] 《AI 女主持-小Sing🌸》#ai主播 #人工智能 #vtuber #投資 #股票 #外匯 #致富 #女主播 #aigirl #tiktok")</f>
        <v>【上一星期賺$3萬up?!】[講解追蹤🔍股市走勢📈] 《AI 女主持-小Sing🌸》#ai主播 #人工智能 #vtuber #投資 #股票 #外匯 #致富 #女主播 #aigirl #tiktok</v>
      </c>
      <c r="E7306" s="82">
        <v>45098.0</v>
      </c>
      <c r="F7306" s="80">
        <v>249.0</v>
      </c>
      <c r="G7306" s="80" t="s">
        <v>63</v>
      </c>
      <c r="I7306" s="80" t="s">
        <v>63</v>
      </c>
      <c r="J7306" s="80">
        <v>989.0</v>
      </c>
      <c r="K7306" s="80">
        <v>0.974384236453201</v>
      </c>
      <c r="L7306" s="80" t="s">
        <v>64</v>
      </c>
    </row>
    <row r="7307">
      <c r="A7307" s="80" t="s">
        <v>248</v>
      </c>
      <c r="B7307" s="81" t="str">
        <f t="shared" ref="B7307:B7310" si="423">HYPERLINK("https://www.youtube.com/channel/UCUEJok-GiWaGlv5nIPwk-GQ", "Price.com.hk 香港格價網")</f>
        <v>Price.com.hk 香港格價網</v>
      </c>
      <c r="C7307" s="80" t="s">
        <v>7860</v>
      </c>
      <c r="D7307" s="81" t="str">
        <f>HYPERLINK("https://youtube.com/watch?v=yNcxw742nqg", "iPad一招變身Portable Mon！取代傳統便攜螢幕？iPadOS 17新功能｜內含完整教學｜廣東話 #軟件教學")</f>
        <v>iPad一招變身Portable Mon！取代傳統便攜螢幕？iPadOS 17新功能｜內含完整教學｜廣東話 #軟件教學</v>
      </c>
      <c r="E7307" s="82">
        <v>45159.0</v>
      </c>
      <c r="F7307" s="80">
        <v>296.0</v>
      </c>
      <c r="G7307" s="80" t="s">
        <v>63</v>
      </c>
      <c r="I7307" s="80" t="s">
        <v>63</v>
      </c>
      <c r="J7307" s="80">
        <v>1187.0</v>
      </c>
      <c r="K7307" s="80">
        <v>0.648988518316019</v>
      </c>
      <c r="L7307" s="80" t="s">
        <v>64</v>
      </c>
    </row>
    <row r="7308">
      <c r="A7308" s="80" t="s">
        <v>248</v>
      </c>
      <c r="B7308" s="81" t="str">
        <f t="shared" si="423"/>
        <v>Price.com.hk 香港格價網</v>
      </c>
      <c r="C7308" s="80" t="s">
        <v>7861</v>
      </c>
      <c r="D7308" s="81" t="str">
        <f>HYPERLINK("https://youtube.com/watch?v=GRmZXTpq0es", "3大掛頸風扇vs體感40度｜Sony、Thanko、TORRAS｜泰國實測｜消暑神器｜降溫效果｜小暑｜悶熱救星｜高溫戒備｜廣東話【產品比較】")</f>
        <v>3大掛頸風扇vs體感40度｜Sony、Thanko、TORRAS｜泰國實測｜消暑神器｜降溫效果｜小暑｜悶熱救星｜高溫戒備｜廣東話【產品比較】</v>
      </c>
      <c r="E7308" s="82">
        <v>45114.0</v>
      </c>
      <c r="F7308" s="80">
        <v>381.0</v>
      </c>
      <c r="G7308" s="80" t="s">
        <v>63</v>
      </c>
      <c r="I7308" s="80" t="s">
        <v>63</v>
      </c>
      <c r="J7308" s="80">
        <v>1426.0</v>
      </c>
      <c r="K7308" s="80">
        <v>0.802476083286437</v>
      </c>
      <c r="L7308" s="80" t="s">
        <v>64</v>
      </c>
    </row>
    <row r="7309">
      <c r="A7309" s="80" t="s">
        <v>248</v>
      </c>
      <c r="B7309" s="81" t="str">
        <f t="shared" si="423"/>
        <v>Price.com.hk 香港格價網</v>
      </c>
      <c r="C7309" s="80" t="s">
        <v>7862</v>
      </c>
      <c r="D7309" s="81" t="str">
        <f>HYPERLINK("https://youtube.com/watch?v=m-Z4vCVPOhY", "Switch 2外型流出 金屬機身＋流線型設計！全球最細主機板？Spotify月費調整至$68｜廣東話【Price Weekly 177 】")</f>
        <v>Switch 2外型流出 金屬機身＋流線型設計！全球最細主機板？Spotify月費調整至$68｜廣東話【Price Weekly 177 】</v>
      </c>
      <c r="E7309" s="82">
        <v>45136.0</v>
      </c>
      <c r="F7309" s="80">
        <v>400.0</v>
      </c>
      <c r="G7309" s="80" t="s">
        <v>63</v>
      </c>
      <c r="I7309" s="80" t="s">
        <v>63</v>
      </c>
      <c r="J7309" s="80">
        <v>1338.0</v>
      </c>
      <c r="K7309" s="80">
        <v>0.655882352941176</v>
      </c>
      <c r="L7309" s="80" t="s">
        <v>64</v>
      </c>
    </row>
    <row r="7310">
      <c r="A7310" s="80" t="s">
        <v>248</v>
      </c>
      <c r="B7310" s="81" t="str">
        <f t="shared" si="423"/>
        <v>Price.com.hk 香港格價網</v>
      </c>
      <c r="C7310" s="80" t="s">
        <v>7863</v>
      </c>
      <c r="D7310" s="81" t="str">
        <f>HYPERLINK("https://youtube.com/watch?v=3QQXYNfwau0", "好玩易上手！迷你運動相機 Insta360 GO 3！｜大埔單車一日遊｜特約專題｜廣東話【Price.com.hk產品介紹】")</f>
        <v>好玩易上手！迷你運動相機 Insta360 GO 3！｜大埔單車一日遊｜特約專題｜廣東話【Price.com.hk產品介紹】</v>
      </c>
      <c r="E7310" s="82">
        <v>45104.0</v>
      </c>
      <c r="F7310" s="80">
        <v>433.0</v>
      </c>
      <c r="G7310" s="80" t="s">
        <v>63</v>
      </c>
      <c r="I7310" s="80" t="s">
        <v>63</v>
      </c>
      <c r="J7310" s="80">
        <v>1312.0</v>
      </c>
      <c r="K7310" s="80">
        <v>0.817955112219451</v>
      </c>
      <c r="L7310" s="80" t="s">
        <v>64</v>
      </c>
    </row>
    <row r="7311">
      <c r="A7311" s="80" t="s">
        <v>124</v>
      </c>
      <c r="B7311" s="81" t="str">
        <f>HYPERLINK("https://www.youtube.com/channel/UCg0vuSE0fBF_NvodyYhMcWg", "Wallace Studio HK")</f>
        <v>Wallace Studio HK</v>
      </c>
      <c r="C7311" s="80" t="s">
        <v>7864</v>
      </c>
      <c r="D7311" s="81" t="str">
        <f>HYPERLINK("https://youtube.com/watch?v=4Hfp1uNmqsU", "iPad Davinci Resolve超詳細教學！秘技解鎖完整版功能！")</f>
        <v>iPad Davinci Resolve超詳細教學！秘技解鎖完整版功能！</v>
      </c>
      <c r="E7311" s="82">
        <v>45095.0</v>
      </c>
      <c r="F7311" s="80">
        <v>2028.0</v>
      </c>
      <c r="G7311" s="80" t="s">
        <v>63</v>
      </c>
      <c r="H7311" s="80" t="s">
        <v>63</v>
      </c>
      <c r="I7311" s="80" t="s">
        <v>63</v>
      </c>
      <c r="J7311" s="80">
        <v>8031.0</v>
      </c>
      <c r="K7311" s="80">
        <v>0.704164839982463</v>
      </c>
      <c r="L7311" s="80" t="s">
        <v>86</v>
      </c>
    </row>
    <row r="7312">
      <c r="A7312" s="80" t="s">
        <v>7185</v>
      </c>
      <c r="B7312" s="81" t="str">
        <f>HYPERLINK("https://www.youtube.com/channel/UCBdOfjR-IWU0ANEbCoUgYLw", "Acrubbish Radio動漫廢物電台")</f>
        <v>Acrubbish Radio動漫廢物電台</v>
      </c>
      <c r="C7312" s="80" t="s">
        <v>7865</v>
      </c>
      <c r="D7312" s="81" t="str">
        <f>HYPERLINK("https://youtube.com/watch?v=6F6fa3Hxqfg", "我的愛神 藤島康介 @ 動廢幾分鐘")</f>
        <v>我的愛神 藤島康介 @ 動廢幾分鐘</v>
      </c>
      <c r="E7312" s="82">
        <v>42604.0</v>
      </c>
      <c r="F7312" s="80">
        <v>295.0</v>
      </c>
      <c r="G7312" s="80" t="s">
        <v>63</v>
      </c>
      <c r="I7312" s="80" t="s">
        <v>63</v>
      </c>
      <c r="J7312" s="80">
        <v>1320.0</v>
      </c>
      <c r="K7312" s="80">
        <v>0.915395284327323</v>
      </c>
      <c r="L7312" s="80" t="s">
        <v>959</v>
      </c>
    </row>
    <row r="7313">
      <c r="A7313" s="80" t="s">
        <v>248</v>
      </c>
      <c r="B7313" s="81" t="str">
        <f t="shared" ref="B7313:B7315" si="424">HYPERLINK("https://www.youtube.com/channel/UCUEJok-GiWaGlv5nIPwk-GQ", "Price.com.hk 香港格價網")</f>
        <v>Price.com.hk 香港格價網</v>
      </c>
      <c r="C7313" s="80" t="s">
        <v>7866</v>
      </c>
      <c r="D7313" s="81" t="str">
        <f>HYPERLINK("https://youtube.com/watch?v=iRlYvIzPUN8", "Samsung Z Flip 5 Z Fold 5實測｜3個買/不買的理由｜無縫摺疊、性價比評價、可視覺度問題、Flex Window外屏試玩｜廣東話【產品評測】")</f>
        <v>Samsung Z Flip 5 Z Fold 5實測｜3個買/不買的理由｜無縫摺疊、性價比評價、可視覺度問題、Flex Window外屏試玩｜廣東話【產品評測】</v>
      </c>
      <c r="E7313" s="82">
        <v>45153.0</v>
      </c>
      <c r="F7313" s="80">
        <v>468.0</v>
      </c>
      <c r="G7313" s="80" t="s">
        <v>63</v>
      </c>
      <c r="I7313" s="80" t="s">
        <v>63</v>
      </c>
      <c r="J7313" s="80">
        <v>1728.0</v>
      </c>
      <c r="K7313" s="80">
        <v>0.699029126213592</v>
      </c>
      <c r="L7313" s="80" t="s">
        <v>64</v>
      </c>
    </row>
    <row r="7314">
      <c r="A7314" s="80" t="s">
        <v>248</v>
      </c>
      <c r="B7314" s="81" t="str">
        <f t="shared" si="424"/>
        <v>Price.com.hk 香港格價網</v>
      </c>
      <c r="C7314" s="80" t="s">
        <v>7867</v>
      </c>
      <c r="D7314" s="81" t="str">
        <f>HYPERLINK("https://youtube.com/watch?v=6E77jjVfZXA", "【懶人包】Galaxy Z Flip5 / Fold5 ｜外形、摺痕、影相、新配件｜Tab S浸水照寫字｜Samsung Unpacked 發佈會｜首爾直擊｜廣東話【產品情報】")</f>
        <v>【懶人包】Galaxy Z Flip5 / Fold5 ｜外形、摺痕、影相、新配件｜Tab S浸水照寫字｜Samsung Unpacked 發佈會｜首爾直擊｜廣東話【產品情報】</v>
      </c>
      <c r="E7314" s="82">
        <v>45133.0</v>
      </c>
      <c r="F7314" s="80">
        <v>387.0</v>
      </c>
      <c r="G7314" s="80" t="s">
        <v>63</v>
      </c>
      <c r="I7314" s="80" t="s">
        <v>63</v>
      </c>
      <c r="J7314" s="80">
        <v>1166.0</v>
      </c>
      <c r="K7314" s="80">
        <v>0.647777777777777</v>
      </c>
      <c r="L7314" s="80" t="s">
        <v>64</v>
      </c>
    </row>
    <row r="7315">
      <c r="A7315" s="80" t="s">
        <v>248</v>
      </c>
      <c r="B7315" s="81" t="str">
        <f t="shared" si="424"/>
        <v>Price.com.hk 香港格價網</v>
      </c>
      <c r="C7315" s="80" t="s">
        <v>7868</v>
      </c>
      <c r="D7315" s="81" t="str">
        <f>HYPERLINK("https://youtube.com/watch?v=FxucHPhfp_0", "【日日送PS5】Price網上電腦節2023｜今晚由夢雨同你公佈遊戲玩法")</f>
        <v>【日日送PS5】Price網上電腦節2023｜今晚由夢雨同你公佈遊戲玩法</v>
      </c>
      <c r="E7315" s="82">
        <v>45153.0</v>
      </c>
      <c r="F7315" s="80">
        <v>37.0</v>
      </c>
      <c r="G7315" s="80" t="s">
        <v>63</v>
      </c>
      <c r="I7315" s="80" t="s">
        <v>63</v>
      </c>
      <c r="J7315" s="80">
        <v>133.0</v>
      </c>
      <c r="K7315" s="80">
        <v>0.751412429378531</v>
      </c>
      <c r="L7315" s="80" t="s">
        <v>64</v>
      </c>
    </row>
    <row r="7316">
      <c r="A7316" s="80" t="s">
        <v>588</v>
      </c>
      <c r="B7316" s="81" t="str">
        <f>HYPERLINK("https://www.youtube.com/channel/UCaJ77iWZ8galtePlS_BtEKw", "西DorSi偽中產生活態度")</f>
        <v>西DorSi偽中產生活態度</v>
      </c>
      <c r="C7316" s="80" t="s">
        <v>7869</v>
      </c>
      <c r="D7316" s="81" t="str">
        <f>HYPERLINK("https://youtube.com/watch?v=-K0JvnsXw_g", "深圳蛇口至chill之旅！蛇口老街勁肥生蠔🦪 抵食煲仔飯😋 高CP值糖水 🦞超平海鮮市場 ☕土耳其占卜咖啡🌅")</f>
        <v>深圳蛇口至chill之旅！蛇口老街勁肥生蠔🦪 抵食煲仔飯😋 高CP值糖水 🦞超平海鮮市場 ☕土耳其占卜咖啡🌅</v>
      </c>
      <c r="E7316" s="82">
        <v>45150.0</v>
      </c>
      <c r="F7316" s="80">
        <v>213.0</v>
      </c>
      <c r="G7316" s="80" t="s">
        <v>63</v>
      </c>
      <c r="I7316" s="80" t="s">
        <v>63</v>
      </c>
      <c r="J7316" s="80">
        <v>554.0</v>
      </c>
      <c r="K7316" s="80">
        <v>0.864274570982839</v>
      </c>
      <c r="L7316" s="80" t="s">
        <v>64</v>
      </c>
    </row>
    <row r="7317">
      <c r="A7317" s="80" t="s">
        <v>217</v>
      </c>
      <c r="B7317" s="81" t="str">
        <f>HYPERLINK("https://www.youtube.com/channel/UCXKg0qPRz32bs5Z4mTGF3TQ", "Stormtrooper白兵")</f>
        <v>Stormtrooper白兵</v>
      </c>
      <c r="C7317" s="80" t="s">
        <v>7870</v>
      </c>
      <c r="D7317" s="81" t="str">
        <f>HYPERLINK("https://youtube.com/watch?v=4A_JO_ZlQoE", "一次過食900條魚＋唔痾50年＝照1次X光的輻射？｜5分鐘說明核廢水會否對身體有害及致癌｜逆向思考棋盤大局｜輻射｜真係陰謀論｜中文字幕")</f>
        <v>一次過食900條魚＋唔痾50年＝照1次X光的輻射？｜5分鐘說明核廢水會否對身體有害及致癌｜逆向思考棋盤大局｜輻射｜真係陰謀論｜中文字幕</v>
      </c>
      <c r="E7317" s="82">
        <v>45169.0</v>
      </c>
      <c r="F7317" s="80">
        <v>855.0</v>
      </c>
      <c r="G7317" s="80" t="s">
        <v>63</v>
      </c>
      <c r="I7317" s="80" t="s">
        <v>63</v>
      </c>
      <c r="J7317" s="80">
        <v>3207.0</v>
      </c>
      <c r="K7317" s="80">
        <v>0.926878612716763</v>
      </c>
      <c r="L7317" s="80" t="s">
        <v>64</v>
      </c>
    </row>
    <row r="7318">
      <c r="A7318" s="80" t="s">
        <v>6892</v>
      </c>
      <c r="B7318" s="81" t="str">
        <f>HYPERLINK("https://www.youtube.com/channel/UC8_hxeY0nDCL-8ETbcGUZ9g", "PT食為先")</f>
        <v>PT食為先</v>
      </c>
      <c r="C7318" s="80" t="s">
        <v>7871</v>
      </c>
      <c r="D7318" s="81" t="str">
        <f>HYPERLINK("https://youtube.com/watch?v=D2oO5nAeodY", "[PT自費遊記] 參加XXDay河口湖一日遊旅行團！睇晒富士山著名景點：忍野八海＋大石公園＋纜車登上天上山公園")</f>
        <v>[PT自費遊記] 參加XXDay河口湖一日遊旅行團！睇晒富士山著名景點：忍野八海＋大石公園＋纜車登上天上山公園</v>
      </c>
      <c r="E7318" s="82">
        <v>45097.0</v>
      </c>
      <c r="F7318" s="80">
        <v>564.0</v>
      </c>
      <c r="G7318" s="80" t="s">
        <v>63</v>
      </c>
      <c r="I7318" s="80" t="s">
        <v>63</v>
      </c>
      <c r="J7318" s="80">
        <v>1297.0</v>
      </c>
      <c r="K7318" s="80">
        <v>0.948099415204678</v>
      </c>
      <c r="L7318" s="80" t="s">
        <v>64</v>
      </c>
    </row>
    <row r="7319">
      <c r="A7319" s="80" t="s">
        <v>755</v>
      </c>
      <c r="B7319" s="81" t="str">
        <f>HYPERLINK("https://www.youtube.com/channel/UCBiJDTc82IM68KVH873VeAw", "Live in Kwangsi廣西人·情·味")</f>
        <v>Live in Kwangsi廣西人·情·味</v>
      </c>
      <c r="C7319" s="80" t="s">
        <v>7872</v>
      </c>
      <c r="D7319" s="81" t="str">
        <f>HYPERLINK("https://youtube.com/watch?v=1dJskpYY2pA", "廣州市文化館新館：一個令人感受嶺南風情同廣府文化嘅絕佳去處｜廣東日常實拍 20230722")</f>
        <v>廣州市文化館新館：一個令人感受嶺南風情同廣府文化嘅絕佳去處｜廣東日常實拍 20230722</v>
      </c>
      <c r="E7319" s="82">
        <v>45146.0</v>
      </c>
      <c r="F7319" s="80">
        <v>284.0</v>
      </c>
      <c r="G7319" s="80" t="s">
        <v>63</v>
      </c>
      <c r="I7319" s="80" t="s">
        <v>63</v>
      </c>
      <c r="J7319" s="80">
        <v>414.0</v>
      </c>
      <c r="K7319" s="80">
        <v>1.0</v>
      </c>
      <c r="L7319" s="80" t="s">
        <v>757</v>
      </c>
    </row>
    <row r="7320">
      <c r="A7320" s="80" t="s">
        <v>217</v>
      </c>
      <c r="B7320" s="81" t="str">
        <f>HYPERLINK("https://www.youtube.com/channel/UCXKg0qPRz32bs5Z4mTGF3TQ", "Stormtrooper白兵")</f>
        <v>Stormtrooper白兵</v>
      </c>
      <c r="C7320" s="80" t="s">
        <v>7873</v>
      </c>
      <c r="D7320" s="81" t="str">
        <f>HYPERLINK("https://youtube.com/watch?v=kCMrjjipyKo", "成也多巴胺，敗也多巴胺｜任何成癮都係因為同一個神經迴路？｜期待感、規劃未來先係死症！｜不是陰謀論｜中文字幕")</f>
        <v>成也多巴胺，敗也多巴胺｜任何成癮都係因為同一個神經迴路？｜期待感、規劃未來先係死症！｜不是陰謀論｜中文字幕</v>
      </c>
      <c r="E7320" s="82">
        <v>45162.0</v>
      </c>
      <c r="F7320" s="80">
        <v>969.0</v>
      </c>
      <c r="G7320" s="80" t="s">
        <v>63</v>
      </c>
      <c r="I7320" s="80" t="s">
        <v>63</v>
      </c>
      <c r="J7320" s="80">
        <v>3919.0</v>
      </c>
      <c r="K7320" s="80">
        <v>0.989146895507319</v>
      </c>
      <c r="L7320" s="80" t="s">
        <v>64</v>
      </c>
    </row>
    <row r="7321">
      <c r="A7321" s="80" t="s">
        <v>755</v>
      </c>
      <c r="B7321" s="81" t="str">
        <f>HYPERLINK("https://www.youtube.com/channel/UCBiJDTc82IM68KVH873VeAw", "Live in Kwangsi廣西人·情·味")</f>
        <v>Live in Kwangsi廣西人·情·味</v>
      </c>
      <c r="C7321" s="80" t="s">
        <v>7874</v>
      </c>
      <c r="D7321" s="81" t="str">
        <f>HYPERLINK("https://youtube.com/watch?v=aV3bCysT1Vs", "廣州東山 時代變 舊洋樓、廣府風情 仍未變｜廣東日常實拍 20230622")</f>
        <v>廣州東山 時代變 舊洋樓、廣府風情 仍未變｜廣東日常實拍 20230622</v>
      </c>
      <c r="E7321" s="82">
        <v>45128.0</v>
      </c>
      <c r="F7321" s="80">
        <v>179.0</v>
      </c>
      <c r="G7321" s="80" t="s">
        <v>63</v>
      </c>
      <c r="I7321" s="80" t="s">
        <v>63</v>
      </c>
      <c r="J7321" s="80">
        <v>354.0</v>
      </c>
      <c r="K7321" s="80">
        <v>0.997183098591549</v>
      </c>
      <c r="L7321" s="80" t="s">
        <v>757</v>
      </c>
    </row>
    <row r="7322">
      <c r="A7322" s="80" t="s">
        <v>7185</v>
      </c>
      <c r="B7322" s="81" t="str">
        <f>HYPERLINK("https://www.youtube.com/channel/UCBdOfjR-IWU0ANEbCoUgYLw", "Acrubbish Radio動漫廢物電台")</f>
        <v>Acrubbish Radio動漫廢物電台</v>
      </c>
      <c r="C7322" s="80" t="s">
        <v>7875</v>
      </c>
      <c r="D7322" s="81" t="str">
        <f>HYPERLINK("https://youtube.com/watch?v=sOiggo2fPsM", "#tetris  #俄羅斯方塊  #版權之戰  - 一隻Game三間公司五個代表｜影迷小~~~場戲 (含廣東話字幕)")</f>
        <v>#tetris  #俄羅斯方塊  #版權之戰  - 一隻Game三間公司五個代表｜影迷小~~~場戲 (含廣東話字幕)</v>
      </c>
      <c r="E7322" s="82">
        <v>45057.0</v>
      </c>
      <c r="F7322" s="80">
        <v>1130.0</v>
      </c>
      <c r="G7322" s="80" t="s">
        <v>63</v>
      </c>
      <c r="I7322" s="80" t="s">
        <v>63</v>
      </c>
      <c r="J7322" s="80">
        <v>4461.0</v>
      </c>
      <c r="K7322" s="80">
        <v>0.879361324659964</v>
      </c>
      <c r="L7322" s="80" t="s">
        <v>64</v>
      </c>
    </row>
    <row r="7323">
      <c r="A7323" s="80" t="s">
        <v>217</v>
      </c>
      <c r="B7323" s="81" t="str">
        <f>HYPERLINK("https://www.youtube.com/channel/UCXKg0qPRz32bs5Z4mTGF3TQ", "Stormtrooper白兵")</f>
        <v>Stormtrooper白兵</v>
      </c>
      <c r="C7323" s="80" t="s">
        <v>7876</v>
      </c>
      <c r="D7323" s="81" t="str">
        <f>HYPERLINK("https://youtube.com/watch?v=cjHDF9eDmFU", "你從未被告知的教育制度醜陋真相｜誰創造現今教育系統？｜學校=工廠=創造溫順的臣民和工廠工人｜不是陰謀論｜中文字幕")</f>
        <v>你從未被告知的教育制度醜陋真相｜誰創造現今教育系統？｜學校=工廠=創造溫順的臣民和工廠工人｜不是陰謀論｜中文字幕</v>
      </c>
      <c r="E7323" s="82">
        <v>45127.0</v>
      </c>
      <c r="F7323" s="80">
        <v>978.0</v>
      </c>
      <c r="G7323" s="80" t="s">
        <v>63</v>
      </c>
      <c r="I7323" s="80" t="s">
        <v>63</v>
      </c>
      <c r="J7323" s="80">
        <v>3537.0</v>
      </c>
      <c r="K7323" s="80">
        <v>0.942194992008524</v>
      </c>
      <c r="L7323" s="80" t="s">
        <v>64</v>
      </c>
    </row>
    <row r="7324">
      <c r="A7324" s="80" t="s">
        <v>755</v>
      </c>
      <c r="B7324" s="81" t="str">
        <f t="shared" ref="B7324:B7325" si="425">HYPERLINK("https://www.youtube.com/channel/UCBiJDTc82IM68KVH873VeAw", "Live in Kwangsi廣西人·情·味")</f>
        <v>Live in Kwangsi廣西人·情·味</v>
      </c>
      <c r="C7324" s="80" t="s">
        <v>7877</v>
      </c>
      <c r="D7324" s="81" t="str">
        <f>HYPERLINK("https://youtube.com/watch?v=JDY-gMsEiv4", "佛山市國瑞升平里，嶺南特色歷史文化街｜廣東日常實拍 20230603")</f>
        <v>佛山市國瑞升平里，嶺南特色歷史文化街｜廣東日常實拍 20230603</v>
      </c>
      <c r="E7324" s="82">
        <v>45118.0</v>
      </c>
      <c r="F7324" s="80">
        <v>69.0</v>
      </c>
      <c r="G7324" s="80" t="s">
        <v>63</v>
      </c>
      <c r="I7324" s="80" t="s">
        <v>63</v>
      </c>
      <c r="J7324" s="80">
        <v>169.0</v>
      </c>
      <c r="K7324" s="80">
        <v>1.0</v>
      </c>
      <c r="L7324" s="80" t="s">
        <v>757</v>
      </c>
    </row>
    <row r="7325">
      <c r="A7325" s="80" t="s">
        <v>755</v>
      </c>
      <c r="B7325" s="81" t="str">
        <f t="shared" si="425"/>
        <v>Live in Kwangsi廣西人·情·味</v>
      </c>
      <c r="C7325" s="80" t="s">
        <v>7878</v>
      </c>
      <c r="D7325" s="81" t="str">
        <f>HYPERLINK("https://youtube.com/watch?v=5eBt-v4vtT4", "喺廣佛感受意式風情 佛羅倫薩小鎮｜廣東日常實拍 20230527")</f>
        <v>喺廣佛感受意式風情 佛羅倫薩小鎮｜廣東日常實拍 20230527</v>
      </c>
      <c r="E7325" s="82">
        <v>45115.0</v>
      </c>
      <c r="F7325" s="80">
        <v>148.0</v>
      </c>
      <c r="G7325" s="80" t="s">
        <v>63</v>
      </c>
      <c r="I7325" s="80" t="s">
        <v>63</v>
      </c>
      <c r="J7325" s="80">
        <v>132.0</v>
      </c>
      <c r="K7325" s="80">
        <v>1.0</v>
      </c>
      <c r="L7325" s="80" t="s">
        <v>757</v>
      </c>
    </row>
    <row r="7326">
      <c r="A7326" s="80" t="s">
        <v>248</v>
      </c>
      <c r="B7326" s="81" t="str">
        <f>HYPERLINK("https://www.youtube.com/channel/UCUEJok-GiWaGlv5nIPwk-GQ", "Price.com.hk 香港格價網")</f>
        <v>Price.com.hk 香港格價網</v>
      </c>
      <c r="C7326" s="80" t="s">
        <v>7879</v>
      </c>
      <c r="D7326" s="81" t="str">
        <f>HYPERLINK("https://youtube.com/watch?v=zxBwFCsUJP4", "買Mon揀咩Panel？IPS vs VA vs OLED｜邊隻最啱睇戲打機？熒幕面板大比拼｜廣東話【Price Wiki #EP11】")</f>
        <v>買Mon揀咩Panel？IPS vs VA vs OLED｜邊隻最啱睇戲打機？熒幕面板大比拼｜廣東話【Price Wiki #EP11】</v>
      </c>
      <c r="E7326" s="82">
        <v>45097.0</v>
      </c>
      <c r="F7326" s="80">
        <v>351.0</v>
      </c>
      <c r="G7326" s="80" t="s">
        <v>63</v>
      </c>
      <c r="I7326" s="80" t="s">
        <v>63</v>
      </c>
      <c r="J7326" s="80">
        <v>1417.0</v>
      </c>
      <c r="K7326" s="80">
        <v>0.859308671922377</v>
      </c>
      <c r="L7326" s="80" t="s">
        <v>64</v>
      </c>
    </row>
    <row r="7327">
      <c r="A7327" s="80" t="s">
        <v>755</v>
      </c>
      <c r="B7327" s="81" t="str">
        <f>HYPERLINK("https://www.youtube.com/channel/UCBiJDTc82IM68KVH873VeAw", "Live in Kwangsi廣西人·情·味")</f>
        <v>Live in Kwangsi廣西人·情·味</v>
      </c>
      <c r="C7327" s="80" t="s">
        <v>7880</v>
      </c>
      <c r="D7327" s="81" t="str">
        <f>HYPERLINK("https://youtube.com/watch?v=5y6Xzh9Sba4", "廣州正佳廣場音樂噴泉 持續半個鐘可惜冇粵語相關嘅音樂配合｜廣東日常實拍 20230722")</f>
        <v>廣州正佳廣場音樂噴泉 持續半個鐘可惜冇粵語相關嘅音樂配合｜廣東日常實拍 20230722</v>
      </c>
      <c r="E7327" s="82">
        <v>45131.0</v>
      </c>
      <c r="F7327" s="80">
        <v>955.0</v>
      </c>
      <c r="G7327" s="80" t="s">
        <v>63</v>
      </c>
      <c r="I7327" s="80" t="s">
        <v>63</v>
      </c>
      <c r="J7327" s="80">
        <v>128.0</v>
      </c>
      <c r="K7327" s="80">
        <v>1.0</v>
      </c>
      <c r="L7327" s="80" t="s">
        <v>757</v>
      </c>
    </row>
    <row r="7328">
      <c r="A7328" s="80" t="s">
        <v>6892</v>
      </c>
      <c r="B7328" s="81" t="str">
        <f>HYPERLINK("https://www.youtube.com/channel/UC8_hxeY0nDCL-8ETbcGUZ9g", "PT食為先")</f>
        <v>PT食為先</v>
      </c>
      <c r="C7328" s="80" t="s">
        <v>7881</v>
      </c>
      <c r="D7328" s="81" t="str">
        <f>HYPERLINK("https://youtube.com/watch?v=i94qloU-kbs", "[PT自費遊記] 東京迪士尼官方認證酒店有天然溫泉～園內唯一自助餐CP值更勝香港？")</f>
        <v>[PT自費遊記] 東京迪士尼官方認證酒店有天然溫泉～園內唯一自助餐CP值更勝香港？</v>
      </c>
      <c r="E7328" s="82">
        <v>45114.0</v>
      </c>
      <c r="F7328" s="80">
        <v>1153.0</v>
      </c>
      <c r="G7328" s="80" t="s">
        <v>63</v>
      </c>
      <c r="I7328" s="80" t="s">
        <v>63</v>
      </c>
      <c r="J7328" s="80">
        <v>2725.0</v>
      </c>
      <c r="K7328" s="80">
        <v>0.906520292747837</v>
      </c>
      <c r="L7328" s="80" t="s">
        <v>64</v>
      </c>
    </row>
    <row r="7329">
      <c r="A7329" s="80" t="s">
        <v>124</v>
      </c>
      <c r="B7329" s="81" t="str">
        <f>HYPERLINK("https://www.youtube.com/channel/UCg0vuSE0fBF_NvodyYhMcWg", "Wallace Studio HK")</f>
        <v>Wallace Studio HK</v>
      </c>
      <c r="C7329" s="80" t="s">
        <v>7882</v>
      </c>
      <c r="D7329" s="81" t="str">
        <f>HYPERLINK("https://youtube.com/watch?v=4WJJortHCUI", "【iPhone 拍片技巧3】提升拍片品質的必備程式與配件 | Filmic Pro, ND for iPhone, Pans Snap Filter 介紹")</f>
        <v>【iPhone 拍片技巧3】提升拍片品質的必備程式與配件 | Filmic Pro, ND for iPhone, Pans Snap Filter 介紹</v>
      </c>
      <c r="E7329" s="82">
        <v>45130.0</v>
      </c>
      <c r="F7329" s="80">
        <v>615.0</v>
      </c>
      <c r="G7329" s="80" t="s">
        <v>63</v>
      </c>
      <c r="I7329" s="80" t="s">
        <v>63</v>
      </c>
      <c r="J7329" s="80">
        <v>2525.0</v>
      </c>
      <c r="K7329" s="80">
        <v>0.829500657030223</v>
      </c>
      <c r="L7329" s="80" t="s">
        <v>64</v>
      </c>
    </row>
    <row r="7330">
      <c r="A7330" s="80" t="s">
        <v>288</v>
      </c>
      <c r="B7330" s="81" t="str">
        <f>HYPERLINK("https://www.youtube.com/channel/UCDWOYEhVnyD4IHZGVAMLc0g", "Brendan 毛爸")</f>
        <v>Brendan 毛爸</v>
      </c>
      <c r="C7330" s="80" t="s">
        <v>7883</v>
      </c>
      <c r="D7330" s="81" t="str">
        <f>HYPERLINK("https://youtube.com/watch?v=vJrwVCVO6XM", "《Lidl 日本祭Japan Week🇯🇵#1》是但行下都買左£50!!!! Wasabi雪糕丨拉麵  烏冬 蕎麥麵丨雪米糍丨Wasabi味魚皮花生丨懶人晚餐 @UK《🇬🇧毛爸英國生活小分享》")</f>
        <v>《Lidl 日本祭Japan Week🇯🇵#1》是但行下都買左£50!!!! Wasabi雪糕丨拉麵  烏冬 蕎麥麵丨雪米糍丨Wasabi味魚皮花生丨懶人晚餐 @UK《🇬🇧毛爸英國生活小分享》</v>
      </c>
      <c r="E7330" s="82">
        <v>45365.0</v>
      </c>
      <c r="F7330" s="80">
        <v>490.0</v>
      </c>
      <c r="G7330" s="80" t="s">
        <v>63</v>
      </c>
      <c r="I7330" s="80" t="s">
        <v>63</v>
      </c>
      <c r="J7330" s="80">
        <v>1820.0</v>
      </c>
      <c r="K7330" s="80">
        <v>0.930470347648261</v>
      </c>
      <c r="L7330" s="80" t="s">
        <v>64</v>
      </c>
    </row>
    <row r="7331">
      <c r="A7331" s="80" t="s">
        <v>6960</v>
      </c>
      <c r="B7331" s="81" t="str">
        <f>HYPERLINK("https://www.youtube.com/channel/UCQS2_zzisMq5C_FggxsQwTQ", "Comprehensible Cantonese")</f>
        <v>Comprehensible Cantonese</v>
      </c>
      <c r="C7331" s="80" t="s">
        <v>7884</v>
      </c>
      <c r="D7331" s="81" t="str">
        <f>HYPERLINK("https://youtube.com/watch?v=ipOy_ow9Ddo", "[CC] 廣東話 Useful Cantonese with Candy (Ep. 5) | Slow and Clear Cantonese| Basic Beginner Cantonese")</f>
        <v>[CC] 廣東話 Useful Cantonese with Candy (Ep. 5) | Slow and Clear Cantonese| Basic Beginner Cantonese</v>
      </c>
      <c r="E7331" s="82">
        <v>45362.0</v>
      </c>
      <c r="F7331" s="80">
        <v>118.0</v>
      </c>
      <c r="G7331" s="80" t="s">
        <v>63</v>
      </c>
      <c r="I7331" s="80" t="s">
        <v>63</v>
      </c>
      <c r="J7331" s="80">
        <v>188.0</v>
      </c>
      <c r="K7331" s="80">
        <v>0.949494949494949</v>
      </c>
      <c r="L7331" s="80" t="s">
        <v>102</v>
      </c>
    </row>
    <row r="7332">
      <c r="A7332" s="80" t="s">
        <v>6238</v>
      </c>
      <c r="B7332" s="81" t="str">
        <f>HYPERLINK("https://www.youtube.com/channel/UC_ogl0qjBdXrTiZZJ6ltsQQ", "Flat Out 地板油")</f>
        <v>Flat Out 地板油</v>
      </c>
      <c r="C7332" s="80" t="s">
        <v>7885</v>
      </c>
      <c r="D7332" s="81" t="str">
        <f>HYPERLINK("https://youtube.com/watch?v=qzwb1Hzs0LY", "本田混能始祖！Honda Insight全鋁車架挑戰豐田Prius失敗收場？初代Hybrid車居然仲慳油過Jazz RS e:HEV| Flat Out Review #FlatOut試車 #地板油")</f>
        <v>本田混能始祖！Honda Insight全鋁車架挑戰豐田Prius失敗收場？初代Hybrid車居然仲慳油過Jazz RS e:HEV| Flat Out Review #FlatOut試車 #地板油</v>
      </c>
      <c r="E7332" s="82">
        <v>45401.0</v>
      </c>
      <c r="F7332" s="80">
        <v>1734.0</v>
      </c>
      <c r="G7332" s="80" t="s">
        <v>63</v>
      </c>
      <c r="I7332" s="80" t="s">
        <v>63</v>
      </c>
      <c r="J7332" s="80">
        <v>4442.0</v>
      </c>
      <c r="K7332" s="80">
        <v>0.797629736038786</v>
      </c>
      <c r="L7332" s="80" t="s">
        <v>64</v>
      </c>
    </row>
    <row r="7333">
      <c r="A7333" s="80" t="s">
        <v>3134</v>
      </c>
      <c r="B7333" s="81" t="str">
        <f>HYPERLINK("https://www.youtube.com/channel/UC_vZsUCJrwYrbIRPHacAS_Q", "Coco哥")</f>
        <v>Coco哥</v>
      </c>
      <c r="C7333" s="80" t="s">
        <v>7886</v>
      </c>
      <c r="D7333" s="81" t="str">
        <f>HYPERLINK("https://youtube.com/watch?v=OHrton-LBXc", "執笠潮 吉舖死場 邊個搞衰香港？點解倫敦無事？")</f>
        <v>執笠潮 吉舖死場 邊個搞衰香港？點解倫敦無事？</v>
      </c>
      <c r="E7333" s="82">
        <v>45395.0</v>
      </c>
      <c r="F7333" s="80">
        <v>1112.0</v>
      </c>
      <c r="G7333" s="80" t="s">
        <v>63</v>
      </c>
      <c r="I7333" s="80" t="s">
        <v>63</v>
      </c>
      <c r="J7333" s="80">
        <v>4296.0</v>
      </c>
      <c r="K7333" s="80">
        <v>0.930071444035505</v>
      </c>
      <c r="L7333" s="80" t="s">
        <v>2755</v>
      </c>
    </row>
    <row r="7334">
      <c r="A7334" s="80" t="s">
        <v>6373</v>
      </c>
      <c r="B7334" s="81" t="str">
        <f>HYPERLINK("https://www.youtube.com/channel/UCMXOmw_gVvTj8n1gjqUN51w", "瑪姬英文 English with Maggie")</f>
        <v>瑪姬英文 English with Maggie</v>
      </c>
      <c r="C7334" s="80" t="s">
        <v>7887</v>
      </c>
      <c r="D7334" s="81" t="str">
        <f>HYPERLINK("https://youtube.com/watch?v=UayY34vrh3M", "「執笠/ 結業」真的可以用”folded”去形容?  常用英文單字 DSE English")</f>
        <v>「執笠/ 結業」真的可以用”folded”去形容?  常用英文單字 DSE English</v>
      </c>
      <c r="E7334" s="82">
        <v>45398.0</v>
      </c>
      <c r="F7334" s="80">
        <v>40.0</v>
      </c>
      <c r="G7334" s="80" t="s">
        <v>63</v>
      </c>
      <c r="I7334" s="80" t="s">
        <v>63</v>
      </c>
      <c r="J7334" s="80">
        <v>69.0</v>
      </c>
      <c r="K7334" s="80">
        <v>0.831325301204819</v>
      </c>
      <c r="L7334" s="80" t="s">
        <v>64</v>
      </c>
    </row>
    <row r="7335">
      <c r="A7335" s="80" t="s">
        <v>6892</v>
      </c>
      <c r="B7335" s="81" t="str">
        <f>HYPERLINK("https://www.youtube.com/channel/UC8_hxeY0nDCL-8ETbcGUZ9g", "PT食為先")</f>
        <v>PT食為先</v>
      </c>
      <c r="C7335" s="80" t="s">
        <v>7888</v>
      </c>
      <c r="D7335" s="81" t="str">
        <f>HYPERLINK("https://youtube.com/watch?v=aRgZnJMiLQU", "[PT自費食評] 尖沙咀鬧市竟有超平價自助餐？凍海鮮齊備，仲有燉湯同啤酒任飲！")</f>
        <v>[PT自費食評] 尖沙咀鬧市竟有超平價自助餐？凍海鮮齊備，仲有燉湯同啤酒任飲！</v>
      </c>
      <c r="E7335" s="82">
        <v>45378.0</v>
      </c>
      <c r="F7335" s="80">
        <v>1032.0</v>
      </c>
      <c r="G7335" s="80" t="s">
        <v>63</v>
      </c>
      <c r="I7335" s="80" t="s">
        <v>63</v>
      </c>
      <c r="J7335" s="80">
        <v>2361.0</v>
      </c>
      <c r="K7335" s="80">
        <v>0.952784503631961</v>
      </c>
      <c r="L7335" s="80" t="s">
        <v>64</v>
      </c>
    </row>
    <row r="7336">
      <c r="A7336" s="80" t="s">
        <v>414</v>
      </c>
      <c r="B7336" s="81" t="str">
        <f>HYPERLINK("https://www.youtube.com/channel/UCCVn38j5xSJZN-II-TeyomA", "Uncle Calvin Cantonese Class")</f>
        <v>Uncle Calvin Cantonese Class</v>
      </c>
      <c r="C7336" s="80" t="s">
        <v>7889</v>
      </c>
      <c r="D7336" s="81" t="str">
        <f>HYPERLINK("https://youtube.com/watch?v=fEQaK_A0Pj4", "【航機上安全】Air Safety I 旅行 飛機 機艙 安全帶 救生衣 航空規定 I 幼童 Toddlers I 廣東話教室")</f>
        <v>【航機上安全】Air Safety I 旅行 飛機 機艙 安全帶 救生衣 航空規定 I 幼童 Toddlers I 廣東話教室</v>
      </c>
      <c r="E7336" s="82">
        <v>45358.0</v>
      </c>
      <c r="F7336" s="80">
        <v>458.0</v>
      </c>
      <c r="G7336" s="80" t="s">
        <v>63</v>
      </c>
      <c r="H7336" s="80" t="s">
        <v>63</v>
      </c>
      <c r="I7336" s="80" t="s">
        <v>63</v>
      </c>
      <c r="J7336" s="80">
        <v>1399.0</v>
      </c>
      <c r="K7336" s="80">
        <v>0.953006219765031</v>
      </c>
      <c r="L7336" s="80" t="s">
        <v>240</v>
      </c>
    </row>
    <row r="7337">
      <c r="A7337" s="80" t="s">
        <v>242</v>
      </c>
      <c r="B7337" s="81" t="str">
        <f>HYPERLINK("https://www.youtube.com/channel/UCZGVB6g74LXWtkR3fX50ykg", "Edwin H.")</f>
        <v>Edwin H.</v>
      </c>
      <c r="C7337" s="80" t="s">
        <v>7890</v>
      </c>
      <c r="D7337" s="81" t="str">
        <f>HYPERLINK("https://youtube.com/watch?v=UCQRAwHsiC4", "無線充電可能會損壞你電話！？ 36件必睇科技新品 🍎📱📱 3月2月 有趣科技新聞")</f>
        <v>無線充電可能會損壞你電話！？ 36件必睇科技新品 🍎📱📱 3月2月 有趣科技新聞</v>
      </c>
      <c r="E7337" s="82">
        <v>45366.0</v>
      </c>
      <c r="F7337" s="80">
        <v>868.0</v>
      </c>
      <c r="G7337" s="80" t="s">
        <v>63</v>
      </c>
      <c r="I7337" s="80" t="s">
        <v>63</v>
      </c>
      <c r="J7337" s="80">
        <v>3687.0</v>
      </c>
      <c r="K7337" s="80">
        <v>0.748477466504263</v>
      </c>
      <c r="L7337" s="80" t="s">
        <v>64</v>
      </c>
    </row>
    <row r="7338">
      <c r="A7338" s="80" t="s">
        <v>6960</v>
      </c>
      <c r="B7338" s="81" t="str">
        <f>HYPERLINK("https://www.youtube.com/channel/UCQS2_zzisMq5C_FggxsQwTQ", "Comprehensible Cantonese")</f>
        <v>Comprehensible Cantonese</v>
      </c>
      <c r="C7338" s="80" t="s">
        <v>7891</v>
      </c>
      <c r="D7338" s="81" t="str">
        <f>HYPERLINK("https://youtube.com/watch?v=ODf8_zV3Qog", "廣東話 Movie Talk: Mr. Bean (ep. 1)| Learn Useful Cantonese Grammars in Context| Advanced Beginner [CC]")</f>
        <v>廣東話 Movie Talk: Mr. Bean (ep. 1)| Learn Useful Cantonese Grammars in Context| Advanced Beginner [CC]</v>
      </c>
      <c r="E7338" s="82">
        <v>45359.0</v>
      </c>
      <c r="F7338" s="80">
        <v>377.0</v>
      </c>
      <c r="G7338" s="80" t="s">
        <v>63</v>
      </c>
      <c r="I7338" s="80" t="s">
        <v>63</v>
      </c>
      <c r="J7338" s="80">
        <v>771.0</v>
      </c>
      <c r="K7338" s="80">
        <v>0.973484848484848</v>
      </c>
      <c r="L7338" s="80" t="s">
        <v>7260</v>
      </c>
    </row>
    <row r="7339">
      <c r="A7339" s="80" t="s">
        <v>6238</v>
      </c>
      <c r="B7339" s="81" t="str">
        <f>HYPERLINK("https://www.youtube.com/channel/UC_ogl0qjBdXrTiZZJ6ltsQQ", "Flat Out 地板油")</f>
        <v>Flat Out 地板油</v>
      </c>
      <c r="C7339" s="80" t="s">
        <v>7892</v>
      </c>
      <c r="D7339" s="81" t="str">
        <f>HYPERLINK("https://youtube.com/watch?v=V4eeYzZBinw", "史上最平Tesla！27萬Tesla Model 3入門後驅版 280匹加速爽快無投訴！510km續航力夠用嗎？ |Flat Out Review #FlatOut試車 #地板油")</f>
        <v>史上最平Tesla！27萬Tesla Model 3入門後驅版 280匹加速爽快無投訴！510km續航力夠用嗎？ |Flat Out Review #FlatOut試車 #地板油</v>
      </c>
      <c r="E7339" s="82">
        <v>45377.0</v>
      </c>
      <c r="F7339" s="80">
        <v>1098.0</v>
      </c>
      <c r="G7339" s="80" t="s">
        <v>63</v>
      </c>
      <c r="I7339" s="80" t="s">
        <v>63</v>
      </c>
      <c r="J7339" s="80">
        <v>2728.0</v>
      </c>
      <c r="K7339" s="80">
        <v>0.774779892076114</v>
      </c>
      <c r="L7339" s="80" t="s">
        <v>64</v>
      </c>
    </row>
    <row r="7340">
      <c r="A7340" s="80" t="s">
        <v>6960</v>
      </c>
      <c r="B7340" s="81" t="str">
        <f>HYPERLINK("https://www.youtube.com/channel/UCQS2_zzisMq5C_FggxsQwTQ", "Comprehensible Cantonese")</f>
        <v>Comprehensible Cantonese</v>
      </c>
      <c r="C7340" s="80" t="s">
        <v>7893</v>
      </c>
      <c r="D7340" s="81" t="str">
        <f>HYPERLINK("https://youtube.com/watch?v=FoCgv-1Z49w", "[CC] Picture Talk in Cantonese| Useful Cantonese Verbs| Comprehensible Cantonese| Basic Beginner 廣東話")</f>
        <v>[CC] Picture Talk in Cantonese| Useful Cantonese Verbs| Comprehensible Cantonese| Basic Beginner 廣東話</v>
      </c>
      <c r="E7340" s="82">
        <v>45397.0</v>
      </c>
      <c r="F7340" s="80">
        <v>145.0</v>
      </c>
      <c r="G7340" s="80" t="s">
        <v>63</v>
      </c>
      <c r="I7340" s="80" t="s">
        <v>63</v>
      </c>
      <c r="J7340" s="80">
        <v>200.0</v>
      </c>
      <c r="K7340" s="80">
        <v>0.943396226415094</v>
      </c>
      <c r="L7340" s="80" t="s">
        <v>102</v>
      </c>
    </row>
    <row r="7341">
      <c r="A7341" s="80" t="s">
        <v>6373</v>
      </c>
      <c r="B7341" s="81" t="str">
        <f>HYPERLINK("https://www.youtube.com/channel/UCMXOmw_gVvTj8n1gjqUN51w", "瑪姬英文 English with Maggie")</f>
        <v>瑪姬英文 English with Maggie</v>
      </c>
      <c r="C7341" s="80" t="s">
        <v>7894</v>
      </c>
      <c r="D7341" s="81" t="str">
        <f>HYPERLINK("https://youtube.com/watch?v=FhRsfhsR0Ug", "「寸嘴」Inch mouth? 說話囂張/用英文說常見廣東話/ Say Common Cantonese Words in English/DSE英文")</f>
        <v>「寸嘴」Inch mouth? 說話囂張/用英文說常見廣東話/ Say Common Cantonese Words in English/DSE英文</v>
      </c>
      <c r="E7341" s="82">
        <v>45371.0</v>
      </c>
      <c r="F7341" s="80">
        <v>389.0</v>
      </c>
      <c r="G7341" s="80" t="s">
        <v>63</v>
      </c>
      <c r="I7341" s="80" t="s">
        <v>63</v>
      </c>
      <c r="J7341" s="80">
        <v>907.0</v>
      </c>
      <c r="K7341" s="80">
        <v>0.35526831179005</v>
      </c>
      <c r="L7341" s="80" t="s">
        <v>64</v>
      </c>
    </row>
    <row r="7342">
      <c r="A7342" s="80" t="s">
        <v>6892</v>
      </c>
      <c r="B7342" s="81" t="str">
        <f>HYPERLINK("https://www.youtube.com/channel/UC8_hxeY0nDCL-8ETbcGUZ9g", "PT食為先")</f>
        <v>PT食為先</v>
      </c>
      <c r="C7342" s="80" t="s">
        <v>7895</v>
      </c>
      <c r="D7342" s="81" t="str">
        <f>HYPERLINK("https://youtube.com/watch?v=6QoldQA957g", "唔使搭飛機！韓國釜山到日本九州🇯🇵搭過夜船 慳一晚住宿💰超抵方法玩轉日韓兩國！")</f>
        <v>唔使搭飛機！韓國釜山到日本九州🇯🇵搭過夜船 慳一晚住宿💰超抵方法玩轉日韓兩國！</v>
      </c>
      <c r="E7342" s="82">
        <v>45392.0</v>
      </c>
      <c r="F7342" s="80">
        <v>693.0</v>
      </c>
      <c r="G7342" s="80" t="s">
        <v>63</v>
      </c>
      <c r="I7342" s="80" t="s">
        <v>63</v>
      </c>
      <c r="J7342" s="80">
        <v>1362.0</v>
      </c>
      <c r="K7342" s="80">
        <v>0.945833333333333</v>
      </c>
      <c r="L7342" s="80" t="s">
        <v>64</v>
      </c>
    </row>
    <row r="7343">
      <c r="A7343" s="80" t="s">
        <v>1670</v>
      </c>
      <c r="B7343" s="81" t="str">
        <f>HYPERLINK("https://www.youtube.com/channel/UC-PIt5m-WOg8UVBkt2RnN0g", "阿JACK睇樓團")</f>
        <v>阿JACK睇樓團</v>
      </c>
      <c r="C7343" s="80" t="s">
        <v>7896</v>
      </c>
      <c r="D7343" s="81" t="str">
        <f>HYPERLINK("https://youtube.com/watch?v=uiXjQuBQUzY", "租盤可以有什麼特別之處？黃金海岸的秘密租盤揭露！你準備好被驚艷了嗎？”丨阿JACK睇樓團丨信和集團丨黃金海岸丨珠海書院丨哈羅國際學校丨租盤￼")</f>
        <v>租盤可以有什麼特別之處？黃金海岸的秘密租盤揭露！你準備好被驚艷了嗎？”丨阿JACK睇樓團丨信和集團丨黃金海岸丨珠海書院丨哈羅國際學校丨租盤￼</v>
      </c>
      <c r="E7343" s="82">
        <v>45375.0</v>
      </c>
      <c r="F7343" s="80">
        <v>497.0</v>
      </c>
      <c r="G7343" s="80" t="s">
        <v>63</v>
      </c>
      <c r="I7343" s="80" t="s">
        <v>63</v>
      </c>
      <c r="J7343" s="80">
        <v>1777.0</v>
      </c>
      <c r="K7343" s="80">
        <v>0.988320355951056</v>
      </c>
      <c r="L7343" s="80" t="s">
        <v>7897</v>
      </c>
    </row>
    <row r="7344">
      <c r="A7344" s="80" t="s">
        <v>288</v>
      </c>
      <c r="B7344" s="81" t="str">
        <f>HYPERLINK("https://www.youtube.com/channel/UCDWOYEhVnyD4IHZGVAMLc0g", "Brendan 毛爸")</f>
        <v>Brendan 毛爸</v>
      </c>
      <c r="C7344" s="80" t="s">
        <v>7898</v>
      </c>
      <c r="D7344" s="81" t="str">
        <f>HYPERLINK("https://youtube.com/watch?v=GOZDFuniGB8", "《🇬🇧貴族超級市場超貴？》自家品牌超高質素？！手切牛小排！安格斯牛扒！生日檸檬撻！酒精天堂！@Waitrose《🇬🇧毛爸英國生活小分享》")</f>
        <v>《🇬🇧貴族超級市場超貴？》自家品牌超高質素？！手切牛小排！安格斯牛扒！生日檸檬撻！酒精天堂！@Waitrose《🇬🇧毛爸英國生活小分享》</v>
      </c>
      <c r="E7344" s="82">
        <v>45397.0</v>
      </c>
      <c r="F7344" s="80">
        <v>580.0</v>
      </c>
      <c r="G7344" s="80" t="s">
        <v>63</v>
      </c>
      <c r="I7344" s="80" t="s">
        <v>63</v>
      </c>
      <c r="J7344" s="80">
        <v>2231.0</v>
      </c>
      <c r="K7344" s="80">
        <v>0.8924</v>
      </c>
      <c r="L7344" s="80" t="s">
        <v>64</v>
      </c>
    </row>
    <row r="7345">
      <c r="A7345" s="80" t="s">
        <v>7899</v>
      </c>
      <c r="B7345" s="81" t="str">
        <f>HYPERLINK("https://www.youtube.com/channel/UCx4feg4MyYnDsT8fi9YRRog", "ZAIN 黃智偉")</f>
        <v>ZAIN 黃智偉</v>
      </c>
      <c r="C7345" s="80" t="s">
        <v>7900</v>
      </c>
      <c r="D7345" s="81" t="str">
        <f>HYPERLINK("https://youtube.com/watch?v=1v5UIaHKbjM", "ZAIN -  坑渠Sewage ft. Geniuz F the FUTURE &amp; NKidd [Official Music Video]")</f>
        <v>ZAIN -  坑渠Sewage ft. Geniuz F the FUTURE &amp; NKidd [Official Music Video]</v>
      </c>
      <c r="E7345" s="82">
        <v>45351.0</v>
      </c>
      <c r="F7345" s="80">
        <v>152.0</v>
      </c>
      <c r="G7345" s="80" t="s">
        <v>63</v>
      </c>
      <c r="I7345" s="80" t="s">
        <v>63</v>
      </c>
      <c r="J7345" s="80">
        <v>513.0</v>
      </c>
      <c r="K7345" s="80">
        <v>0.718487394957983</v>
      </c>
      <c r="L7345" s="80" t="s">
        <v>102</v>
      </c>
    </row>
    <row r="7346">
      <c r="A7346" s="80" t="s">
        <v>242</v>
      </c>
      <c r="B7346" s="81" t="str">
        <f>HYPERLINK("https://www.youtube.com/channel/UCZGVB6g74LXWtkR3fX50ykg", "Edwin H.")</f>
        <v>Edwin H.</v>
      </c>
      <c r="C7346" s="80" t="s">
        <v>7901</v>
      </c>
      <c r="D7346" s="81" t="str">
        <f>HYPERLINK("https://youtube.com/watch?v=E1T1wAlbhFk", "我買了智能眼鏡👓 智能戒指💍 神級耳機 Logitech Astro A50X 🎧 手機遊戲手掣 Serafim S3 🎮 Edwin買乜野")</f>
        <v>我買了智能眼鏡👓 智能戒指💍 神級耳機 Logitech Astro A50X 🎧 手機遊戲手掣 Serafim S3 🎮 Edwin買乜野</v>
      </c>
      <c r="E7346" s="82">
        <v>45379.0</v>
      </c>
      <c r="F7346" s="80">
        <v>1471.0</v>
      </c>
      <c r="G7346" s="80" t="s">
        <v>63</v>
      </c>
      <c r="I7346" s="80" t="s">
        <v>63</v>
      </c>
      <c r="J7346" s="80">
        <v>7227.0</v>
      </c>
      <c r="K7346" s="80">
        <v>0.784860990443093</v>
      </c>
      <c r="L7346" s="80" t="s">
        <v>64</v>
      </c>
    </row>
    <row r="7347">
      <c r="A7347" s="80" t="s">
        <v>124</v>
      </c>
      <c r="B7347" s="81" t="str">
        <f>HYPERLINK("https://www.youtube.com/channel/UCg0vuSE0fBF_NvodyYhMcWg", "Wallace Studio HK")</f>
        <v>Wallace Studio HK</v>
      </c>
      <c r="C7347" s="80" t="s">
        <v>7902</v>
      </c>
      <c r="D7347" s="81" t="str">
        <f>HYPERLINK("https://youtube.com/watch?v=NQo6DnEUa4Y", "Honor Magic 6 Pro 旗艦機登場！ AI功能更新，鏡頭升級，螢幕升級！")</f>
        <v>Honor Magic 6 Pro 旗艦機登場！ AI功能更新，鏡頭升級，螢幕升級！</v>
      </c>
      <c r="E7347" s="82">
        <v>45394.0</v>
      </c>
      <c r="F7347" s="80">
        <v>280.0</v>
      </c>
      <c r="G7347" s="80" t="s">
        <v>63</v>
      </c>
      <c r="I7347" s="80" t="s">
        <v>63</v>
      </c>
      <c r="J7347" s="80">
        <v>1122.0</v>
      </c>
      <c r="K7347" s="80">
        <v>0.82560706401766</v>
      </c>
      <c r="L7347" s="80" t="s">
        <v>64</v>
      </c>
    </row>
    <row r="7348">
      <c r="A7348" s="80" t="s">
        <v>1670</v>
      </c>
      <c r="B7348" s="81" t="str">
        <f>HYPERLINK("https://www.youtube.com/channel/UC-PIt5m-WOg8UVBkt2RnN0g", "阿JACK睇樓團")</f>
        <v>阿JACK睇樓團</v>
      </c>
      <c r="C7348" s="80" t="s">
        <v>7903</v>
      </c>
      <c r="D7348" s="81" t="str">
        <f>HYPERLINK("https://youtube.com/watch?v=eCE3NHnae20", "最靚既一期？🤔終於開現樓😍丨屯門最受歡迎嘅屋苑🥇丨2房3房丨")</f>
        <v>最靚既一期？🤔終於開現樓😍丨屯門最受歡迎嘅屋苑🥇丨2房3房丨</v>
      </c>
      <c r="E7348" s="82">
        <v>45354.0</v>
      </c>
      <c r="F7348" s="80">
        <v>1205.0</v>
      </c>
      <c r="G7348" s="80" t="s">
        <v>63</v>
      </c>
      <c r="I7348" s="80" t="s">
        <v>63</v>
      </c>
      <c r="J7348" s="80">
        <v>3929.0</v>
      </c>
      <c r="K7348" s="80">
        <v>0.969166255550074</v>
      </c>
      <c r="L7348" s="80" t="s">
        <v>64</v>
      </c>
    </row>
    <row r="7349">
      <c r="A7349" s="80" t="s">
        <v>260</v>
      </c>
      <c r="B7349" s="81" t="str">
        <f>HYPERLINK("https://www.youtube.com/channel/UC-HXOikkLx7BGEfILGIpYOg", "港短 . 英移")</f>
        <v>港短 . 英移</v>
      </c>
      <c r="C7349" s="80" t="s">
        <v>7904</v>
      </c>
      <c r="D7349" s="81" t="str">
        <f>HYPERLINK("https://youtube.com/watch?v=IgjSAXcK32Q", "加油..英國人的灰姑娘🇬🇧 | 港短.英移")</f>
        <v>加油..英國人的灰姑娘🇬🇧 | 港短.英移</v>
      </c>
      <c r="E7349" s="82">
        <v>45374.0</v>
      </c>
      <c r="F7349" s="80">
        <v>340.0</v>
      </c>
      <c r="G7349" s="80" t="s">
        <v>63</v>
      </c>
      <c r="I7349" s="80" t="s">
        <v>63</v>
      </c>
      <c r="J7349" s="80">
        <v>1486.0</v>
      </c>
      <c r="K7349" s="80">
        <v>0.990006662225183</v>
      </c>
      <c r="L7349" s="80" t="s">
        <v>102</v>
      </c>
    </row>
    <row r="7350">
      <c r="A7350" s="80" t="s">
        <v>288</v>
      </c>
      <c r="B7350" s="81" t="str">
        <f>HYPERLINK("https://www.youtube.com/channel/UCDWOYEhVnyD4IHZGVAMLc0g", "Brendan 毛爸")</f>
        <v>Brendan 毛爸</v>
      </c>
      <c r="C7350" s="80" t="s">
        <v>7905</v>
      </c>
      <c r="D7350" s="81" t="str">
        <f>HYPERLINK("https://youtube.com/watch?v=RP_zmSKZXus", "《開箱！Lidl 日本祭Japan Week🇯🇵#2》 食五款懶人晚餐！三款雪糕！兩款雪米糍仲有零食！￼￼又話係日本野既。。拉麵不似拉麵🤣🤣淨係得甜味既雪糕@UK《🇬🇧毛爸英國生活小分享》")</f>
        <v>《開箱！Lidl 日本祭Japan Week🇯🇵#2》 食五款懶人晚餐！三款雪糕！兩款雪米糍仲有零食！￼￼又話係日本野既。。拉麵不似拉麵🤣🤣淨係得甜味既雪糕@UK《🇬🇧毛爸英國生活小分享》</v>
      </c>
      <c r="E7350" s="82">
        <v>45366.0</v>
      </c>
      <c r="F7350" s="80">
        <v>584.0</v>
      </c>
      <c r="G7350" s="80" t="s">
        <v>63</v>
      </c>
      <c r="I7350" s="80" t="s">
        <v>63</v>
      </c>
      <c r="J7350" s="80">
        <v>2148.0</v>
      </c>
      <c r="K7350" s="80">
        <v>0.949182501104728</v>
      </c>
      <c r="L7350" s="80" t="s">
        <v>64</v>
      </c>
    </row>
    <row r="7351">
      <c r="A7351" s="80" t="s">
        <v>5301</v>
      </c>
      <c r="B7351" s="81" t="str">
        <f>HYPERLINK("https://www.youtube.com/channel/UCTH_IecfGTuKdew5dTb_D6A", "BOYS' CHOIR")</f>
        <v>BOYS' CHOIR</v>
      </c>
      <c r="C7351" s="80" t="s">
        <v>7906</v>
      </c>
      <c r="D7351" s="81" t="str">
        <f>HYPERLINK("https://youtube.com/watch?v=hMFcOFLn8PA", "Holy Yam - GONE (with Yung Raise) (Audio)")</f>
        <v>Holy Yam - GONE (with Yung Raise) (Audio)</v>
      </c>
      <c r="E7351" s="82">
        <v>45343.0</v>
      </c>
      <c r="F7351" s="80">
        <v>169.0</v>
      </c>
      <c r="G7351" s="80" t="s">
        <v>63</v>
      </c>
      <c r="I7351" s="80" t="s">
        <v>63</v>
      </c>
      <c r="J7351" s="80">
        <v>122.0</v>
      </c>
      <c r="K7351" s="80">
        <v>0.115311909262759</v>
      </c>
      <c r="L7351" s="80" t="s">
        <v>64</v>
      </c>
    </row>
    <row r="7352">
      <c r="A7352" s="80" t="s">
        <v>6960</v>
      </c>
      <c r="B7352" s="81" t="str">
        <f>HYPERLINK("https://www.youtube.com/channel/UCQS2_zzisMq5C_FggxsQwTQ", "Comprehensible Cantonese")</f>
        <v>Comprehensible Cantonese</v>
      </c>
      <c r="C7352" s="80" t="s">
        <v>7907</v>
      </c>
      <c r="D7352" s="81" t="str">
        <f>HYPERLINK("https://youtube.com/watch?v=L9plr3EsIkI", "[CC] Can Cantonese Native Speakers Understand Taishanese? | Cantonese Conversation| Intermediate 廣東話")</f>
        <v>[CC] Can Cantonese Native Speakers Understand Taishanese? | Cantonese Conversation| Intermediate 廣東話</v>
      </c>
      <c r="E7352" s="82">
        <v>45394.0</v>
      </c>
      <c r="F7352" s="80">
        <v>588.0</v>
      </c>
      <c r="G7352" s="80" t="s">
        <v>63</v>
      </c>
      <c r="I7352" s="80" t="s">
        <v>63</v>
      </c>
      <c r="J7352" s="80">
        <v>1574.0</v>
      </c>
      <c r="K7352" s="80">
        <v>0.875417130144605</v>
      </c>
      <c r="L7352" s="80" t="s">
        <v>102</v>
      </c>
    </row>
    <row r="7353">
      <c r="A7353" s="80" t="s">
        <v>96</v>
      </c>
      <c r="B7353" s="81" t="str">
        <f>HYPERLINK("https://www.youtube.com/channel/UCGtyHJ-L_4RDIHe3XaLofQQ", "Anson Cheung")</f>
        <v>Anson Cheung</v>
      </c>
      <c r="C7353" s="80" t="s">
        <v>7908</v>
      </c>
      <c r="D7353" s="81" t="str">
        <f>HYPERLINK("https://youtube.com/watch?v=dH4E8823Ipg", "彩色 eReader 時代終於黎喇！（Kobo Clara Colour 試玩介紹）｜Kobo 特約贊助")</f>
        <v>彩色 eReader 時代終於黎喇！（Kobo Clara Colour 試玩介紹）｜Kobo 特約贊助</v>
      </c>
      <c r="E7353" s="82">
        <v>45402.0</v>
      </c>
      <c r="F7353" s="80">
        <v>503.0</v>
      </c>
      <c r="G7353" s="80" t="s">
        <v>63</v>
      </c>
      <c r="I7353" s="80" t="s">
        <v>63</v>
      </c>
      <c r="J7353" s="80">
        <v>1881.0</v>
      </c>
      <c r="K7353" s="80">
        <v>0.672265904217298</v>
      </c>
      <c r="L7353" s="80" t="s">
        <v>64</v>
      </c>
    </row>
    <row r="7354">
      <c r="A7354" s="80" t="s">
        <v>414</v>
      </c>
      <c r="B7354" s="81" t="str">
        <f>HYPERLINK("https://www.youtube.com/channel/UCCVn38j5xSJZN-II-TeyomA", "Uncle Calvin Cantonese Class")</f>
        <v>Uncle Calvin Cantonese Class</v>
      </c>
      <c r="C7354" s="80" t="s">
        <v>7909</v>
      </c>
      <c r="D7354" s="81" t="str">
        <f>HYPERLINK("https://youtube.com/watch?v=IKbfLPBnhgg", "【5級熱帶氣旋警告信號】Tropical Cyclone Warning Signals in Cantonese I 打風 風球 颱風 I 幼童科學 for Toddlers I 廣東話教室")</f>
        <v>【5級熱帶氣旋警告信號】Tropical Cyclone Warning Signals in Cantonese I 打風 風球 颱風 I 幼童科學 for Toddlers I 廣東話教室</v>
      </c>
      <c r="E7354" s="82">
        <v>45267.0</v>
      </c>
      <c r="F7354" s="80">
        <v>646.0</v>
      </c>
      <c r="G7354" s="80" t="s">
        <v>63</v>
      </c>
      <c r="H7354" s="80" t="s">
        <v>63</v>
      </c>
      <c r="I7354" s="80" t="s">
        <v>63</v>
      </c>
      <c r="J7354" s="80">
        <v>1808.0</v>
      </c>
      <c r="K7354" s="80">
        <v>0.89144572286143</v>
      </c>
      <c r="L7354" s="80" t="s">
        <v>240</v>
      </c>
    </row>
    <row r="7355">
      <c r="A7355" s="80" t="s">
        <v>2766</v>
      </c>
      <c r="B7355" s="81" t="str">
        <f>HYPERLINK("https://www.youtube.com/channel/UCrZG5sGryxwgSDQSlHgmZTw", "GadgetGang HK")</f>
        <v>GadgetGang HK</v>
      </c>
      <c r="C7355" s="80" t="s">
        <v>7910</v>
      </c>
      <c r="D7355" s="81" t="str">
        <f>HYPERLINK("https://youtube.com/watch?v=q0Bz2AZZlug", "M3 MacBook Air 2024 開箱實測〡比拼上代快幾多？〡分析新機值唔值得入手？〡運算效能 打機 上網速度 全面實試比拼〡實試雙芒輸出用法 注意事項〡阿聰入手貼士 買機揀機必睇")</f>
        <v>M3 MacBook Air 2024 開箱實測〡比拼上代快幾多？〡分析新機值唔值得入手？〡運算效能 打機 上網速度 全面實試比拼〡實試雙芒輸出用法 注意事項〡阿聰入手貼士 買機揀機必睇</v>
      </c>
      <c r="E7355" s="82">
        <v>45358.0</v>
      </c>
      <c r="F7355" s="80">
        <v>527.0</v>
      </c>
      <c r="G7355" s="80" t="s">
        <v>63</v>
      </c>
      <c r="I7355" s="80" t="s">
        <v>63</v>
      </c>
      <c r="J7355" s="80">
        <v>1619.0</v>
      </c>
      <c r="K7355" s="80">
        <v>0.776126558005752</v>
      </c>
      <c r="L7355" s="80" t="s">
        <v>64</v>
      </c>
    </row>
    <row r="7356">
      <c r="A7356" s="80" t="s">
        <v>6960</v>
      </c>
      <c r="B7356" s="81" t="str">
        <f>HYPERLINK("https://www.youtube.com/channel/UCQS2_zzisMq5C_FggxsQwTQ", "Comprehensible Cantonese")</f>
        <v>Comprehensible Cantonese</v>
      </c>
      <c r="C7356" s="80" t="s">
        <v>7911</v>
      </c>
      <c r="D7356" s="81" t="str">
        <f>HYPERLINK("https://youtube.com/watch?v=g-TTwJ9W-F0", "[CC] Cantonese Story: My Friend and her Cats | Comprehensible Cantonese 廣東話  (Advanced Beginner )")</f>
        <v>[CC] Cantonese Story: My Friend and her Cats | Comprehensible Cantonese 廣東話  (Advanced Beginner )</v>
      </c>
      <c r="E7356" s="82">
        <v>45373.0</v>
      </c>
      <c r="F7356" s="80">
        <v>169.0</v>
      </c>
      <c r="G7356" s="80" t="s">
        <v>63</v>
      </c>
      <c r="I7356" s="80" t="s">
        <v>63</v>
      </c>
      <c r="J7356" s="80">
        <v>306.0</v>
      </c>
      <c r="K7356" s="80">
        <v>0.962264150943396</v>
      </c>
      <c r="L7356" s="80" t="s">
        <v>102</v>
      </c>
    </row>
    <row r="7357">
      <c r="A7357" s="80" t="s">
        <v>6054</v>
      </c>
      <c r="B7357" s="81" t="str">
        <f>HYPERLINK("https://www.youtube.com/channel/UCZc-RwRZUYVuwu3A9pVBISg", "ToNick")</f>
        <v>ToNick</v>
      </c>
      <c r="C7357" s="80" t="s">
        <v>7912</v>
      </c>
      <c r="D7357" s="81" t="str">
        <f>HYPERLINK("https://youtube.com/watch?v=AwLFglBrbyE", "ToNick - Good Trip in Bad Days (Official MV)")</f>
        <v>ToNick - Good Trip in Bad Days (Official MV)</v>
      </c>
      <c r="E7357" s="82">
        <v>45397.0</v>
      </c>
      <c r="F7357" s="80">
        <v>242.0</v>
      </c>
      <c r="G7357" s="80" t="s">
        <v>63</v>
      </c>
      <c r="I7357" s="80" t="s">
        <v>63</v>
      </c>
      <c r="J7357" s="80">
        <v>283.0</v>
      </c>
      <c r="K7357" s="80">
        <v>0.402560455192034</v>
      </c>
      <c r="L7357" s="80" t="s">
        <v>64</v>
      </c>
    </row>
    <row r="7358">
      <c r="A7358" s="80" t="s">
        <v>3158</v>
      </c>
      <c r="B7358" s="81" t="str">
        <f>HYPERLINK("https://www.youtube.com/channel/UCldJqbxFCPolSR6V9lszWDA", "魚波 Yu Ball")</f>
        <v>魚波 Yu Ball</v>
      </c>
      <c r="C7358" s="80" t="s">
        <v>7913</v>
      </c>
      <c r="D7358" s="81" t="str">
        <f>HYPERLINK("https://youtube.com/watch?v=BBJcXwlUZl0", "炒車😭我犯了低級錯誤...去賽車場學賽車是什麼體驗？😎🏁  @HIN26rider  【魚波vlog#176】")</f>
        <v>炒車😭我犯了低級錯誤...去賽車場學賽車是什麼體驗？😎🏁  @HIN26rider  【魚波vlog#176】</v>
      </c>
      <c r="E7358" s="82">
        <v>45383.0</v>
      </c>
      <c r="F7358" s="80">
        <v>1030.0</v>
      </c>
      <c r="G7358" s="80" t="s">
        <v>63</v>
      </c>
      <c r="I7358" s="80" t="s">
        <v>63</v>
      </c>
      <c r="J7358" s="80">
        <v>2832.0</v>
      </c>
      <c r="K7358" s="80">
        <v>0.903637523931078</v>
      </c>
      <c r="L7358" s="80" t="s">
        <v>91</v>
      </c>
    </row>
    <row r="7359">
      <c r="A7359" s="80" t="s">
        <v>1670</v>
      </c>
      <c r="B7359" s="81" t="str">
        <f>HYPERLINK("https://www.youtube.com/channel/UC-PIt5m-WOg8UVBkt2RnN0g", "阿JACK睇樓團")</f>
        <v>阿JACK睇樓團</v>
      </c>
      <c r="C7359" s="80" t="s">
        <v>7914</v>
      </c>
      <c r="D7359" s="81" t="str">
        <f>HYPERLINK("https://youtube.com/watch?v=DSjsZ2kGvQg", "有1.3億你會買嗎❓睇咗當買咗￼🌊4個廳咁多❓🤔你會點設計丨美利海灣丨阿JACK睇樓團丨豪宅 🙈又出片")</f>
        <v>有1.3億你會買嗎❓睇咗當買咗￼🌊4個廳咁多❓🤔你會點設計丨美利海灣丨阿JACK睇樓團丨豪宅 🙈又出片</v>
      </c>
      <c r="E7359" s="82">
        <v>45368.0</v>
      </c>
      <c r="F7359" s="80">
        <v>565.0</v>
      </c>
      <c r="G7359" s="80" t="s">
        <v>63</v>
      </c>
      <c r="I7359" s="80" t="s">
        <v>63</v>
      </c>
      <c r="J7359" s="80">
        <v>2122.0</v>
      </c>
      <c r="K7359" s="80">
        <v>0.989277389277389</v>
      </c>
      <c r="L7359" s="80" t="s">
        <v>7915</v>
      </c>
    </row>
    <row r="7360">
      <c r="A7360" s="80" t="s">
        <v>260</v>
      </c>
      <c r="B7360" s="81" t="str">
        <f>HYPERLINK("https://www.youtube.com/channel/UC-HXOikkLx7BGEfILGIpYOg", "港短 . 英移")</f>
        <v>港短 . 英移</v>
      </c>
      <c r="C7360" s="80" t="s">
        <v>7916</v>
      </c>
      <c r="D7360" s="81" t="str">
        <f>HYPERLINK("https://youtube.com/watch?v=SmTH5fqT4Go", "🇬🇧 原來英國火車遲到有得回水? | 超市隱藏優惠? | 4個英國生活慳錢Tips | 港短.英移")</f>
        <v>🇬🇧 原來英國火車遲到有得回水? | 超市隱藏優惠? | 4個英國生活慳錢Tips | 港短.英移</v>
      </c>
      <c r="E7360" s="82">
        <v>45400.0</v>
      </c>
      <c r="F7360" s="80">
        <v>385.0</v>
      </c>
      <c r="G7360" s="80" t="s">
        <v>63</v>
      </c>
      <c r="I7360" s="80" t="s">
        <v>63</v>
      </c>
      <c r="J7360" s="80">
        <v>1587.0</v>
      </c>
      <c r="K7360" s="80">
        <v>0.859696641386782</v>
      </c>
      <c r="L7360" s="80" t="s">
        <v>102</v>
      </c>
    </row>
    <row r="7361">
      <c r="A7361" s="80" t="s">
        <v>960</v>
      </c>
      <c r="B7361" s="81" t="str">
        <f>HYPERLINK("https://www.youtube.com/channel/UCXf8jlTSP9kp6g4ROCfgvbQ", "堅離地球・沈旭暉・馮智政")</f>
        <v>堅離地球・沈旭暉・馮智政</v>
      </c>
      <c r="C7361" s="80" t="s">
        <v>7917</v>
      </c>
      <c r="D7361" s="81" t="str">
        <f>HYPERLINK("https://youtube.com/watch?v=7JRMtgMToJ0", "【堅離地政經】工會呢？逾百紮鐵工失業批外勞搶飯碗。有危有機，港加英業主看中外勞住屋市場。外勞住宿可能是香港唐樓業主「脫手」最後機會 (馮智政 x Kobe )")</f>
        <v>【堅離地政經】工會呢？逾百紮鐵工失業批外勞搶飯碗。有危有機，港加英業主看中外勞住屋市場。外勞住宿可能是香港唐樓業主「脫手」最後機會 (馮智政 x Kobe )</v>
      </c>
      <c r="E7361" s="82">
        <v>45400.0</v>
      </c>
      <c r="F7361" s="80">
        <v>2260.0</v>
      </c>
      <c r="G7361" s="80" t="s">
        <v>63</v>
      </c>
      <c r="I7361" s="80" t="s">
        <v>63</v>
      </c>
      <c r="J7361" s="80">
        <v>9921.0</v>
      </c>
      <c r="K7361" s="80">
        <v>0.90470545321904</v>
      </c>
      <c r="L7361" s="80" t="s">
        <v>64</v>
      </c>
    </row>
    <row r="7362">
      <c r="A7362" s="80" t="s">
        <v>242</v>
      </c>
      <c r="B7362" s="81" t="str">
        <f>HYPERLINK("https://www.youtube.com/channel/UCZGVB6g74LXWtkR3fX50ykg", "Edwin H.")</f>
        <v>Edwin H.</v>
      </c>
      <c r="C7362" s="80" t="s">
        <v>7918</v>
      </c>
      <c r="D7362" s="81" t="str">
        <f>HYPERLINK("https://youtube.com/watch?v=iKjHiVtKFYg", "日本又有新科技 🆕🇯🇵 AI透視相機👙 78件必睇科技新品 🍎📱 有趣科技新聞")</f>
        <v>日本又有新科技 🆕🇯🇵 AI透視相機👙 78件必睇科技新品 🍎📱 有趣科技新聞</v>
      </c>
      <c r="E7362" s="82">
        <v>45401.0</v>
      </c>
      <c r="F7362" s="80">
        <v>1442.0</v>
      </c>
      <c r="G7362" s="80" t="s">
        <v>63</v>
      </c>
      <c r="I7362" s="80" t="s">
        <v>63</v>
      </c>
      <c r="J7362" s="80">
        <v>4663.0</v>
      </c>
      <c r="K7362" s="80">
        <v>0.70015015015015</v>
      </c>
      <c r="L7362" s="80" t="s">
        <v>64</v>
      </c>
    </row>
    <row r="7363">
      <c r="A7363" s="80" t="s">
        <v>5992</v>
      </c>
      <c r="B7363" s="81" t="str">
        <f>HYPERLINK("https://www.youtube.com/channel/UCEuQ-0x3uMk1KghGiO1kTHg", "MIRROR")</f>
        <v>MIRROR</v>
      </c>
      <c r="C7363" s="80" t="s">
        <v>7919</v>
      </c>
      <c r="D7363" s="81" t="str">
        <f>HYPERLINK("https://youtube.com/watch?v=SdtsrdtO620", "Lokman 楊樂文《如果電話亭》(Moshimo Bokkusu) Official Music Video")</f>
        <v>Lokman 楊樂文《如果電話亭》(Moshimo Bokkusu) Official Music Video</v>
      </c>
      <c r="E7363" s="82">
        <v>45365.0</v>
      </c>
      <c r="F7363" s="80">
        <v>324.0</v>
      </c>
      <c r="G7363" s="80" t="s">
        <v>63</v>
      </c>
      <c r="I7363" s="80" t="s">
        <v>63</v>
      </c>
      <c r="J7363" s="80">
        <v>549.0</v>
      </c>
      <c r="K7363" s="80">
        <v>0.835616438356164</v>
      </c>
      <c r="L7363" s="80" t="s">
        <v>521</v>
      </c>
    </row>
    <row r="7364">
      <c r="A7364" s="80" t="s">
        <v>6960</v>
      </c>
      <c r="B7364" s="81" t="str">
        <f>HYPERLINK("https://www.youtube.com/channel/UCQS2_zzisMq5C_FggxsQwTQ", "Comprehensible Cantonese")</f>
        <v>Comprehensible Cantonese</v>
      </c>
      <c r="C7364" s="80" t="s">
        <v>7920</v>
      </c>
      <c r="D7364" s="81" t="str">
        <f>HYPERLINK("https://youtube.com/watch?v=EEvxOSvyJm8", "[CC] To Understand Hong Kong Cantonese, You Need to Know These: 1 懶音 | Intermediate Cantonese 廣東話")</f>
        <v>[CC] To Understand Hong Kong Cantonese, You Need to Know These: 1 懶音 | Intermediate Cantonese 廣東話</v>
      </c>
      <c r="E7364" s="82">
        <v>45404.0</v>
      </c>
      <c r="F7364" s="80">
        <v>474.0</v>
      </c>
      <c r="G7364" s="80" t="s">
        <v>63</v>
      </c>
      <c r="I7364" s="80" t="s">
        <v>63</v>
      </c>
      <c r="J7364" s="80">
        <v>1906.0</v>
      </c>
      <c r="K7364" s="80">
        <v>0.983488132094943</v>
      </c>
      <c r="L7364" s="80" t="s">
        <v>7921</v>
      </c>
    </row>
    <row r="7365">
      <c r="A7365" s="80" t="s">
        <v>6892</v>
      </c>
      <c r="B7365" s="81" t="str">
        <f>HYPERLINK("https://www.youtube.com/channel/UC8_hxeY0nDCL-8ETbcGUZ9g", "PT食為先")</f>
        <v>PT食為先</v>
      </c>
      <c r="C7365" s="80" t="s">
        <v>7922</v>
      </c>
      <c r="D7365" s="81" t="str">
        <f>HYPERLINK("https://youtube.com/watch?v=4CzUJgSacQ0", "早上9點都要排50人！博多極受歡迎的明太子飯排隊店值得食嗎？ JR站旁邊就食得到的牛腸鍋，分店超多！")</f>
        <v>早上9點都要排50人！博多極受歡迎的明太子飯排隊店值得食嗎？ JR站旁邊就食得到的牛腸鍋，分店超多！</v>
      </c>
      <c r="E7365" s="82">
        <v>45383.0</v>
      </c>
      <c r="F7365" s="80">
        <v>809.0</v>
      </c>
      <c r="G7365" s="80" t="s">
        <v>63</v>
      </c>
      <c r="I7365" s="80" t="s">
        <v>63</v>
      </c>
      <c r="J7365" s="80">
        <v>2016.0</v>
      </c>
      <c r="K7365" s="80">
        <v>0.949599623174752</v>
      </c>
      <c r="L7365" s="80" t="s">
        <v>64</v>
      </c>
    </row>
    <row r="7366">
      <c r="A7366" s="80" t="s">
        <v>6591</v>
      </c>
      <c r="B7366" s="81" t="str">
        <f>HYPERLINK("https://www.youtube.com/channel/UC0DpBgpq_gR7TaNDIvJYZag", "TalkFood")</f>
        <v>TalkFood</v>
      </c>
      <c r="C7366" s="80" t="s">
        <v>7923</v>
      </c>
      <c r="D7366" s="81" t="str">
        <f>HYPERLINK("https://youtube.com/watch?v=MwqaoR7_njc", "#TalkFood【#18區搵食 沙田一日遊！泰式cafe+恐龍公園放電+道風山打卡十字架】｜沙田第1間泰茶cafe｜CP值極高泰式牛肉湯河粉｜半流心 泰茶巴斯克芝士蛋糕｜#廣東話")</f>
        <v>#TalkFood【#18區搵食 沙田一日遊！泰式cafe+恐龍公園放電+道風山打卡十字架】｜沙田第1間泰茶cafe｜CP值極高泰式牛肉湯河粉｜半流心 泰茶巴斯克芝士蛋糕｜#廣東話</v>
      </c>
      <c r="E7366" s="82">
        <v>45393.0</v>
      </c>
      <c r="F7366" s="80">
        <v>934.0</v>
      </c>
      <c r="G7366" s="80" t="s">
        <v>63</v>
      </c>
      <c r="I7366" s="80" t="s">
        <v>63</v>
      </c>
      <c r="J7366" s="80">
        <v>2829.0</v>
      </c>
      <c r="K7366" s="80">
        <v>0.932125205930807</v>
      </c>
      <c r="L7366" s="80" t="s">
        <v>64</v>
      </c>
    </row>
    <row r="7367">
      <c r="A7367" s="80" t="s">
        <v>5301</v>
      </c>
      <c r="B7367" s="81" t="str">
        <f>HYPERLINK("https://www.youtube.com/channel/UCTH_IecfGTuKdew5dTb_D6A", "BOYS' CHOIR")</f>
        <v>BOYS' CHOIR</v>
      </c>
      <c r="C7367" s="80" t="s">
        <v>7924</v>
      </c>
      <c r="D7367" s="81" t="str">
        <f>HYPERLINK("https://youtube.com/watch?v=hWIWpIZZuNU", "Holy Yam - MUSEUM (with N.O.L.Y) (Audio)")</f>
        <v>Holy Yam - MUSEUM (with N.O.L.Y) (Audio)</v>
      </c>
      <c r="E7367" s="82">
        <v>45343.0</v>
      </c>
      <c r="F7367" s="80">
        <v>149.0</v>
      </c>
      <c r="G7367" s="80" t="s">
        <v>63</v>
      </c>
      <c r="I7367" s="80" t="s">
        <v>63</v>
      </c>
      <c r="J7367" s="80">
        <v>107.0</v>
      </c>
      <c r="K7367" s="80">
        <v>0.128605769230769</v>
      </c>
      <c r="L7367" s="80" t="s">
        <v>64</v>
      </c>
    </row>
    <row r="7368">
      <c r="A7368" s="80" t="s">
        <v>5134</v>
      </c>
      <c r="B7368" s="81" t="str">
        <f>HYPERLINK("https://www.youtube.com/channel/UCGq7xle9PrLHpmdxrk0IlLw", "磚加專家 Danny Ching Top10%地產局金牌經紀百萬圓桌")</f>
        <v>磚加專家 Danny Ching Top10%地產局金牌經紀百萬圓桌</v>
      </c>
      <c r="C7368" s="80" t="s">
        <v>7925</v>
      </c>
      <c r="D7368" s="81" t="str">
        <f>HYPERLINK("https://youtube.com/watch?v=ofwgd6xxO0I", "亞媽教落【有大住大】半賣半送 全新2700尺冷氣大屋約160萬 Partington Creek by Polygon 游泳池 Whistler Villa Style 度假式會所 毫7子管理費")</f>
        <v>亞媽教落【有大住大】半賣半送 全新2700尺冷氣大屋約160萬 Partington Creek by Polygon 游泳池 Whistler Villa Style 度假式會所 毫7子管理費</v>
      </c>
      <c r="E7368" s="82">
        <v>45331.0</v>
      </c>
      <c r="F7368" s="80">
        <v>4248.0</v>
      </c>
      <c r="G7368" s="80" t="s">
        <v>63</v>
      </c>
      <c r="I7368" s="80" t="s">
        <v>63</v>
      </c>
      <c r="J7368" s="80">
        <v>13139.0</v>
      </c>
      <c r="K7368" s="80">
        <v>0.724191148101196</v>
      </c>
      <c r="L7368" s="80" t="s">
        <v>102</v>
      </c>
    </row>
    <row r="7369">
      <c r="A7369" s="80" t="s">
        <v>5992</v>
      </c>
      <c r="B7369" s="81" t="str">
        <f>HYPERLINK("https://www.youtube.com/channel/UCEuQ-0x3uMk1KghGiO1kTHg", "MIRROR")</f>
        <v>MIRROR</v>
      </c>
      <c r="C7369" s="80" t="s">
        <v>7926</v>
      </c>
      <c r="D7369" s="81" t="str">
        <f>HYPERLINK("https://youtube.com/watch?v=GrweZk5bTdU", "Jeremy Lee 李駿傑 《唯美本尊》 feat. Serrini (Rise in Love - feat. Serrini) Official Music Video")</f>
        <v>Jeremy Lee 李駿傑 《唯美本尊》 feat. Serrini (Rise in Love - feat. Serrini) Official Music Video</v>
      </c>
      <c r="E7369" s="82">
        <v>45397.0</v>
      </c>
      <c r="F7369" s="80">
        <v>267.0</v>
      </c>
      <c r="G7369" s="80" t="s">
        <v>63</v>
      </c>
      <c r="I7369" s="80" t="s">
        <v>63</v>
      </c>
      <c r="J7369" s="80">
        <v>400.0</v>
      </c>
      <c r="K7369" s="80">
        <v>0.436681222707423</v>
      </c>
      <c r="L7369" s="80" t="s">
        <v>521</v>
      </c>
    </row>
    <row r="7370">
      <c r="A7370" s="80" t="s">
        <v>1987</v>
      </c>
      <c r="B7370" s="81" t="str">
        <f>HYPERLINK("https://www.youtube.com/channel/UCgGUmm04nVyj-ftaCxVcyBg", "MangoHK大馬獅家")</f>
        <v>MangoHK大馬獅家</v>
      </c>
      <c r="C7370" s="80" t="s">
        <v>7927</v>
      </c>
      <c r="D7370" s="81" t="str">
        <f>HYPERLINK("https://youtube.com/watch?v=1jGKxDquxmo", "@MangoHK-Cma 《大馬路霸》被當眾大叫指罵  做錯事大發雷霆 還想動手起來 大馬啦啦仔不知悔改 真實版低清K佬 🇲🇾 Malaysia youth behavior #mangohk")</f>
        <v>@MangoHK-Cma 《大馬路霸》被當眾大叫指罵  做錯事大發雷霆 還想動手起來 大馬啦啦仔不知悔改 真實版低清K佬 🇲🇾 Malaysia youth behavior #mangohk</v>
      </c>
      <c r="E7370" s="82">
        <v>45365.0</v>
      </c>
      <c r="F7370" s="80">
        <v>1080.0</v>
      </c>
      <c r="G7370" s="80" t="s">
        <v>63</v>
      </c>
      <c r="I7370" s="80" t="s">
        <v>63</v>
      </c>
      <c r="J7370" s="80">
        <v>5915.0</v>
      </c>
      <c r="K7370" s="80">
        <v>0.25001056680333</v>
      </c>
      <c r="L7370" s="80" t="s">
        <v>896</v>
      </c>
    </row>
    <row r="7371">
      <c r="A7371" s="80" t="s">
        <v>124</v>
      </c>
      <c r="B7371" s="81" t="str">
        <f>HYPERLINK("https://www.youtube.com/channel/UCg0vuSE0fBF_NvodyYhMcWg", "Wallace Studio HK")</f>
        <v>Wallace Studio HK</v>
      </c>
      <c r="C7371" s="80" t="s">
        <v>7928</v>
      </c>
      <c r="D7371" s="81" t="str">
        <f>HYPERLINK("https://youtube.com/watch?v=RTHxMvNuWo4", "ASUS Proart  Studiobook 16 OLED! 夠快！不過...揀 Macbook Pro 16 定揀佢?")</f>
        <v>ASUS Proart  Studiobook 16 OLED! 夠快！不過...揀 Macbook Pro 16 定揀佢?</v>
      </c>
      <c r="E7371" s="82">
        <v>45361.0</v>
      </c>
      <c r="F7371" s="80">
        <v>530.0</v>
      </c>
      <c r="G7371" s="80" t="s">
        <v>63</v>
      </c>
      <c r="I7371" s="80" t="s">
        <v>63</v>
      </c>
      <c r="J7371" s="80">
        <v>1860.0</v>
      </c>
      <c r="K7371" s="80">
        <v>0.725712056184159</v>
      </c>
      <c r="L7371" s="80" t="s">
        <v>64</v>
      </c>
    </row>
    <row r="7372">
      <c r="A7372" s="80" t="s">
        <v>5702</v>
      </c>
      <c r="B7372" s="81" t="str">
        <f>HYPERLINK("https://www.youtube.com/channel/UC249m2fxYzK-NnfH06YNP3A", "Siu Mei小美")</f>
        <v>Siu Mei小美</v>
      </c>
      <c r="C7372" s="80" t="s">
        <v>7929</v>
      </c>
      <c r="D7372" s="81" t="str">
        <f>HYPERLINK("https://youtube.com/watch?v=nPOFoUsoT6I", "什麼！我的臉生蟲了！😱去台灣看皮膚科貴嗎？ 一直皮膚敏感的原因 原來是蠕形蟎蟲作怪🤯 治好後膚質直奔天花版 粉底也不用塗")</f>
        <v>什麼！我的臉生蟲了！😱去台灣看皮膚科貴嗎？ 一直皮膚敏感的原因 原來是蠕形蟎蟲作怪🤯 治好後膚質直奔天花版 粉底也不用塗</v>
      </c>
      <c r="E7372" s="82">
        <v>45360.0</v>
      </c>
      <c r="F7372" s="80">
        <v>986.0</v>
      </c>
      <c r="G7372" s="80" t="s">
        <v>63</v>
      </c>
      <c r="I7372" s="80" t="s">
        <v>63</v>
      </c>
      <c r="J7372" s="80">
        <v>4747.0</v>
      </c>
      <c r="K7372" s="80">
        <v>0.923540856031128</v>
      </c>
      <c r="L7372" s="80" t="s">
        <v>64</v>
      </c>
    </row>
    <row r="7373">
      <c r="A7373" s="80" t="s">
        <v>414</v>
      </c>
      <c r="B7373" s="81" t="str">
        <f>HYPERLINK("https://www.youtube.com/channel/UCCVn38j5xSJZN-II-TeyomA", "Uncle Calvin Cantonese Class")</f>
        <v>Uncle Calvin Cantonese Class</v>
      </c>
      <c r="C7373" s="80" t="s">
        <v>7930</v>
      </c>
      <c r="D7373" s="81" t="str">
        <f>HYPERLINK("https://youtube.com/watch?v=DXdMu-m6C-k", "【拆利是兼學回收】Lai See Packets Recycle I 幼童 Toddlers I 廣東話教室 I 字幕/Subtitles")</f>
        <v>【拆利是兼學回收】Lai See Packets Recycle I 幼童 Toddlers I 廣東話教室 I 字幕/Subtitles</v>
      </c>
      <c r="E7373" s="82">
        <v>45338.0</v>
      </c>
      <c r="F7373" s="80">
        <v>357.0</v>
      </c>
      <c r="G7373" s="80" t="s">
        <v>63</v>
      </c>
      <c r="H7373" s="80" t="s">
        <v>63</v>
      </c>
      <c r="I7373" s="80" t="s">
        <v>63</v>
      </c>
      <c r="J7373" s="80">
        <v>1063.0</v>
      </c>
      <c r="K7373" s="80">
        <v>0.92</v>
      </c>
      <c r="L7373" s="80" t="s">
        <v>240</v>
      </c>
    </row>
    <row r="7374">
      <c r="A7374" s="80" t="s">
        <v>6960</v>
      </c>
      <c r="B7374" s="81" t="str">
        <f t="shared" ref="B7374:B7375" si="426">HYPERLINK("https://www.youtube.com/channel/UCQS2_zzisMq5C_FggxsQwTQ", "Comprehensible Cantonese")</f>
        <v>Comprehensible Cantonese</v>
      </c>
      <c r="C7374" s="80" t="s">
        <v>7931</v>
      </c>
      <c r="D7374" s="81" t="str">
        <f>HYPERLINK("https://youtube.com/watch?v=sz_HnNSgKrM", "廣東話 Real Story: My Friend and White Cut Chicken (Lunar New Year Special 農曆新年) Intermediate Cantonese")</f>
        <v>廣東話 Real Story: My Friend and White Cut Chicken (Lunar New Year Special 農曆新年) Intermediate Cantonese</v>
      </c>
      <c r="E7374" s="82">
        <v>45352.0</v>
      </c>
      <c r="F7374" s="80">
        <v>337.0</v>
      </c>
      <c r="G7374" s="80" t="s">
        <v>63</v>
      </c>
      <c r="I7374" s="80" t="s">
        <v>63</v>
      </c>
      <c r="J7374" s="80">
        <v>887.0</v>
      </c>
      <c r="K7374" s="80">
        <v>0.983370288248337</v>
      </c>
      <c r="L7374" s="80" t="s">
        <v>102</v>
      </c>
    </row>
    <row r="7375">
      <c r="A7375" s="80" t="s">
        <v>6960</v>
      </c>
      <c r="B7375" s="81" t="str">
        <f t="shared" si="426"/>
        <v>Comprehensible Cantonese</v>
      </c>
      <c r="C7375" s="80" t="s">
        <v>7932</v>
      </c>
      <c r="D7375" s="81" t="str">
        <f>HYPERLINK("https://youtube.com/watch?v=Kwu8QvIM7Gk", "[CC] 廣東話 Guessing Game with Candy: Daily Use Item | Slow &amp; Clear Cantonese | Advanced Beginner")</f>
        <v>[CC] 廣東話 Guessing Game with Candy: Daily Use Item | Slow &amp; Clear Cantonese | Advanced Beginner</v>
      </c>
      <c r="E7375" s="82">
        <v>45348.0</v>
      </c>
      <c r="F7375" s="80">
        <v>193.0</v>
      </c>
      <c r="G7375" s="80" t="s">
        <v>63</v>
      </c>
      <c r="I7375" s="80" t="s">
        <v>63</v>
      </c>
      <c r="J7375" s="80">
        <v>426.0</v>
      </c>
      <c r="K7375" s="80">
        <v>0.990697674418604</v>
      </c>
      <c r="L7375" s="80" t="s">
        <v>102</v>
      </c>
    </row>
    <row r="7376">
      <c r="A7376" s="80" t="s">
        <v>6892</v>
      </c>
      <c r="B7376" s="81" t="str">
        <f>HYPERLINK("https://www.youtube.com/channel/UC8_hxeY0nDCL-8ETbcGUZ9g", "PT食為先")</f>
        <v>PT食為先</v>
      </c>
      <c r="C7376" s="80" t="s">
        <v>7933</v>
      </c>
      <c r="D7376" s="81" t="str">
        <f>HYPERLINK("https://youtube.com/watch?v=3Ubn2XUbnuA", "[PT自費食評] 印度菜踩過界！Pizza 意粉 烤豬肋骨 尼泊爾餃子Momo 都有得食？連登佐敦美食Post推薦！")</f>
        <v>[PT自費食評] 印度菜踩過界！Pizza 意粉 烤豬肋骨 尼泊爾餃子Momo 都有得食？連登佐敦美食Post推薦！</v>
      </c>
      <c r="E7376" s="82">
        <v>45386.0</v>
      </c>
      <c r="F7376" s="80">
        <v>576.0</v>
      </c>
      <c r="G7376" s="80" t="s">
        <v>63</v>
      </c>
      <c r="I7376" s="80" t="s">
        <v>63</v>
      </c>
      <c r="J7376" s="80">
        <v>1356.0</v>
      </c>
      <c r="K7376" s="80">
        <v>0.88051948051948</v>
      </c>
      <c r="L7376" s="80" t="s">
        <v>64</v>
      </c>
    </row>
    <row r="7377">
      <c r="A7377" s="80" t="s">
        <v>1670</v>
      </c>
      <c r="B7377" s="81" t="str">
        <f>HYPERLINK("https://www.youtube.com/channel/UC-PIt5m-WOg8UVBkt2RnN0g", "阿JACK睇樓團")</f>
        <v>阿JACK睇樓團</v>
      </c>
      <c r="C7377" s="80" t="s">
        <v>7934</v>
      </c>
      <c r="D7377" s="81" t="str">
        <f>HYPERLINK("https://youtube.com/watch?v=I7CelK7S1gk", "400萬的抉擇🤔減價市區新樓抑或二手村屋？丨你會點樣揀？丨阿JACK睇樓團丨佳悅丨村屋")</f>
        <v>400萬的抉擇🤔減價市區新樓抑或二手村屋？丨你會點樣揀？丨阿JACK睇樓團丨佳悅丨村屋</v>
      </c>
      <c r="E7377" s="82">
        <v>45372.0</v>
      </c>
      <c r="F7377" s="80">
        <v>795.0</v>
      </c>
      <c r="G7377" s="80" t="s">
        <v>63</v>
      </c>
      <c r="I7377" s="80" t="s">
        <v>63</v>
      </c>
      <c r="J7377" s="80">
        <v>2808.0</v>
      </c>
      <c r="K7377" s="80">
        <v>0.985263157894736</v>
      </c>
      <c r="L7377" s="80" t="s">
        <v>7935</v>
      </c>
    </row>
    <row r="7378">
      <c r="A7378" s="80" t="s">
        <v>3139</v>
      </c>
      <c r="B7378" s="81" t="str">
        <f>HYPERLINK("https://www.youtube.com/channel/UCThO2xnH7XMg6plE8OgJm_w", "choyuen草原")</f>
        <v>choyuen草原</v>
      </c>
      <c r="C7378" s="80" t="s">
        <v>7936</v>
      </c>
      <c r="D7378" s="81" t="str">
        <f>HYPERLINK("https://youtube.com/watch?v=2peVrsQoMF0", "花地瑪篤穿梵蒂岡 (B. 第3秘密解讀 )  Fatima : Vatican REVEALED (B. Knowing Secrets)")</f>
        <v>花地瑪篤穿梵蒂岡 (B. 第3秘密解讀 )  Fatima : Vatican REVEALED (B. Knowing Secrets)</v>
      </c>
      <c r="E7378" s="82">
        <v>45382.0</v>
      </c>
      <c r="F7378" s="80">
        <v>589.0</v>
      </c>
      <c r="G7378" s="80" t="s">
        <v>63</v>
      </c>
      <c r="I7378" s="80" t="s">
        <v>63</v>
      </c>
      <c r="J7378" s="80">
        <v>1738.0</v>
      </c>
      <c r="K7378" s="80">
        <v>0.910424305919329</v>
      </c>
      <c r="L7378" s="80" t="s">
        <v>64</v>
      </c>
    </row>
    <row r="7379">
      <c r="A7379" s="80" t="s">
        <v>6960</v>
      </c>
      <c r="B7379" s="81" t="str">
        <f>HYPERLINK("https://www.youtube.com/channel/UCQS2_zzisMq5C_FggxsQwTQ", "Comprehensible Cantonese")</f>
        <v>Comprehensible Cantonese</v>
      </c>
      <c r="C7379" s="80" t="s">
        <v>7937</v>
      </c>
      <c r="D7379" s="81" t="str">
        <f>HYPERLINK("https://youtube.com/watch?v=zQTkUORrssE", "Cantonese Vlog: Bathroom in China| Comprehensible Cantonese| Advanced Beginner Cantonese 廣東話 Vlog")</f>
        <v>Cantonese Vlog: Bathroom in China| Comprehensible Cantonese| Advanced Beginner Cantonese 廣東話 Vlog</v>
      </c>
      <c r="E7379" s="82">
        <v>45380.0</v>
      </c>
      <c r="F7379" s="80">
        <v>202.0</v>
      </c>
      <c r="G7379" s="80" t="s">
        <v>63</v>
      </c>
      <c r="I7379" s="80" t="s">
        <v>63</v>
      </c>
      <c r="J7379" s="80">
        <v>539.0</v>
      </c>
      <c r="K7379" s="80">
        <v>0.972924187725631</v>
      </c>
      <c r="L7379" s="80" t="s">
        <v>7921</v>
      </c>
    </row>
    <row r="7380">
      <c r="A7380" s="80" t="s">
        <v>124</v>
      </c>
      <c r="B7380" s="81" t="str">
        <f>HYPERLINK("https://www.youtube.com/channel/UCg0vuSE0fBF_NvodyYhMcWg", "Wallace Studio HK")</f>
        <v>Wallace Studio HK</v>
      </c>
      <c r="C7380" s="80" t="s">
        <v>7938</v>
      </c>
      <c r="D7380" s="81" t="str">
        <f>HYPERLINK("https://youtube.com/watch?v=kUpc6hgkgAY", "Galaxy S24 Ultra 全攻略! OneUI 6 ，Galaxy AI 20+ 個好用功能整理")</f>
        <v>Galaxy S24 Ultra 全攻略! OneUI 6 ，Galaxy AI 20+ 個好用功能整理</v>
      </c>
      <c r="E7380" s="82">
        <v>45354.0</v>
      </c>
      <c r="F7380" s="80">
        <v>525.0</v>
      </c>
      <c r="G7380" s="80" t="s">
        <v>63</v>
      </c>
      <c r="I7380" s="80" t="s">
        <v>63</v>
      </c>
      <c r="J7380" s="80">
        <v>1929.0</v>
      </c>
      <c r="K7380" s="80">
        <v>0.739080459770114</v>
      </c>
      <c r="L7380" s="80" t="s">
        <v>64</v>
      </c>
    </row>
    <row r="7381">
      <c r="A7381" s="80" t="s">
        <v>1670</v>
      </c>
      <c r="B7381" s="81" t="str">
        <f>HYPERLINK("https://www.youtube.com/channel/UC-PIt5m-WOg8UVBkt2RnN0g", "阿JACK睇樓團")</f>
        <v>阿JACK睇樓團</v>
      </c>
      <c r="C7381" s="80" t="s">
        <v>7939</v>
      </c>
      <c r="D7381" s="81" t="str">
        <f>HYPERLINK("https://youtube.com/watch?v=ndz0fCniVko", "SEASONS PLACE 康城5年最低價？🤯丨日本風格會所？😍丨即刻衝去睇示範單位 1,2,3房睇晒🙈丨阿JACK睇樓樓團丨將軍澳丨睇￼￼樓")</f>
        <v>SEASONS PLACE 康城5年最低價？🤯丨日本風格會所？😍丨即刻衝去睇示範單位 1,2,3房睇晒🙈丨阿JACK睇樓樓團丨將軍澳丨睇￼￼樓</v>
      </c>
      <c r="E7381" s="82">
        <v>45367.0</v>
      </c>
      <c r="F7381" s="80">
        <v>927.0</v>
      </c>
      <c r="G7381" s="80" t="s">
        <v>63</v>
      </c>
      <c r="I7381" s="80" t="s">
        <v>63</v>
      </c>
      <c r="J7381" s="80">
        <v>2902.0</v>
      </c>
      <c r="K7381" s="80">
        <v>0.988756388415672</v>
      </c>
      <c r="L7381" s="80" t="s">
        <v>7940</v>
      </c>
    </row>
    <row r="7382">
      <c r="A7382" s="80" t="s">
        <v>6591</v>
      </c>
      <c r="B7382" s="81" t="str">
        <f>HYPERLINK("https://www.youtube.com/channel/UC0DpBgpq_gR7TaNDIvJYZag", "TalkFood")</f>
        <v>TalkFood</v>
      </c>
      <c r="C7382" s="80" t="s">
        <v>7941</v>
      </c>
      <c r="D7382" s="81" t="str">
        <f>HYPERLINK("https://youtube.com/watch?v=XPHplE7o1lc", "#TalkFood【#吃好吃】 大埔隱世法國菜 | 超值十道菜 | 拉絲效果 | 原隻海膽雪糕 | 加錢必配 法式焦糖燉蛋鵝肝 顫覆味道")</f>
        <v>#TalkFood【#吃好吃】 大埔隱世法國菜 | 超值十道菜 | 拉絲效果 | 原隻海膽雪糕 | 加錢必配 法式焦糖燉蛋鵝肝 顫覆味道</v>
      </c>
      <c r="E7382" s="82">
        <v>45372.0</v>
      </c>
      <c r="F7382" s="80">
        <v>337.0</v>
      </c>
      <c r="G7382" s="80" t="s">
        <v>63</v>
      </c>
      <c r="I7382" s="80" t="s">
        <v>63</v>
      </c>
      <c r="J7382" s="80">
        <v>999.0</v>
      </c>
      <c r="K7382" s="80">
        <v>0.906533575317604</v>
      </c>
      <c r="L7382" s="80" t="s">
        <v>64</v>
      </c>
    </row>
    <row r="7383">
      <c r="A7383" s="80" t="s">
        <v>288</v>
      </c>
      <c r="B7383" s="81" t="str">
        <f>HYPERLINK("https://www.youtube.com/channel/UCDWOYEhVnyD4IHZGVAMLc0g", "Brendan 毛爸")</f>
        <v>Brendan 毛爸</v>
      </c>
      <c r="C7383" s="80" t="s">
        <v>7942</v>
      </c>
      <c r="D7383" s="81" t="str">
        <f>HYPERLINK("https://youtube.com/watch?v=owv_7CwbvCY", "《🇬🇧Waitrose開箱》£3.25超抵食純蟹膏！！超人氣蜜糖麵包名過於實？！有hand cream味道嘅牛油餅乾！食到正常蟹柳味道@Waitrose《🇬🇧毛爸英國生活小分享》")</f>
        <v>《🇬🇧Waitrose開箱》£3.25超抵食純蟹膏！！超人氣蜜糖麵包名過於實？！有hand cream味道嘅牛油餅乾！食到正常蟹柳味道@Waitrose《🇬🇧毛爸英國生活小分享》</v>
      </c>
      <c r="E7383" s="82">
        <v>45399.0</v>
      </c>
      <c r="F7383" s="80">
        <v>373.0</v>
      </c>
      <c r="G7383" s="80" t="s">
        <v>63</v>
      </c>
      <c r="I7383" s="80" t="s">
        <v>63</v>
      </c>
      <c r="J7383" s="80">
        <v>1385.0</v>
      </c>
      <c r="K7383" s="80">
        <v>0.953856749311294</v>
      </c>
      <c r="L7383" s="80" t="s">
        <v>64</v>
      </c>
    </row>
    <row r="7384">
      <c r="A7384" s="80" t="s">
        <v>6960</v>
      </c>
      <c r="B7384" s="81" t="str">
        <f>HYPERLINK("https://www.youtube.com/channel/UCQS2_zzisMq5C_FggxsQwTQ", "Comprehensible Cantonese")</f>
        <v>Comprehensible Cantonese</v>
      </c>
      <c r="C7384" s="80" t="s">
        <v>7943</v>
      </c>
      <c r="D7384" s="81" t="str">
        <f>HYPERLINK("https://youtube.com/watch?v=DtyWz6xm960", "廣東話 Vlog: Show You My Kitchen| Chinese Culture| Comprehensible Cantonese| Intermediate Cantonese")</f>
        <v>廣東話 Vlog: Show You My Kitchen| Chinese Culture| Comprehensible Cantonese| Intermediate Cantonese</v>
      </c>
      <c r="E7384" s="82">
        <v>45376.0</v>
      </c>
      <c r="F7384" s="80">
        <v>356.0</v>
      </c>
      <c r="G7384" s="80" t="s">
        <v>63</v>
      </c>
      <c r="I7384" s="80" t="s">
        <v>63</v>
      </c>
      <c r="J7384" s="80">
        <v>1000.0</v>
      </c>
      <c r="K7384" s="80">
        <v>0.956022944550669</v>
      </c>
      <c r="L7384" s="80" t="s">
        <v>102</v>
      </c>
    </row>
    <row r="7385">
      <c r="A7385" s="80" t="s">
        <v>7944</v>
      </c>
      <c r="B7385" s="81" t="str">
        <f>HYPERLINK("https://www.youtube.com/channel/UCKj4bnQTklTOlDKdm57ug_A", "齋傾唔做")</f>
        <v>齋傾唔做</v>
      </c>
      <c r="C7385" s="80" t="s">
        <v>7945</v>
      </c>
      <c r="D7385" s="81" t="str">
        <f>HYPERLINK("https://youtube.com/watch?v=5y1H0Ggt8OU", "成個飲食業俾你搞死喇！之專業分析（嘉賓：飲食界管理層 Ken）| 齋傾唔做 247")</f>
        <v>成個飲食業俾你搞死喇！之專業分析（嘉賓：飲食界管理層 Ken）| 齋傾唔做 247</v>
      </c>
      <c r="E7385" s="82">
        <v>45384.0</v>
      </c>
      <c r="F7385" s="80">
        <v>4002.0</v>
      </c>
      <c r="G7385" s="80" t="s">
        <v>63</v>
      </c>
      <c r="I7385" s="80" t="s">
        <v>63</v>
      </c>
      <c r="J7385" s="80">
        <v>15646.0</v>
      </c>
      <c r="K7385" s="80">
        <v>0.94326882498342</v>
      </c>
      <c r="L7385" s="80" t="s">
        <v>102</v>
      </c>
    </row>
    <row r="7386">
      <c r="A7386" s="80" t="s">
        <v>288</v>
      </c>
      <c r="B7386" s="81" t="str">
        <f>HYPERLINK("https://www.youtube.com/channel/UCDWOYEhVnyD4IHZGVAMLc0g", "Brendan 毛爸")</f>
        <v>Brendan 毛爸</v>
      </c>
      <c r="C7386" s="80" t="s">
        <v>7946</v>
      </c>
      <c r="D7386" s="81" t="str">
        <f>HYPERLINK("https://youtube.com/watch?v=00OJ7poSlqs", "《毛家回頭率最高既餐廳！》靚裝修！£18.45有齊頭盤 主菜 甜品！仲有酒吧區 直播足球賽事！@Beefeater 《🇬🇧毛爸英國生活小分享》")</f>
        <v>《毛家回頭率最高既餐廳！》靚裝修！£18.45有齊頭盤 主菜 甜品！仲有酒吧區 直播足球賽事！@Beefeater 《🇬🇧毛爸英國生活小分享》</v>
      </c>
      <c r="E7386" s="82">
        <v>45361.0</v>
      </c>
      <c r="F7386" s="80">
        <v>536.0</v>
      </c>
      <c r="G7386" s="80" t="s">
        <v>63</v>
      </c>
      <c r="I7386" s="80" t="s">
        <v>63</v>
      </c>
      <c r="J7386" s="80">
        <v>2060.0</v>
      </c>
      <c r="K7386" s="80">
        <v>0.932126696832579</v>
      </c>
      <c r="L7386" s="80" t="s">
        <v>64</v>
      </c>
    </row>
    <row r="7387">
      <c r="A7387" s="80" t="s">
        <v>414</v>
      </c>
      <c r="B7387" s="81" t="str">
        <f>HYPERLINK("https://www.youtube.com/channel/UCCVn38j5xSJZN-II-TeyomA", "Uncle Calvin Cantonese Class")</f>
        <v>Uncle Calvin Cantonese Class</v>
      </c>
      <c r="C7387" s="80" t="s">
        <v>7947</v>
      </c>
      <c r="D7387" s="81" t="str">
        <f>HYPERLINK("https://youtube.com/watch?v=Q8FZJKeesDU", "【塔斯曼尼亞動物遊學團】12 Aussie Animals in Tasmania I 袋熊 袋獾 袋鼬袋鼠 綿羊 企鵝 孔雀 鴯鶓 蠟嘴雁 紅嘴鷗 黑噪鐘鵲 虎蛇 I 廣東話教室")</f>
        <v>【塔斯曼尼亞動物遊學團】12 Aussie Animals in Tasmania I 袋熊 袋獾 袋鼬袋鼠 綿羊 企鵝 孔雀 鴯鶓 蠟嘴雁 紅嘴鷗 黑噪鐘鵲 虎蛇 I 廣東話教室</v>
      </c>
      <c r="E7387" s="82">
        <v>45312.0</v>
      </c>
      <c r="F7387" s="80">
        <v>968.0</v>
      </c>
      <c r="G7387" s="80" t="s">
        <v>63</v>
      </c>
      <c r="H7387" s="80" t="s">
        <v>63</v>
      </c>
      <c r="I7387" s="80" t="s">
        <v>63</v>
      </c>
      <c r="J7387" s="80">
        <v>2416.0</v>
      </c>
      <c r="K7387" s="80">
        <v>0.842692710149982</v>
      </c>
      <c r="L7387" s="80" t="s">
        <v>240</v>
      </c>
    </row>
    <row r="7388">
      <c r="A7388" s="80" t="s">
        <v>6960</v>
      </c>
      <c r="B7388" s="81" t="str">
        <f>HYPERLINK("https://www.youtube.com/channel/UCQS2_zzisMq5C_FggxsQwTQ", "Comprehensible Cantonese")</f>
        <v>Comprehensible Cantonese</v>
      </c>
      <c r="C7388" s="80" t="s">
        <v>7948</v>
      </c>
      <c r="D7388" s="81" t="str">
        <f>HYPERLINK("https://youtube.com/watch?v=EXwqLLe_HDY", "[CC]  How to Survive Mosquitoes| Comprehensible Input Cantonese | Intermediate Cantonese 廣東話")</f>
        <v>[CC]  How to Survive Mosquitoes| Comprehensible Input Cantonese | Intermediate Cantonese 廣東話</v>
      </c>
      <c r="E7388" s="82">
        <v>45390.0</v>
      </c>
      <c r="F7388" s="80">
        <v>176.0</v>
      </c>
      <c r="G7388" s="80" t="s">
        <v>63</v>
      </c>
      <c r="I7388" s="80" t="s">
        <v>63</v>
      </c>
      <c r="J7388" s="80">
        <v>470.0</v>
      </c>
      <c r="K7388" s="80">
        <v>0.971074380165289</v>
      </c>
      <c r="L7388" s="80" t="s">
        <v>102</v>
      </c>
    </row>
    <row r="7389">
      <c r="A7389" s="80" t="s">
        <v>260</v>
      </c>
      <c r="B7389" s="81" t="str">
        <f>HYPERLINK("https://www.youtube.com/channel/UC-HXOikkLx7BGEfILGIpYOg", "港短 . 英移")</f>
        <v>港短 . 英移</v>
      </c>
      <c r="C7389" s="80" t="s">
        <v>7949</v>
      </c>
      <c r="D7389" s="81" t="str">
        <f>HYPERLINK("https://youtube.com/watch?v=uBzcX9hkhvE", "2024移英港人預算案5大重點 🇬🇧2英國撤銷海外非稅務居民身份 - 樓市預期息率下調 - 再減NI - 保守黨最後之進擊 | 港短英移")</f>
        <v>2024移英港人預算案5大重點 🇬🇧2英國撤銷海外非稅務居民身份 - 樓市預期息率下調 - 再減NI - 保守黨最後之進擊 | 港短英移</v>
      </c>
      <c r="E7389" s="82">
        <v>45358.0</v>
      </c>
      <c r="F7389" s="80">
        <v>402.0</v>
      </c>
      <c r="G7389" s="80" t="s">
        <v>63</v>
      </c>
      <c r="I7389" s="80" t="s">
        <v>63</v>
      </c>
      <c r="J7389" s="80">
        <v>1589.0</v>
      </c>
      <c r="K7389" s="80">
        <v>0.903354178510517</v>
      </c>
      <c r="L7389" s="80" t="s">
        <v>102</v>
      </c>
    </row>
    <row r="7390">
      <c r="A7390" s="80" t="s">
        <v>288</v>
      </c>
      <c r="B7390" s="81" t="str">
        <f>HYPERLINK("https://www.youtube.com/channel/UCDWOYEhVnyD4IHZGVAMLc0g", "Brendan 毛爸")</f>
        <v>Brendan 毛爸</v>
      </c>
      <c r="C7390" s="80" t="s">
        <v>7950</v>
      </c>
      <c r="D7390" s="81" t="str">
        <f>HYPERLINK("https://youtube.com/watch?v=W9fAr8-TsCc", "《移英全職爸爸媽媽之日常》參加圖書館免費唱遊班丨全木製兒童遊樂設施丨小朋友手推車￼超市shopping丨燒牛肉 燒雞翼￼￼@UK《🇬🇧毛爸英國生活小分享》")</f>
        <v>《移英全職爸爸媽媽之日常》參加圖書館免費唱遊班丨全木製兒童遊樂設施丨小朋友手推車￼超市shopping丨燒牛肉 燒雞翼￼￼@UK《🇬🇧毛爸英國生活小分享》</v>
      </c>
      <c r="E7390" s="82">
        <v>45365.0</v>
      </c>
      <c r="F7390" s="80">
        <v>654.0</v>
      </c>
      <c r="G7390" s="80" t="s">
        <v>63</v>
      </c>
      <c r="I7390" s="80" t="s">
        <v>63</v>
      </c>
      <c r="J7390" s="80">
        <v>2342.0</v>
      </c>
      <c r="K7390" s="80">
        <v>0.917711598746081</v>
      </c>
      <c r="L7390" s="80" t="s">
        <v>64</v>
      </c>
    </row>
    <row r="7391">
      <c r="A7391" s="80" t="s">
        <v>5134</v>
      </c>
      <c r="B7391" s="81" t="str">
        <f>HYPERLINK("https://www.youtube.com/channel/UCGq7xle9PrLHpmdxrk0IlLw", "磚加專家 Danny Ching Top10%地產局金牌經紀百萬圓桌")</f>
        <v>磚加專家 Danny Ching Top10%地產局金牌經紀百萬圓桌</v>
      </c>
      <c r="C7391" s="80" t="s">
        <v>7951</v>
      </c>
      <c r="D7391" s="81" t="str">
        <f>HYPERLINK("https://youtube.com/watch?v=1oH8zzr7h3g", "ETHOS by Anthem 新盤突擊 優先場｜首先睇 分析 樓盤位置 投資因素 航拍了解附近 DANNY保證你攞到貨")</f>
        <v>ETHOS by Anthem 新盤突擊 優先場｜首先睇 分析 樓盤位置 投資因素 航拍了解附近 DANNY保證你攞到貨</v>
      </c>
      <c r="E7391" s="82">
        <v>45348.0</v>
      </c>
      <c r="F7391" s="80">
        <v>1855.0</v>
      </c>
      <c r="G7391" s="80" t="s">
        <v>63</v>
      </c>
      <c r="I7391" s="80" t="s">
        <v>63</v>
      </c>
      <c r="J7391" s="80">
        <v>6451.0</v>
      </c>
      <c r="K7391" s="80">
        <v>0.708433999560729</v>
      </c>
      <c r="L7391" s="80" t="s">
        <v>102</v>
      </c>
    </row>
    <row r="7392">
      <c r="A7392" s="80" t="s">
        <v>242</v>
      </c>
      <c r="B7392" s="81" t="str">
        <f>HYPERLINK("https://www.youtube.com/channel/UCZGVB6g74LXWtkR3fX50ykg", "Edwin H.")</f>
        <v>Edwin H.</v>
      </c>
      <c r="C7392" s="80" t="s">
        <v>7952</v>
      </c>
      <c r="D7392" s="81" t="str">
        <f>HYPERLINK("https://youtube.com/watch?v=2ABUJjdDmVI", "這個螢幕改變了一切..📚 Kobo Libra Colour 彩色電子書 📕📗📘 (內有$250送你)")</f>
        <v>這個螢幕改變了一切..📚 Kobo Libra Colour 彩色電子書 📕📗📘 (內有$250送你)</v>
      </c>
      <c r="E7392" s="82">
        <v>45401.0</v>
      </c>
      <c r="F7392" s="80">
        <v>547.0</v>
      </c>
      <c r="G7392" s="80" t="s">
        <v>63</v>
      </c>
      <c r="I7392" s="80" t="s">
        <v>63</v>
      </c>
      <c r="J7392" s="80">
        <v>2521.0</v>
      </c>
      <c r="K7392" s="80">
        <v>0.804916985951468</v>
      </c>
      <c r="L7392" s="80" t="s">
        <v>64</v>
      </c>
    </row>
    <row r="7393">
      <c r="A7393" s="80" t="s">
        <v>260</v>
      </c>
      <c r="B7393" s="81" t="str">
        <f>HYPERLINK("https://www.youtube.com/channel/UC-HXOikkLx7BGEfILGIpYOg", "港短 . 英移")</f>
        <v>港短 . 英移</v>
      </c>
      <c r="C7393" s="80" t="s">
        <v>7953</v>
      </c>
      <c r="D7393" s="81" t="str">
        <f>HYPERLINK("https://youtube.com/watch?v=0sCmDBoTUGw", "吃什麼才能預防癌症?? - 英國超市4大最佳抗癌食物 - 你吃對了嗎? | 港短.英移")</f>
        <v>吃什麼才能預防癌症?? - 英國超市4大最佳抗癌食物 - 你吃對了嗎? | 港短.英移</v>
      </c>
      <c r="E7393" s="82">
        <v>45372.0</v>
      </c>
      <c r="F7393" s="80">
        <v>420.0</v>
      </c>
      <c r="G7393" s="80" t="s">
        <v>63</v>
      </c>
      <c r="I7393" s="80" t="s">
        <v>63</v>
      </c>
      <c r="J7393" s="80">
        <v>1864.0</v>
      </c>
      <c r="K7393" s="80">
        <v>0.938569989929506</v>
      </c>
      <c r="L7393" s="80" t="s">
        <v>102</v>
      </c>
    </row>
    <row r="7394">
      <c r="A7394" s="80" t="s">
        <v>6238</v>
      </c>
      <c r="B7394" s="81" t="str">
        <f>HYPERLINK("https://www.youtube.com/channel/UC_ogl0qjBdXrTiZZJ6ltsQQ", "Flat Out 地板油")</f>
        <v>Flat Out 地板油</v>
      </c>
      <c r="C7394" s="80" t="s">
        <v>7954</v>
      </c>
      <c r="D7394" s="81" t="str">
        <f>HYPERLINK("https://youtube.com/watch?v=WdZjIw3DGs4", "全港首試WRX！Subaru WRX 2.4血統純正冇得彈！275匹+四驅+六速棍波勁有「掃把味」？| Flat Out Review #FlatOut試車 #地板油")</f>
        <v>全港首試WRX！Subaru WRX 2.4血統純正冇得彈！275匹+四驅+六速棍波勁有「掃把味」？| Flat Out Review #FlatOut試車 #地板油</v>
      </c>
      <c r="E7394" s="82">
        <v>45405.0</v>
      </c>
      <c r="F7394" s="80">
        <v>1322.0</v>
      </c>
      <c r="G7394" s="80" t="s">
        <v>63</v>
      </c>
      <c r="I7394" s="80" t="s">
        <v>63</v>
      </c>
      <c r="J7394" s="80">
        <v>3663.0</v>
      </c>
      <c r="K7394" s="80">
        <v>0.778864554539655</v>
      </c>
      <c r="L7394" s="80" t="s">
        <v>64</v>
      </c>
    </row>
    <row r="7395">
      <c r="A7395" s="80" t="s">
        <v>288</v>
      </c>
      <c r="B7395" s="81" t="str">
        <f>HYPERLINK("https://www.youtube.com/channel/UCDWOYEhVnyD4IHZGVAMLc0g", "Brendan 毛爸")</f>
        <v>Brendan 毛爸</v>
      </c>
      <c r="C7395" s="80" t="s">
        <v>7955</v>
      </c>
      <c r="D7395" s="81" t="str">
        <f>HYPERLINK("https://youtube.com/watch?v=yQVHRvO8tt8", "《🇬🇧一站式超平家居用品店》79P/本貼紙書！£2.8塊牛扒！79P無糖餅乾！£3.19家庭裝Häagen-Dazs ！99P/樽維他命 @Home Bargains《🇬🇧毛爸英國生活小分享》")</f>
        <v>《🇬🇧一站式超平家居用品店》79P/本貼紙書！£2.8塊牛扒！79P無糖餅乾！£3.19家庭裝Häagen-Dazs ！99P/樽維他命 @Home Bargains《🇬🇧毛爸英國生活小分享》</v>
      </c>
      <c r="E7395" s="82">
        <v>45372.0</v>
      </c>
      <c r="F7395" s="80">
        <v>781.0</v>
      </c>
      <c r="G7395" s="80" t="s">
        <v>63</v>
      </c>
      <c r="I7395" s="80" t="s">
        <v>63</v>
      </c>
      <c r="J7395" s="80">
        <v>3098.0</v>
      </c>
      <c r="K7395" s="80">
        <v>0.903733955659276</v>
      </c>
      <c r="L7395" s="80" t="s">
        <v>64</v>
      </c>
    </row>
    <row r="7396">
      <c r="A7396" s="80" t="s">
        <v>5134</v>
      </c>
      <c r="B7396" s="81" t="str">
        <f>HYPERLINK("https://www.youtube.com/channel/UCGq7xle9PrLHpmdxrk0IlLw", "磚加專家 Danny Ching Top10%地產局金牌經紀百萬圓桌")</f>
        <v>磚加專家 Danny Ching Top10%地產局金牌經紀百萬圓桌</v>
      </c>
      <c r="C7396" s="80" t="s">
        <v>7956</v>
      </c>
      <c r="D7396" s="81" t="str">
        <f>HYPERLINK("https://youtube.com/watch?v=eyn2FpxwbRU", "烈治文最好校區 6房獨立屋3400呎實用6400呎方正大地 Richmond Christian 對面 Woodwards Lacker 內街 超大私隱後院坐北向南 Steveston London")</f>
        <v>烈治文最好校區 6房獨立屋3400呎實用6400呎方正大地 Richmond Christian 對面 Woodwards Lacker 內街 超大私隱後院坐北向南 Steveston London</v>
      </c>
      <c r="E7396" s="82">
        <v>45371.0</v>
      </c>
      <c r="F7396" s="80">
        <v>2486.0</v>
      </c>
      <c r="G7396" s="80" t="s">
        <v>63</v>
      </c>
      <c r="I7396" s="80" t="s">
        <v>63</v>
      </c>
      <c r="J7396" s="80">
        <v>8606.0</v>
      </c>
      <c r="K7396" s="80">
        <v>0.795231934947329</v>
      </c>
      <c r="L7396" s="80" t="s">
        <v>102</v>
      </c>
    </row>
    <row r="7397">
      <c r="A7397" s="80" t="s">
        <v>260</v>
      </c>
      <c r="B7397" s="81" t="str">
        <f>HYPERLINK("https://www.youtube.com/channel/UC-HXOikkLx7BGEfILGIpYOg", "港短 . 英移")</f>
        <v>港短 . 英移</v>
      </c>
      <c r="C7397" s="80" t="s">
        <v>7957</v>
      </c>
      <c r="D7397" s="81" t="str">
        <f>HYPERLINK("https://youtube.com/watch?v=-2QSb-MZ7s0", "不要輕易相信別人 - 英國超準心理測驗 - 10秒內揭穿真實內心 | 港短.英移")</f>
        <v>不要輕易相信別人 - 英國超準心理測驗 - 10秒內揭穿真實內心 | 港短.英移</v>
      </c>
      <c r="E7397" s="82">
        <v>45393.0</v>
      </c>
      <c r="F7397" s="80">
        <v>482.0</v>
      </c>
      <c r="G7397" s="80" t="s">
        <v>63</v>
      </c>
      <c r="I7397" s="80" t="s">
        <v>63</v>
      </c>
      <c r="J7397" s="80">
        <v>2052.0</v>
      </c>
      <c r="K7397" s="80">
        <v>0.973896535358329</v>
      </c>
      <c r="L7397" s="80" t="s">
        <v>102</v>
      </c>
    </row>
    <row r="7398">
      <c r="A7398" s="80" t="s">
        <v>2041</v>
      </c>
      <c r="B7398" s="81" t="str">
        <f>HYPERLINK("https://www.youtube.com/channel/UCO6pB-ZN4XJ6MVkibvuEe0A", "SingSingTracker 星昇財經指標")</f>
        <v>SingSingTracker 星昇財經指標</v>
      </c>
      <c r="C7398" s="80" t="s">
        <v>7958</v>
      </c>
      <c r="D7398" s="81" t="str">
        <f>HYPERLINK("https://youtube.com/watch?v=tmyRg_yienQ", "中長線發揮?【AI 女主持-小Sing🌸】黃金漲勢如破竹！ 外匯輕鬆易玩？「窮忙族」恩物｜股票｜投資｜指標｜港股｜美股｜入市 10/4/2024 #投資入門 外匯 #經濟")</f>
        <v>中長線發揮?【AI 女主持-小Sing🌸】黃金漲勢如破竹！ 外匯輕鬆易玩？「窮忙族」恩物｜股票｜投資｜指標｜港股｜美股｜入市 10/4/2024 #投資入門 外匯 #經濟</v>
      </c>
      <c r="E7398" s="82">
        <v>45392.0</v>
      </c>
      <c r="F7398" s="80">
        <v>128.0</v>
      </c>
      <c r="G7398" s="80" t="s">
        <v>63</v>
      </c>
      <c r="I7398" s="80" t="s">
        <v>63</v>
      </c>
      <c r="J7398" s="80">
        <v>534.0</v>
      </c>
      <c r="K7398" s="80">
        <v>0.972677595628415</v>
      </c>
      <c r="L7398" s="80" t="s">
        <v>64</v>
      </c>
    </row>
    <row r="7399">
      <c r="A7399" s="80" t="s">
        <v>7944</v>
      </c>
      <c r="B7399" s="81" t="str">
        <f>HYPERLINK("https://www.youtube.com/channel/UCKj4bnQTklTOlDKdm57ug_A", "齋傾唔做")</f>
        <v>齋傾唔做</v>
      </c>
      <c r="C7399" s="80" t="s">
        <v>7959</v>
      </c>
      <c r="D7399" s="81" t="str">
        <f>HYPERLINK("https://youtube.com/watch?v=Wlrm5TQA5BA", "香港飲食業自毀方程式（嘉賓：飲食界管理層 Ken）| 齋傾唔做 248")</f>
        <v>香港飲食業自毀方程式（嘉賓：飲食界管理層 Ken）| 齋傾唔做 248</v>
      </c>
      <c r="E7399" s="82">
        <v>45390.0</v>
      </c>
      <c r="F7399" s="80">
        <v>2797.0</v>
      </c>
      <c r="G7399" s="80" t="s">
        <v>63</v>
      </c>
      <c r="I7399" s="80" t="s">
        <v>63</v>
      </c>
      <c r="J7399" s="80">
        <v>10478.0</v>
      </c>
      <c r="K7399" s="80">
        <v>0.943029430294303</v>
      </c>
      <c r="L7399" s="80" t="s">
        <v>102</v>
      </c>
    </row>
    <row r="7400">
      <c r="A7400" s="80" t="s">
        <v>6238</v>
      </c>
      <c r="B7400" s="81" t="str">
        <f>HYPERLINK("https://www.youtube.com/channel/UC_ogl0qjBdXrTiZZJ6ltsQQ", "Flat Out 地板油")</f>
        <v>Flat Out 地板油</v>
      </c>
      <c r="C7400" s="80" t="s">
        <v>7960</v>
      </c>
      <c r="D7400" s="81" t="str">
        <f>HYPERLINK("https://youtube.com/watch?v=mOko9iwiO1Q", "半價平玩Hyundai i30N！275匹棍波炮仗王落地四年17萬有交易！韓國「GTI殺手」啪啪啪仍然有心有力？| Flat Out Review #FlatOut試車 #地板油")</f>
        <v>半價平玩Hyundai i30N！275匹棍波炮仗王落地四年17萬有交易！韓國「GTI殺手」啪啪啪仍然有心有力？| Flat Out Review #FlatOut試車 #地板油</v>
      </c>
      <c r="E7400" s="82">
        <v>45384.0</v>
      </c>
      <c r="F7400" s="80">
        <v>1363.0</v>
      </c>
      <c r="G7400" s="80" t="s">
        <v>63</v>
      </c>
      <c r="I7400" s="80" t="s">
        <v>63</v>
      </c>
      <c r="J7400" s="80">
        <v>3741.0</v>
      </c>
      <c r="K7400" s="80">
        <v>0.80296200901481</v>
      </c>
      <c r="L7400" s="80" t="s">
        <v>64</v>
      </c>
    </row>
    <row r="7401">
      <c r="A7401" s="80" t="s">
        <v>288</v>
      </c>
      <c r="B7401" s="81" t="str">
        <f>HYPERLINK("https://www.youtube.com/channel/UCDWOYEhVnyD4IHZGVAMLc0g", "Brendan 毛爸")</f>
        <v>Brendan 毛爸</v>
      </c>
      <c r="C7401" s="80" t="s">
        <v>7961</v>
      </c>
      <c r="D7401" s="81" t="str">
        <f>HYPERLINK("https://youtube.com/watch?v=jZyGHja7WX8", "『銅鑼灣高質素抵食Omakase』熟成拖羅丨秋刀魚卷丨$200追加三款蟹料理 丨香箱蟹 松葉蟹 大閘蟹飯丨@鮨宝山 (銅鑼灣)【毛爸回港EP10】")</f>
        <v>『銅鑼灣高質素抵食Omakase』熟成拖羅丨秋刀魚卷丨$200追加三款蟹料理 丨香箱蟹 松葉蟹 大閘蟹飯丨@鮨宝山 (銅鑼灣)【毛爸回港EP10】</v>
      </c>
      <c r="E7401" s="82">
        <v>45374.0</v>
      </c>
      <c r="F7401" s="80">
        <v>539.0</v>
      </c>
      <c r="G7401" s="80" t="s">
        <v>63</v>
      </c>
      <c r="I7401" s="80" t="s">
        <v>63</v>
      </c>
      <c r="J7401" s="80">
        <v>2064.0</v>
      </c>
      <c r="K7401" s="80">
        <v>0.954671600370027</v>
      </c>
      <c r="L7401" s="80" t="s">
        <v>64</v>
      </c>
    </row>
    <row r="7402">
      <c r="A7402" s="80" t="s">
        <v>2785</v>
      </c>
      <c r="B7402" s="81" t="str">
        <f>HYPERLINK("https://www.youtube.com/channel/UC_w7pV_Xz9XO0ChNFxMtV0w", "MPWeekly明周")</f>
        <v>MPWeekly明周</v>
      </c>
      <c r="C7402" s="80" t="s">
        <v>7962</v>
      </c>
      <c r="D7402" s="81" t="str">
        <f>HYPERLINK("https://youtube.com/watch?v=Q9iSDLsp60A", "吳若希真開心？吳卓羲真拍拖？關於菊梓喬的都市傳聞")</f>
        <v>吳若希真開心？吳卓羲真拍拖？關於菊梓喬的都市傳聞</v>
      </c>
      <c r="E7402" s="82">
        <v>45378.0</v>
      </c>
      <c r="F7402" s="80">
        <v>356.0</v>
      </c>
      <c r="G7402" s="80" t="s">
        <v>63</v>
      </c>
      <c r="I7402" s="80" t="s">
        <v>63</v>
      </c>
      <c r="J7402" s="80">
        <v>961.0</v>
      </c>
      <c r="K7402" s="80">
        <v>0.948667324777887</v>
      </c>
      <c r="L7402" s="80" t="s">
        <v>64</v>
      </c>
    </row>
    <row r="7403">
      <c r="A7403" s="80" t="s">
        <v>1670</v>
      </c>
      <c r="B7403" s="81" t="str">
        <f>HYPERLINK("https://www.youtube.com/channel/UC-PIt5m-WOg8UVBkt2RnN0g", "阿JACK睇樓團")</f>
        <v>阿JACK睇樓團</v>
      </c>
      <c r="C7403" s="80" t="s">
        <v>7963</v>
      </c>
      <c r="D7403" s="81" t="str">
        <f>HYPERLINK("https://youtube.com/watch?v=HSVBRhSwHNo", "「元朗2000呎平台」 440萬！買平台送單位？單位只有平台五分一！值得買嗎？「JACK睇樓」 元朗樓")</f>
        <v>「元朗2000呎平台」 440萬！買平台送單位？單位只有平台五分一！值得買嗎？「JACK睇樓」 元朗樓</v>
      </c>
      <c r="E7403" s="82">
        <v>45393.0</v>
      </c>
      <c r="F7403" s="80">
        <v>527.0</v>
      </c>
      <c r="G7403" s="80" t="s">
        <v>63</v>
      </c>
      <c r="I7403" s="80" t="s">
        <v>63</v>
      </c>
      <c r="J7403" s="80">
        <v>1677.0</v>
      </c>
      <c r="K7403" s="80">
        <v>0.993483412322274</v>
      </c>
      <c r="L7403" s="80" t="s">
        <v>64</v>
      </c>
    </row>
    <row r="7404">
      <c r="A7404" s="80" t="s">
        <v>217</v>
      </c>
      <c r="B7404" s="81" t="str">
        <f t="shared" ref="B7404:B7405" si="427">HYPERLINK("https://www.youtube.com/channel/UCXKg0qPRz32bs5Z4mTGF3TQ", "Stormtrooper白兵")</f>
        <v>Stormtrooper白兵</v>
      </c>
      <c r="C7404" s="80" t="s">
        <v>7964</v>
      </c>
      <c r="D7404" s="81" t="str">
        <f>HYPERLINK("https://youtube.com/watch?v=nECEdnk4hyk", "[懶人包]7分鐘了解免疫系統｜免疫力全靠一種嘢？｜陀B陀得好，30歲前會健康！｜30歲後如何保養？｜骨髓儲存免疫力原材料？｜￼不是陰謀論｜中文字幕")</f>
        <v>[懶人包]7分鐘了解免疫系統｜免疫力全靠一種嘢？｜陀B陀得好，30歲前會健康！｜30歲後如何保養？｜骨髓儲存免疫力原材料？｜￼不是陰謀論｜中文字幕</v>
      </c>
      <c r="E7404" s="82">
        <v>45372.0</v>
      </c>
      <c r="F7404" s="80">
        <v>779.0</v>
      </c>
      <c r="G7404" s="80" t="s">
        <v>63</v>
      </c>
      <c r="I7404" s="80" t="s">
        <v>63</v>
      </c>
      <c r="J7404" s="80">
        <v>3406.0</v>
      </c>
      <c r="K7404" s="80">
        <v>0.956741573033707</v>
      </c>
      <c r="L7404" s="80" t="s">
        <v>64</v>
      </c>
    </row>
    <row r="7405">
      <c r="A7405" s="80" t="s">
        <v>217</v>
      </c>
      <c r="B7405" s="81" t="str">
        <f t="shared" si="427"/>
        <v>Stormtrooper白兵</v>
      </c>
      <c r="C7405" s="80" t="s">
        <v>7965</v>
      </c>
      <c r="D7405" s="81" t="str">
        <f>HYPERLINK("https://youtube.com/watch?v=pbfUJerX6Zk", "飲茶可以減肥＋抗癌＋抗氧化？｜樽裝茶冇晒營養？｜有咖啡因飲完會失眠？｜奶茶的前世今生｜不是陰謀論｜中文字幕")</f>
        <v>飲茶可以減肥＋抗癌＋抗氧化？｜樽裝茶冇晒營養？｜有咖啡因飲完會失眠？｜奶茶的前世今生｜不是陰謀論｜中文字幕</v>
      </c>
      <c r="E7405" s="82">
        <v>45358.0</v>
      </c>
      <c r="F7405" s="80">
        <v>943.0</v>
      </c>
      <c r="G7405" s="80" t="s">
        <v>63</v>
      </c>
      <c r="I7405" s="80" t="s">
        <v>63</v>
      </c>
      <c r="J7405" s="80">
        <v>3988.0</v>
      </c>
      <c r="K7405" s="80">
        <v>0.966085271317829</v>
      </c>
      <c r="L7405" s="80" t="s">
        <v>64</v>
      </c>
    </row>
    <row r="7406">
      <c r="A7406" s="80" t="s">
        <v>2041</v>
      </c>
      <c r="B7406" s="81" t="str">
        <f>HYPERLINK("https://www.youtube.com/channel/UCO6pB-ZN4XJ6MVkibvuEe0A", "SingSingTracker 星昇財經指標")</f>
        <v>SingSingTracker 星昇財經指標</v>
      </c>
      <c r="C7406" s="80" t="s">
        <v>7966</v>
      </c>
      <c r="D7406" s="81" t="str">
        <f>HYPERLINK("https://youtube.com/watch?v=uj6-5bOQtpY", "日日跟~【AI 女主持-小Sing🌸】黃金漲勢如破竹！ 外匯輕鬆易玩？「窮忙族」恩物｜股票｜投資｜指標｜港股｜美股｜入市 6/3/2024 #投資入門 #美股 #經濟")</f>
        <v>日日跟~【AI 女主持-小Sing🌸】黃金漲勢如破竹！ 外匯輕鬆易玩？「窮忙族」恩物｜股票｜投資｜指標｜港股｜美股｜入市 6/3/2024 #投資入門 #美股 #經濟</v>
      </c>
      <c r="E7406" s="82">
        <v>45357.0</v>
      </c>
      <c r="F7406" s="80">
        <v>140.0</v>
      </c>
      <c r="G7406" s="80" t="s">
        <v>63</v>
      </c>
      <c r="I7406" s="80" t="s">
        <v>63</v>
      </c>
      <c r="J7406" s="80">
        <v>606.0</v>
      </c>
      <c r="K7406" s="80">
        <v>0.977419354838709</v>
      </c>
      <c r="L7406" s="80" t="s">
        <v>64</v>
      </c>
    </row>
    <row r="7407">
      <c r="A7407" s="80" t="s">
        <v>124</v>
      </c>
      <c r="B7407" s="81" t="str">
        <f>HYPERLINK("https://www.youtube.com/channel/UCg0vuSE0fBF_NvodyYhMcWg", "Wallace Studio HK")</f>
        <v>Wallace Studio HK</v>
      </c>
      <c r="C7407" s="80" t="s">
        <v>7967</v>
      </c>
      <c r="D7407" s="81" t="str">
        <f>HYPERLINK("https://youtube.com/watch?v=8TaDfE-LCWs", "Samsung Galaxy A55 A35 上手體驗，設計大升級，效能，夜拍改善！")</f>
        <v>Samsung Galaxy A55 A35 上手體驗，設計大升級，效能，夜拍改善！</v>
      </c>
      <c r="E7407" s="82">
        <v>45386.0</v>
      </c>
      <c r="F7407" s="80">
        <v>217.0</v>
      </c>
      <c r="G7407" s="80" t="s">
        <v>63</v>
      </c>
      <c r="I7407" s="80" t="s">
        <v>63</v>
      </c>
      <c r="J7407" s="80">
        <v>941.0</v>
      </c>
      <c r="K7407" s="80">
        <v>0.907425265188042</v>
      </c>
      <c r="L7407" s="80" t="s">
        <v>64</v>
      </c>
    </row>
    <row r="7408">
      <c r="A7408" s="80" t="s">
        <v>6960</v>
      </c>
      <c r="B7408" s="81" t="str">
        <f>HYPERLINK("https://www.youtube.com/channel/UCQS2_zzisMq5C_FggxsQwTQ", "Comprehensible Cantonese")</f>
        <v>Comprehensible Cantonese</v>
      </c>
      <c r="C7408" s="80" t="s">
        <v>7968</v>
      </c>
      <c r="D7408" s="81" t="str">
        <f>HYPERLINK("https://youtube.com/watch?v=GbqCbYUSW0Y", "TPRS/CI Cantonese Group Class| Comprehensible Input Cantonese|")</f>
        <v>TPRS/CI Cantonese Group Class| Comprehensible Input Cantonese|</v>
      </c>
      <c r="E7408" s="82">
        <v>45350.0</v>
      </c>
      <c r="F7408" s="80">
        <v>38.0</v>
      </c>
      <c r="G7408" s="80" t="s">
        <v>63</v>
      </c>
      <c r="I7408" s="80" t="s">
        <v>63</v>
      </c>
      <c r="J7408" s="80">
        <v>133.0</v>
      </c>
      <c r="K7408" s="80">
        <v>0.992537313432835</v>
      </c>
      <c r="L7408" s="80" t="s">
        <v>7260</v>
      </c>
    </row>
    <row r="7409">
      <c r="A7409" s="80" t="s">
        <v>2041</v>
      </c>
      <c r="B7409" s="81" t="str">
        <f>HYPERLINK("https://www.youtube.com/channel/UCO6pB-ZN4XJ6MVkibvuEe0A", "SingSingTracker 星昇財經指標")</f>
        <v>SingSingTracker 星昇財經指標</v>
      </c>
      <c r="C7409" s="80" t="s">
        <v>7969</v>
      </c>
      <c r="D7409" s="81" t="str">
        <f>HYPERLINK("https://youtube.com/watch?v=ayk-EGmkwJY", "長線心水股票分享？【AI 女主持-小Sing🌸】黃金漲勢如破竹！ 外匯輕鬆易玩？「窮忙族」恩物｜股票｜投資｜指標｜港股｜美股｜入市 28/2/2024 #投資入門 #美股 #經濟")</f>
        <v>長線心水股票分享？【AI 女主持-小Sing🌸】黃金漲勢如破竹！ 外匯輕鬆易玩？「窮忙族」恩物｜股票｜投資｜指標｜港股｜美股｜入市 28/2/2024 #投資入門 #美股 #經濟</v>
      </c>
      <c r="E7409" s="82">
        <v>45350.0</v>
      </c>
      <c r="F7409" s="80">
        <v>158.0</v>
      </c>
      <c r="G7409" s="80" t="s">
        <v>63</v>
      </c>
      <c r="I7409" s="80" t="s">
        <v>63</v>
      </c>
      <c r="J7409" s="80">
        <v>527.0</v>
      </c>
      <c r="K7409" s="80">
        <v>0.97773654916512</v>
      </c>
      <c r="L7409" s="80" t="s">
        <v>91</v>
      </c>
    </row>
    <row r="7410">
      <c r="A7410" s="80" t="s">
        <v>6892</v>
      </c>
      <c r="B7410" s="81" t="str">
        <f>HYPERLINK("https://www.youtube.com/channel/UC8_hxeY0nDCL-8ETbcGUZ9g", "PT食為先")</f>
        <v>PT食為先</v>
      </c>
      <c r="C7410" s="80" t="s">
        <v>7970</v>
      </c>
      <c r="D7410" s="81" t="str">
        <f>HYPERLINK("https://youtube.com/watch?v=BxHMHzZycTY", "食評界KOL充斥鱔稿！當事人現身說法：如何辨認假自費！")</f>
        <v>食評界KOL充斥鱔稿！當事人現身說法：如何辨認假自費！</v>
      </c>
      <c r="E7410" s="82">
        <v>45355.0</v>
      </c>
      <c r="F7410" s="80">
        <v>765.0</v>
      </c>
      <c r="G7410" s="80" t="s">
        <v>63</v>
      </c>
      <c r="I7410" s="80" t="s">
        <v>63</v>
      </c>
      <c r="J7410" s="80">
        <v>2782.0</v>
      </c>
      <c r="K7410" s="80">
        <v>0.919973544973545</v>
      </c>
      <c r="L7410" s="80" t="s">
        <v>64</v>
      </c>
    </row>
    <row r="7411">
      <c r="A7411" s="80" t="s">
        <v>6960</v>
      </c>
      <c r="B7411" s="81" t="str">
        <f>HYPERLINK("https://www.youtube.com/channel/UCQS2_zzisMq5C_FggxsQwTQ", "Comprehensible Cantonese")</f>
        <v>Comprehensible Cantonese</v>
      </c>
      <c r="C7411" s="80" t="s">
        <v>7971</v>
      </c>
      <c r="D7411" s="81" t="str">
        <f>HYPERLINK("https://youtube.com/watch?v=_hTWkHEoKGY", "[CC] Guessing Game with Candy (Daily Necessities) | Comprehensible Input Cantonese| Intermediate廣東話")</f>
        <v>[CC] Guessing Game with Candy (Daily Necessities) | Comprehensible Input Cantonese| Intermediate廣東話</v>
      </c>
      <c r="E7411" s="82">
        <v>45366.0</v>
      </c>
      <c r="F7411" s="80">
        <v>203.0</v>
      </c>
      <c r="G7411" s="80" t="s">
        <v>63</v>
      </c>
      <c r="I7411" s="80" t="s">
        <v>63</v>
      </c>
      <c r="J7411" s="80">
        <v>556.0</v>
      </c>
      <c r="K7411" s="80">
        <v>0.985815602836879</v>
      </c>
      <c r="L7411" s="80" t="s">
        <v>102</v>
      </c>
    </row>
    <row r="7412">
      <c r="A7412" s="80" t="s">
        <v>7532</v>
      </c>
      <c r="B7412" s="81" t="str">
        <f>HYPERLINK("https://www.youtube.com/channel/UC_gbnbd5F7wbkhz_DiB30BA", "Highway Recording")</f>
        <v>Highway Recording</v>
      </c>
      <c r="C7412" s="80" t="s">
        <v>7972</v>
      </c>
      <c r="D7412" s="81" t="str">
        <f>HYPERLINK("https://youtube.com/watch?v=W1q-HSBpAm8", "【感情橋 】一口塔羅小故事 06 - 戀人 [廣東話 | 中文字幕]")</f>
        <v>【感情橋 】一口塔羅小故事 06 - 戀人 [廣東話 | 中文字幕]</v>
      </c>
      <c r="E7412" s="82">
        <v>45386.0</v>
      </c>
      <c r="F7412" s="80">
        <v>576.0</v>
      </c>
      <c r="G7412" s="80" t="s">
        <v>63</v>
      </c>
      <c r="I7412" s="80" t="s">
        <v>63</v>
      </c>
      <c r="J7412" s="80">
        <v>2097.0</v>
      </c>
      <c r="K7412" s="80">
        <v>0.995726495726495</v>
      </c>
      <c r="L7412" s="80" t="s">
        <v>64</v>
      </c>
    </row>
    <row r="7413">
      <c r="A7413" s="80" t="s">
        <v>2766</v>
      </c>
      <c r="B7413" s="81" t="str">
        <f>HYPERLINK("https://www.youtube.com/channel/UCrZG5sGryxwgSDQSlHgmZTw", "GadgetGang HK")</f>
        <v>GadgetGang HK</v>
      </c>
      <c r="C7413" s="80" t="s">
        <v>7973</v>
      </c>
      <c r="D7413" s="81" t="str">
        <f>HYPERLINK("https://youtube.com/watch?v=H_AG-1eBIGA", "Sennheiser MOMENTUM True Wireless 4 真無線耳機實測｜MTW 3 vs MTW4 新舊兩代比較｜街頭實試ANC及通透效果")</f>
        <v>Sennheiser MOMENTUM True Wireless 4 真無線耳機實測｜MTW 3 vs MTW4 新舊兩代比較｜街頭實試ANC及通透效果</v>
      </c>
      <c r="E7413" s="82">
        <v>45371.0</v>
      </c>
      <c r="F7413" s="80">
        <v>646.0</v>
      </c>
      <c r="G7413" s="80" t="s">
        <v>63</v>
      </c>
      <c r="I7413" s="80" t="s">
        <v>63</v>
      </c>
      <c r="J7413" s="80">
        <v>2628.0</v>
      </c>
      <c r="K7413" s="80">
        <v>0.767299270072992</v>
      </c>
      <c r="L7413" s="80" t="s">
        <v>64</v>
      </c>
    </row>
    <row r="7414">
      <c r="A7414" s="80" t="s">
        <v>3134</v>
      </c>
      <c r="B7414" s="81" t="str">
        <f>HYPERLINK("https://www.youtube.com/channel/UC_vZsUCJrwYrbIRPHacAS_Q", "Coco哥")</f>
        <v>Coco哥</v>
      </c>
      <c r="C7414" s="80" t="s">
        <v>7974</v>
      </c>
      <c r="D7414" s="81" t="str">
        <f>HYPERLINK("https://youtube.com/watch?v=I4ILxXsGn6M", "大灣區同價🚨香港工資將大跌⬇️100萬人同問 香港有乜價值？點解要留？")</f>
        <v>大灣區同價🚨香港工資將大跌⬇️100萬人同問 香港有乜價值？點解要留？</v>
      </c>
      <c r="E7414" s="82">
        <v>45382.0</v>
      </c>
      <c r="F7414" s="80">
        <v>1101.0</v>
      </c>
      <c r="G7414" s="80" t="s">
        <v>63</v>
      </c>
      <c r="I7414" s="80" t="s">
        <v>63</v>
      </c>
      <c r="J7414" s="80">
        <v>3680.0</v>
      </c>
      <c r="K7414" s="80">
        <v>0.943831751731213</v>
      </c>
      <c r="L7414" s="80" t="s">
        <v>2755</v>
      </c>
    </row>
    <row r="7415">
      <c r="A7415" s="80" t="s">
        <v>6711</v>
      </c>
      <c r="B7415" s="81" t="str">
        <f>HYPERLINK("https://www.youtube.com/channel/UCwAPo1PxfhC-CSSjsRtlY3A", "喜歡電影的人都有病 Movie Psychopath")</f>
        <v>喜歡電影的人都有病 Movie Psychopath</v>
      </c>
      <c r="C7415" s="80" t="s">
        <v>7975</v>
      </c>
      <c r="D7415" s="81" t="str">
        <f>HYPERLINK("https://youtube.com/watch?v=wtJKiEGtG90", "《功夫熊貓4》目標觀眾平均年齡七歲，奸角還是有塑造｜博士碩士不如靠人事｜KungFu Panda 4｜粵語｜廣東話｜影評｜阿影")</f>
        <v>《功夫熊貓4》目標觀眾平均年齡七歲，奸角還是有塑造｜博士碩士不如靠人事｜KungFu Panda 4｜粵語｜廣東話｜影評｜阿影</v>
      </c>
      <c r="E7415" s="82">
        <v>45381.0</v>
      </c>
      <c r="F7415" s="80">
        <v>605.0</v>
      </c>
      <c r="G7415" s="80" t="s">
        <v>63</v>
      </c>
      <c r="I7415" s="80" t="s">
        <v>63</v>
      </c>
      <c r="J7415" s="80">
        <v>2421.0</v>
      </c>
      <c r="K7415" s="80">
        <v>0.976209677419354</v>
      </c>
      <c r="L7415" s="80" t="s">
        <v>64</v>
      </c>
    </row>
    <row r="7416">
      <c r="A7416" s="80" t="s">
        <v>6960</v>
      </c>
      <c r="B7416" s="81" t="str">
        <f>HYPERLINK("https://www.youtube.com/channel/UCQS2_zzisMq5C_FggxsQwTQ", "Comprehensible Cantonese")</f>
        <v>Comprehensible Cantonese</v>
      </c>
      <c r="C7416" s="80" t="s">
        <v>7976</v>
      </c>
      <c r="D7416" s="81" t="str">
        <f>HYPERLINK("https://youtube.com/watch?v=osEKVlhFxDc", "[CC] Why We Are Not Making Videos together and More About This Channel (Intermediate Cantonese 廣東話)")</f>
        <v>[CC] Why We Are Not Making Videos together and More About This Channel (Intermediate Cantonese 廣東話)</v>
      </c>
      <c r="E7416" s="82">
        <v>45387.0</v>
      </c>
      <c r="F7416" s="80">
        <v>471.0</v>
      </c>
      <c r="G7416" s="80" t="s">
        <v>63</v>
      </c>
      <c r="I7416" s="80" t="s">
        <v>63</v>
      </c>
      <c r="J7416" s="80">
        <v>1413.0</v>
      </c>
      <c r="K7416" s="80">
        <v>0.850692354003612</v>
      </c>
      <c r="L7416" s="80" t="s">
        <v>102</v>
      </c>
    </row>
    <row r="7417">
      <c r="A7417" s="80" t="s">
        <v>242</v>
      </c>
      <c r="B7417" s="81" t="str">
        <f>HYPERLINK("https://www.youtube.com/channel/UCZGVB6g74LXWtkR3fX50ykg", "Edwin H.")</f>
        <v>Edwin H.</v>
      </c>
      <c r="C7417" s="80" t="s">
        <v>7977</v>
      </c>
      <c r="D7417" s="81" t="str">
        <f>HYPERLINK("https://youtube.com/watch?v=aMnF_9lJx2k", "【警世】 10件結婚前必須知道的事！結婚之前..唔好做錯呢件事")</f>
        <v>【警世】 10件結婚前必須知道的事！結婚之前..唔好做錯呢件事</v>
      </c>
      <c r="E7417" s="82">
        <v>45359.0</v>
      </c>
      <c r="F7417" s="80">
        <v>1275.0</v>
      </c>
      <c r="G7417" s="80" t="s">
        <v>63</v>
      </c>
      <c r="I7417" s="80" t="s">
        <v>63</v>
      </c>
      <c r="J7417" s="80">
        <v>6963.0</v>
      </c>
      <c r="K7417" s="80">
        <v>0.88228585909782</v>
      </c>
      <c r="L7417" s="80" t="s">
        <v>64</v>
      </c>
    </row>
    <row r="7418">
      <c r="A7418" s="80" t="s">
        <v>6960</v>
      </c>
      <c r="B7418" s="81" t="str">
        <f>HYPERLINK("https://www.youtube.com/channel/UCQS2_zzisMq5C_FggxsQwTQ", "Comprehensible Cantonese")</f>
        <v>Comprehensible Cantonese</v>
      </c>
      <c r="C7418" s="80" t="s">
        <v>7978</v>
      </c>
      <c r="D7418" s="81" t="str">
        <f>HYPERLINK("https://youtube.com/watch?v=ICqAtb1Cybo", "[CC] Cantonese Game | Fruits and Drinks in Cantonese| Comprehensible Cantonese 廣東話（Basic Beginner）")</f>
        <v>[CC] Cantonese Game | Fruits and Drinks in Cantonese| Comprehensible Cantonese 廣東話（Basic Beginner）</v>
      </c>
      <c r="E7418" s="82">
        <v>45383.0</v>
      </c>
      <c r="F7418" s="80">
        <v>141.0</v>
      </c>
      <c r="G7418" s="80" t="s">
        <v>63</v>
      </c>
      <c r="I7418" s="80" t="s">
        <v>63</v>
      </c>
      <c r="J7418" s="80">
        <v>222.0</v>
      </c>
      <c r="K7418" s="80">
        <v>0.940677966101695</v>
      </c>
      <c r="L7418" s="80" t="s">
        <v>102</v>
      </c>
    </row>
    <row r="7419">
      <c r="A7419" s="80" t="s">
        <v>5992</v>
      </c>
      <c r="B7419" s="81" t="str">
        <f>HYPERLINK("https://www.youtube.com/channel/UCEuQ-0x3uMk1KghGiO1kTHg", "MIRROR")</f>
        <v>MIRROR</v>
      </c>
      <c r="C7419" s="80" t="s">
        <v>7979</v>
      </c>
      <c r="D7419" s="81" t="str">
        <f>HYPERLINK("https://youtube.com/watch?v=AJGHbAltA38", "Alton 王智德《非物質文化遺產》 (I.C.H) Official Music Video")</f>
        <v>Alton 王智德《非物質文化遺產》 (I.C.H) Official Music Video</v>
      </c>
      <c r="E7419" s="82">
        <v>45362.0</v>
      </c>
      <c r="F7419" s="80">
        <v>211.0</v>
      </c>
      <c r="G7419" s="80" t="s">
        <v>63</v>
      </c>
      <c r="I7419" s="80" t="s">
        <v>63</v>
      </c>
      <c r="J7419" s="80">
        <v>734.0</v>
      </c>
      <c r="K7419" s="80">
        <v>0.972185430463576</v>
      </c>
      <c r="L7419" s="80" t="s">
        <v>521</v>
      </c>
    </row>
    <row r="7420">
      <c r="A7420" s="80" t="s">
        <v>124</v>
      </c>
      <c r="B7420" s="81" t="str">
        <f>HYPERLINK("https://www.youtube.com/channel/UCg0vuSE0fBF_NvodyYhMcWg", "Wallace Studio HK")</f>
        <v>Wallace Studio HK</v>
      </c>
      <c r="C7420" s="80" t="s">
        <v>7980</v>
      </c>
      <c r="D7420" s="81" t="str">
        <f>HYPERLINK("https://youtube.com/watch?v=S-X1XsL__b8", "HUAWEI eKit 中小企一站式網絡解決方案安裝實測！設置上手冇難度！ ideaHub 可移動4k 智能白板實測!")</f>
        <v>HUAWEI eKit 中小企一站式網絡解決方案安裝實測！設置上手冇難度！ ideaHub 可移動4k 智能白板實測!</v>
      </c>
      <c r="E7420" s="82">
        <v>45349.0</v>
      </c>
      <c r="F7420" s="80">
        <v>307.0</v>
      </c>
      <c r="G7420" s="80" t="s">
        <v>63</v>
      </c>
      <c r="H7420" s="80" t="s">
        <v>63</v>
      </c>
      <c r="I7420" s="80" t="s">
        <v>63</v>
      </c>
      <c r="J7420" s="80">
        <v>1216.0</v>
      </c>
      <c r="K7420" s="80">
        <v>0.718676122931442</v>
      </c>
      <c r="L7420" s="80" t="s">
        <v>86</v>
      </c>
    </row>
    <row r="7421">
      <c r="A7421" s="80" t="s">
        <v>7944</v>
      </c>
      <c r="B7421" s="81" t="str">
        <f>HYPERLINK("https://www.youtube.com/channel/UCKj4bnQTklTOlDKdm57ug_A", "齋傾唔做")</f>
        <v>齋傾唔做</v>
      </c>
      <c r="C7421" s="80" t="s">
        <v>7981</v>
      </c>
      <c r="D7421" s="81" t="str">
        <f>HYPERLINK("https://youtube.com/watch?v=AnVR2UJuwlA", "換妻拯救婚姻：由性冷感到多人拍片運動（嘉賓：Angel &amp; Sam，Macy Chan）| 齋傾唔做 243")</f>
        <v>換妻拯救婚姻：由性冷感到多人拍片運動（嘉賓：Angel &amp; Sam，Macy Chan）| 齋傾唔做 243</v>
      </c>
      <c r="E7421" s="82">
        <v>45362.0</v>
      </c>
      <c r="F7421" s="80">
        <v>1713.0</v>
      </c>
      <c r="G7421" s="80" t="s">
        <v>63</v>
      </c>
      <c r="I7421" s="80" t="s">
        <v>63</v>
      </c>
      <c r="J7421" s="80">
        <v>5914.0</v>
      </c>
      <c r="K7421" s="80">
        <v>0.817641365961565</v>
      </c>
      <c r="L7421" s="80" t="s">
        <v>102</v>
      </c>
    </row>
    <row r="7422">
      <c r="A7422" s="80" t="s">
        <v>2829</v>
      </c>
      <c r="B7422" s="81" t="str">
        <f>HYPERLINK("https://www.youtube.com/channel/UC7GnES6AEQlDzaP04UqtyjA", "SOLID IDEA")</f>
        <v>SOLID IDEA</v>
      </c>
      <c r="C7422" s="80" t="s">
        <v>7982</v>
      </c>
      <c r="D7422" s="81" t="str">
        <f>HYPERLINK("https://youtube.com/watch?v=aUP-_ac3Ny4", "【設計 • idea】觀塘．凱匯｜861呎｜一個幾年前新樓係唔係要大裝一次？｜設計 • idea｜Solid Idea｜室內設計｜家居規劃｜星級設計｜［CC字幕］")</f>
        <v>【設計 • idea】觀塘．凱匯｜861呎｜一個幾年前新樓係唔係要大裝一次？｜設計 • idea｜Solid Idea｜室內設計｜家居規劃｜星級設計｜［CC字幕］</v>
      </c>
      <c r="E7422" s="82">
        <v>45397.0</v>
      </c>
      <c r="F7422" s="80">
        <v>192.0</v>
      </c>
      <c r="G7422" s="80" t="s">
        <v>63</v>
      </c>
      <c r="I7422" s="80" t="s">
        <v>63</v>
      </c>
      <c r="J7422" s="80">
        <v>713.0</v>
      </c>
      <c r="K7422" s="80">
        <v>0.990277777777777</v>
      </c>
      <c r="L7422" s="80" t="s">
        <v>64</v>
      </c>
    </row>
    <row r="7423">
      <c r="A7423" s="80" t="s">
        <v>960</v>
      </c>
      <c r="B7423" s="81" t="str">
        <f>HYPERLINK("https://www.youtube.com/channel/UCXf8jlTSP9kp6g4ROCfgvbQ", "堅離地球・沈旭暉・馮智政")</f>
        <v>堅離地球・沈旭暉・馮智政</v>
      </c>
      <c r="C7423" s="80" t="s">
        <v>7983</v>
      </c>
      <c r="D7423" s="81" t="str">
        <f>HYPERLINK("https://youtube.com/watch?v=p5CqL1GtGNA", "【堅離地政經】官司擋得住特朗普聲勢嗎？川普假帳案要先交1.75億罰金；民事訴訟查「造大數」，高額罰款影響競選資金；Truth Social終上市或得30億資產應急（馮智政 x 曾維燊）")</f>
        <v>【堅離地政經】官司擋得住特朗普聲勢嗎？川普假帳案要先交1.75億罰金；民事訴訟查「造大數」，高額罰款影響競選資金；Truth Social終上市或得30億資產應急（馮智政 x 曾維燊）</v>
      </c>
      <c r="E7423" s="82">
        <v>45377.0</v>
      </c>
      <c r="F7423" s="80">
        <v>1886.0</v>
      </c>
      <c r="G7423" s="80" t="s">
        <v>63</v>
      </c>
      <c r="I7423" s="80" t="s">
        <v>63</v>
      </c>
      <c r="J7423" s="80">
        <v>8297.0</v>
      </c>
      <c r="K7423" s="80">
        <v>0.893495584751238</v>
      </c>
      <c r="L7423" s="80" t="s">
        <v>64</v>
      </c>
    </row>
    <row r="7424">
      <c r="A7424" s="80" t="s">
        <v>414</v>
      </c>
      <c r="B7424" s="81" t="str">
        <f>HYPERLINK("https://www.youtube.com/channel/UCCVn38j5xSJZN-II-TeyomA", "Uncle Calvin Cantonese Class")</f>
        <v>Uncle Calvin Cantonese Class</v>
      </c>
      <c r="C7424" s="80" t="s">
        <v>7984</v>
      </c>
      <c r="D7424" s="81" t="str">
        <f>HYPERLINK("https://youtube.com/watch?v=LuLnINlR1pU", "【2024龍年賀年卡片：孩子們同全世界拜年】Kids New Year's Greetings to the World I 幼童 Toddlers I 廣東話教室 I 字幕/Subtitles")</f>
        <v>【2024龍年賀年卡片：孩子們同全世界拜年】Kids New Year's Greetings to the World I 幼童 Toddlers I 廣東話教室 I 字幕/Subtitles</v>
      </c>
      <c r="E7424" s="82">
        <v>45338.0</v>
      </c>
      <c r="F7424" s="80">
        <v>1010.0</v>
      </c>
      <c r="G7424" s="80" t="s">
        <v>63</v>
      </c>
      <c r="H7424" s="80" t="s">
        <v>63</v>
      </c>
      <c r="I7424" s="80" t="s">
        <v>63</v>
      </c>
      <c r="J7424" s="80">
        <v>2462.0</v>
      </c>
      <c r="K7424" s="80">
        <v>0.887847097006851</v>
      </c>
      <c r="L7424" s="80" t="s">
        <v>240</v>
      </c>
    </row>
    <row r="7425">
      <c r="A7425" s="80" t="s">
        <v>2785</v>
      </c>
      <c r="B7425" s="81" t="str">
        <f t="shared" ref="B7425:B7426" si="428">HYPERLINK("https://www.youtube.com/channel/UC_w7pV_Xz9XO0ChNFxMtV0w", "MPWeekly明周")</f>
        <v>MPWeekly明周</v>
      </c>
      <c r="C7425" s="80" t="s">
        <v>7985</v>
      </c>
      <c r="D7425" s="81" t="str">
        <f>HYPERLINK("https://youtube.com/watch?v=2O0-EZXhKaA", "入行16年終於被看見 衛詩雅：真係遇過惡啃奶奶｜封面故事")</f>
        <v>入行16年終於被看見 衛詩雅：真係遇過惡啃奶奶｜封面故事</v>
      </c>
      <c r="E7425" s="82">
        <v>45383.0</v>
      </c>
      <c r="F7425" s="80">
        <v>357.0</v>
      </c>
      <c r="G7425" s="80" t="s">
        <v>63</v>
      </c>
      <c r="I7425" s="80" t="s">
        <v>63</v>
      </c>
      <c r="J7425" s="80">
        <v>995.0</v>
      </c>
      <c r="K7425" s="80">
        <v>0.989065606361829</v>
      </c>
      <c r="L7425" s="80" t="s">
        <v>64</v>
      </c>
    </row>
    <row r="7426">
      <c r="A7426" s="80" t="s">
        <v>2785</v>
      </c>
      <c r="B7426" s="81" t="str">
        <f t="shared" si="428"/>
        <v>MPWeekly明周</v>
      </c>
      <c r="C7426" s="80" t="s">
        <v>7986</v>
      </c>
      <c r="D7426" s="81" t="str">
        <f>HYPERLINK("https://youtube.com/watch?v=1rk_69NZWos", "Cosplay系歌手 神還原Avantgardey爆紅 Sica由女僕cafe唱到麥花臣｜何洛瑤專訪")</f>
        <v>Cosplay系歌手 神還原Avantgardey爆紅 Sica由女僕cafe唱到麥花臣｜何洛瑤專訪</v>
      </c>
      <c r="E7426" s="82">
        <v>45364.0</v>
      </c>
      <c r="F7426" s="80">
        <v>276.0</v>
      </c>
      <c r="G7426" s="80" t="s">
        <v>63</v>
      </c>
      <c r="I7426" s="80" t="s">
        <v>63</v>
      </c>
      <c r="J7426" s="80">
        <v>788.0</v>
      </c>
      <c r="K7426" s="80">
        <v>0.836518046709129</v>
      </c>
      <c r="L7426" s="80" t="s">
        <v>64</v>
      </c>
    </row>
    <row r="7427">
      <c r="A7427" s="80" t="s">
        <v>6054</v>
      </c>
      <c r="B7427" s="81" t="str">
        <f>HYPERLINK("https://www.youtube.com/channel/UCZc-RwRZUYVuwu3A9pVBISg", "ToNick")</f>
        <v>ToNick</v>
      </c>
      <c r="C7427" s="80" t="s">
        <v>7987</v>
      </c>
      <c r="D7427" s="81" t="str">
        <f>HYPERLINK("https://youtube.com/watch?v=TSgkLVqXO_g", "ToNick - Good Trip in Bad Days (Official Lyrics MV)")</f>
        <v>ToNick - Good Trip in Bad Days (Official Lyrics MV)</v>
      </c>
      <c r="E7427" s="82">
        <v>45371.0</v>
      </c>
      <c r="F7427" s="80">
        <v>221.0</v>
      </c>
      <c r="G7427" s="80" t="s">
        <v>63</v>
      </c>
      <c r="I7427" s="80" t="s">
        <v>63</v>
      </c>
      <c r="J7427" s="80">
        <v>283.0</v>
      </c>
      <c r="K7427" s="80">
        <v>0.386084583901773</v>
      </c>
      <c r="L7427" s="80" t="s">
        <v>64</v>
      </c>
    </row>
    <row r="7428">
      <c r="A7428" s="80" t="s">
        <v>124</v>
      </c>
      <c r="B7428" s="81" t="str">
        <f>HYPERLINK("https://www.youtube.com/channel/UCg0vuSE0fBF_NvodyYhMcWg", "Wallace Studio HK")</f>
        <v>Wallace Studio HK</v>
      </c>
      <c r="C7428" s="80" t="s">
        <v>7988</v>
      </c>
      <c r="D7428" s="81" t="str">
        <f>HYPERLINK("https://youtube.com/watch?v=_qSqyNyF8W0", "XIAOMI 14 / 14 Ultra 發佈直擊，拍攝功能升級，AI功能缺席")</f>
        <v>XIAOMI 14 / 14 Ultra 發佈直擊，拍攝功能升級，AI功能缺席</v>
      </c>
      <c r="E7428" s="82">
        <v>45358.0</v>
      </c>
      <c r="F7428" s="80">
        <v>319.0</v>
      </c>
      <c r="G7428" s="80" t="s">
        <v>63</v>
      </c>
      <c r="H7428" s="80" t="s">
        <v>63</v>
      </c>
      <c r="I7428" s="80" t="s">
        <v>63</v>
      </c>
      <c r="J7428" s="80">
        <v>1372.0</v>
      </c>
      <c r="K7428" s="80">
        <v>0.854296388542963</v>
      </c>
      <c r="L7428" s="80" t="s">
        <v>86</v>
      </c>
    </row>
    <row r="7429">
      <c r="A7429" s="80" t="s">
        <v>260</v>
      </c>
      <c r="B7429" s="81" t="str">
        <f>HYPERLINK("https://www.youtube.com/channel/UC-HXOikkLx7BGEfILGIpYOg", "港短 . 英移")</f>
        <v>港短 . 英移</v>
      </c>
      <c r="C7429" s="80" t="s">
        <v>7989</v>
      </c>
      <c r="D7429" s="81" t="str">
        <f>HYPERLINK("https://youtube.com/watch?v=JPhmpiuc7xc", "AI永遠不能取代人類的一個原因 | 港短.英移")</f>
        <v>AI永遠不能取代人類的一個原因 | 港短.英移</v>
      </c>
      <c r="E7429" s="82">
        <v>45365.0</v>
      </c>
      <c r="F7429" s="80">
        <v>456.0</v>
      </c>
      <c r="G7429" s="80" t="s">
        <v>63</v>
      </c>
      <c r="I7429" s="80" t="s">
        <v>63</v>
      </c>
      <c r="J7429" s="80">
        <v>1918.0</v>
      </c>
      <c r="K7429" s="80">
        <v>0.951861042183622</v>
      </c>
      <c r="L7429" s="80" t="s">
        <v>102</v>
      </c>
    </row>
    <row r="7430">
      <c r="A7430" s="80" t="s">
        <v>3158</v>
      </c>
      <c r="B7430" s="81" t="str">
        <f>HYPERLINK("https://www.youtube.com/channel/UCldJqbxFCPolSR6V9lszWDA", "魚波 Yu Ball")</f>
        <v>魚波 Yu Ball</v>
      </c>
      <c r="C7430" s="80" t="s">
        <v>7990</v>
      </c>
      <c r="D7430" s="81" t="str">
        <f>HYPERLINK("https://youtube.com/watch?v=dJq1ybmYPBE", "【完整版】賽車手試車Swift Sport，更換輪胎+訪談+當日內容 足本版 | 王日昇 Sunny WONG /魚波 (基本字幕)")</f>
        <v>【完整版】賽車手試車Swift Sport，更換輪胎+訪談+當日內容 足本版 | 王日昇 Sunny WONG /魚波 (基本字幕)</v>
      </c>
      <c r="E7430" s="82">
        <v>45393.0</v>
      </c>
      <c r="F7430" s="80">
        <v>1947.0</v>
      </c>
      <c r="G7430" s="80" t="s">
        <v>63</v>
      </c>
      <c r="I7430" s="80" t="s">
        <v>63</v>
      </c>
      <c r="J7430" s="80">
        <v>6227.0</v>
      </c>
      <c r="K7430" s="80">
        <v>0.90377358490566</v>
      </c>
      <c r="L7430" s="80" t="s">
        <v>64</v>
      </c>
    </row>
    <row r="7431">
      <c r="A7431" s="80" t="s">
        <v>6892</v>
      </c>
      <c r="B7431" s="81" t="str">
        <f>HYPERLINK("https://www.youtube.com/channel/UC8_hxeY0nDCL-8ETbcGUZ9g", "PT食為先")</f>
        <v>PT食為先</v>
      </c>
      <c r="C7431" s="80" t="s">
        <v>7991</v>
      </c>
      <c r="D7431" s="81" t="str">
        <f>HYPERLINK("https://youtube.com/watch?v=NStXl6yqol4", "[九州之旅] 福岡最抵食燒肉！毋須左度右度，唔睇價錢都唔會over budget！")</f>
        <v>[九州之旅] 福岡最抵食燒肉！毋須左度右度，唔睇價錢都唔會over budget！</v>
      </c>
      <c r="E7431" s="82">
        <v>45370.0</v>
      </c>
      <c r="F7431" s="80">
        <v>742.0</v>
      </c>
      <c r="G7431" s="80" t="s">
        <v>63</v>
      </c>
      <c r="I7431" s="80" t="s">
        <v>63</v>
      </c>
      <c r="J7431" s="80">
        <v>1668.0</v>
      </c>
      <c r="K7431" s="80">
        <v>0.915477497255762</v>
      </c>
      <c r="L7431" s="80" t="s">
        <v>64</v>
      </c>
    </row>
    <row r="7432">
      <c r="A7432" s="80" t="s">
        <v>5134</v>
      </c>
      <c r="B7432" s="81" t="str">
        <f>HYPERLINK("https://www.youtube.com/channel/UCGq7xle9PrLHpmdxrk0IlLw", "磚加專家 Danny Ching Top10%地產局金牌經紀百萬圓桌")</f>
        <v>磚加專家 Danny Ching Top10%地產局金牌經紀百萬圓桌</v>
      </c>
      <c r="C7432" s="80" t="s">
        <v>7992</v>
      </c>
      <c r="D7432" s="81" t="str">
        <f>HYPERLINK("https://youtube.com/watch?v=-78QLP-9zKM", "全新城市屋介紹 豪宅西區內街 女皇公園 步行去地鐵 中小學名校 品味裝修 大型城市屋 天台+花園+露台 屋內自己直通車位 平同級10% 仲有早鳥優惠 28West Cambie Corridor")</f>
        <v>全新城市屋介紹 豪宅西區內街 女皇公園 步行去地鐵 中小學名校 品味裝修 大型城市屋 天台+花園+露台 屋內自己直通車位 平同級10% 仲有早鳥優惠 28West Cambie Corridor</v>
      </c>
      <c r="E7432" s="82">
        <v>45329.0</v>
      </c>
      <c r="F7432" s="80">
        <v>941.0</v>
      </c>
      <c r="G7432" s="80" t="s">
        <v>63</v>
      </c>
      <c r="I7432" s="80" t="s">
        <v>63</v>
      </c>
      <c r="J7432" s="80">
        <v>3378.0</v>
      </c>
      <c r="K7432" s="80">
        <v>0.76081081081081</v>
      </c>
      <c r="L7432" s="80" t="s">
        <v>102</v>
      </c>
    </row>
    <row r="7433">
      <c r="A7433" s="80" t="s">
        <v>260</v>
      </c>
      <c r="B7433" s="81" t="str">
        <f>HYPERLINK("https://www.youtube.com/channel/UC-HXOikkLx7BGEfILGIpYOg", "港短 . 英移")</f>
        <v>港短 . 英移</v>
      </c>
      <c r="C7433" s="80" t="s">
        <v>7993</v>
      </c>
      <c r="D7433" s="81" t="str">
        <f>HYPERLINK("https://youtube.com/watch?v=iroYzqec9lo", "一落機就嘥錢 - 9件倫敦自由行經常做錯的事 | 港短英移")</f>
        <v>一落機就嘥錢 - 9件倫敦自由行經常做錯的事 | 港短英移</v>
      </c>
      <c r="E7433" s="82">
        <v>45351.0</v>
      </c>
      <c r="F7433" s="80">
        <v>486.0</v>
      </c>
      <c r="G7433" s="80" t="s">
        <v>63</v>
      </c>
      <c r="I7433" s="80" t="s">
        <v>63</v>
      </c>
      <c r="J7433" s="80">
        <v>1947.0</v>
      </c>
      <c r="K7433" s="80">
        <v>0.707742639040349</v>
      </c>
      <c r="L7433" s="80" t="s">
        <v>102</v>
      </c>
    </row>
    <row r="7434">
      <c r="A7434" s="80" t="s">
        <v>124</v>
      </c>
      <c r="B7434" s="81" t="str">
        <f>HYPERLINK("https://www.youtube.com/channel/UCg0vuSE0fBF_NvodyYhMcWg", "Wallace Studio HK")</f>
        <v>Wallace Studio HK</v>
      </c>
      <c r="C7434" s="80" t="s">
        <v>7994</v>
      </c>
      <c r="D7434" s="81" t="str">
        <f>HYPERLINK("https://youtube.com/watch?v=ilISJPLZKzo", "Galaxy S24 Ultra 詳細評測，GalaxyAI 真係咁好!?")</f>
        <v>Galaxy S24 Ultra 詳細評測，GalaxyAI 真係咁好!?</v>
      </c>
      <c r="E7434" s="82">
        <v>45368.0</v>
      </c>
      <c r="F7434" s="80">
        <v>580.0</v>
      </c>
      <c r="G7434" s="80" t="s">
        <v>63</v>
      </c>
      <c r="I7434" s="80" t="s">
        <v>63</v>
      </c>
      <c r="J7434" s="80">
        <v>2314.0</v>
      </c>
      <c r="K7434" s="80">
        <v>0.797381116471399</v>
      </c>
      <c r="L7434" s="80" t="s">
        <v>64</v>
      </c>
    </row>
    <row r="7435">
      <c r="A7435" s="80" t="s">
        <v>5134</v>
      </c>
      <c r="B7435" s="81" t="str">
        <f t="shared" ref="B7435:B7436" si="429">HYPERLINK("https://www.youtube.com/channel/UCGq7xle9PrLHpmdxrk0IlLw", "磚加專家 Danny Ching Top10%地產局金牌經紀百萬圓桌")</f>
        <v>磚加專家 Danny Ching Top10%地產局金牌經紀百萬圓桌</v>
      </c>
      <c r="C7435" s="80" t="s">
        <v>7995</v>
      </c>
      <c r="D7435" s="81" t="str">
        <f>HYPERLINK("https://youtube.com/watch?v=-qIVAXkc-UQ", "【溫哥華頂配新盤】社區．校區．用料．私隱．方便  新盤 ENZO cambie corridor 獨立出入 天花板配置 步行返學社區中心及地鐵站 名校區 Churchill 中學 Laurier 小學")</f>
        <v>【溫哥華頂配新盤】社區．校區．用料．私隱．方便  新盤 ENZO cambie corridor 獨立出入 天花板配置 步行返學社區中心及地鐵站 名校區 Churchill 中學 Laurier 小學</v>
      </c>
      <c r="E7435" s="82">
        <v>45340.0</v>
      </c>
      <c r="F7435" s="80">
        <v>2588.0</v>
      </c>
      <c r="G7435" s="80" t="s">
        <v>63</v>
      </c>
      <c r="I7435" s="80" t="s">
        <v>63</v>
      </c>
      <c r="J7435" s="80">
        <v>8852.0</v>
      </c>
      <c r="K7435" s="80">
        <v>0.752657086982399</v>
      </c>
      <c r="L7435" s="80" t="s">
        <v>102</v>
      </c>
    </row>
    <row r="7436">
      <c r="A7436" s="80" t="s">
        <v>5134</v>
      </c>
      <c r="B7436" s="81" t="str">
        <f t="shared" si="429"/>
        <v>磚加專家 Danny Ching Top10%地產局金牌經紀百萬圓桌</v>
      </c>
      <c r="C7436" s="80" t="s">
        <v>7996</v>
      </c>
      <c r="D7436" s="81" t="str">
        <f>HYPERLINK("https://youtube.com/watch?v=e5jLJSdjzJY", "1星期賣5間！Glenmont 4房1400呎 全新城市屋 26分鐘直達機場+溫哥華 有冷氣 雙平排車房 高樓底 戶戶有corner unit優勢 轉角窗￼")</f>
        <v>1星期賣5間！Glenmont 4房1400呎 全新城市屋 26分鐘直達機場+溫哥華 有冷氣 雙平排車房 高樓底 戶戶有corner unit優勢 轉角窗￼</v>
      </c>
      <c r="E7436" s="82">
        <v>45375.0</v>
      </c>
      <c r="F7436" s="80">
        <v>881.0</v>
      </c>
      <c r="G7436" s="80" t="s">
        <v>63</v>
      </c>
      <c r="I7436" s="80" t="s">
        <v>63</v>
      </c>
      <c r="J7436" s="80">
        <v>3221.0</v>
      </c>
      <c r="K7436" s="80">
        <v>0.752218589444185</v>
      </c>
      <c r="L7436" s="80" t="s">
        <v>102</v>
      </c>
    </row>
    <row r="7437">
      <c r="A7437" s="80" t="s">
        <v>6892</v>
      </c>
      <c r="B7437" s="81" t="str">
        <f>HYPERLINK("https://www.youtube.com/channel/UC8_hxeY0nDCL-8ETbcGUZ9g", "PT食為先")</f>
        <v>PT食為先</v>
      </c>
      <c r="C7437" s="80" t="s">
        <v>7997</v>
      </c>
      <c r="D7437" s="81" t="str">
        <f>HYPERLINK("https://youtube.com/watch?v=rednTLirHms", "韓國釜山海景酒店推薦＋自費實測XXDay一天團！古城慶州睇佛國寺，再到文青景點掃街食小食！")</f>
        <v>韓國釜山海景酒店推薦＋自費實測XXDay一天團！古城慶州睇佛國寺，再到文青景點掃街食小食！</v>
      </c>
      <c r="E7437" s="82">
        <v>45396.0</v>
      </c>
      <c r="F7437" s="80">
        <v>837.0</v>
      </c>
      <c r="G7437" s="80" t="s">
        <v>63</v>
      </c>
      <c r="I7437" s="80" t="s">
        <v>63</v>
      </c>
      <c r="J7437" s="80">
        <v>2182.0</v>
      </c>
      <c r="K7437" s="80">
        <v>0.938494623655914</v>
      </c>
      <c r="L7437" s="80" t="s">
        <v>64</v>
      </c>
    </row>
    <row r="7438">
      <c r="A7438" s="80" t="s">
        <v>2829</v>
      </c>
      <c r="B7438" s="81" t="str">
        <f>HYPERLINK("https://www.youtube.com/channel/UC7GnES6AEQlDzaP04UqtyjA", "SOLID IDEA")</f>
        <v>SOLID IDEA</v>
      </c>
      <c r="C7438" s="80" t="s">
        <v>7998</v>
      </c>
      <c r="D7438" s="81" t="str">
        <f>HYPERLINK("https://youtube.com/watch?v=xTpWhCucNhU", "【新樓 • idea】屯門．飛揚｜482呎｜輕歐式風格比你體驗不一樣嘅歐式設計！｜設計 • idea｜Solid Idea｜室內設計｜家居規劃｜星級設計｜［CC字幕］")</f>
        <v>【新樓 • idea】屯門．飛揚｜482呎｜輕歐式風格比你體驗不一樣嘅歐式設計！｜設計 • idea｜Solid Idea｜室內設計｜家居規劃｜星級設計｜［CC字幕］</v>
      </c>
      <c r="E7438" s="82">
        <v>45376.0</v>
      </c>
      <c r="F7438" s="80">
        <v>149.0</v>
      </c>
      <c r="G7438" s="80" t="s">
        <v>63</v>
      </c>
      <c r="I7438" s="80" t="s">
        <v>63</v>
      </c>
      <c r="J7438" s="80">
        <v>520.0</v>
      </c>
      <c r="K7438" s="80">
        <v>0.938628158844765</v>
      </c>
      <c r="L7438" s="80" t="s">
        <v>64</v>
      </c>
    </row>
    <row r="7439">
      <c r="A7439" s="80" t="s">
        <v>124</v>
      </c>
      <c r="B7439" s="81" t="str">
        <f>HYPERLINK("https://www.youtube.com/channel/UCg0vuSE0fBF_NvodyYhMcWg", "Wallace Studio HK")</f>
        <v>Wallace Studio HK</v>
      </c>
      <c r="C7439" s="80" t="s">
        <v>7999</v>
      </c>
      <c r="D7439" s="81" t="str">
        <f>HYPERLINK("https://youtube.com/watch?v=S5Y7-a5aOo4", "Samsung Galaxy Book 4 Pro！撤底改觀！")</f>
        <v>Samsung Galaxy Book 4 Pro！撤底改觀！</v>
      </c>
      <c r="E7439" s="82">
        <v>45402.0</v>
      </c>
      <c r="F7439" s="80">
        <v>381.0</v>
      </c>
      <c r="G7439" s="80" t="s">
        <v>63</v>
      </c>
      <c r="I7439" s="80" t="s">
        <v>63</v>
      </c>
      <c r="J7439" s="80">
        <v>1498.0</v>
      </c>
      <c r="K7439" s="80">
        <v>0.727891156462585</v>
      </c>
      <c r="L7439" s="80" t="s">
        <v>64</v>
      </c>
    </row>
    <row r="7440">
      <c r="A7440" s="80" t="s">
        <v>6238</v>
      </c>
      <c r="B7440" s="81" t="str">
        <f>HYPERLINK("https://www.youtube.com/channel/UC_ogl0qjBdXrTiZZJ6ltsQQ", "Flat Out 地板油")</f>
        <v>Flat Out 地板油</v>
      </c>
      <c r="C7440" s="80" t="s">
        <v>8000</v>
      </c>
      <c r="D7440" s="81" t="str">
        <f>HYPERLINK("https://youtube.com/watch?v=vpJs4PhqQ0c", "小心甩尾呀！豐田Echo濕地勇戰珠海賽車場！Yokohama AD09落場有幾勁？| Flat Out Project Car #FlatOut #地板油 #ProjectEcho")</f>
        <v>小心甩尾呀！豐田Echo濕地勇戰珠海賽車場！Yokohama AD09落場有幾勁？| Flat Out Project Car #FlatOut #地板油 #ProjectEcho</v>
      </c>
      <c r="E7440" s="82">
        <v>45391.0</v>
      </c>
      <c r="F7440" s="80">
        <v>1655.0</v>
      </c>
      <c r="G7440" s="80" t="s">
        <v>63</v>
      </c>
      <c r="I7440" s="80" t="s">
        <v>63</v>
      </c>
      <c r="J7440" s="80">
        <v>3019.0</v>
      </c>
      <c r="K7440" s="80">
        <v>0.774102564102564</v>
      </c>
      <c r="L7440" s="80" t="s">
        <v>64</v>
      </c>
    </row>
    <row r="7441">
      <c r="A7441" s="80" t="s">
        <v>6960</v>
      </c>
      <c r="B7441" s="81" t="str">
        <f>HYPERLINK("https://www.youtube.com/channel/UCQS2_zzisMq5C_FggxsQwTQ", "Comprehensible Cantonese")</f>
        <v>Comprehensible Cantonese</v>
      </c>
      <c r="C7441" s="80" t="s">
        <v>8001</v>
      </c>
      <c r="D7441" s="81" t="str">
        <f>HYPERLINK("https://youtube.com/watch?v=G-FKjy3-bI0", "[CC] Game Time with Yan (Memory Game)| Comprehensible Input Cantonese  (Advanced Beginner) 廣東話")</f>
        <v>[CC] Game Time with Yan (Memory Game)| Comprehensible Input Cantonese  (Advanced Beginner) 廣東話</v>
      </c>
      <c r="E7441" s="82">
        <v>45401.0</v>
      </c>
      <c r="F7441" s="80">
        <v>720.0</v>
      </c>
      <c r="G7441" s="80" t="s">
        <v>63</v>
      </c>
      <c r="I7441" s="80" t="s">
        <v>63</v>
      </c>
      <c r="J7441" s="80">
        <v>1263.0</v>
      </c>
      <c r="K7441" s="80">
        <v>0.959726443768997</v>
      </c>
      <c r="L7441" s="80" t="s">
        <v>102</v>
      </c>
    </row>
    <row r="7442">
      <c r="A7442" s="80" t="s">
        <v>5134</v>
      </c>
      <c r="B7442" s="81" t="str">
        <f>HYPERLINK("https://www.youtube.com/channel/UCGq7xle9PrLHpmdxrk0IlLw", "磚加專家 Danny Ching Top10%地產局金牌經紀百萬圓桌")</f>
        <v>磚加專家 Danny Ching Top10%地產局金牌經紀百萬圓桌</v>
      </c>
      <c r="C7442" s="80" t="s">
        <v>8002</v>
      </c>
      <c r="D7442" s="81" t="str">
        <f>HYPERLINK("https://youtube.com/watch?v=Ea4Aw2iF990", "磗加現樓 City of Lougheed ￼地鐵￼￼步行8分鐘 SOCO 98萬全新3房+書房+2車位+儲物櫃￼ 將近入伙￼ 發展商單位 ￼數量有限 簡直係送=1個房+送車位嘅價錢")</f>
        <v>磗加現樓 City of Lougheed ￼地鐵￼￼步行8分鐘 SOCO 98萬全新3房+書房+2車位+儲物櫃￼ 將近入伙￼ 發展商單位 ￼數量有限 簡直係送=1個房+送車位嘅價錢</v>
      </c>
      <c r="E7442" s="82">
        <v>45355.0</v>
      </c>
      <c r="F7442" s="80">
        <v>2131.0</v>
      </c>
      <c r="G7442" s="80" t="s">
        <v>63</v>
      </c>
      <c r="I7442" s="80" t="s">
        <v>63</v>
      </c>
      <c r="J7442" s="80">
        <v>8186.0</v>
      </c>
      <c r="K7442" s="80">
        <v>0.786888397577621</v>
      </c>
      <c r="L7442" s="80" t="s">
        <v>102</v>
      </c>
    </row>
    <row r="7443">
      <c r="A7443" s="80" t="s">
        <v>2785</v>
      </c>
      <c r="B7443" s="81" t="str">
        <f>HYPERLINK("https://www.youtube.com/channel/UC_w7pV_Xz9XO0ChNFxMtV0w", "MPWeekly明周")</f>
        <v>MPWeekly明周</v>
      </c>
      <c r="C7443" s="80" t="s">
        <v>8003</v>
      </c>
      <c r="D7443" s="81" t="str">
        <f>HYPERLINK("https://youtube.com/watch?v=N8pB2yWMETg", "衛詩雅即興演繹 如何被認錯而不失演技｜封面故事")</f>
        <v>衛詩雅即興演繹 如何被認錯而不失演技｜封面故事</v>
      </c>
      <c r="E7443" s="82">
        <v>45380.0</v>
      </c>
      <c r="F7443" s="80">
        <v>83.0</v>
      </c>
      <c r="G7443" s="80" t="s">
        <v>63</v>
      </c>
      <c r="I7443" s="80" t="s">
        <v>63</v>
      </c>
      <c r="J7443" s="80">
        <v>154.0</v>
      </c>
      <c r="K7443" s="80">
        <v>0.927710843373494</v>
      </c>
      <c r="L7443" s="80" t="s">
        <v>64</v>
      </c>
    </row>
    <row r="7444">
      <c r="A7444" s="80" t="s">
        <v>6892</v>
      </c>
      <c r="B7444" s="81" t="str">
        <f>HYPERLINK("https://www.youtube.com/channel/UC8_hxeY0nDCL-8ETbcGUZ9g", "PT食為先")</f>
        <v>PT食為先</v>
      </c>
      <c r="C7444" s="80" t="s">
        <v>8004</v>
      </c>
      <c r="D7444" s="81" t="str">
        <f>HYPERLINK("https://youtube.com/watch?v=qSL4He5XTIg", "沒有遊客，只有本地人的餐廳🍽️由布院交通最方便的溫泉酒店！湯之坪街道有幾多排隊小食店？")</f>
        <v>沒有遊客，只有本地人的餐廳🍽️由布院交通最方便的溫泉酒店！湯之坪街道有幾多排隊小食店？</v>
      </c>
      <c r="E7444" s="82">
        <v>45382.0</v>
      </c>
      <c r="F7444" s="80">
        <v>1181.0</v>
      </c>
      <c r="G7444" s="80" t="s">
        <v>63</v>
      </c>
      <c r="I7444" s="80" t="s">
        <v>63</v>
      </c>
      <c r="J7444" s="80">
        <v>2647.0</v>
      </c>
      <c r="K7444" s="80">
        <v>0.954217736121124</v>
      </c>
      <c r="L7444" s="80" t="s">
        <v>64</v>
      </c>
    </row>
    <row r="7445">
      <c r="A7445" s="80" t="s">
        <v>6960</v>
      </c>
      <c r="B7445" s="81" t="str">
        <f>HYPERLINK("https://www.youtube.com/channel/UCQS2_zzisMq5C_FggxsQwTQ", "Comprehensible Cantonese")</f>
        <v>Comprehensible Cantonese</v>
      </c>
      <c r="C7445" s="80" t="s">
        <v>8005</v>
      </c>
      <c r="D7445" s="81" t="str">
        <f>HYPERLINK("https://youtube.com/watch?v=GxnTk5d-zjI", "廣東話 Cantonese Story for Beginners : A Little Boy Ah Hoi 👦(ep. 1)| Slow Cantonese|  Basic Beginner")</f>
        <v>廣東話 Cantonese Story for Beginners : A Little Boy Ah Hoi 👦(ep. 1)| Slow Cantonese|  Basic Beginner</v>
      </c>
      <c r="E7445" s="82">
        <v>45369.0</v>
      </c>
      <c r="F7445" s="80">
        <v>235.0</v>
      </c>
      <c r="G7445" s="80" t="s">
        <v>63</v>
      </c>
      <c r="I7445" s="80" t="s">
        <v>63</v>
      </c>
      <c r="J7445" s="80">
        <v>287.0</v>
      </c>
      <c r="K7445" s="80">
        <v>1.0</v>
      </c>
      <c r="L7445" s="80" t="s">
        <v>102</v>
      </c>
    </row>
    <row r="7446">
      <c r="A7446" s="80" t="s">
        <v>84</v>
      </c>
      <c r="B7446" s="81" t="str">
        <f>HYPERLINK("https://www.youtube.com/channel/UCs6fW24aVjefTsognevmDnA", "PakTil 拍跳")</f>
        <v>PakTil 拍跳</v>
      </c>
      <c r="C7446" s="80" t="s">
        <v>8006</v>
      </c>
      <c r="D7446" s="81" t="str">
        <f>HYPERLINK("https://youtube.com/watch?v=7412Ba3nKlE", "【旅友推游團】 酒吧快閃 我溝咗16種酒🍺🥃🥂🍹🍸🍻🤮🤮 | 沙巴篇")</f>
        <v>【旅友推游團】 酒吧快閃 我溝咗16種酒🍺🥃🥂🍹🍸🍻🤮🤮 | 沙巴篇</v>
      </c>
      <c r="E7446" s="82">
        <v>44587.0</v>
      </c>
      <c r="F7446" s="80">
        <v>747.0</v>
      </c>
      <c r="G7446" s="80" t="s">
        <v>63</v>
      </c>
      <c r="I7446" s="80" t="s">
        <v>63</v>
      </c>
      <c r="J7446" s="80">
        <v>767.0</v>
      </c>
      <c r="K7446" s="80">
        <v>0.886705202312138</v>
      </c>
      <c r="L7446" s="80" t="s">
        <v>64</v>
      </c>
    </row>
    <row r="7447">
      <c r="A7447" s="80" t="s">
        <v>108</v>
      </c>
      <c r="B7447" s="81" t="str">
        <f>HYPERLINK("https://www.youtube.com/channel/UCZL6QN6Xs-ZrKY3y6Pv6Emg", "廢青 - 日賺3000")</f>
        <v>廢青 - 日賺3000</v>
      </c>
      <c r="C7447" s="80" t="s">
        <v>8007</v>
      </c>
      <c r="D7447" s="81" t="str">
        <f>HYPERLINK("https://youtube.com/watch?v=-cslb18BXBg", "新野 !! 【3隻優質股票(下) 唔洗 $1000HKD 入場門檻 !! 】#廢青新新新手投資教學 #廢Lv0 【點CC看中文字幕】")</f>
        <v>新野 !! 【3隻優質股票(下) 唔洗 $1000HKD 入場門檻 !! 】#廢青新新新手投資教學 #廢Lv0 【點CC看中文字幕】</v>
      </c>
      <c r="E7447" s="82">
        <v>44828.0</v>
      </c>
      <c r="F7447" s="80">
        <v>513.0</v>
      </c>
      <c r="G7447" s="80" t="s">
        <v>63</v>
      </c>
      <c r="I7447" s="80" t="s">
        <v>63</v>
      </c>
      <c r="J7447" s="80">
        <v>2265.0</v>
      </c>
      <c r="K7447" s="80">
        <v>0.926759410801964</v>
      </c>
      <c r="L7447" s="80" t="s">
        <v>64</v>
      </c>
    </row>
    <row r="7448">
      <c r="A7448" s="80" t="s">
        <v>2829</v>
      </c>
      <c r="B7448" s="81" t="str">
        <f>HYPERLINK("https://www.youtube.com/channel/UC7GnES6AEQlDzaP04UqtyjA", "SOLID IDEA")</f>
        <v>SOLID IDEA</v>
      </c>
      <c r="C7448" s="80" t="s">
        <v>8008</v>
      </c>
      <c r="D7448" s="81" t="str">
        <f>HYPERLINK("https://youtube.com/watch?v=i21za_mn5xE", "【新樓 • idea】大埔．Silicon Hill｜580呎｜用設計同擺位令500呎3房單位更實用！ ｜設計 • idea｜Solid Idea｜室內設計｜家居規劃｜星級設計｜［CC字幕］")</f>
        <v>【新樓 • idea】大埔．Silicon Hill｜580呎｜用設計同擺位令500呎3房單位更實用！ ｜設計 • idea｜Solid Idea｜室內設計｜家居規劃｜星級設計｜［CC字幕］</v>
      </c>
      <c r="E7448" s="82">
        <v>45362.0</v>
      </c>
      <c r="F7448" s="80">
        <v>224.0</v>
      </c>
      <c r="G7448" s="80" t="s">
        <v>63</v>
      </c>
      <c r="I7448" s="80" t="s">
        <v>63</v>
      </c>
      <c r="J7448" s="80">
        <v>885.0</v>
      </c>
      <c r="K7448" s="80">
        <v>0.983333333333333</v>
      </c>
      <c r="L7448" s="80" t="s">
        <v>64</v>
      </c>
    </row>
    <row r="7449">
      <c r="A7449" s="80" t="s">
        <v>960</v>
      </c>
      <c r="B7449" s="81" t="str">
        <f>HYPERLINK("https://www.youtube.com/channel/UCXf8jlTSP9kp6g4ROCfgvbQ", "堅離地球・沈旭暉・馮智政")</f>
        <v>堅離地球・沈旭暉・馮智政</v>
      </c>
      <c r="C7449" s="80" t="s">
        <v>8009</v>
      </c>
      <c r="D7449" s="81" t="str">
        <f>HYPERLINK("https://youtube.com/watch?v=iJzKbScke7c", "【堅離地政經】（中文字幕）呢頭講完嗰頭中：彭博指香港銀行家成失落的一代；長江李澤鉅勸香港千祈不要失去國際金融中心地位；統計處: 5年失19萬勞動力 中年薪金跑輸 （馮智政）")</f>
        <v>【堅離地政經】（中文字幕）呢頭講完嗰頭中：彭博指香港銀行家成失落的一代；長江李澤鉅勸香港千祈不要失去國際金融中心地位；統計處: 5年失19萬勞動力 中年薪金跑輸 （馮智政）</v>
      </c>
      <c r="E7449" s="82">
        <v>45376.0</v>
      </c>
      <c r="F7449" s="80">
        <v>1901.0</v>
      </c>
      <c r="G7449" s="80" t="s">
        <v>63</v>
      </c>
      <c r="I7449" s="80" t="s">
        <v>63</v>
      </c>
      <c r="J7449" s="80">
        <v>8022.0</v>
      </c>
      <c r="K7449" s="80">
        <v>0.90378548895899</v>
      </c>
      <c r="L7449" s="80" t="s">
        <v>64</v>
      </c>
    </row>
    <row r="7450">
      <c r="A7450" s="80" t="s">
        <v>414</v>
      </c>
      <c r="B7450" s="81" t="str">
        <f>HYPERLINK("https://www.youtube.com/channel/UCCVn38j5xSJZN-II-TeyomA", "Uncle Calvin Cantonese Class")</f>
        <v>Uncle Calvin Cantonese Class</v>
      </c>
      <c r="C7450" s="80" t="s">
        <v>8010</v>
      </c>
      <c r="D7450" s="81" t="str">
        <f>HYPERLINK("https://youtube.com/watch?v=UJeYBNZZllM", "【曆法：從古羅馬到現代】Calendar Evolutions I 格里曆 I 公曆 I 閏年 I 2月29日 I  二月廿九 I 幼童 Toddlers I 廣東話教室 I 字幕/Subtitles")</f>
        <v>【曆法：從古羅馬到現代】Calendar Evolutions I 格里曆 I 公曆 I 閏年 I 2月29日 I  二月廿九 I 幼童 Toddlers I 廣東話教室 I 字幕/Subtitles</v>
      </c>
      <c r="E7450" s="82">
        <v>45351.0</v>
      </c>
      <c r="F7450" s="80">
        <v>469.0</v>
      </c>
      <c r="G7450" s="80" t="s">
        <v>63</v>
      </c>
      <c r="H7450" s="80" t="s">
        <v>63</v>
      </c>
      <c r="I7450" s="80" t="s">
        <v>63</v>
      </c>
      <c r="J7450" s="80">
        <v>1105.0</v>
      </c>
      <c r="K7450" s="80">
        <v>0.959649122807017</v>
      </c>
      <c r="L7450" s="80" t="s">
        <v>240</v>
      </c>
    </row>
    <row r="7451">
      <c r="A7451" s="80" t="s">
        <v>6960</v>
      </c>
      <c r="B7451" s="81" t="str">
        <f>HYPERLINK("https://www.youtube.com/channel/UCQS2_zzisMq5C_FggxsQwTQ", "Comprehensible Cantonese")</f>
        <v>Comprehensible Cantonese</v>
      </c>
      <c r="C7451" s="80" t="s">
        <v>8011</v>
      </c>
      <c r="D7451" s="81" t="str">
        <f>HYPERLINK("https://youtube.com/watch?v=XTvEgvO0bQc", "[CC] 廣東話 Useful Cantonese with Candy (Ep. 4) | Slow and Clear Cantonese| Advanced Beginner Cantonese")</f>
        <v>[CC] 廣東話 Useful Cantonese with Candy (Ep. 4) | Slow and Clear Cantonese| Advanced Beginner Cantonese</v>
      </c>
      <c r="E7451" s="82">
        <v>45355.0</v>
      </c>
      <c r="F7451" s="80">
        <v>68.0</v>
      </c>
      <c r="G7451" s="80" t="s">
        <v>63</v>
      </c>
      <c r="I7451" s="80" t="s">
        <v>63</v>
      </c>
      <c r="J7451" s="80">
        <v>163.0</v>
      </c>
      <c r="K7451" s="80">
        <v>0.953216374269005</v>
      </c>
      <c r="L7451" s="80" t="s">
        <v>7921</v>
      </c>
    </row>
    <row r="7452">
      <c r="A7452" s="80" t="s">
        <v>2041</v>
      </c>
      <c r="B7452" s="81" t="str">
        <f>HYPERLINK("https://www.youtube.com/channel/UCO6pB-ZN4XJ6MVkibvuEe0A", "SingSingTracker 星昇財經指標")</f>
        <v>SingSingTracker 星昇財經指標</v>
      </c>
      <c r="C7452" s="80" t="s">
        <v>8012</v>
      </c>
      <c r="D7452" s="81" t="str">
        <f>HYPERLINK("https://youtube.com/watch?v=Ib4qm6FvcIY", "中長線有咩推薦？【AI 女主持-小Sing🌸】黃金漲勢如破竹！ 外匯輕鬆易玩？「窮忙族」恩物｜股票｜投資｜指標｜港股｜美股｜入市 20/3/2024 #投資入門 #美股 #經濟")</f>
        <v>中長線有咩推薦？【AI 女主持-小Sing🌸】黃金漲勢如破竹！ 外匯輕鬆易玩？「窮忙族」恩物｜股票｜投資｜指標｜港股｜美股｜入市 20/3/2024 #投資入門 #美股 #經濟</v>
      </c>
      <c r="E7452" s="82">
        <v>45371.0</v>
      </c>
      <c r="F7452" s="80">
        <v>141.0</v>
      </c>
      <c r="G7452" s="80" t="s">
        <v>63</v>
      </c>
      <c r="I7452" s="80" t="s">
        <v>63</v>
      </c>
      <c r="J7452" s="80">
        <v>591.0</v>
      </c>
      <c r="K7452" s="80">
        <v>0.930708661417322</v>
      </c>
      <c r="L7452" s="80" t="s">
        <v>91</v>
      </c>
    </row>
    <row r="7453">
      <c r="A7453" s="80" t="s">
        <v>124</v>
      </c>
      <c r="B7453" s="81" t="str">
        <f>HYPERLINK("https://www.youtube.com/channel/UCg0vuSE0fBF_NvodyYhMcWg", "Wallace Studio HK")</f>
        <v>Wallace Studio HK</v>
      </c>
      <c r="C7453" s="80" t="s">
        <v>8013</v>
      </c>
      <c r="D7453" s="81" t="str">
        <f>HYPERLINK("https://youtube.com/watch?v=Fyv7ZhhZVG4", "Oppo Find N3 評測！影相超乎預期！比 Galaxy Z Fold 5 更好用！？")</f>
        <v>Oppo Find N3 評測！影相超乎預期！比 Galaxy Z Fold 5 更好用！？</v>
      </c>
      <c r="E7453" s="82">
        <v>45353.0</v>
      </c>
      <c r="F7453" s="80">
        <v>389.0</v>
      </c>
      <c r="G7453" s="80" t="s">
        <v>63</v>
      </c>
      <c r="H7453" s="80" t="s">
        <v>63</v>
      </c>
      <c r="I7453" s="80" t="s">
        <v>63</v>
      </c>
      <c r="J7453" s="80">
        <v>1624.0</v>
      </c>
      <c r="K7453" s="80">
        <v>0.871244635193133</v>
      </c>
      <c r="L7453" s="80" t="s">
        <v>86</v>
      </c>
    </row>
    <row r="7454">
      <c r="A7454" s="80" t="s">
        <v>6373</v>
      </c>
      <c r="B7454" s="81" t="str">
        <f>HYPERLINK("https://www.youtube.com/channel/UCMXOmw_gVvTj8n1gjqUN51w", "瑪姬英文 English with Maggie")</f>
        <v>瑪姬英文 English with Maggie</v>
      </c>
      <c r="C7454" s="80" t="s">
        <v>8014</v>
      </c>
      <c r="D7454" s="81" t="str">
        <f>HYPERLINK("https://youtube.com/watch?v=QW0D2EHJFX4", "靈堂/殯儀館 #英文?  LED 白花海似靈堂?😮")</f>
        <v>靈堂/殯儀館 #英文?  LED 白花海似靈堂?😮</v>
      </c>
      <c r="E7454" s="82">
        <v>45382.0</v>
      </c>
      <c r="F7454" s="80">
        <v>47.0</v>
      </c>
      <c r="G7454" s="80" t="s">
        <v>63</v>
      </c>
      <c r="I7454" s="80" t="s">
        <v>63</v>
      </c>
      <c r="J7454" s="80">
        <v>97.0</v>
      </c>
      <c r="K7454" s="80">
        <v>0.473170731707317</v>
      </c>
      <c r="L7454" s="80" t="s">
        <v>64</v>
      </c>
    </row>
    <row r="7455">
      <c r="A7455" s="80" t="s">
        <v>2041</v>
      </c>
      <c r="B7455" s="81" t="str">
        <f t="shared" ref="B7455:B7456" si="430">HYPERLINK("https://www.youtube.com/channel/UCO6pB-ZN4XJ6MVkibvuEe0A", "SingSingTracker 星昇財經指標")</f>
        <v>SingSingTracker 星昇財經指標</v>
      </c>
      <c r="C7455" s="80" t="s">
        <v>8015</v>
      </c>
      <c r="D7455" s="81" t="str">
        <f>HYPERLINK("https://youtube.com/watch?v=NBHi-o7gBmQ", "股票好難玩？【AI 女主持-小Sing🌸】黃金漲勢如破竹！ 外匯輕鬆易玩？「窮忙族」恩物｜股票｜投資｜指標｜港股｜美股｜入市 13/3/2024 #投資入門 #外匯 #AI")</f>
        <v>股票好難玩？【AI 女主持-小Sing🌸】黃金漲勢如破竹！ 外匯輕鬆易玩？「窮忙族」恩物｜股票｜投資｜指標｜港股｜美股｜入市 13/3/2024 #投資入門 #外匯 #AI</v>
      </c>
      <c r="E7455" s="82">
        <v>45364.0</v>
      </c>
      <c r="F7455" s="80">
        <v>158.0</v>
      </c>
      <c r="G7455" s="80" t="s">
        <v>63</v>
      </c>
      <c r="I7455" s="80" t="s">
        <v>63</v>
      </c>
      <c r="J7455" s="80">
        <v>718.0</v>
      </c>
      <c r="K7455" s="80">
        <v>0.979536152796725</v>
      </c>
      <c r="L7455" s="80" t="s">
        <v>91</v>
      </c>
    </row>
    <row r="7456">
      <c r="A7456" s="80" t="s">
        <v>2041</v>
      </c>
      <c r="B7456" s="81" t="str">
        <f t="shared" si="430"/>
        <v>SingSingTracker 星昇財經指標</v>
      </c>
      <c r="C7456" s="80" t="s">
        <v>8016</v>
      </c>
      <c r="D7456" s="81" t="str">
        <f>HYPERLINK("https://youtube.com/watch?v=_om8X-mbKzk", "【AI 女主持-小Sing🌸】黃金漲勢如破竹！ 外匯輕鬆易玩？「窮忙族」恩物｜股票｜投資｜指標｜港股｜美股｜入市 27/3/2024 #投資入門 外匯 #經濟")</f>
        <v>【AI 女主持-小Sing🌸】黃金漲勢如破竹！ 外匯輕鬆易玩？「窮忙族」恩物｜股票｜投資｜指標｜港股｜美股｜入市 27/3/2024 #投資入門 外匯 #經濟</v>
      </c>
      <c r="E7456" s="82">
        <v>45378.0</v>
      </c>
      <c r="F7456" s="80">
        <v>139.0</v>
      </c>
      <c r="G7456" s="80" t="s">
        <v>63</v>
      </c>
      <c r="I7456" s="80" t="s">
        <v>63</v>
      </c>
      <c r="J7456" s="80">
        <v>582.0</v>
      </c>
      <c r="K7456" s="80">
        <v>0.98477157360406</v>
      </c>
      <c r="L7456" s="80" t="s">
        <v>64</v>
      </c>
    </row>
    <row r="7457">
      <c r="A7457" s="80" t="s">
        <v>5702</v>
      </c>
      <c r="B7457" s="81" t="str">
        <f>HYPERLINK("https://www.youtube.com/channel/UC249m2fxYzK-NnfH06YNP3A", "Siu Mei小美")</f>
        <v>Siu Mei小美</v>
      </c>
      <c r="C7457" s="80" t="s">
        <v>8017</v>
      </c>
      <c r="D7457" s="81" t="str">
        <f>HYPERLINK("https://youtube.com/watch?v=v-h8YDC1gRo", "【2022年度空瓶賞下集】超過30件產品誠實用後感🔥 卸妝洗面🧼真的會白的美白精華✨專櫃都好多伏😫 你永遠可以相信日本的防曬￼｜小美")</f>
        <v>【2022年度空瓶賞下集】超過30件產品誠實用後感🔥 卸妝洗面🧼真的會白的美白精華✨專櫃都好多伏😫 你永遠可以相信日本的防曬￼｜小美</v>
      </c>
      <c r="E7457" s="82">
        <v>45344.0</v>
      </c>
      <c r="F7457" s="80">
        <v>1053.0</v>
      </c>
      <c r="G7457" s="80" t="s">
        <v>63</v>
      </c>
      <c r="I7457" s="80" t="s">
        <v>63</v>
      </c>
      <c r="J7457" s="80">
        <v>5188.0</v>
      </c>
      <c r="K7457" s="80">
        <v>0.904147786685256</v>
      </c>
      <c r="L7457" s="80" t="s">
        <v>64</v>
      </c>
    </row>
    <row r="7458">
      <c r="A7458" s="80" t="s">
        <v>3139</v>
      </c>
      <c r="B7458" s="81" t="str">
        <f>HYPERLINK("https://www.youtube.com/channel/UCThO2xnH7XMg6plE8OgJm_w", "choyuen草原")</f>
        <v>choyuen草原</v>
      </c>
      <c r="C7458" s="80" t="s">
        <v>8018</v>
      </c>
      <c r="D7458" s="81" t="str">
        <f>HYPERLINK("https://youtube.com/watch?v=VFH6E6Mxizc", "花地瑪篤穿梵蒂岡  (A. 聖母顯靈事件)    Fatima : Vatican REVEALED  (A. Understanding Apparition)")</f>
        <v>花地瑪篤穿梵蒂岡  (A. 聖母顯靈事件)    Fatima : Vatican REVEALED  (A. Understanding Apparition)</v>
      </c>
      <c r="E7458" s="82">
        <v>45351.0</v>
      </c>
      <c r="F7458" s="80">
        <v>646.0</v>
      </c>
      <c r="G7458" s="80" t="s">
        <v>63</v>
      </c>
      <c r="I7458" s="80" t="s">
        <v>63</v>
      </c>
      <c r="J7458" s="80">
        <v>1986.0</v>
      </c>
      <c r="K7458" s="80">
        <v>0.913943856419696</v>
      </c>
      <c r="L7458" s="80" t="s">
        <v>64</v>
      </c>
    </row>
    <row r="7459">
      <c r="A7459" s="80" t="s">
        <v>6817</v>
      </c>
      <c r="B7459" s="81" t="str">
        <f t="shared" ref="B7459:B7464" si="431">HYPERLINK("https://www.youtube.com/channel/UCWo5nbifkKDRNyD2nF2KJ0Q", "陳柏宇 Jason Chan")</f>
        <v>陳柏宇 Jason Chan</v>
      </c>
      <c r="C7459" s="80" t="s">
        <v>8019</v>
      </c>
      <c r="D7459" s="81" t="str">
        <f>HYPERLINK("https://youtube.com/watch?v=VEr-XsdOJQ4", "約會第一次見面就手多多摸X體…? ｜口臭體臭變人體生化武器🤢 陳柏宇玩命系列：Leanne都有陣味...有種家的感覺(?)😂｜一人一個約會時的Red flag｜陳柏宇 Jason Chan（中文字幕）")</f>
        <v>約會第一次見面就手多多摸X體…? ｜口臭體臭變人體生化武器🤢 陳柏宇玩命系列：Leanne都有陣味...有種家的感覺(?)😂｜一人一個約會時的Red flag｜陳柏宇 Jason Chan（中文字幕）</v>
      </c>
      <c r="E7459" s="82">
        <v>45392.0</v>
      </c>
      <c r="F7459" s="80">
        <v>692.0</v>
      </c>
      <c r="G7459" s="80" t="s">
        <v>63</v>
      </c>
      <c r="I7459" s="80" t="s">
        <v>63</v>
      </c>
      <c r="J7459" s="80">
        <v>1826.0</v>
      </c>
      <c r="K7459" s="80">
        <v>0.902173913043478</v>
      </c>
      <c r="L7459" s="80" t="s">
        <v>102</v>
      </c>
    </row>
    <row r="7460">
      <c r="A7460" s="80" t="s">
        <v>6817</v>
      </c>
      <c r="B7460" s="81" t="str">
        <f t="shared" si="431"/>
        <v>陳柏宇 Jason Chan</v>
      </c>
      <c r="C7460" s="80" t="s">
        <v>8020</v>
      </c>
      <c r="D7460" s="81" t="str">
        <f>HYPERLINK("https://youtube.com/watch?v=Uhjt1wK449I", "可能係最後一集嘅廣偉論｜陳柏宇大膽提出一夫兩妻想法！｜陳伯家庭危機⚠️大女非親生 現場直擊老婆即場phone in 驚爆老豆係XX？｜What If…｜陳柏宇 Jason Chan（中文字幕）")</f>
        <v>可能係最後一集嘅廣偉論｜陳柏宇大膽提出一夫兩妻想法！｜陳伯家庭危機⚠️大女非親生 現場直擊老婆即場phone in 驚爆老豆係XX？｜What If…｜陳柏宇 Jason Chan（中文字幕）</v>
      </c>
      <c r="E7460" s="82">
        <v>45357.0</v>
      </c>
      <c r="F7460" s="80">
        <v>742.0</v>
      </c>
      <c r="G7460" s="80" t="s">
        <v>63</v>
      </c>
      <c r="I7460" s="80" t="s">
        <v>63</v>
      </c>
      <c r="J7460" s="80">
        <v>2437.0</v>
      </c>
      <c r="K7460" s="80">
        <v>0.90695943431336</v>
      </c>
      <c r="L7460" s="80" t="s">
        <v>102</v>
      </c>
    </row>
    <row r="7461">
      <c r="A7461" s="80" t="s">
        <v>6817</v>
      </c>
      <c r="B7461" s="81" t="str">
        <f t="shared" si="431"/>
        <v>陳柏宇 Jason Chan</v>
      </c>
      <c r="C7461" s="80" t="s">
        <v>8021</v>
      </c>
      <c r="D7461" s="81" t="str">
        <f>HYPERLINK("https://youtube.com/watch?v=KlBqwchWZ3M", "諗唔諗明之鄰居行為｜長期用保鮮紙包住大門 陳柏宇：佢要捉鬼！｜投稿驚見鄰居R完袋再摸自己屋企晾緊嘅被袋😱｜屎水淋花、倒屎水落街？🤢｜陳柏宇 Jason Chan（中文字幕）")</f>
        <v>諗唔諗明之鄰居行為｜長期用保鮮紙包住大門 陳柏宇：佢要捉鬼！｜投稿驚見鄰居R完袋再摸自己屋企晾緊嘅被袋😱｜屎水淋花、倒屎水落街？🤢｜陳柏宇 Jason Chan（中文字幕）</v>
      </c>
      <c r="E7461" s="82">
        <v>45406.0</v>
      </c>
      <c r="F7461" s="80">
        <v>727.0</v>
      </c>
      <c r="G7461" s="80" t="s">
        <v>63</v>
      </c>
      <c r="I7461" s="80" t="s">
        <v>63</v>
      </c>
      <c r="J7461" s="80">
        <v>1964.0</v>
      </c>
      <c r="K7461" s="80">
        <v>0.989420654911838</v>
      </c>
      <c r="L7461" s="80" t="s">
        <v>102</v>
      </c>
    </row>
    <row r="7462">
      <c r="A7462" s="80" t="s">
        <v>6817</v>
      </c>
      <c r="B7462" s="81" t="str">
        <f t="shared" si="431"/>
        <v>陳柏宇 Jason Chan</v>
      </c>
      <c r="C7462" s="80" t="s">
        <v>8022</v>
      </c>
      <c r="D7462" s="81" t="str">
        <f>HYPERLINK("https://youtube.com/watch?v=6AM4dW8ZcYw", "陳柏宇自認容易心軟信人 願意借錢竟然係因爲對方藉口夠滑稽！｜唔還錢理由係「幫你儲住先」｜星座唔夾所以唔還錢住？｜一人一個諗唔諗明唔還錢/借錢嘅藉口｜陳柏宇 Jason Chan（中文字幕）")</f>
        <v>陳柏宇自認容易心軟信人 願意借錢竟然係因爲對方藉口夠滑稽！｜唔還錢理由係「幫你儲住先」｜星座唔夾所以唔還錢住？｜一人一個諗唔諗明唔還錢/借錢嘅藉口｜陳柏宇 Jason Chan（中文字幕）</v>
      </c>
      <c r="E7462" s="82">
        <v>45371.0</v>
      </c>
      <c r="F7462" s="80">
        <v>744.0</v>
      </c>
      <c r="G7462" s="80" t="s">
        <v>63</v>
      </c>
      <c r="I7462" s="80" t="s">
        <v>63</v>
      </c>
      <c r="J7462" s="80">
        <v>2209.0</v>
      </c>
      <c r="K7462" s="80">
        <v>0.936413734633319</v>
      </c>
      <c r="L7462" s="80" t="s">
        <v>102</v>
      </c>
    </row>
    <row r="7463">
      <c r="A7463" s="80" t="s">
        <v>6817</v>
      </c>
      <c r="B7463" s="81" t="str">
        <f t="shared" si="431"/>
        <v>陳柏宇 Jason Chan</v>
      </c>
      <c r="C7463" s="80" t="s">
        <v>8023</v>
      </c>
      <c r="D7463" s="81" t="str">
        <f>HYPERLINK("https://youtube.com/watch?v=6LVeTxARX7A", "陳柏宇老婆睇前世今生 尋找遇上你之前的我？｜在看完這一集的1小時內，轉發給你身邊的人，你會行運一年！｜對流星雨許願｜隨機附送DSE考試貼士｜諗唔諗明之迷信行為｜陳柏宇 Jason Chan（中文字幕）")</f>
        <v>陳柏宇老婆睇前世今生 尋找遇上你之前的我？｜在看完這一集的1小時內，轉發給你身邊的人，你會行運一年！｜對流星雨許願｜隨機附送DSE考試貼士｜諗唔諗明之迷信行為｜陳柏宇 Jason Chan（中文字幕）</v>
      </c>
      <c r="E7463" s="82">
        <v>45399.0</v>
      </c>
      <c r="F7463" s="80">
        <v>744.0</v>
      </c>
      <c r="G7463" s="80" t="s">
        <v>63</v>
      </c>
      <c r="I7463" s="80" t="s">
        <v>63</v>
      </c>
      <c r="J7463" s="80">
        <v>1885.0</v>
      </c>
      <c r="K7463" s="80">
        <v>0.943443443443443</v>
      </c>
      <c r="L7463" s="80" t="s">
        <v>102</v>
      </c>
    </row>
    <row r="7464">
      <c r="A7464" s="80" t="s">
        <v>6817</v>
      </c>
      <c r="B7464" s="81" t="str">
        <f t="shared" si="431"/>
        <v>陳柏宇 Jason Chan</v>
      </c>
      <c r="C7464" s="80" t="s">
        <v>8024</v>
      </c>
      <c r="D7464" s="81" t="str">
        <f>HYPERLINK("https://youtube.com/watch?v=CisR4frQx_Y", "陳柏宇化身J神大談18+男人經 搖柱RJR袋樣樣齊 熱烈討論海量屎尿屁投稿？｜一人一個同居伴侶嘅諗唔諗明行為｜ft. @lilashes 小塵埃 - 陳柏宇 Jason Chan（中文字幕）")</f>
        <v>陳柏宇化身J神大談18+男人經 搖柱RJR袋樣樣齊 熱烈討論海量屎尿屁投稿？｜一人一個同居伴侶嘅諗唔諗明行為｜ft. @lilashes 小塵埃 - 陳柏宇 Jason Chan（中文字幕）</v>
      </c>
      <c r="E7464" s="82">
        <v>45364.0</v>
      </c>
      <c r="F7464" s="80">
        <v>911.0</v>
      </c>
      <c r="G7464" s="80" t="s">
        <v>63</v>
      </c>
      <c r="I7464" s="80" t="s">
        <v>63</v>
      </c>
      <c r="J7464" s="80">
        <v>3208.0</v>
      </c>
      <c r="K7464" s="80">
        <v>0.916309625821193</v>
      </c>
      <c r="L7464" s="80" t="s">
        <v>102</v>
      </c>
    </row>
    <row r="7465">
      <c r="A7465" s="80" t="s">
        <v>7613</v>
      </c>
      <c r="B7465" s="81" t="str">
        <f>HYPERLINK("https://www.youtube.com/channel/UCLYWo70xBDrPYJgJsxoX7Qg", "綠豆 Green Bean Media")</f>
        <v>綠豆 Green Bean Media</v>
      </c>
      <c r="C7465" s="80" t="s">
        <v>8025</v>
      </c>
      <c r="D7465" s="81" t="str">
        <f>HYPERLINK("https://youtube.com/watch?v=_3bzCBgs_Mo", "EP91｜港樓市劈價四起，撤辣小陽春告終？｜李超人「三公子」何去何從？｜調查指在英港人政黨取向多未明｜兩邊走走")</f>
        <v>EP91｜港樓市劈價四起，撤辣小陽春告終？｜李超人「三公子」何去何從？｜調查指在英港人政黨取向多未明｜兩邊走走</v>
      </c>
      <c r="E7465" s="82">
        <v>45408.0</v>
      </c>
      <c r="F7465" s="80">
        <v>2029.0</v>
      </c>
      <c r="G7465" s="80" t="s">
        <v>63</v>
      </c>
      <c r="I7465" s="80" t="s">
        <v>63</v>
      </c>
      <c r="J7465" s="80">
        <v>6618.0</v>
      </c>
      <c r="K7465" s="80">
        <v>0.959547629404088</v>
      </c>
      <c r="L7465" s="80" t="s">
        <v>64</v>
      </c>
    </row>
    <row r="7466">
      <c r="A7466" s="80" t="s">
        <v>7607</v>
      </c>
      <c r="B7466" s="81" t="str">
        <f t="shared" ref="B7466:B7477" si="432">HYPERLINK("https://www.youtube.com/channel/UCpGm9u4iYIev-BCA7mbAt6Q", "TVBean")</f>
        <v>TVBean</v>
      </c>
      <c r="C7466" s="80" t="s">
        <v>8026</v>
      </c>
      <c r="D7466" s="81" t="str">
        <f>HYPERLINK("https://youtube.com/watch?v=GRkFxmSpBlU", "突發‼️ | ᴅᴀɪsᴏ全線8️⃣折 💥| 12蚊店 折後$10都唔洗 | 只限六天 | 30多款必買推介 | 唔洗去淘寶 | 要來尋下寶 | CC中文字幕 | TVBean")</f>
        <v>突發‼️ | ᴅᴀɪsᴏ全線8️⃣折 💥| 12蚊店 折後$10都唔洗 | 只限六天 | 30多款必買推介 | 唔洗去淘寶 | 要來尋下寶 | CC中文字幕 | TVBean</v>
      </c>
      <c r="E7466" s="82">
        <v>45408.0</v>
      </c>
      <c r="F7466" s="80">
        <v>1292.0</v>
      </c>
      <c r="G7466" s="80" t="s">
        <v>63</v>
      </c>
      <c r="I7466" s="80" t="s">
        <v>63</v>
      </c>
      <c r="J7466" s="80">
        <v>3581.0</v>
      </c>
      <c r="K7466" s="80">
        <v>0.90452134377368</v>
      </c>
      <c r="L7466" s="80" t="s">
        <v>91</v>
      </c>
    </row>
    <row r="7467">
      <c r="A7467" s="80" t="s">
        <v>7607</v>
      </c>
      <c r="B7467" s="81" t="str">
        <f t="shared" si="432"/>
        <v>TVBean</v>
      </c>
      <c r="C7467" s="80" t="s">
        <v>8027</v>
      </c>
      <c r="D7467" s="81" t="str">
        <f>HYPERLINK("https://youtube.com/watch?v=0OuabpI0dWs", "突發! | 假日茶市📣 | 抵食好市🍵點心推介 | 抵食過茶記 | 平過番深圳飲茶 | 試食進行中 | CC字幕 | TVBean")</f>
        <v>突發! | 假日茶市📣 | 抵食好市🍵點心推介 | 抵食過茶記 | 平過番深圳飲茶 | 試食進行中 | CC字幕 | TVBean</v>
      </c>
      <c r="E7467" s="82">
        <v>45410.0</v>
      </c>
      <c r="F7467" s="80">
        <v>727.0</v>
      </c>
      <c r="G7467" s="80" t="s">
        <v>63</v>
      </c>
      <c r="I7467" s="80" t="s">
        <v>63</v>
      </c>
      <c r="J7467" s="80">
        <v>2423.0</v>
      </c>
      <c r="K7467" s="80">
        <v>0.979385610347615</v>
      </c>
      <c r="L7467" s="80" t="s">
        <v>91</v>
      </c>
    </row>
    <row r="7468">
      <c r="A7468" s="80" t="s">
        <v>7607</v>
      </c>
      <c r="B7468" s="81" t="str">
        <f t="shared" si="432"/>
        <v>TVBean</v>
      </c>
      <c r="C7468" s="80" t="s">
        <v>8028</v>
      </c>
      <c r="D7468" s="81" t="str">
        <f>HYPERLINK("https://youtube.com/watch?v=0nWUhwVAfPI", "突發! | 全港最平! | 唔識畀佢嚇親 | 識佢畀佢笑暈 | 大燕京 $4.5 | 清雞湯 $3.2 | 芝士通$7.5 | 荔枝水 #$1.2 |  必買推介 | CC中文字幕 | TVBean")</f>
        <v>突發! | 全港最平! | 唔識畀佢嚇親 | 識佢畀佢笑暈 | 大燕京 $4.5 | 清雞湯 $3.2 | 芝士通$7.5 | 荔枝水 #$1.2 |  必買推介 | CC中文字幕 | TVBean</v>
      </c>
      <c r="E7468" s="82">
        <v>45371.0</v>
      </c>
      <c r="F7468" s="80">
        <v>736.0</v>
      </c>
      <c r="G7468" s="80" t="s">
        <v>63</v>
      </c>
      <c r="I7468" s="80" t="s">
        <v>63</v>
      </c>
      <c r="J7468" s="80">
        <v>2027.0</v>
      </c>
      <c r="K7468" s="80">
        <v>0.911011235955056</v>
      </c>
      <c r="L7468" s="80" t="s">
        <v>91</v>
      </c>
    </row>
    <row r="7469">
      <c r="A7469" s="80" t="s">
        <v>7607</v>
      </c>
      <c r="B7469" s="81" t="str">
        <f t="shared" si="432"/>
        <v>TVBean</v>
      </c>
      <c r="C7469" s="80" t="s">
        <v>8029</v>
      </c>
      <c r="D7469" s="81" t="str">
        <f>HYPERLINK("https://youtube.com/watch?v=FW2XVwzuDgY", "突發! | 日本城ᴊʜᴄ折上再８折 | 好抵吖! | 必買推介 | CC中文字幕 | TVBean")</f>
        <v>突發! | 日本城ᴊʜᴄ折上再８折 | 好抵吖! | 必買推介 | CC中文字幕 | TVBean</v>
      </c>
      <c r="E7469" s="82">
        <v>45372.0</v>
      </c>
      <c r="F7469" s="80">
        <v>958.0</v>
      </c>
      <c r="G7469" s="80" t="s">
        <v>63</v>
      </c>
      <c r="I7469" s="80" t="s">
        <v>63</v>
      </c>
      <c r="J7469" s="80">
        <v>2553.0</v>
      </c>
      <c r="K7469" s="80">
        <v>0.963032817804602</v>
      </c>
      <c r="L7469" s="80" t="s">
        <v>91</v>
      </c>
    </row>
    <row r="7470">
      <c r="A7470" s="80" t="s">
        <v>7607</v>
      </c>
      <c r="B7470" s="81" t="str">
        <f t="shared" si="432"/>
        <v>TVBean</v>
      </c>
      <c r="C7470" s="80" t="s">
        <v>8030</v>
      </c>
      <c r="D7470" s="81" t="str">
        <f>HYPERLINK("https://youtube.com/watch?v=st6C8lV6u68", "正宗異國菜 | 吃完想再來 | 反通脹定價! | 即叫即焗𝘗𝘪𝘻𝘻𝘢 $60!!! | 韓國炸雞 | 惹味烤雞手卷 | 西九龍中心貼地遊 | 試食進行中 | TVBean")</f>
        <v>正宗異國菜 | 吃完想再來 | 反通脹定價! | 即叫即焗𝘗𝘪𝘻𝘻𝘢 $60!!! | 韓國炸雞 | 惹味烤雞手卷 | 西九龍中心貼地遊 | 試食進行中 | TVBean</v>
      </c>
      <c r="E7470" s="82">
        <v>45356.0</v>
      </c>
      <c r="F7470" s="80">
        <v>129.0</v>
      </c>
      <c r="G7470" s="80" t="s">
        <v>63</v>
      </c>
      <c r="I7470" s="80" t="s">
        <v>63</v>
      </c>
      <c r="J7470" s="80">
        <v>453.0</v>
      </c>
      <c r="K7470" s="80">
        <v>0.864503816793893</v>
      </c>
      <c r="L7470" s="80" t="s">
        <v>91</v>
      </c>
    </row>
    <row r="7471">
      <c r="A7471" s="80" t="s">
        <v>7607</v>
      </c>
      <c r="B7471" s="81" t="str">
        <f t="shared" si="432"/>
        <v>TVBean</v>
      </c>
      <c r="C7471" s="80" t="s">
        <v>8031</v>
      </c>
      <c r="D7471" s="81" t="str">
        <f>HYPERLINK("https://youtube.com/watch?v=T-ehkfZt6Gw", "突發! | 看後衝動! 假期前激減 | $1起 清貨價 | 深水埗淘多多網民熱買話題 | 唔洗上淘寶 | 要來深水埗 | 仲平過Costco山姆 | CC字幕 | 必買推介 | TVBean")</f>
        <v>突發! | 看後衝動! 假期前激減 | $1起 清貨價 | 深水埗淘多多網民熱買話題 | 唔洗上淘寶 | 要來深水埗 | 仲平過Costco山姆 | CC字幕 | 必買推介 | TVBean</v>
      </c>
      <c r="E7471" s="82">
        <v>45379.0</v>
      </c>
      <c r="F7471" s="80">
        <v>1022.0</v>
      </c>
      <c r="G7471" s="80" t="s">
        <v>63</v>
      </c>
      <c r="I7471" s="80" t="s">
        <v>63</v>
      </c>
      <c r="J7471" s="80">
        <v>2677.0</v>
      </c>
      <c r="K7471" s="80">
        <v>0.953347578347578</v>
      </c>
      <c r="L7471" s="80" t="s">
        <v>91</v>
      </c>
    </row>
    <row r="7472">
      <c r="A7472" s="80" t="s">
        <v>7607</v>
      </c>
      <c r="B7472" s="81" t="str">
        <f t="shared" si="432"/>
        <v>TVBean</v>
      </c>
      <c r="C7472" s="80" t="s">
        <v>8032</v>
      </c>
      <c r="D7472" s="81" t="str">
        <f>HYPERLINK("https://youtube.com/watch?v=z-3ks2YQNsY", "突發! | $88 任食 | 本地消費戰 | 日式火鍋 任飲任食 定量放題 | 試食進行中 | CC中文字幕 | 大將 | TVBean")</f>
        <v>突發! | $88 任食 | 本地消費戰 | 日式火鍋 任飲任食 定量放題 | 試食進行中 | CC中文字幕 | 大將 | TVBean</v>
      </c>
      <c r="E7472" s="82">
        <v>45375.0</v>
      </c>
      <c r="F7472" s="80">
        <v>796.0</v>
      </c>
      <c r="G7472" s="80" t="s">
        <v>63</v>
      </c>
      <c r="I7472" s="80" t="s">
        <v>63</v>
      </c>
      <c r="J7472" s="80">
        <v>2690.0</v>
      </c>
      <c r="K7472" s="80">
        <v>0.967625899280575</v>
      </c>
      <c r="L7472" s="80" t="s">
        <v>91</v>
      </c>
    </row>
    <row r="7473">
      <c r="A7473" s="80" t="s">
        <v>7607</v>
      </c>
      <c r="B7473" s="81" t="str">
        <f t="shared" si="432"/>
        <v>TVBean</v>
      </c>
      <c r="C7473" s="80" t="s">
        <v>8033</v>
      </c>
      <c r="D7473" s="81" t="str">
        <f>HYPERLINK("https://youtube.com/watch?v=dLW-ElGDh9k", "突發! | 窮遊長沙灣 | 買到收唔到手 | $1 柚子檸檬梳打 | 全港最平超市 | 超過30款抵買推介 | 友誠平價食品超市 | 必買推介 | CC中文字幕 | TVBean #本地消費")</f>
        <v>突發! | 窮遊長沙灣 | 買到收唔到手 | $1 柚子檸檬梳打 | 全港最平超市 | 超過30款抵買推介 | 友誠平價食品超市 | 必買推介 | CC中文字幕 | TVBean #本地消費</v>
      </c>
      <c r="E7473" s="82">
        <v>45367.0</v>
      </c>
      <c r="F7473" s="80">
        <v>516.0</v>
      </c>
      <c r="G7473" s="80" t="s">
        <v>63</v>
      </c>
      <c r="I7473" s="80" t="s">
        <v>63</v>
      </c>
      <c r="J7473" s="80">
        <v>1589.0</v>
      </c>
      <c r="K7473" s="80">
        <v>0.964784456587735</v>
      </c>
      <c r="L7473" s="80" t="s">
        <v>91</v>
      </c>
    </row>
    <row r="7474">
      <c r="A7474" s="80" t="s">
        <v>7607</v>
      </c>
      <c r="B7474" s="81" t="str">
        <f t="shared" si="432"/>
        <v>TVBean</v>
      </c>
      <c r="C7474" s="80" t="s">
        <v>8034</v>
      </c>
      <c r="D7474" s="81" t="str">
        <f>HYPERLINK("https://youtube.com/watch?v=Sfz3AC2EhBI", "突發! $1塊豬柳漢堡 | 山姆Costco都搵唔到 | 超過30款特價產品推介 | 本地消費 | 香港平價超市 | 必買推介 | CC字幕 | TVBean")</f>
        <v>突發! $1塊豬柳漢堡 | 山姆Costco都搵唔到 | 超過30款特價產品推介 | 本地消費 | 香港平價超市 | 必買推介 | CC字幕 | TVBean</v>
      </c>
      <c r="E7474" s="82">
        <v>45361.0</v>
      </c>
      <c r="F7474" s="80">
        <v>969.0</v>
      </c>
      <c r="G7474" s="80" t="s">
        <v>63</v>
      </c>
      <c r="I7474" s="80" t="s">
        <v>63</v>
      </c>
      <c r="J7474" s="80">
        <v>2968.0</v>
      </c>
      <c r="K7474" s="80">
        <v>0.971204188481675</v>
      </c>
      <c r="L7474" s="80" t="s">
        <v>91</v>
      </c>
    </row>
    <row r="7475">
      <c r="A7475" s="80" t="s">
        <v>7607</v>
      </c>
      <c r="B7475" s="81" t="str">
        <f t="shared" si="432"/>
        <v>TVBean</v>
      </c>
      <c r="C7475" s="80" t="s">
        <v>8035</v>
      </c>
      <c r="D7475" s="81" t="str">
        <f>HYPERLINK("https://youtube.com/watch?v=gVdQiy9GRWg", "突發! | 看後驚呆 | 平價超市新寵 | $2.5 葡萄適 | 超過50款抵買推介 | 友誠對手 | Bee Market 生生市場 | 必買推介 | CC中文字幕 | TVBean")</f>
        <v>突發! | 看後驚呆 | 平價超市新寵 | $2.5 葡萄適 | 超過50款抵買推介 | 友誠對手 | Bee Market 生生市場 | 必買推介 | CC中文字幕 | TVBean</v>
      </c>
      <c r="E7475" s="82">
        <v>45366.0</v>
      </c>
      <c r="F7475" s="80">
        <v>977.0</v>
      </c>
      <c r="G7475" s="80" t="s">
        <v>63</v>
      </c>
      <c r="I7475" s="80" t="s">
        <v>63</v>
      </c>
      <c r="J7475" s="80">
        <v>2807.0</v>
      </c>
      <c r="K7475" s="80">
        <v>0.950236966824644</v>
      </c>
      <c r="L7475" s="80" t="s">
        <v>91</v>
      </c>
    </row>
    <row r="7476">
      <c r="A7476" s="80" t="s">
        <v>7607</v>
      </c>
      <c r="B7476" s="81" t="str">
        <f t="shared" si="432"/>
        <v>TVBean</v>
      </c>
      <c r="C7476" s="80" t="s">
        <v>8036</v>
      </c>
      <c r="D7476" s="81" t="str">
        <f>HYPERLINK("https://youtube.com/watch?v=ksjCJBvq2L0", "突發! | $6特價區 | 再買3送1 | 折後$4.5 | 12蚊店抵買推介 | 唔洗上山姆 | 唔洗去淘寶 | 要來C生活 | 10大必買推介 | TVBean")</f>
        <v>突發! | $6特價區 | 再買3送1 | 折後$4.5 | 12蚊店抵買推介 | 唔洗上山姆 | 唔洗去淘寶 | 要來C生活 | 10大必買推介 | TVBean</v>
      </c>
      <c r="E7476" s="82">
        <v>45370.0</v>
      </c>
      <c r="F7476" s="80">
        <v>876.0</v>
      </c>
      <c r="G7476" s="80" t="s">
        <v>63</v>
      </c>
      <c r="I7476" s="80" t="s">
        <v>63</v>
      </c>
      <c r="J7476" s="80">
        <v>2317.0</v>
      </c>
      <c r="K7476" s="80">
        <v>0.93578352180937</v>
      </c>
      <c r="L7476" s="80" t="s">
        <v>91</v>
      </c>
    </row>
    <row r="7477">
      <c r="A7477" s="80" t="s">
        <v>7607</v>
      </c>
      <c r="B7477" s="81" t="str">
        <f t="shared" si="432"/>
        <v>TVBean</v>
      </c>
      <c r="C7477" s="80" t="s">
        <v>8037</v>
      </c>
      <c r="D7477" s="81" t="str">
        <f>HYPERLINK("https://youtube.com/watch?v=7wwqC-buKyM", "突發! | 係咪標錯價? 平到你唔信! | 限時獨家優惠 | 只此一家 | 平絕香港 | 掀搶購潮 | 超過30款優惠推介 | 必買推介 | CC中文字幕 | TVBean")</f>
        <v>突發! | 係咪標錯價? 平到你唔信! | 限時獨家優惠 | 只此一家 | 平絕香港 | 掀搶購潮 | 超過30款優惠推介 | 必買推介 | CC中文字幕 | TVBean</v>
      </c>
      <c r="E7477" s="82">
        <v>45363.0</v>
      </c>
      <c r="F7477" s="80">
        <v>774.0</v>
      </c>
      <c r="G7477" s="80" t="s">
        <v>63</v>
      </c>
      <c r="I7477" s="80" t="s">
        <v>63</v>
      </c>
      <c r="J7477" s="80">
        <v>2539.0</v>
      </c>
      <c r="K7477" s="80">
        <v>0.961742424242424</v>
      </c>
      <c r="L7477" s="80" t="s">
        <v>91</v>
      </c>
    </row>
    <row r="7478">
      <c r="A7478" s="80" t="s">
        <v>7613</v>
      </c>
      <c r="B7478" s="81" t="str">
        <f>HYPERLINK("https://www.youtube.com/channel/UCLYWo70xBDrPYJgJsxoX7Qg", "綠豆 Green Bean Media")</f>
        <v>綠豆 Green Bean Media</v>
      </c>
      <c r="C7478" s="80" t="s">
        <v>8038</v>
      </c>
      <c r="D7478" s="81" t="str">
        <f>HYPERLINK("https://youtube.com/watch?v=9pdFCbtf010", "李家三兒子 - 李嘉誠基金會何去何從？｜小島大風吹｜#兩邊走走")</f>
        <v>李家三兒子 - 李嘉誠基金會何去何從？｜小島大風吹｜#兩邊走走</v>
      </c>
      <c r="E7478" s="82">
        <v>45412.0</v>
      </c>
      <c r="F7478" s="80">
        <v>387.0</v>
      </c>
      <c r="G7478" s="80" t="s">
        <v>63</v>
      </c>
      <c r="I7478" s="80" t="s">
        <v>63</v>
      </c>
      <c r="J7478" s="80">
        <v>1318.0</v>
      </c>
      <c r="K7478" s="80">
        <v>0.956458635703918</v>
      </c>
      <c r="L7478" s="80" t="s">
        <v>64</v>
      </c>
    </row>
    <row r="7479">
      <c r="A7479" s="80" t="s">
        <v>6960</v>
      </c>
      <c r="B7479" s="81" t="str">
        <f t="shared" ref="B7479:B7480" si="433">HYPERLINK("https://www.youtube.com/channel/UCQS2_zzisMq5C_FggxsQwTQ", "Comprehensible Cantonese")</f>
        <v>Comprehensible Cantonese</v>
      </c>
      <c r="C7479" s="80" t="s">
        <v>8039</v>
      </c>
      <c r="D7479" s="81" t="str">
        <f>HYPERLINK("https://youtube.com/watch?v=ELO6YK6dg2w", "[CC] 廣東話 2 Minutes Easy Cantonese Story (Ep. 1) | Comprehensible Input | Basic Beginner Cantonese")</f>
        <v>[CC] 廣東話 2 Minutes Easy Cantonese Story (Ep. 1) | Comprehensible Input | Basic Beginner Cantonese</v>
      </c>
      <c r="E7479" s="82">
        <v>45408.0</v>
      </c>
      <c r="F7479" s="80">
        <v>131.0</v>
      </c>
      <c r="G7479" s="80" t="s">
        <v>63</v>
      </c>
      <c r="I7479" s="80" t="s">
        <v>63</v>
      </c>
      <c r="J7479" s="80">
        <v>186.0</v>
      </c>
      <c r="K7479" s="80">
        <v>0.819383259911894</v>
      </c>
      <c r="L7479" s="80" t="s">
        <v>102</v>
      </c>
    </row>
    <row r="7480">
      <c r="A7480" s="80" t="s">
        <v>6960</v>
      </c>
      <c r="B7480" s="81" t="str">
        <f t="shared" si="433"/>
        <v>Comprehensible Cantonese</v>
      </c>
      <c r="C7480" s="80" t="s">
        <v>8040</v>
      </c>
      <c r="D7480" s="81" t="str">
        <f>HYPERLINK("https://youtube.com/watch?v=wBC-2i7HqjA", "Personal Story: I wished I could Sink through the Ground |Comprehensible Cantonese| Intermediate 廣東話")</f>
        <v>Personal Story: I wished I could Sink through the Ground |Comprehensible Cantonese| Intermediate 廣東話</v>
      </c>
      <c r="E7480" s="82">
        <v>45411.0</v>
      </c>
      <c r="F7480" s="80">
        <v>497.0</v>
      </c>
      <c r="G7480" s="80" t="s">
        <v>63</v>
      </c>
      <c r="I7480" s="80" t="s">
        <v>63</v>
      </c>
      <c r="J7480" s="80">
        <v>1399.0</v>
      </c>
      <c r="K7480" s="80">
        <v>0.983825597749648</v>
      </c>
      <c r="L7480" s="80" t="s">
        <v>102</v>
      </c>
    </row>
    <row r="7481">
      <c r="A7481" s="80" t="s">
        <v>6892</v>
      </c>
      <c r="B7481" s="81" t="str">
        <f t="shared" ref="B7481:B7482" si="434">HYPERLINK("https://www.youtube.com/channel/UC8_hxeY0nDCL-8ETbcGUZ9g", "PT食為先")</f>
        <v>PT食為先</v>
      </c>
      <c r="C7481" s="80" t="s">
        <v>8041</v>
      </c>
      <c r="D7481" s="81" t="str">
        <f>HYPERLINK("https://youtube.com/watch?v=OdQ4f_Lv0bQ", "[PT自費食評] 中環最新點心放題！打卡級裝修 片皮鴨超肥美！")</f>
        <v>[PT自費食評] 中環最新點心放題！打卡級裝修 片皮鴨超肥美！</v>
      </c>
      <c r="E7481" s="82">
        <v>45409.0</v>
      </c>
      <c r="F7481" s="80">
        <v>668.0</v>
      </c>
      <c r="G7481" s="80" t="s">
        <v>63</v>
      </c>
      <c r="I7481" s="80" t="s">
        <v>63</v>
      </c>
      <c r="J7481" s="80">
        <v>1766.0</v>
      </c>
      <c r="K7481" s="80">
        <v>0.948952176249328</v>
      </c>
      <c r="L7481" s="80" t="s">
        <v>64</v>
      </c>
    </row>
    <row r="7482">
      <c r="A7482" s="80" t="s">
        <v>6892</v>
      </c>
      <c r="B7482" s="81" t="str">
        <f t="shared" si="434"/>
        <v>PT食為先</v>
      </c>
      <c r="C7482" s="80" t="s">
        <v>8042</v>
      </c>
      <c r="D7482" s="81" t="str">
        <f>HYPERLINK("https://youtube.com/watch?v=lSwq7FQ4Drc", "無懼北上風潮「麵尊車仔麵」有咩咁巴閉？平民泰菜 咖哩金麵你食過未？自費實測銅鑼灣＋灣仔2間人氣餐廳")</f>
        <v>無懼北上風潮「麵尊車仔麵」有咩咁巴閉？平民泰菜 咖哩金麵你食過未？自費實測銅鑼灣＋灣仔2間人氣餐廳</v>
      </c>
      <c r="E7482" s="82">
        <v>45413.0</v>
      </c>
      <c r="F7482" s="80">
        <v>717.0</v>
      </c>
      <c r="G7482" s="80" t="s">
        <v>63</v>
      </c>
      <c r="I7482" s="80" t="s">
        <v>63</v>
      </c>
      <c r="J7482" s="80">
        <v>1865.0</v>
      </c>
      <c r="K7482" s="80">
        <v>0.952016334864726</v>
      </c>
      <c r="L7482" s="80" t="s">
        <v>64</v>
      </c>
    </row>
    <row r="7483">
      <c r="A7483" s="80" t="s">
        <v>124</v>
      </c>
      <c r="B7483" s="81" t="str">
        <f>HYPERLINK("https://www.youtube.com/channel/UCg0vuSE0fBF_NvodyYhMcWg", "Wallace Studio HK")</f>
        <v>Wallace Studio HK</v>
      </c>
      <c r="C7483" s="80" t="s">
        <v>8043</v>
      </c>
      <c r="D7483" s="81" t="str">
        <f>HYPERLINK("https://youtube.com/watch?v=Bv5pGxwe0tI", "Notion 系統分享，透過Notion 整理人生，定立目標，回顧人生！擺脫混亂思緒！")</f>
        <v>Notion 系統分享，透過Notion 整理人生，定立目標，回顧人生！擺脫混亂思緒！</v>
      </c>
      <c r="E7483" s="82">
        <v>45410.0</v>
      </c>
      <c r="F7483" s="80">
        <v>376.0</v>
      </c>
      <c r="G7483" s="80" t="s">
        <v>63</v>
      </c>
      <c r="I7483" s="80" t="s">
        <v>63</v>
      </c>
      <c r="J7483" s="80">
        <v>1439.0</v>
      </c>
      <c r="K7483" s="80">
        <v>0.713789682539682</v>
      </c>
      <c r="L7483" s="80" t="s">
        <v>64</v>
      </c>
    </row>
    <row r="7484">
      <c r="A7484" s="80" t="s">
        <v>960</v>
      </c>
      <c r="B7484" s="81" t="str">
        <f>HYPERLINK("https://www.youtube.com/channel/UCXf8jlTSP9kp6g4ROCfgvbQ", "堅離地球・沈旭暉・馮智政")</f>
        <v>堅離地球・沈旭暉・馮智政</v>
      </c>
      <c r="C7484" s="80" t="s">
        <v>8044</v>
      </c>
      <c r="D7484" s="81" t="str">
        <f>HYPERLINK("https://youtube.com/watch?v=p2HHsLCl8Bk", "【堅離地政經】讀大學的性價比：香港各大學學費 倡加價38%；全球大學學費高昂貴，港英美加都可以賺回來。任籌款晚宴主持為在家基金籌奬學金 (馮智政＠周日談教育）")</f>
        <v>【堅離地政經】讀大學的性價比：香港各大學學費 倡加價38%；全球大學學費高昂貴，港英美加都可以賺回來。任籌款晚宴主持為在家基金籌奬學金 (馮智政＠周日談教育）</v>
      </c>
      <c r="E7484" s="82">
        <v>45410.0</v>
      </c>
      <c r="F7484" s="80">
        <v>1260.0</v>
      </c>
      <c r="G7484" s="80" t="s">
        <v>63</v>
      </c>
      <c r="I7484" s="80" t="s">
        <v>63</v>
      </c>
      <c r="J7484" s="80">
        <v>4825.0</v>
      </c>
      <c r="K7484" s="80">
        <v>0.907466616513071</v>
      </c>
      <c r="L7484" s="80" t="s">
        <v>64</v>
      </c>
    </row>
    <row r="7485">
      <c r="A7485" s="80" t="s">
        <v>2766</v>
      </c>
      <c r="B7485" s="81" t="str">
        <f>HYPERLINK("https://www.youtube.com/channel/UCrZG5sGryxwgSDQSlHgmZTw", "GadgetGang HK")</f>
        <v>GadgetGang HK</v>
      </c>
      <c r="C7485" s="80" t="s">
        <v>8045</v>
      </c>
      <c r="D7485" s="81" t="str">
        <f>HYPERLINK("https://youtube.com/watch?v=d7sN3-JAzQU", "完美 Windows 手提電腦？〡 輕薄機身筆電 裝滿 最強硬件〡 Intel Ultra 9  配 RTX 4090 加 OLED 靚芒 〡都可以保持文書機身型〡大型斜線燈條低調有型")</f>
        <v>完美 Windows 手提電腦？〡 輕薄機身筆電 裝滿 最強硬件〡 Intel Ultra 9  配 RTX 4090 加 OLED 靚芒 〡都可以保持文書機身型〡大型斜線燈條低調有型</v>
      </c>
      <c r="E7485" s="82">
        <v>45414.0</v>
      </c>
      <c r="F7485" s="80">
        <v>570.0</v>
      </c>
      <c r="G7485" s="80" t="s">
        <v>63</v>
      </c>
      <c r="I7485" s="80" t="s">
        <v>63</v>
      </c>
      <c r="J7485" s="80">
        <v>1514.0</v>
      </c>
      <c r="K7485" s="80">
        <v>0.792255363683935</v>
      </c>
      <c r="L7485" s="80" t="s">
        <v>64</v>
      </c>
    </row>
    <row r="7486">
      <c r="A7486" s="80" t="s">
        <v>260</v>
      </c>
      <c r="B7486" s="81" t="str">
        <f>HYPERLINK("https://www.youtube.com/channel/UC-HXOikkLx7BGEfILGIpYOg", "港短 . 英移")</f>
        <v>港短 . 英移</v>
      </c>
      <c r="C7486" s="80" t="s">
        <v>8046</v>
      </c>
      <c r="D7486" s="81" t="str">
        <f>HYPERLINK("https://youtube.com/watch?v=ocTwO_vczIU", "點解英國人咁相信呢個湖有水怪? | 港短.英移")</f>
        <v>點解英國人咁相信呢個湖有水怪? | 港短.英移</v>
      </c>
      <c r="E7486" s="82">
        <v>45407.0</v>
      </c>
      <c r="F7486" s="80">
        <v>451.0</v>
      </c>
      <c r="G7486" s="80" t="s">
        <v>63</v>
      </c>
      <c r="I7486" s="80" t="s">
        <v>63</v>
      </c>
      <c r="J7486" s="80">
        <v>2018.0</v>
      </c>
      <c r="K7486" s="80">
        <v>0.983910287664553</v>
      </c>
      <c r="L7486" s="80" t="s">
        <v>102</v>
      </c>
    </row>
    <row r="7487">
      <c r="A7487" s="80" t="s">
        <v>5992</v>
      </c>
      <c r="B7487" s="81" t="str">
        <f>HYPERLINK("https://www.youtube.com/channel/UCEuQ-0x3uMk1KghGiO1kTHg", "MIRROR")</f>
        <v>MIRROR</v>
      </c>
      <c r="C7487" s="80" t="s">
        <v>8047</v>
      </c>
      <c r="D7487" s="81" t="str">
        <f>HYPERLINK("https://youtube.com/watch?v=DaQNnnU1DA4", "Keung To 姜濤 《好得太過份》 (You're out of this world) Official Music Video")</f>
        <v>Keung To 姜濤 《好得太過份》 (You're out of this world) Official Music Video</v>
      </c>
      <c r="E7487" s="82">
        <v>45412.0</v>
      </c>
      <c r="F7487" s="80">
        <v>224.0</v>
      </c>
      <c r="G7487" s="80" t="s">
        <v>63</v>
      </c>
      <c r="I7487" s="80" t="s">
        <v>63</v>
      </c>
      <c r="J7487" s="80">
        <v>348.0</v>
      </c>
      <c r="K7487" s="80">
        <v>0.988636363636363</v>
      </c>
      <c r="L7487" s="80" t="s">
        <v>521</v>
      </c>
    </row>
    <row r="7488">
      <c r="A7488" s="80" t="s">
        <v>260</v>
      </c>
      <c r="B7488" s="81" t="str">
        <f>HYPERLINK("https://www.youtube.com/channel/UC-HXOikkLx7BGEfILGIpYOg", "港短 . 英移")</f>
        <v>港短 . 英移</v>
      </c>
      <c r="C7488" s="80" t="s">
        <v>8048</v>
      </c>
      <c r="D7488" s="81" t="str">
        <f>HYPERLINK("https://youtube.com/watch?v=jvPZP_8szrg", "點解英國人老得特別快? 香港人需要小心一樣野 | 港短.英移")</f>
        <v>點解英國人老得特別快? 香港人需要小心一樣野 | 港短.英移</v>
      </c>
      <c r="E7488" s="82">
        <v>45414.0</v>
      </c>
      <c r="F7488" s="80">
        <v>354.0</v>
      </c>
      <c r="G7488" s="80" t="s">
        <v>63</v>
      </c>
      <c r="I7488" s="80" t="s">
        <v>63</v>
      </c>
      <c r="J7488" s="80">
        <v>1588.0</v>
      </c>
      <c r="K7488" s="80">
        <v>0.96888346552776</v>
      </c>
      <c r="L7488" s="80" t="s">
        <v>102</v>
      </c>
    </row>
  </sheetData>
  <customSheetViews>
    <customSheetView guid="{99C4449D-9F47-4A4A-8EEC-1E241A674712}" filter="1" showAutoFilter="1">
      <autoFilter ref="$A$1:$L$7488">
        <filterColumn colId="8">
          <filters>
            <filter val="Y"/>
          </filters>
        </filterColumn>
        <sortState ref="A1:L7488">
          <sortCondition descending="1" ref="F1:F7488"/>
          <sortCondition descending="1" ref="I1:I7488"/>
          <sortCondition descending="1" ref="H1:H7488"/>
        </sortState>
      </autoFilter>
    </customSheetView>
    <customSheetView guid="{BE681E49-2728-43E1-B378-6F34BCBA6792}" filter="1" showAutoFilter="1">
      <autoFilter ref="$A$1:$L$7488">
        <filterColumn colId="8">
          <filters>
            <filter val="Y"/>
          </filters>
        </filterColumn>
        <sortState ref="A1:L7488">
          <sortCondition descending="1" ref="E1:E7488"/>
          <sortCondition descending="1" ref="D1:D7488"/>
          <sortCondition descending="1" ref="H1:H7488"/>
        </sortState>
      </autoFilter>
    </customSheetView>
    <customSheetView guid="{C954CD59-645F-44BA-9A7B-7E90049F6C4B}" filter="1" showAutoFilter="1">
      <autoFilter ref="$A$1:$L$7488">
        <filterColumn colId="8">
          <filters>
            <filter val="Y"/>
          </filters>
        </filterColumn>
        <sortState ref="A1:L7488">
          <sortCondition descending="1" ref="J1:J7488"/>
        </sortState>
      </autoFilter>
    </customSheetView>
    <customSheetView guid="{1A2C8D44-5997-4A6A-8ABD-7472B109A3B6}" filter="1" showAutoFilter="1">
      <autoFilter ref="$A$1:$L$7488">
        <sortState ref="A1:L7488">
          <sortCondition ref="B1:B7488"/>
          <sortCondition descending="1" ref="E1:E7488"/>
          <sortCondition ref="A1:A7488"/>
          <sortCondition descending="1" ref="D1:D7488"/>
        </sortState>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37.13"/>
    <col customWidth="1" min="2" max="2" width="58.0"/>
    <col customWidth="1" min="3" max="3" width="7.38"/>
    <col customWidth="1" min="4" max="4" width="8.5"/>
    <col customWidth="1" min="5" max="5" width="4.75"/>
    <col customWidth="1" min="6" max="6" width="7.5"/>
  </cols>
  <sheetData>
    <row r="1">
      <c r="A1" s="77" t="s">
        <v>13</v>
      </c>
      <c r="B1" s="77" t="s">
        <v>15</v>
      </c>
      <c r="C1" s="77" t="s">
        <v>50</v>
      </c>
      <c r="D1" s="77" t="s">
        <v>25</v>
      </c>
      <c r="E1" s="77" t="s">
        <v>27</v>
      </c>
      <c r="F1" s="77" t="s">
        <v>29</v>
      </c>
      <c r="G1" s="79"/>
      <c r="H1" s="79"/>
      <c r="I1" s="79"/>
      <c r="J1" s="79"/>
      <c r="K1" s="79"/>
      <c r="L1" s="79"/>
      <c r="M1" s="79"/>
      <c r="N1" s="79"/>
      <c r="O1" s="79"/>
      <c r="P1" s="79"/>
      <c r="Q1" s="79"/>
      <c r="R1" s="79"/>
      <c r="S1" s="79"/>
      <c r="T1" s="79"/>
      <c r="U1" s="79"/>
      <c r="V1" s="79"/>
      <c r="W1" s="79"/>
    </row>
    <row r="2">
      <c r="A2" s="80" t="s">
        <v>248</v>
      </c>
      <c r="B2" s="81" t="str">
        <f>HYPERLINK("https://www.youtube.com/channel/UCUEJok-GiWaGlv5nIPwk-GQ", "Price.com.hk 香港格價網")</f>
        <v>Price.com.hk 香港格價網</v>
      </c>
      <c r="C2" s="80">
        <v>810.0</v>
      </c>
      <c r="D2" s="80">
        <v>810.0</v>
      </c>
      <c r="E2" s="80">
        <v>376.0</v>
      </c>
      <c r="F2" s="80">
        <v>434.0</v>
      </c>
    </row>
    <row r="3">
      <c r="A3" s="80" t="s">
        <v>755</v>
      </c>
      <c r="B3" s="81" t="str">
        <f>HYPERLINK("https://www.youtube.com/channel/UCBiJDTc82IM68KVH873VeAw", "Live in Kwangsi廣西人·情·味")</f>
        <v>Live in Kwangsi廣西人·情·味</v>
      </c>
      <c r="C3" s="80">
        <v>461.0</v>
      </c>
      <c r="D3" s="80">
        <v>460.0</v>
      </c>
      <c r="E3" s="80">
        <v>122.0</v>
      </c>
      <c r="F3" s="80">
        <v>374.0</v>
      </c>
    </row>
    <row r="4">
      <c r="A4" s="80" t="s">
        <v>127</v>
      </c>
      <c r="B4" s="81" t="str">
        <f>HYPERLINK("https://www.youtube.com/channel/UC97oYK3XMf9RLtkc0lO8C-Q", "健康旦 HiEggo")</f>
        <v>健康旦 HiEggo</v>
      </c>
      <c r="C4" s="80">
        <v>1494.0</v>
      </c>
      <c r="D4" s="80">
        <v>1492.0</v>
      </c>
      <c r="E4" s="80">
        <v>1174.0</v>
      </c>
      <c r="F4" s="80">
        <v>318.0</v>
      </c>
    </row>
    <row r="5">
      <c r="A5" s="80" t="s">
        <v>61</v>
      </c>
      <c r="B5" s="81" t="str">
        <f>HYPERLINK("https://www.youtube.com/channel/UCJ4XVrJuqKHbc9yF9oUFseg", "MEeeep More")</f>
        <v>MEeeep More</v>
      </c>
      <c r="C5" s="80">
        <v>292.0</v>
      </c>
      <c r="D5" s="80">
        <v>292.0</v>
      </c>
      <c r="E5" s="80">
        <v>8.0</v>
      </c>
      <c r="F5" s="80">
        <v>284.0</v>
      </c>
    </row>
    <row r="6">
      <c r="A6" s="80" t="s">
        <v>293</v>
      </c>
      <c r="B6" s="81" t="str">
        <f>HYPERLINK("https://www.youtube.com/channel/UCXRcbXqjORdIvl63I7MtOLQ", "趁熱 Kerry 's kitchen")</f>
        <v>趁熱 Kerry 's kitchen</v>
      </c>
      <c r="C6" s="80">
        <v>526.0</v>
      </c>
      <c r="D6" s="80">
        <v>524.0</v>
      </c>
      <c r="E6" s="80">
        <v>279.0</v>
      </c>
      <c r="F6" s="80">
        <v>245.0</v>
      </c>
    </row>
    <row r="7">
      <c r="A7" s="80" t="s">
        <v>74</v>
      </c>
      <c r="B7" s="81" t="str">
        <f>HYPERLINK("https://www.youtube.com/channel/UCO_5XP-qd-udNxBlzzSzgvw", "Handline Fishing")</f>
        <v>Handline Fishing</v>
      </c>
      <c r="C7" s="80">
        <v>277.0</v>
      </c>
      <c r="D7" s="80">
        <v>274.0</v>
      </c>
      <c r="E7" s="80">
        <v>130.0</v>
      </c>
      <c r="F7" s="80">
        <v>244.0</v>
      </c>
    </row>
    <row r="8">
      <c r="A8" s="80" t="s">
        <v>124</v>
      </c>
      <c r="B8" s="81" t="str">
        <f>HYPERLINK("https://www.youtube.com/channel/UCg0vuSE0fBF_NvodyYhMcWg", "Wallace Studio HK")</f>
        <v>Wallace Studio HK</v>
      </c>
      <c r="C8" s="80">
        <v>223.0</v>
      </c>
      <c r="D8" s="80">
        <v>223.0</v>
      </c>
      <c r="E8" s="80">
        <v>139.0</v>
      </c>
      <c r="F8" s="80">
        <v>212.0</v>
      </c>
    </row>
    <row r="9">
      <c r="A9" s="80" t="s">
        <v>217</v>
      </c>
      <c r="B9" s="81" t="str">
        <f>HYPERLINK("https://www.youtube.com/channel/UCXKg0qPRz32bs5Z4mTGF3TQ", "Stormtrooper白兵")</f>
        <v>Stormtrooper白兵</v>
      </c>
      <c r="C9" s="80">
        <v>250.0</v>
      </c>
      <c r="D9" s="80">
        <v>247.0</v>
      </c>
      <c r="E9" s="80">
        <v>80.0</v>
      </c>
      <c r="F9" s="80">
        <v>206.0</v>
      </c>
    </row>
    <row r="10">
      <c r="A10" s="80" t="s">
        <v>593</v>
      </c>
      <c r="B10" s="81" t="str">
        <f>HYPERLINK("https://www.youtube.com/channel/UCsSO44XVYhs_fQU2zDR82CA", "餓底男女")</f>
        <v>餓底男女</v>
      </c>
      <c r="C10" s="80">
        <v>167.0</v>
      </c>
      <c r="D10" s="80">
        <v>167.0</v>
      </c>
      <c r="E10" s="80">
        <v>10.0</v>
      </c>
      <c r="F10" s="80">
        <v>159.0</v>
      </c>
    </row>
    <row r="11">
      <c r="A11" s="80" t="s">
        <v>1260</v>
      </c>
      <c r="B11" s="81" t="str">
        <f>HYPERLINK("https://www.youtube.com/channel/UCh1k4i86BpiXEO3nzJIYynw", "The Wave")</f>
        <v>The Wave</v>
      </c>
      <c r="C11" s="80">
        <v>174.0</v>
      </c>
      <c r="D11" s="80">
        <v>170.0</v>
      </c>
      <c r="E11" s="80">
        <v>161.0</v>
      </c>
      <c r="F11" s="80">
        <v>156.0</v>
      </c>
    </row>
    <row r="12">
      <c r="A12" s="80" t="s">
        <v>2041</v>
      </c>
      <c r="B12" s="81" t="str">
        <f>HYPERLINK("https://www.youtube.com/channel/UCO6pB-ZN4XJ6MVkibvuEe0A", "SingSingTracker 星昇財經指標")</f>
        <v>SingSingTracker 星昇財經指標</v>
      </c>
      <c r="C12" s="80">
        <v>135.0</v>
      </c>
      <c r="D12" s="80">
        <v>135.0</v>
      </c>
      <c r="E12" s="80">
        <v>0.0</v>
      </c>
      <c r="F12" s="80">
        <v>135.0</v>
      </c>
    </row>
    <row r="13">
      <c r="A13" s="80" t="s">
        <v>98</v>
      </c>
      <c r="B13" s="81" t="str">
        <f>HYPERLINK("https://www.youtube.com/channel/UCrquuQB6v1Ued2xyRKZreGQ", "Stephen Leung ")</f>
        <v>Stephen Leung </v>
      </c>
      <c r="C13" s="80">
        <v>219.0</v>
      </c>
      <c r="D13" s="80">
        <v>187.0</v>
      </c>
      <c r="E13" s="80">
        <v>62.0</v>
      </c>
      <c r="F13" s="80">
        <v>125.0</v>
      </c>
    </row>
    <row r="14">
      <c r="A14" s="80" t="s">
        <v>112</v>
      </c>
      <c r="B14" s="81" t="str">
        <f>HYPERLINK("https://www.youtube.com/channel/UCW_n_gfIv4HhRqCk8EnRhJA", "Happy Kongner")</f>
        <v>Happy Kongner</v>
      </c>
      <c r="C14" s="80">
        <v>123.0</v>
      </c>
      <c r="D14" s="80">
        <v>123.0</v>
      </c>
      <c r="E14" s="80">
        <v>9.0</v>
      </c>
      <c r="F14" s="80">
        <v>122.0</v>
      </c>
    </row>
    <row r="15">
      <c r="A15" s="80" t="s">
        <v>96</v>
      </c>
      <c r="B15" s="81" t="str">
        <f>HYPERLINK("https://www.youtube.com/channel/UCGtyHJ-L_4RDIHe3XaLofQQ", "Anson Cheung")</f>
        <v>Anson Cheung</v>
      </c>
      <c r="C15" s="80">
        <v>139.0</v>
      </c>
      <c r="D15" s="80">
        <v>137.0</v>
      </c>
      <c r="E15" s="80">
        <v>34.0</v>
      </c>
      <c r="F15" s="80">
        <v>105.0</v>
      </c>
    </row>
    <row r="16">
      <c r="A16" s="80" t="s">
        <v>242</v>
      </c>
      <c r="B16" s="81" t="str">
        <f>HYPERLINK("https://www.youtube.com/channel/UCZGVB6g74LXWtkR3fX50ykg", "Edwin H.")</f>
        <v>Edwin H.</v>
      </c>
      <c r="C16" s="80">
        <v>120.0</v>
      </c>
      <c r="D16" s="80">
        <v>120.0</v>
      </c>
      <c r="E16" s="80">
        <v>18.0</v>
      </c>
      <c r="F16" s="80">
        <v>105.0</v>
      </c>
    </row>
    <row r="17">
      <c r="A17" s="80" t="s">
        <v>238</v>
      </c>
      <c r="B17" s="81" t="str">
        <f>HYPERLINK("https://www.youtube.com/channel/UCSBkm4LwpgBmcA3MCtO8vqg", "Post76影音玩樂")</f>
        <v>Post76影音玩樂</v>
      </c>
      <c r="C17" s="80">
        <v>836.0</v>
      </c>
      <c r="D17" s="80">
        <v>836.0</v>
      </c>
      <c r="E17" s="80">
        <v>826.0</v>
      </c>
      <c r="F17" s="80">
        <v>104.0</v>
      </c>
    </row>
    <row r="18">
      <c r="A18" s="80" t="s">
        <v>260</v>
      </c>
      <c r="B18" s="81" t="str">
        <f>HYPERLINK("https://www.youtube.com/channel/UC-HXOikkLx7BGEfILGIpYOg", "港短 . 英移")</f>
        <v>港短 . 英移</v>
      </c>
      <c r="C18" s="80">
        <v>94.0</v>
      </c>
      <c r="D18" s="80">
        <v>94.0</v>
      </c>
      <c r="E18" s="80">
        <v>1.0</v>
      </c>
      <c r="F18" s="80">
        <v>93.0</v>
      </c>
    </row>
    <row r="19">
      <c r="A19" s="80" t="s">
        <v>2829</v>
      </c>
      <c r="B19" s="81" t="str">
        <f>HYPERLINK("https://www.youtube.com/channel/UC7GnES6AEQlDzaP04UqtyjA", "SOLID IDEA")</f>
        <v>SOLID IDEA</v>
      </c>
      <c r="C19" s="80">
        <v>102.0</v>
      </c>
      <c r="D19" s="80">
        <v>102.0</v>
      </c>
      <c r="E19" s="80">
        <v>10.0</v>
      </c>
      <c r="F19" s="80">
        <v>92.0</v>
      </c>
    </row>
    <row r="20">
      <c r="A20" s="80" t="s">
        <v>306</v>
      </c>
      <c r="B20" s="81" t="str">
        <f>HYPERLINK("https://www.youtube.com/channel/UCMIcGwp4ssZHqz-nSbkO0yw", "Yuet Lab 粵語詞𢑥研究所")</f>
        <v>Yuet Lab 粵語詞𢑥研究所</v>
      </c>
      <c r="C20" s="80">
        <v>93.0</v>
      </c>
      <c r="D20" s="80">
        <v>92.0</v>
      </c>
      <c r="E20" s="80">
        <v>0.0</v>
      </c>
      <c r="F20" s="80">
        <v>92.0</v>
      </c>
    </row>
    <row r="21">
      <c r="A21" s="80" t="s">
        <v>288</v>
      </c>
      <c r="B21" s="81" t="str">
        <f>HYPERLINK("https://www.youtube.com/channel/UCDWOYEhVnyD4IHZGVAMLc0g", "Brendan 毛爸")</f>
        <v>Brendan 毛爸</v>
      </c>
      <c r="C21" s="80">
        <v>134.0</v>
      </c>
      <c r="D21" s="80">
        <v>134.0</v>
      </c>
      <c r="E21" s="80">
        <v>46.0</v>
      </c>
      <c r="F21" s="80">
        <v>88.0</v>
      </c>
    </row>
    <row r="22">
      <c r="A22" s="80" t="s">
        <v>140</v>
      </c>
      <c r="B22" s="81" t="str">
        <f>HYPERLINK("https://www.youtube.com/channel/UCHK0CZf9HEXs42qIO1GUouA", "TechiCardia")</f>
        <v>TechiCardia</v>
      </c>
      <c r="C22" s="80">
        <v>133.0</v>
      </c>
      <c r="D22" s="80">
        <v>133.0</v>
      </c>
      <c r="E22" s="80">
        <v>47.0</v>
      </c>
      <c r="F22" s="80">
        <v>86.0</v>
      </c>
    </row>
    <row r="23">
      <c r="A23" s="80" t="s">
        <v>3139</v>
      </c>
      <c r="B23" s="81" t="str">
        <f>HYPERLINK("https://www.youtube.com/channel/UCThO2xnH7XMg6plE8OgJm_w", "choyuen草原")</f>
        <v>choyuen草原</v>
      </c>
      <c r="C23" s="80">
        <v>98.0</v>
      </c>
      <c r="D23" s="80">
        <v>98.0</v>
      </c>
      <c r="E23" s="80">
        <v>13.0</v>
      </c>
      <c r="F23" s="80">
        <v>85.0</v>
      </c>
    </row>
    <row r="24">
      <c r="A24" s="80" t="s">
        <v>1987</v>
      </c>
      <c r="B24" s="81" t="str">
        <f>HYPERLINK("https://www.youtube.com/channel/UCgGUmm04nVyj-ftaCxVcyBg", "MangoHK大馬獅家")</f>
        <v>MangoHK大馬獅家</v>
      </c>
      <c r="C24" s="80">
        <v>395.0</v>
      </c>
      <c r="D24" s="80">
        <v>394.0</v>
      </c>
      <c r="E24" s="80">
        <v>313.0</v>
      </c>
      <c r="F24" s="80">
        <v>82.0</v>
      </c>
    </row>
    <row r="25">
      <c r="A25" s="80" t="s">
        <v>414</v>
      </c>
      <c r="B25" s="81" t="str">
        <f>HYPERLINK("https://www.youtube.com/channel/UCCVn38j5xSJZN-II-TeyomA", "Uncle Calvin Cantonese Class")</f>
        <v>Uncle Calvin Cantonese Class</v>
      </c>
      <c r="C25" s="80">
        <v>83.0</v>
      </c>
      <c r="D25" s="80">
        <v>83.0</v>
      </c>
      <c r="E25" s="80">
        <v>82.0</v>
      </c>
      <c r="F25" s="80">
        <v>82.0</v>
      </c>
    </row>
    <row r="26">
      <c r="A26" s="80" t="s">
        <v>108</v>
      </c>
      <c r="B26" s="81" t="str">
        <f>HYPERLINK("https://www.youtube.com/channel/UCZL6QN6Xs-ZrKY3y6Pv6Emg", "廢青 - 日賺3000")</f>
        <v>廢青 - 日賺3000</v>
      </c>
      <c r="C26" s="80">
        <v>80.0</v>
      </c>
      <c r="D26" s="80">
        <v>80.0</v>
      </c>
      <c r="E26" s="80">
        <v>0.0</v>
      </c>
      <c r="F26" s="80">
        <v>80.0</v>
      </c>
    </row>
    <row r="27">
      <c r="A27" s="80" t="s">
        <v>6960</v>
      </c>
      <c r="B27" s="81" t="str">
        <f>HYPERLINK("https://www.youtube.com/channel/UCQS2_zzisMq5C_FggxsQwTQ", "Comprehensible Cantonese")</f>
        <v>Comprehensible Cantonese</v>
      </c>
      <c r="C27" s="80">
        <v>73.0</v>
      </c>
      <c r="D27" s="80">
        <v>73.0</v>
      </c>
      <c r="E27" s="80">
        <v>0.0</v>
      </c>
      <c r="F27" s="80">
        <v>73.0</v>
      </c>
    </row>
    <row r="28">
      <c r="A28" s="80" t="s">
        <v>2800</v>
      </c>
      <c r="B28" s="81" t="str">
        <f>HYPERLINK("https://www.youtube.com/channel/UCMqrlsr-AECPc6_3oDr8m9w", "Unicorn 獸哥")</f>
        <v>Unicorn 獸哥</v>
      </c>
      <c r="C28" s="80">
        <v>70.0</v>
      </c>
      <c r="D28" s="80">
        <v>70.0</v>
      </c>
      <c r="E28" s="80">
        <v>0.0</v>
      </c>
      <c r="F28" s="80">
        <v>70.0</v>
      </c>
    </row>
    <row r="29">
      <c r="A29" s="80" t="s">
        <v>131</v>
      </c>
      <c r="B29" s="81" t="str">
        <f>HYPERLINK("https://www.youtube.com/channel/UCUYkVCKAdb9W7bdYz4qknHA", "BillyGoOut")</f>
        <v>BillyGoOut</v>
      </c>
      <c r="C29" s="80">
        <v>80.0</v>
      </c>
      <c r="D29" s="80">
        <v>76.0</v>
      </c>
      <c r="E29" s="80">
        <v>7.0</v>
      </c>
      <c r="F29" s="80">
        <v>69.0</v>
      </c>
    </row>
    <row r="30">
      <c r="A30" s="80" t="s">
        <v>6892</v>
      </c>
      <c r="B30" s="81" t="str">
        <f>HYPERLINK("https://www.youtube.com/channel/UC8_hxeY0nDCL-8ETbcGUZ9g", "PT食為先")</f>
        <v>PT食為先</v>
      </c>
      <c r="C30" s="80">
        <v>64.0</v>
      </c>
      <c r="D30" s="80">
        <v>64.0</v>
      </c>
      <c r="E30" s="80">
        <v>0.0</v>
      </c>
      <c r="F30" s="80">
        <v>64.0</v>
      </c>
    </row>
    <row r="31">
      <c r="A31" s="80" t="s">
        <v>71</v>
      </c>
      <c r="B31" s="81" t="str">
        <f>HYPERLINK("https://www.youtube.com/channel/UCXTE-gQCetfrx_lC9yFM2aw", "arhoTV")</f>
        <v>arhoTV</v>
      </c>
      <c r="C31" s="80">
        <v>162.0</v>
      </c>
      <c r="D31" s="80">
        <v>160.0</v>
      </c>
      <c r="E31" s="80">
        <v>148.0</v>
      </c>
      <c r="F31" s="80">
        <v>64.0</v>
      </c>
    </row>
    <row r="32">
      <c r="A32" s="80" t="s">
        <v>6236</v>
      </c>
      <c r="B32" s="81" t="str">
        <f>HYPERLINK("https://www.youtube.com/channel/UCPMsgWJvrkEHE0OpIMtxyYQ", "Comfort鬆")</f>
        <v>Comfort鬆</v>
      </c>
      <c r="C32" s="80">
        <v>62.0</v>
      </c>
      <c r="D32" s="80">
        <v>62.0</v>
      </c>
      <c r="E32" s="80">
        <v>0.0</v>
      </c>
      <c r="F32" s="80">
        <v>62.0</v>
      </c>
    </row>
    <row r="33">
      <c r="A33" s="80" t="s">
        <v>1390</v>
      </c>
      <c r="B33" s="81" t="str">
        <f>HYPERLINK("https://www.youtube.com/channel/UCgwEJflQi4WnZ8PU0xdibZQ", "Kinson Ho")</f>
        <v>Kinson Ho</v>
      </c>
      <c r="C33" s="80">
        <v>61.0</v>
      </c>
      <c r="D33" s="80">
        <v>61.0</v>
      </c>
      <c r="E33" s="80">
        <v>2.0</v>
      </c>
      <c r="F33" s="80">
        <v>59.0</v>
      </c>
    </row>
    <row r="34">
      <c r="A34" s="80" t="s">
        <v>1670</v>
      </c>
      <c r="B34" s="81" t="str">
        <f>HYPERLINK("https://www.youtube.com/channel/UC-PIt5m-WOg8UVBkt2RnN0g", "阿JACK睇樓團")</f>
        <v>阿JACK睇樓團</v>
      </c>
      <c r="C34" s="80">
        <v>89.0</v>
      </c>
      <c r="D34" s="80">
        <v>86.0</v>
      </c>
      <c r="E34" s="80">
        <v>28.0</v>
      </c>
      <c r="F34" s="80">
        <v>58.0</v>
      </c>
    </row>
    <row r="35">
      <c r="A35" s="80" t="s">
        <v>3051</v>
      </c>
      <c r="B35" s="81" t="str">
        <f>HYPERLINK("https://www.youtube.com/channel/UCvE0FPIL24o2mnUQIqcSHYA", "柴犬春卷的英國日常 Shiba Harumaki in UK")</f>
        <v>柴犬春卷的英國日常 Shiba Harumaki in UK</v>
      </c>
      <c r="C35" s="80">
        <v>86.0</v>
      </c>
      <c r="D35" s="80">
        <v>85.0</v>
      </c>
      <c r="E35" s="80">
        <v>31.0</v>
      </c>
      <c r="F35" s="80">
        <v>56.0</v>
      </c>
    </row>
    <row r="36">
      <c r="A36" s="80" t="s">
        <v>1139</v>
      </c>
      <c r="B36" s="81" t="str">
        <f>HYPERLINK("https://www.youtube.com/channel/UCw51gVFijIewmXH4tIR0ufw", "Crystal Zen")</f>
        <v>Crystal Zen</v>
      </c>
      <c r="C36" s="80">
        <v>49.0</v>
      </c>
      <c r="D36" s="80">
        <v>49.0</v>
      </c>
      <c r="E36" s="80">
        <v>0.0</v>
      </c>
      <c r="F36" s="80">
        <v>49.0</v>
      </c>
    </row>
    <row r="37">
      <c r="A37" s="80" t="s">
        <v>2764</v>
      </c>
      <c r="B37" s="81" t="str">
        <f>HYPERLINK("https://www.youtube.com/channel/UCejZUW4khvxoA4uL2Afz20g", "Housik Laanfei 好食懶飛")</f>
        <v>Housik Laanfei 好食懶飛</v>
      </c>
      <c r="C37" s="80">
        <v>44.0</v>
      </c>
      <c r="D37" s="80">
        <v>44.0</v>
      </c>
      <c r="E37" s="80">
        <v>42.0</v>
      </c>
      <c r="F37" s="80">
        <v>44.0</v>
      </c>
    </row>
    <row r="38">
      <c r="A38" s="80" t="s">
        <v>6238</v>
      </c>
      <c r="B38" s="81" t="str">
        <f>HYPERLINK("https://www.youtube.com/channel/UC_ogl0qjBdXrTiZZJ6ltsQQ", "Flat Out 地板油")</f>
        <v>Flat Out 地板油</v>
      </c>
      <c r="C38" s="80">
        <v>159.0</v>
      </c>
      <c r="D38" s="80">
        <v>98.0</v>
      </c>
      <c r="E38" s="80">
        <v>55.0</v>
      </c>
      <c r="F38" s="80">
        <v>43.0</v>
      </c>
    </row>
    <row r="39">
      <c r="A39" s="80" t="s">
        <v>5023</v>
      </c>
      <c r="B39" s="81" t="str">
        <f>HYPERLINK("https://www.youtube.com/channel/UCnwki8IA26JP-E4-xovIgQQ", "Heyo Fok")</f>
        <v>Heyo Fok</v>
      </c>
      <c r="C39" s="80">
        <v>55.0</v>
      </c>
      <c r="D39" s="80">
        <v>55.0</v>
      </c>
      <c r="E39" s="80">
        <v>14.0</v>
      </c>
      <c r="F39" s="80">
        <v>41.0</v>
      </c>
    </row>
    <row r="40">
      <c r="A40" s="80" t="s">
        <v>6248</v>
      </c>
      <c r="B40" s="81" t="str">
        <f>HYPERLINK("https://www.youtube.com/channel/UCmlr1is6e9bV34fgg3u0xng", "Ruby.S")</f>
        <v>Ruby.S</v>
      </c>
      <c r="C40" s="80">
        <v>41.0</v>
      </c>
      <c r="D40" s="80">
        <v>41.0</v>
      </c>
      <c r="E40" s="80">
        <v>0.0</v>
      </c>
      <c r="F40" s="80">
        <v>41.0</v>
      </c>
    </row>
    <row r="41">
      <c r="A41" s="80" t="s">
        <v>527</v>
      </c>
      <c r="B41" s="81" t="str">
        <f>HYPERLINK("https://www.youtube.com/channel/UC7knZNnVYcw_9_zQ3PGOoGw", "ようき楽園 / 玉其樂園")</f>
        <v>ようき楽園 / 玉其樂園</v>
      </c>
      <c r="C41" s="80">
        <v>56.0</v>
      </c>
      <c r="D41" s="80">
        <v>54.0</v>
      </c>
      <c r="E41" s="80">
        <v>14.0</v>
      </c>
      <c r="F41" s="80">
        <v>40.0</v>
      </c>
    </row>
    <row r="42">
      <c r="A42" s="80" t="s">
        <v>274</v>
      </c>
      <c r="B42" s="81" t="str">
        <f>HYPERLINK("https://www.youtube.com/channel/UC2oB9QCXs-RKtaKChrz4dKg", "MtzCherry")</f>
        <v>MtzCherry</v>
      </c>
      <c r="C42" s="80">
        <v>109.0</v>
      </c>
      <c r="D42" s="80">
        <v>48.0</v>
      </c>
      <c r="E42" s="80">
        <v>28.0</v>
      </c>
      <c r="F42" s="80">
        <v>38.0</v>
      </c>
    </row>
    <row r="43">
      <c r="A43" s="80" t="s">
        <v>5134</v>
      </c>
      <c r="B43" s="81" t="str">
        <f>HYPERLINK("https://www.youtube.com/channel/UCGq7xle9PrLHpmdxrk0IlLw", "磚加專家 Danny Ching Top10%地產局金牌經紀百萬圓桌")</f>
        <v>磚加專家 Danny Ching Top10%地產局金牌經紀百萬圓桌</v>
      </c>
      <c r="C43" s="80">
        <v>43.0</v>
      </c>
      <c r="D43" s="80">
        <v>43.0</v>
      </c>
      <c r="E43" s="80">
        <v>6.0</v>
      </c>
      <c r="F43" s="80">
        <v>37.0</v>
      </c>
    </row>
    <row r="44">
      <c r="A44" s="80" t="s">
        <v>3048</v>
      </c>
      <c r="B44" s="81" t="str">
        <f>HYPERLINK("https://www.youtube.com/channel/UCHiP6GctzJdIkYP20_9k-zg", "英倫。美景 about.the.england")</f>
        <v>英倫。美景 about.the.england</v>
      </c>
      <c r="C44" s="80">
        <v>37.0</v>
      </c>
      <c r="D44" s="80">
        <v>37.0</v>
      </c>
      <c r="E44" s="80">
        <v>0.0</v>
      </c>
      <c r="F44" s="80">
        <v>37.0</v>
      </c>
    </row>
    <row r="45">
      <c r="A45" s="80" t="s">
        <v>2780</v>
      </c>
      <c r="B45" s="81" t="str">
        <f>HYPERLINK("https://www.youtube.com/channel/UC0CojhLcc0VESgaG633m5kA", "RainErs")</f>
        <v>RainErs</v>
      </c>
      <c r="C45" s="80">
        <v>40.0</v>
      </c>
      <c r="D45" s="80">
        <v>40.0</v>
      </c>
      <c r="E45" s="80">
        <v>4.0</v>
      </c>
      <c r="F45" s="80">
        <v>36.0</v>
      </c>
    </row>
    <row r="46">
      <c r="A46" s="80" t="s">
        <v>278</v>
      </c>
      <c r="B46" s="81" t="str">
        <f>HYPERLINK("https://www.youtube.com/channel/UCDoEdJo-PI-EKGNKomwLroQ", "mingjai14")</f>
        <v>mingjai14</v>
      </c>
      <c r="C46" s="80">
        <v>123.0</v>
      </c>
      <c r="D46" s="80">
        <v>121.0</v>
      </c>
      <c r="E46" s="80">
        <v>109.0</v>
      </c>
      <c r="F46" s="80">
        <v>36.0</v>
      </c>
    </row>
    <row r="47">
      <c r="A47" s="80" t="s">
        <v>467</v>
      </c>
      <c r="B47" s="81" t="str">
        <f>HYPERLINK("https://www.youtube.com/channel/UCaEa-LjV-VwFJ3Flc0ndcWg", "Ca HK")</f>
        <v>Ca HK</v>
      </c>
      <c r="C47" s="80">
        <v>34.0</v>
      </c>
      <c r="D47" s="80">
        <v>34.0</v>
      </c>
      <c r="E47" s="80">
        <v>0.0</v>
      </c>
      <c r="F47" s="80">
        <v>34.0</v>
      </c>
    </row>
    <row r="48">
      <c r="A48" s="80" t="s">
        <v>94</v>
      </c>
      <c r="B48" s="81" t="str">
        <f>HYPERLINK("https://www.youtube.com/channel/UCT_dMyI3pNselsmfR6FC8tQ", "PrideLab")</f>
        <v>PrideLab</v>
      </c>
      <c r="C48" s="80">
        <v>40.0</v>
      </c>
      <c r="D48" s="80">
        <v>40.0</v>
      </c>
      <c r="E48" s="80">
        <v>7.0</v>
      </c>
      <c r="F48" s="80">
        <v>34.0</v>
      </c>
    </row>
    <row r="49">
      <c r="A49" s="80" t="s">
        <v>748</v>
      </c>
      <c r="B49" s="81" t="str">
        <f>HYPERLINK("https://www.youtube.com/channel/UC_ZT2UjRiNSy1I33LEiflJQ", "撒野作風 WILDSTYLE RECORDS")</f>
        <v>撒野作風 WILDSTYLE RECORDS</v>
      </c>
      <c r="C49" s="80">
        <v>52.0</v>
      </c>
      <c r="D49" s="80">
        <v>49.0</v>
      </c>
      <c r="E49" s="80">
        <v>15.0</v>
      </c>
      <c r="F49" s="80">
        <v>34.0</v>
      </c>
    </row>
    <row r="50">
      <c r="A50" s="80" t="s">
        <v>219</v>
      </c>
      <c r="B50" s="81" t="str">
        <f>HYPERLINK("https://www.youtube.com/channel/UC9_PnptBIpNF0JXbJjd8TsQ", "Brown's Channel")</f>
        <v>Brown's Channel</v>
      </c>
      <c r="C50" s="80">
        <v>34.0</v>
      </c>
      <c r="D50" s="80">
        <v>34.0</v>
      </c>
      <c r="E50" s="80">
        <v>1.0</v>
      </c>
      <c r="F50" s="80">
        <v>33.0</v>
      </c>
    </row>
    <row r="51">
      <c r="A51" s="80" t="s">
        <v>252</v>
      </c>
      <c r="B51" s="81" t="str">
        <f>HYPERLINK("https://www.youtube.com/channel/UCrISkBm7rgsRUAw8018eWvw", "MoYung 慕容公子")</f>
        <v>MoYung 慕容公子</v>
      </c>
      <c r="C51" s="80">
        <v>41.0</v>
      </c>
      <c r="D51" s="80">
        <v>41.0</v>
      </c>
      <c r="E51" s="80">
        <v>16.0</v>
      </c>
      <c r="F51" s="80">
        <v>33.0</v>
      </c>
    </row>
    <row r="52">
      <c r="A52" s="80" t="s">
        <v>3144</v>
      </c>
      <c r="B52" s="81" t="str">
        <f>HYPERLINK("https://www.youtube.com/channel/UCZVmFDfn5WnixrHNf25MeJQ", "〈職人吹水〉@SingSingKitchen")</f>
        <v>〈職人吹水〉@SingSingKitchen</v>
      </c>
      <c r="C52" s="80">
        <v>167.0</v>
      </c>
      <c r="D52" s="80">
        <v>162.0</v>
      </c>
      <c r="E52" s="80">
        <v>130.0</v>
      </c>
      <c r="F52" s="80">
        <v>33.0</v>
      </c>
    </row>
    <row r="53">
      <c r="A53" s="80" t="s">
        <v>1183</v>
      </c>
      <c r="B53" s="81" t="str">
        <f>HYPERLINK("https://www.youtube.com/channel/UCPBBbFYG51QpjuptQtYfCDA", "siuwaiboy")</f>
        <v>siuwaiboy</v>
      </c>
      <c r="C53" s="80">
        <v>36.0</v>
      </c>
      <c r="D53" s="80">
        <v>35.0</v>
      </c>
      <c r="E53" s="80">
        <v>8.0</v>
      </c>
      <c r="F53" s="80">
        <v>31.0</v>
      </c>
    </row>
    <row r="54">
      <c r="A54" s="80" t="s">
        <v>3151</v>
      </c>
      <c r="B54" s="81" t="str">
        <f>HYPERLINK("https://www.youtube.com/channel/UCARY68c_VZHHXPsEDg9Bptw", "耀佳金融集團Yaw Kai Financial Group")</f>
        <v>耀佳金融集團Yaw Kai Financial Group</v>
      </c>
      <c r="C54" s="80">
        <v>233.0</v>
      </c>
      <c r="D54" s="80">
        <v>233.0</v>
      </c>
      <c r="E54" s="80">
        <v>202.0</v>
      </c>
      <c r="F54" s="80">
        <v>31.0</v>
      </c>
    </row>
    <row r="55">
      <c r="A55" s="80" t="s">
        <v>5868</v>
      </c>
      <c r="B55" s="81" t="str">
        <f>HYPERLINK("https://www.youtube.com/channel/UCVvdX8wGBmCM9KerhiVu_Ig", "McFatty 麥花田")</f>
        <v>McFatty 麥花田</v>
      </c>
      <c r="C55" s="80">
        <v>72.0</v>
      </c>
      <c r="D55" s="80">
        <v>72.0</v>
      </c>
      <c r="E55" s="80">
        <v>42.0</v>
      </c>
      <c r="F55" s="80">
        <v>30.0</v>
      </c>
    </row>
    <row r="56">
      <c r="A56" s="80" t="s">
        <v>84</v>
      </c>
      <c r="B56" s="81" t="str">
        <f>HYPERLINK("https://www.youtube.com/channel/UCs6fW24aVjefTsognevmDnA", "PakTil 拍跳")</f>
        <v>PakTil 拍跳</v>
      </c>
      <c r="C56" s="80">
        <v>109.0</v>
      </c>
      <c r="D56" s="80">
        <v>109.0</v>
      </c>
      <c r="E56" s="80">
        <v>80.0</v>
      </c>
      <c r="F56" s="80">
        <v>30.0</v>
      </c>
    </row>
    <row r="57">
      <c r="A57" s="80" t="s">
        <v>7607</v>
      </c>
      <c r="B57" s="81" t="str">
        <f>HYPERLINK("https://www.youtube.com/channel/UCpGm9u4iYIev-BCA7mbAt6Q", "TVBean")</f>
        <v>TVBean</v>
      </c>
      <c r="C57" s="80">
        <v>31.0</v>
      </c>
      <c r="D57" s="80">
        <v>31.0</v>
      </c>
      <c r="E57" s="80">
        <v>1.0</v>
      </c>
      <c r="F57" s="80">
        <v>30.0</v>
      </c>
    </row>
    <row r="58">
      <c r="A58" s="80" t="s">
        <v>2841</v>
      </c>
      <c r="B58" s="81" t="str">
        <f>HYPERLINK("https://www.youtube.com/channel/UCBYGm7Iz6ck8jeno5AFiriw", "Seafront TV")</f>
        <v>Seafront TV</v>
      </c>
      <c r="C58" s="80">
        <v>29.0</v>
      </c>
      <c r="D58" s="80">
        <v>29.0</v>
      </c>
      <c r="E58" s="80">
        <v>2.0</v>
      </c>
      <c r="F58" s="80">
        <v>29.0</v>
      </c>
    </row>
    <row r="59">
      <c r="A59" s="80" t="s">
        <v>3162</v>
      </c>
      <c r="B59" s="81" t="str">
        <f>HYPERLINK("https://www.youtube.com/channel/UCwz2_BsHZOaUO1zvS5zJBTw", "跟Theo一起爬坂道丨Theo Cheong")</f>
        <v>跟Theo一起爬坂道丨Theo Cheong</v>
      </c>
      <c r="C59" s="80">
        <v>36.0</v>
      </c>
      <c r="D59" s="80">
        <v>36.0</v>
      </c>
      <c r="E59" s="80">
        <v>7.0</v>
      </c>
      <c r="F59" s="80">
        <v>29.0</v>
      </c>
    </row>
    <row r="60">
      <c r="A60" s="80" t="s">
        <v>121</v>
      </c>
      <c r="B60" s="81" t="str">
        <f>HYPERLINK("https://www.youtube.com/channel/UC-2hWXRgCg-o5Waz36Yt7BA", "Arm Channel TV")</f>
        <v>Arm Channel TV</v>
      </c>
      <c r="C60" s="80">
        <v>127.0</v>
      </c>
      <c r="D60" s="80">
        <v>118.0</v>
      </c>
      <c r="E60" s="80">
        <v>90.0</v>
      </c>
      <c r="F60" s="80">
        <v>28.0</v>
      </c>
    </row>
    <row r="61">
      <c r="A61" s="80" t="s">
        <v>2585</v>
      </c>
      <c r="B61" s="81" t="str">
        <f>HYPERLINK("https://www.youtube.com/channel/UCyyruuN0VecuYxPNR4un88Q", "混血肥仔")</f>
        <v>混血肥仔</v>
      </c>
      <c r="C61" s="80">
        <v>52.0</v>
      </c>
      <c r="D61" s="80">
        <v>44.0</v>
      </c>
      <c r="E61" s="80">
        <v>16.0</v>
      </c>
      <c r="F61" s="80">
        <v>28.0</v>
      </c>
    </row>
    <row r="62">
      <c r="A62" s="80" t="s">
        <v>2753</v>
      </c>
      <c r="B62" s="81" t="str">
        <f>HYPERLINK("https://www.youtube.com/channel/UCxRXNy5P6fLtHYpawxoiqJQ", "焦點視頻")</f>
        <v>焦點視頻</v>
      </c>
      <c r="C62" s="80">
        <v>120.0</v>
      </c>
      <c r="D62" s="80">
        <v>118.0</v>
      </c>
      <c r="E62" s="80">
        <v>90.0</v>
      </c>
      <c r="F62" s="80">
        <v>28.0</v>
      </c>
    </row>
    <row r="63">
      <c r="A63" s="80" t="s">
        <v>6370</v>
      </c>
      <c r="B63" s="81" t="str">
        <f>HYPERLINK("https://www.youtube.com/channel/UCEhhnDIEGsRWMVP-GxnuKjw", "記錄日常 Ordinary Diary")</f>
        <v>記錄日常 Ordinary Diary</v>
      </c>
      <c r="C63" s="80">
        <v>138.0</v>
      </c>
      <c r="D63" s="80">
        <v>136.0</v>
      </c>
      <c r="E63" s="80">
        <v>109.0</v>
      </c>
      <c r="F63" s="80">
        <v>27.0</v>
      </c>
    </row>
    <row r="64">
      <c r="A64" s="80" t="s">
        <v>5301</v>
      </c>
      <c r="B64" s="81" t="str">
        <f>HYPERLINK("https://www.youtube.com/channel/UCTH_IecfGTuKdew5dTb_D6A", "BOYS' CHOIR")</f>
        <v>BOYS' CHOIR</v>
      </c>
      <c r="C64" s="80">
        <v>34.0</v>
      </c>
      <c r="D64" s="80">
        <v>32.0</v>
      </c>
      <c r="E64" s="80">
        <v>6.0</v>
      </c>
      <c r="F64" s="80">
        <v>26.0</v>
      </c>
    </row>
    <row r="65">
      <c r="A65" s="80" t="s">
        <v>1016</v>
      </c>
      <c r="B65" s="81" t="str">
        <f>HYPERLINK("https://www.youtube.com/channel/UCSbiR1l-cfzk44iTJVSAZVQ", "Rhapsody in Lingo")</f>
        <v>Rhapsody in Lingo</v>
      </c>
      <c r="C65" s="80">
        <v>34.0</v>
      </c>
      <c r="D65" s="80">
        <v>26.0</v>
      </c>
      <c r="E65" s="80">
        <v>0.0</v>
      </c>
      <c r="F65" s="80">
        <v>26.0</v>
      </c>
    </row>
    <row r="66">
      <c r="A66" s="80" t="s">
        <v>5017</v>
      </c>
      <c r="B66" s="81" t="str">
        <f>HYPERLINK("https://www.youtube.com/channel/UCVAUtDUarzrjTzhSMiLvK6w", "YankiDin")</f>
        <v>YankiDin</v>
      </c>
      <c r="C66" s="80">
        <v>33.0</v>
      </c>
      <c r="D66" s="80">
        <v>30.0</v>
      </c>
      <c r="E66" s="80">
        <v>12.0</v>
      </c>
      <c r="F66" s="80">
        <v>26.0</v>
      </c>
    </row>
    <row r="67">
      <c r="A67" s="80" t="s">
        <v>2761</v>
      </c>
      <c r="B67" s="81" t="str">
        <f>HYPERLINK("https://www.youtube.com/channel/UCr_L9cZdbBU_XDsKDHBBlew", "am730")</f>
        <v>am730</v>
      </c>
      <c r="C67" s="80">
        <v>545.0</v>
      </c>
      <c r="D67" s="80">
        <v>545.0</v>
      </c>
      <c r="E67" s="80">
        <v>519.0</v>
      </c>
      <c r="F67" s="80">
        <v>26.0</v>
      </c>
    </row>
    <row r="68">
      <c r="A68" s="80" t="s">
        <v>2898</v>
      </c>
      <c r="B68" s="81" t="str">
        <f>HYPERLINK("https://www.youtube.com/channel/UCy5bjMXbFPglSBNDXfivtOA", "消費者委員會")</f>
        <v>消費者委員會</v>
      </c>
      <c r="C68" s="80">
        <v>233.0</v>
      </c>
      <c r="D68" s="80">
        <v>231.0</v>
      </c>
      <c r="E68" s="80">
        <v>206.0</v>
      </c>
      <c r="F68" s="80">
        <v>26.0</v>
      </c>
    </row>
    <row r="69">
      <c r="A69" s="80" t="s">
        <v>501</v>
      </c>
      <c r="B69" s="81" t="str">
        <f>HYPERLINK("https://www.youtube.com/channel/UCYzXNN_GZMEbcTGx7ZBA_PA", "Miss K")</f>
        <v>Miss K</v>
      </c>
      <c r="C69" s="80">
        <v>25.0</v>
      </c>
      <c r="D69" s="80">
        <v>24.0</v>
      </c>
      <c r="E69" s="80">
        <v>0.0</v>
      </c>
      <c r="F69" s="80">
        <v>24.0</v>
      </c>
    </row>
    <row r="70">
      <c r="A70" s="80" t="s">
        <v>5021</v>
      </c>
      <c r="B70" s="81" t="str">
        <f>HYPERLINK("https://www.youtube.com/channel/UCXI73R-C4EI8U_rISlD1S2w", "三個小生愛回加DnJ")</f>
        <v>三個小生愛回加DnJ</v>
      </c>
      <c r="C70" s="80">
        <v>28.0</v>
      </c>
      <c r="D70" s="80">
        <v>28.0</v>
      </c>
      <c r="E70" s="80">
        <v>4.0</v>
      </c>
      <c r="F70" s="80">
        <v>24.0</v>
      </c>
    </row>
    <row r="71">
      <c r="A71" s="80" t="s">
        <v>3134</v>
      </c>
      <c r="B71" s="81" t="str">
        <f>HYPERLINK("https://www.youtube.com/channel/UC_vZsUCJrwYrbIRPHacAS_Q", "Coco哥")</f>
        <v>Coco哥</v>
      </c>
      <c r="C71" s="80">
        <v>473.0</v>
      </c>
      <c r="D71" s="80">
        <v>473.0</v>
      </c>
      <c r="E71" s="80">
        <v>450.0</v>
      </c>
      <c r="F71" s="80">
        <v>23.0</v>
      </c>
    </row>
    <row r="72">
      <c r="A72" s="80" t="s">
        <v>2766</v>
      </c>
      <c r="B72" s="81" t="str">
        <f>HYPERLINK("https://www.youtube.com/channel/UCrZG5sGryxwgSDQSlHgmZTw", "GadgetGang HK")</f>
        <v>GadgetGang HK</v>
      </c>
      <c r="C72" s="80">
        <v>546.0</v>
      </c>
      <c r="D72" s="80">
        <v>545.0</v>
      </c>
      <c r="E72" s="80">
        <v>522.0</v>
      </c>
      <c r="F72" s="80">
        <v>23.0</v>
      </c>
    </row>
    <row r="73">
      <c r="A73" s="80" t="s">
        <v>2825</v>
      </c>
      <c r="B73" s="81" t="str">
        <f>HYPERLINK("https://www.youtube.com/channel/UCP7XhYDgUbvjvaHxIhjTd_g", "Maviskuku 雞蛋妹")</f>
        <v>Maviskuku 雞蛋妹</v>
      </c>
      <c r="C73" s="80">
        <v>117.0</v>
      </c>
      <c r="D73" s="80">
        <v>116.0</v>
      </c>
      <c r="E73" s="80">
        <v>111.0</v>
      </c>
      <c r="F73" s="80">
        <v>23.0</v>
      </c>
    </row>
    <row r="74">
      <c r="A74" s="80" t="s">
        <v>563</v>
      </c>
      <c r="B74" s="81" t="str">
        <f>HYPERLINK("https://www.youtube.com/channel/UCPIFyB-nsGoCtS6cIikPuhA", "Sabi Jay on earth")</f>
        <v>Sabi Jay on earth</v>
      </c>
      <c r="C74" s="80">
        <v>23.0</v>
      </c>
      <c r="D74" s="80">
        <v>23.0</v>
      </c>
      <c r="E74" s="80">
        <v>0.0</v>
      </c>
      <c r="F74" s="80">
        <v>23.0</v>
      </c>
    </row>
    <row r="75">
      <c r="A75" s="80" t="s">
        <v>6591</v>
      </c>
      <c r="B75" s="81" t="str">
        <f>HYPERLINK("https://www.youtube.com/channel/UC0DpBgpq_gR7TaNDIvJYZag", "TalkFood")</f>
        <v>TalkFood</v>
      </c>
      <c r="C75" s="80">
        <v>86.0</v>
      </c>
      <c r="D75" s="80">
        <v>86.0</v>
      </c>
      <c r="E75" s="80">
        <v>63.0</v>
      </c>
      <c r="F75" s="80">
        <v>23.0</v>
      </c>
    </row>
    <row r="76">
      <c r="A76" s="80" t="s">
        <v>1492</v>
      </c>
      <c r="B76" s="81" t="str">
        <f>HYPERLINK("https://www.youtube.com/channel/UCTo1EIcKtkDYqiUqs4v_NlA", "【常公子】頻道TV - 中文中史歷史哲學")</f>
        <v>【常公子】頻道TV - 中文中史歷史哲學</v>
      </c>
      <c r="C76" s="80">
        <v>23.0</v>
      </c>
      <c r="D76" s="80">
        <v>23.0</v>
      </c>
      <c r="E76" s="80">
        <v>0.0</v>
      </c>
      <c r="F76" s="80">
        <v>23.0</v>
      </c>
    </row>
    <row r="77">
      <c r="A77" s="80" t="s">
        <v>1039</v>
      </c>
      <c r="B77" s="81" t="str">
        <f>HYPERLINK("https://www.youtube.com/channel/UCiKEIxbv4RTzyLCKG17N-AA", "Hunting Archer")</f>
        <v>Hunting Archer</v>
      </c>
      <c r="C77" s="80">
        <v>874.0</v>
      </c>
      <c r="D77" s="80">
        <v>874.0</v>
      </c>
      <c r="E77" s="80">
        <v>852.0</v>
      </c>
      <c r="F77" s="80">
        <v>22.0</v>
      </c>
    </row>
    <row r="78">
      <c r="A78" s="80" t="s">
        <v>2972</v>
      </c>
      <c r="B78" s="81" t="str">
        <f>HYPERLINK("https://www.youtube.com/channel/UCVMEQdIDLjHcKAsEwhVXEoQ", "Danny W.")</f>
        <v>Danny W.</v>
      </c>
      <c r="C78" s="80">
        <v>53.0</v>
      </c>
      <c r="D78" s="80">
        <v>53.0</v>
      </c>
      <c r="E78" s="80">
        <v>32.0</v>
      </c>
      <c r="F78" s="80">
        <v>21.0</v>
      </c>
    </row>
    <row r="79">
      <c r="A79" s="80" t="s">
        <v>1606</v>
      </c>
      <c r="B79" s="81" t="str">
        <f>HYPERLINK("https://www.youtube.com/channel/UCk25FUc8pLiP3A6Zniknxbg", "希治閣【遊戲情報科】")</f>
        <v>希治閣【遊戲情報科】</v>
      </c>
      <c r="C79" s="80">
        <v>382.0</v>
      </c>
      <c r="D79" s="80">
        <v>382.0</v>
      </c>
      <c r="E79" s="80">
        <v>361.0</v>
      </c>
      <c r="F79" s="80">
        <v>21.0</v>
      </c>
    </row>
    <row r="80">
      <c r="A80" s="80" t="s">
        <v>2804</v>
      </c>
      <c r="B80" s="81" t="str">
        <f>HYPERLINK("https://www.youtube.com/channel/UCrFrg50t0JqgqV2dkIrH5Hg", "投智財女 GirlbossInvest 創業投資智慧")</f>
        <v>投智財女 GirlbossInvest 創業投資智慧</v>
      </c>
      <c r="C80" s="80">
        <v>65.0</v>
      </c>
      <c r="D80" s="80">
        <v>65.0</v>
      </c>
      <c r="E80" s="80">
        <v>44.0</v>
      </c>
      <c r="F80" s="80">
        <v>21.0</v>
      </c>
    </row>
    <row r="81">
      <c r="A81" s="80" t="s">
        <v>129</v>
      </c>
      <c r="B81" s="81" t="str">
        <f>HYPERLINK("https://www.youtube.com/channel/UCBbTnorwzva0ZIMGW0ttwVA", "阿豬 Ah Ju")</f>
        <v>阿豬 Ah Ju</v>
      </c>
      <c r="C81" s="80">
        <v>173.0</v>
      </c>
      <c r="D81" s="80">
        <v>173.0</v>
      </c>
      <c r="E81" s="80">
        <v>153.0</v>
      </c>
      <c r="F81" s="80">
        <v>21.0</v>
      </c>
    </row>
    <row r="82">
      <c r="A82" s="80" t="s">
        <v>1007</v>
      </c>
      <c r="B82" s="81" t="str">
        <f>HYPERLINK("https://www.youtube.com/channel/UCCzgNTkFyDel0FDJtVNgEtQ", "香港人. 德國讀書之【真.洗濕左個頭.無得返轉頭】Miss Chan Life in Germany")</f>
        <v>香港人. 德國讀書之【真.洗濕左個頭.無得返轉頭】Miss Chan Life in Germany</v>
      </c>
      <c r="C82" s="80">
        <v>31.0</v>
      </c>
      <c r="D82" s="80">
        <v>30.0</v>
      </c>
      <c r="E82" s="80">
        <v>9.0</v>
      </c>
      <c r="F82" s="80">
        <v>21.0</v>
      </c>
    </row>
    <row r="83">
      <c r="A83" s="80" t="s">
        <v>3158</v>
      </c>
      <c r="B83" s="81" t="str">
        <f>HYPERLINK("https://www.youtube.com/channel/UCldJqbxFCPolSR6V9lszWDA", "魚波 Yu Ball")</f>
        <v>魚波 Yu Ball</v>
      </c>
      <c r="C83" s="80">
        <v>37.0</v>
      </c>
      <c r="D83" s="80">
        <v>37.0</v>
      </c>
      <c r="E83" s="80">
        <v>24.0</v>
      </c>
      <c r="F83" s="80">
        <v>21.0</v>
      </c>
    </row>
    <row r="84">
      <c r="A84" s="80" t="s">
        <v>1594</v>
      </c>
      <c r="B84" s="81" t="str">
        <f>HYPERLINK("https://www.youtube.com/channel/UCUtm1awT2EO9D7uJ2OlMcTQ", "黐住這一家 Sticky Love Family")</f>
        <v>黐住這一家 Sticky Love Family</v>
      </c>
      <c r="C84" s="80">
        <v>44.0</v>
      </c>
      <c r="D84" s="80">
        <v>42.0</v>
      </c>
      <c r="E84" s="80">
        <v>39.0</v>
      </c>
      <c r="F84" s="80">
        <v>21.0</v>
      </c>
    </row>
    <row r="85">
      <c r="A85" s="80" t="s">
        <v>971</v>
      </c>
      <c r="B85" s="81" t="str">
        <f>HYPERLINK("https://www.youtube.com/channel/UC4nsi0oM9WBNFv1RdLh3c2g", "JASON")</f>
        <v>JASON</v>
      </c>
      <c r="C85" s="80">
        <v>179.0</v>
      </c>
      <c r="D85" s="80">
        <v>176.0</v>
      </c>
      <c r="E85" s="80">
        <v>167.0</v>
      </c>
      <c r="F85" s="80">
        <v>20.0</v>
      </c>
    </row>
    <row r="86">
      <c r="A86" s="80" t="s">
        <v>1312</v>
      </c>
      <c r="B86" s="81" t="str">
        <f>HYPERLINK("https://www.youtube.com/channel/UC1NxU2rbVZW0Rq6VHmaqoEQ", "Jarvis &amp; Isabella")</f>
        <v>Jarvis &amp; Isabella</v>
      </c>
      <c r="C86" s="80">
        <v>20.0</v>
      </c>
      <c r="D86" s="80">
        <v>20.0</v>
      </c>
      <c r="E86" s="80">
        <v>0.0</v>
      </c>
      <c r="F86" s="80">
        <v>20.0</v>
      </c>
    </row>
    <row r="87">
      <c r="A87" s="80" t="s">
        <v>743</v>
      </c>
      <c r="B87" s="81" t="str">
        <f>HYPERLINK("https://www.youtube.com/channel/UCe6qQ8zbYQJgTBnZ9wBzm9w", "Willy Lee")</f>
        <v>Willy Lee</v>
      </c>
      <c r="C87" s="80">
        <v>38.0</v>
      </c>
      <c r="D87" s="80">
        <v>25.0</v>
      </c>
      <c r="E87" s="80">
        <v>5.0</v>
      </c>
      <c r="F87" s="80">
        <v>20.0</v>
      </c>
    </row>
    <row r="88">
      <c r="A88" s="80" t="s">
        <v>957</v>
      </c>
      <c r="B88" s="81" t="str">
        <f>HYPERLINK("https://www.youtube.com/channel/UCNdV5VO81YBe5rfhOz1wRmA", "Con爆TV")</f>
        <v>Con爆TV</v>
      </c>
      <c r="C88" s="80">
        <v>22.0</v>
      </c>
      <c r="D88" s="80">
        <v>22.0</v>
      </c>
      <c r="E88" s="80">
        <v>16.0</v>
      </c>
      <c r="F88" s="80">
        <v>19.0</v>
      </c>
    </row>
    <row r="89">
      <c r="A89" s="80" t="s">
        <v>3172</v>
      </c>
      <c r="B89" s="81" t="str">
        <f>HYPERLINK("https://www.youtube.com/channel/UCahNh5t4wkQhSjS2-u0vSlA", "Henry Ng")</f>
        <v>Henry Ng</v>
      </c>
      <c r="C89" s="80">
        <v>19.0</v>
      </c>
      <c r="D89" s="80">
        <v>19.0</v>
      </c>
      <c r="E89" s="80">
        <v>0.0</v>
      </c>
      <c r="F89" s="80">
        <v>19.0</v>
      </c>
    </row>
    <row r="90">
      <c r="A90" s="80" t="s">
        <v>2785</v>
      </c>
      <c r="B90" s="81" t="str">
        <f>HYPERLINK("https://www.youtube.com/channel/UC_w7pV_Xz9XO0ChNFxMtV0w", "MPWeekly明周")</f>
        <v>MPWeekly明周</v>
      </c>
      <c r="C90" s="80">
        <v>959.0</v>
      </c>
      <c r="D90" s="80">
        <v>956.0</v>
      </c>
      <c r="E90" s="80">
        <v>937.0</v>
      </c>
      <c r="F90" s="80">
        <v>19.0</v>
      </c>
    </row>
    <row r="91">
      <c r="A91" s="80" t="s">
        <v>82</v>
      </c>
      <c r="B91" s="81" t="str">
        <f>HYPERLINK("https://www.youtube.com/channel/UC6C2hkbggXIgapf5jn_V2Dw", "SpongeMob 852")</f>
        <v>SpongeMob 852</v>
      </c>
      <c r="C91" s="80">
        <v>22.0</v>
      </c>
      <c r="D91" s="80">
        <v>22.0</v>
      </c>
      <c r="E91" s="80">
        <v>3.0</v>
      </c>
      <c r="F91" s="80">
        <v>19.0</v>
      </c>
    </row>
    <row r="92">
      <c r="A92" s="80" t="s">
        <v>5874</v>
      </c>
      <c r="B92" s="81" t="str">
        <f>HYPERLINK("https://www.youtube.com/channel/UCRlq4EUzB7RUBiaX_ax5Ylw", "啡啡channel")</f>
        <v>啡啡channel</v>
      </c>
      <c r="C92" s="80">
        <v>19.0</v>
      </c>
      <c r="D92" s="80">
        <v>19.0</v>
      </c>
      <c r="E92" s="80">
        <v>0.0</v>
      </c>
      <c r="F92" s="80">
        <v>19.0</v>
      </c>
    </row>
    <row r="93">
      <c r="A93" s="80" t="s">
        <v>291</v>
      </c>
      <c r="B93" s="81" t="str">
        <f>HYPERLINK("https://www.youtube.com/channel/UClSNJbCUCp_W4yrS3DlCmjw", "飛馬 PEGASUS")</f>
        <v>飛馬 PEGASUS</v>
      </c>
      <c r="C93" s="80">
        <v>25.0</v>
      </c>
      <c r="D93" s="80">
        <v>25.0</v>
      </c>
      <c r="E93" s="80">
        <v>8.0</v>
      </c>
      <c r="F93" s="80">
        <v>19.0</v>
      </c>
    </row>
    <row r="94">
      <c r="A94" s="80" t="s">
        <v>207</v>
      </c>
      <c r="B94" s="81" t="str">
        <f>HYPERLINK("https://www.youtube.com/channel/UCMDQ0yBIh37t3Nm-mnMODCA", "麥兜Mcdull")</f>
        <v>麥兜Mcdull</v>
      </c>
      <c r="C94" s="80">
        <v>57.0</v>
      </c>
      <c r="D94" s="80">
        <v>55.0</v>
      </c>
      <c r="E94" s="80">
        <v>36.0</v>
      </c>
      <c r="F94" s="80">
        <v>19.0</v>
      </c>
    </row>
    <row r="95">
      <c r="A95" s="80" t="s">
        <v>1000</v>
      </c>
      <c r="B95" s="81" t="str">
        <f>HYPERLINK("https://www.youtube.com/channel/UChJQlg1b_cOttPX3SiIh5gA", "Lau Dinha in Hong Kong - Hong Kong in the World")</f>
        <v>Lau Dinha in Hong Kong - Hong Kong in the World</v>
      </c>
      <c r="C95" s="80">
        <v>62.0</v>
      </c>
      <c r="D95" s="80">
        <v>42.0</v>
      </c>
      <c r="E95" s="80">
        <v>33.0</v>
      </c>
      <c r="F95" s="80">
        <v>18.0</v>
      </c>
    </row>
    <row r="96">
      <c r="A96" s="80" t="s">
        <v>5702</v>
      </c>
      <c r="B96" s="81" t="str">
        <f>HYPERLINK("https://www.youtube.com/channel/UC249m2fxYzK-NnfH06YNP3A", "Siu Mei小美")</f>
        <v>Siu Mei小美</v>
      </c>
      <c r="C96" s="80">
        <v>18.0</v>
      </c>
      <c r="D96" s="80">
        <v>18.0</v>
      </c>
      <c r="E96" s="80">
        <v>0.0</v>
      </c>
      <c r="F96" s="80">
        <v>18.0</v>
      </c>
    </row>
    <row r="97">
      <c r="A97" s="80" t="s">
        <v>1010</v>
      </c>
      <c r="B97" s="81" t="str">
        <f>HYPERLINK("https://www.youtube.com/channel/UC-nV0odAiVdjH3gB_uSeTcQ", "wepro180")</f>
        <v>wepro180</v>
      </c>
      <c r="C97" s="80">
        <v>27.0</v>
      </c>
      <c r="D97" s="80">
        <v>27.0</v>
      </c>
      <c r="E97" s="80">
        <v>9.0</v>
      </c>
      <c r="F97" s="80">
        <v>18.0</v>
      </c>
    </row>
    <row r="98">
      <c r="A98" s="80" t="s">
        <v>2942</v>
      </c>
      <c r="B98" s="81" t="str">
        <f>HYPERLINK("https://www.youtube.com/channel/UCFOFvhsNWMPHwvbfHl7K6qw", "司徒文進 CROSSBONE")</f>
        <v>司徒文進 CROSSBONE</v>
      </c>
      <c r="C98" s="80">
        <v>20.0</v>
      </c>
      <c r="D98" s="80">
        <v>20.0</v>
      </c>
      <c r="E98" s="80">
        <v>2.0</v>
      </c>
      <c r="F98" s="80">
        <v>18.0</v>
      </c>
    </row>
    <row r="99">
      <c r="A99" s="80" t="s">
        <v>2490</v>
      </c>
      <c r="B99" s="81" t="str">
        <f>HYPERLINK("https://www.youtube.com/channel/UCxtXeFNKwTorEUE-vzRqj6w", "網上學習平台Beginneros")</f>
        <v>網上學習平台Beginneros</v>
      </c>
      <c r="C99" s="80">
        <v>110.0</v>
      </c>
      <c r="D99" s="80">
        <v>110.0</v>
      </c>
      <c r="E99" s="80">
        <v>110.0</v>
      </c>
      <c r="F99" s="80">
        <v>18.0</v>
      </c>
    </row>
    <row r="100">
      <c r="A100" s="80" t="s">
        <v>4470</v>
      </c>
      <c r="B100" s="81" t="str">
        <f>HYPERLINK("https://www.youtube.com/channel/UC4VI_WmdfVMTkT4vKCiZA4A", "BossMind")</f>
        <v>BossMind</v>
      </c>
      <c r="C100" s="80">
        <v>227.0</v>
      </c>
      <c r="D100" s="80">
        <v>227.0</v>
      </c>
      <c r="E100" s="80">
        <v>210.0</v>
      </c>
      <c r="F100" s="80">
        <v>17.0</v>
      </c>
    </row>
    <row r="101">
      <c r="A101" s="80" t="s">
        <v>295</v>
      </c>
      <c r="B101" s="81" t="str">
        <f>HYPERLINK("https://www.youtube.com/channel/UCIotQRUz6c4H-BRsouLt4YQ", "Captain and his squad")</f>
        <v>Captain and his squad</v>
      </c>
      <c r="C101" s="80">
        <v>18.0</v>
      </c>
      <c r="D101" s="80">
        <v>18.0</v>
      </c>
      <c r="E101" s="80">
        <v>10.0</v>
      </c>
      <c r="F101" s="80">
        <v>17.0</v>
      </c>
    </row>
    <row r="102">
      <c r="A102" s="80" t="s">
        <v>6052</v>
      </c>
      <c r="B102" s="81" t="str">
        <f>HYPERLINK("https://www.youtube.com/channel/UCZdOF7o0teJCv7edI3QCiDg", "KZee")</f>
        <v>KZee</v>
      </c>
      <c r="C102" s="80">
        <v>147.0</v>
      </c>
      <c r="D102" s="80">
        <v>147.0</v>
      </c>
      <c r="E102" s="80">
        <v>131.0</v>
      </c>
      <c r="F102" s="80">
        <v>17.0</v>
      </c>
    </row>
    <row r="103">
      <c r="A103" s="80" t="s">
        <v>7099</v>
      </c>
      <c r="B103" s="81" t="str">
        <f>HYPERLINK("https://www.youtube.com/channel/UCBwfrMS785JyWDUBRhOQkjw", "Karenly :")</f>
        <v>Karenly :</v>
      </c>
      <c r="C103" s="80">
        <v>78.0</v>
      </c>
      <c r="D103" s="80">
        <v>78.0</v>
      </c>
      <c r="E103" s="80">
        <v>61.0</v>
      </c>
      <c r="F103" s="80">
        <v>17.0</v>
      </c>
    </row>
    <row r="104">
      <c r="A104" s="80" t="s">
        <v>1082</v>
      </c>
      <c r="B104" s="81" t="str">
        <f>HYPERLINK("https://www.youtube.com/channel/UCMosCy_NDf55rDQhzdX_h3w", "熊熊兒童音樂 Bear Music Ltd.")</f>
        <v>熊熊兒童音樂 Bear Music Ltd.</v>
      </c>
      <c r="C104" s="80">
        <v>30.0</v>
      </c>
      <c r="D104" s="80">
        <v>29.0</v>
      </c>
      <c r="E104" s="80">
        <v>13.0</v>
      </c>
      <c r="F104" s="80">
        <v>16.0</v>
      </c>
    </row>
    <row r="105">
      <c r="A105" s="80" t="s">
        <v>1553</v>
      </c>
      <c r="B105" s="81" t="str">
        <f>HYPERLINK("https://www.youtube.com/channel/UC5gQ01ai9nF2x43fYmO1vow", "Ck釣魚冒險")</f>
        <v>Ck釣魚冒險</v>
      </c>
      <c r="C105" s="80">
        <v>15.0</v>
      </c>
      <c r="D105" s="80">
        <v>15.0</v>
      </c>
      <c r="E105" s="80">
        <v>0.0</v>
      </c>
      <c r="F105" s="80">
        <v>15.0</v>
      </c>
    </row>
    <row r="106">
      <c r="A106" s="80" t="s">
        <v>245</v>
      </c>
      <c r="B106" s="81" t="str">
        <f>HYPERLINK("https://www.youtube.com/channel/UCkZ3cOWgnhJheCK7Ywpiezw", "Eagen Kao")</f>
        <v>Eagen Kao</v>
      </c>
      <c r="C106" s="80">
        <v>91.0</v>
      </c>
      <c r="D106" s="80">
        <v>91.0</v>
      </c>
      <c r="E106" s="80">
        <v>80.0</v>
      </c>
      <c r="F106" s="80">
        <v>15.0</v>
      </c>
    </row>
    <row r="107">
      <c r="A107" s="80" t="s">
        <v>6169</v>
      </c>
      <c r="B107" s="81" t="str">
        <f>HYPERLINK("https://www.youtube.com/channel/UC8UAj9wPCBdyd709kD0eEFQ", "P3NTATON1C MUSIC")</f>
        <v>P3NTATON1C MUSIC</v>
      </c>
      <c r="C107" s="80">
        <v>18.0</v>
      </c>
      <c r="D107" s="80">
        <v>18.0</v>
      </c>
      <c r="E107" s="80">
        <v>3.0</v>
      </c>
      <c r="F107" s="80">
        <v>15.0</v>
      </c>
    </row>
    <row r="108">
      <c r="A108" s="80" t="s">
        <v>6054</v>
      </c>
      <c r="B108" s="81" t="str">
        <f>HYPERLINK("https://www.youtube.com/channel/UCZc-RwRZUYVuwu3A9pVBISg", "ToNick")</f>
        <v>ToNick</v>
      </c>
      <c r="C108" s="80">
        <v>30.0</v>
      </c>
      <c r="D108" s="80">
        <v>30.0</v>
      </c>
      <c r="E108" s="80">
        <v>15.0</v>
      </c>
      <c r="F108" s="80">
        <v>15.0</v>
      </c>
    </row>
    <row r="109">
      <c r="A109" s="80" t="s">
        <v>962</v>
      </c>
      <c r="B109" s="81" t="str">
        <f>HYPERLINK("https://www.youtube.com/channel/UCmdnX8KiF_5ZVmJXNhOXUtw", "foursonproduction")</f>
        <v>foursonproduction</v>
      </c>
      <c r="C109" s="80">
        <v>45.0</v>
      </c>
      <c r="D109" s="80">
        <v>35.0</v>
      </c>
      <c r="E109" s="80">
        <v>20.0</v>
      </c>
      <c r="F109" s="80">
        <v>15.0</v>
      </c>
    </row>
    <row r="110">
      <c r="A110" s="80" t="s">
        <v>5041</v>
      </c>
      <c r="B110" s="81" t="str">
        <f>HYPERLINK("https://www.youtube.com/channel/UCHPhAP0i8BxEF2lBgNfLB1g", "溫哥華地產經紀 Carrie Kwai PREC* l 大溫住好D 基仔&amp;Carrie")</f>
        <v>溫哥華地產經紀 Carrie Kwai PREC* l 大溫住好D 基仔&amp;Carrie</v>
      </c>
      <c r="C110" s="80">
        <v>184.0</v>
      </c>
      <c r="D110" s="80">
        <v>184.0</v>
      </c>
      <c r="E110" s="80">
        <v>169.0</v>
      </c>
      <c r="F110" s="80">
        <v>15.0</v>
      </c>
    </row>
    <row r="111">
      <c r="A111" s="80" t="s">
        <v>6817</v>
      </c>
      <c r="B111" s="81" t="str">
        <f>HYPERLINK("https://www.youtube.com/channel/UCWo5nbifkKDRNyD2nF2KJ0Q", "陳柏宇 Jason Chan")</f>
        <v>陳柏宇 Jason Chan</v>
      </c>
      <c r="C111" s="80">
        <v>35.0</v>
      </c>
      <c r="D111" s="80">
        <v>35.0</v>
      </c>
      <c r="E111" s="80">
        <v>20.0</v>
      </c>
      <c r="F111" s="80">
        <v>15.0</v>
      </c>
    </row>
    <row r="112">
      <c r="A112" s="80" t="s">
        <v>69</v>
      </c>
      <c r="B112" s="81" t="str">
        <f>HYPERLINK("https://www.youtube.com/channel/UCoVycxbCXEsd-mrP83EqVWQ", "馬米高 Michael MMG")</f>
        <v>馬米高 Michael MMG</v>
      </c>
      <c r="C112" s="80">
        <v>25.0</v>
      </c>
      <c r="D112" s="80">
        <v>23.0</v>
      </c>
      <c r="E112" s="80">
        <v>8.0</v>
      </c>
      <c r="F112" s="80">
        <v>15.0</v>
      </c>
    </row>
    <row r="113">
      <c r="A113" s="80" t="s">
        <v>2793</v>
      </c>
      <c r="B113" s="81" t="str">
        <f>HYPERLINK("https://www.youtube.com/channel/UC03mRlT2h1B4LohYaIj9lHg", "Messiah2048")</f>
        <v>Messiah2048</v>
      </c>
      <c r="C113" s="80">
        <v>74.0</v>
      </c>
      <c r="D113" s="80">
        <v>73.0</v>
      </c>
      <c r="E113" s="80">
        <v>60.0</v>
      </c>
      <c r="F113" s="80">
        <v>14.0</v>
      </c>
    </row>
    <row r="114">
      <c r="A114" s="80" t="s">
        <v>1310</v>
      </c>
      <c r="B114" s="81" t="str">
        <f>HYPERLINK("https://www.youtube.com/channel/UC0-DuAJ8XNn3RH1aevvJWgA", "TomorrowLAN CSGO")</f>
        <v>TomorrowLAN CSGO</v>
      </c>
      <c r="C114" s="80">
        <v>23.0</v>
      </c>
      <c r="D114" s="80">
        <v>21.0</v>
      </c>
      <c r="E114" s="80">
        <v>9.0</v>
      </c>
      <c r="F114" s="80">
        <v>14.0</v>
      </c>
    </row>
    <row r="115">
      <c r="A115" s="80" t="s">
        <v>6919</v>
      </c>
      <c r="B115" s="81" t="str">
        <f>HYPERLINK("https://www.youtube.com/channel/UCF6M5AH_OALkimFGKdlWfCw", "采姐姐的故事王國 Lillian's Story Kingdom")</f>
        <v>采姐姐的故事王國 Lillian's Story Kingdom</v>
      </c>
      <c r="C115" s="80">
        <v>21.0</v>
      </c>
      <c r="D115" s="80">
        <v>21.0</v>
      </c>
      <c r="E115" s="80">
        <v>7.0</v>
      </c>
      <c r="F115" s="80">
        <v>14.0</v>
      </c>
    </row>
    <row r="116">
      <c r="A116" s="80" t="s">
        <v>1118</v>
      </c>
      <c r="B116" s="81" t="str">
        <f>HYPERLINK("https://www.youtube.com/channel/UCeyXZA7ofepOhL9Z9BATC1w", "80後夫婦移英日記 80s Couple UK Diary")</f>
        <v>80後夫婦移英日記 80s Couple UK Diary</v>
      </c>
      <c r="C116" s="80">
        <v>14.0</v>
      </c>
      <c r="D116" s="80">
        <v>14.0</v>
      </c>
      <c r="E116" s="80">
        <v>1.0</v>
      </c>
      <c r="F116" s="80">
        <v>13.0</v>
      </c>
    </row>
    <row r="117">
      <c r="A117" s="80" t="s">
        <v>588</v>
      </c>
      <c r="B117" s="81" t="str">
        <f>HYPERLINK("https://www.youtube.com/channel/UCaJ77iWZ8galtePlS_BtEKw", "西DorSi偽中產生活態度")</f>
        <v>西DorSi偽中產生活態度</v>
      </c>
      <c r="C117" s="80">
        <v>482.0</v>
      </c>
      <c r="D117" s="80">
        <v>480.0</v>
      </c>
      <c r="E117" s="80">
        <v>468.0</v>
      </c>
      <c r="F117" s="80">
        <v>13.0</v>
      </c>
    </row>
    <row r="118">
      <c r="A118" s="80" t="s">
        <v>118</v>
      </c>
      <c r="B118" s="81" t="str">
        <f>HYPERLINK("https://www.youtube.com/channel/UCHrgHYFc5KShMJDZNsDZh4g", "BETHNI Y")</f>
        <v>BETHNI Y</v>
      </c>
      <c r="C118" s="80">
        <v>37.0</v>
      </c>
      <c r="D118" s="80">
        <v>30.0</v>
      </c>
      <c r="E118" s="80">
        <v>23.0</v>
      </c>
      <c r="F118" s="80">
        <v>12.0</v>
      </c>
    </row>
    <row r="119">
      <c r="A119" s="80" t="s">
        <v>1069</v>
      </c>
      <c r="B119" s="81" t="str">
        <f>HYPERLINK("https://www.youtube.com/channel/UCAnpoZYvOIZUPp66LrWl9OA", "Leave Your Mark")</f>
        <v>Leave Your Mark</v>
      </c>
      <c r="C119" s="80">
        <v>12.0</v>
      </c>
      <c r="D119" s="80">
        <v>12.0</v>
      </c>
      <c r="E119" s="80">
        <v>0.0</v>
      </c>
      <c r="F119" s="80">
        <v>12.0</v>
      </c>
    </row>
    <row r="120">
      <c r="A120" s="80" t="s">
        <v>6063</v>
      </c>
      <c r="B120" s="81" t="str">
        <f>HYPERLINK("https://www.youtube.com/channel/UCFhqo-h29TVyrRFcIIBwr7w", "Realistic records")</f>
        <v>Realistic records</v>
      </c>
      <c r="C120" s="80">
        <v>14.0</v>
      </c>
      <c r="D120" s="80">
        <v>13.0</v>
      </c>
      <c r="E120" s="80">
        <v>1.0</v>
      </c>
      <c r="F120" s="80">
        <v>12.0</v>
      </c>
    </row>
    <row r="121">
      <c r="A121" s="80" t="s">
        <v>233</v>
      </c>
      <c r="B121" s="81" t="str">
        <f>HYPERLINK("https://www.youtube.com/channel/UCjL61vw5qtDQudezRnnv-ig", "rickolam1")</f>
        <v>rickolam1</v>
      </c>
      <c r="C121" s="80">
        <v>16.0</v>
      </c>
      <c r="D121" s="80">
        <v>15.0</v>
      </c>
      <c r="E121" s="80">
        <v>13.0</v>
      </c>
      <c r="F121" s="80">
        <v>12.0</v>
      </c>
    </row>
    <row r="122">
      <c r="A122" s="80" t="s">
        <v>6040</v>
      </c>
      <c r="B122" s="81" t="str">
        <f>HYPERLINK("https://www.youtube.com/channel/UCOaPA9dplBmTRdkugUnn17g", "光頭幫 TomFatKi")</f>
        <v>光頭幫 TomFatKi</v>
      </c>
      <c r="C122" s="80">
        <v>14.0</v>
      </c>
      <c r="D122" s="80">
        <v>14.0</v>
      </c>
      <c r="E122" s="80">
        <v>2.0</v>
      </c>
      <c r="F122" s="80">
        <v>12.0</v>
      </c>
    </row>
    <row r="123">
      <c r="A123" s="80" t="s">
        <v>5027</v>
      </c>
      <c r="B123" s="81" t="str">
        <f>HYPERLINK("https://www.youtube.com/channel/UCZgs3pLaFisZ-TKVOwFEe8Q", "嘉芙姐姐 - 兒歌童謠 - 故事動畫 - Miss Ka Foo Kids Channel")</f>
        <v>嘉芙姐姐 - 兒歌童謠 - 故事動畫 - Miss Ka Foo Kids Channel</v>
      </c>
      <c r="C123" s="80">
        <v>128.0</v>
      </c>
      <c r="D123" s="80">
        <v>128.0</v>
      </c>
      <c r="E123" s="80">
        <v>116.0</v>
      </c>
      <c r="F123" s="80">
        <v>12.0</v>
      </c>
    </row>
    <row r="124">
      <c r="A124" s="80" t="s">
        <v>3021</v>
      </c>
      <c r="B124" s="81" t="str">
        <f>HYPERLINK("https://www.youtube.com/channel/UCEZ8fnigqno2a1z2_JSYjxQ", "9up Youtuber")</f>
        <v>9up Youtuber</v>
      </c>
      <c r="C124" s="80">
        <v>13.0</v>
      </c>
      <c r="D124" s="80">
        <v>13.0</v>
      </c>
      <c r="E124" s="80">
        <v>2.0</v>
      </c>
      <c r="F124" s="80">
        <v>11.0</v>
      </c>
    </row>
    <row r="125">
      <c r="A125" s="80" t="s">
        <v>5019</v>
      </c>
      <c r="B125" s="81" t="str">
        <f>HYPERLINK("https://www.youtube.com/channel/UCbsM9POBZ0TVvG74xL3WH0A", "Cherry 小美")</f>
        <v>Cherry 小美</v>
      </c>
      <c r="C125" s="80">
        <v>48.0</v>
      </c>
      <c r="D125" s="80">
        <v>48.0</v>
      </c>
      <c r="E125" s="80">
        <v>46.0</v>
      </c>
      <c r="F125" s="80">
        <v>11.0</v>
      </c>
    </row>
    <row r="126">
      <c r="A126" s="80" t="s">
        <v>1050</v>
      </c>
      <c r="B126" s="81" t="str">
        <f>HYPERLINK("https://www.youtube.com/channel/UCNCwcNnkhHviS0xyJHbhX2Q", "Man The Fvck Up")</f>
        <v>Man The Fvck Up</v>
      </c>
      <c r="C126" s="80">
        <v>11.0</v>
      </c>
      <c r="D126" s="80">
        <v>11.0</v>
      </c>
      <c r="E126" s="80">
        <v>0.0</v>
      </c>
      <c r="F126" s="80">
        <v>11.0</v>
      </c>
    </row>
    <row r="127">
      <c r="A127" s="80" t="s">
        <v>6373</v>
      </c>
      <c r="B127" s="81" t="str">
        <f>HYPERLINK("https://www.youtube.com/channel/UCMXOmw_gVvTj8n1gjqUN51w", "瑪姬英文 English with Maggie")</f>
        <v>瑪姬英文 English with Maggie</v>
      </c>
      <c r="C127" s="80">
        <v>134.0</v>
      </c>
      <c r="D127" s="80">
        <v>133.0</v>
      </c>
      <c r="E127" s="80">
        <v>122.0</v>
      </c>
      <c r="F127" s="80">
        <v>11.0</v>
      </c>
    </row>
    <row r="128">
      <c r="A128" s="80" t="s">
        <v>3142</v>
      </c>
      <c r="B128" s="81" t="str">
        <f>HYPERLINK("https://www.youtube.com/channel/UCO4mttl54gQ0UW-DqyVrvLQ", "陳怡ChanYee")</f>
        <v>陳怡ChanYee</v>
      </c>
      <c r="C128" s="80">
        <v>119.0</v>
      </c>
      <c r="D128" s="80">
        <v>115.0</v>
      </c>
      <c r="E128" s="80">
        <v>107.0</v>
      </c>
      <c r="F128" s="80">
        <v>11.0</v>
      </c>
    </row>
    <row r="129">
      <c r="A129" s="80" t="s">
        <v>5866</v>
      </c>
      <c r="B129" s="81" t="str">
        <f>HYPERLINK("https://www.youtube.com/channel/UCOPLu2jjrQ8bIgP9olEZ4lQ", "香港Vtuber宣傳大使")</f>
        <v>香港Vtuber宣傳大使</v>
      </c>
      <c r="C129" s="80">
        <v>14.0</v>
      </c>
      <c r="D129" s="80">
        <v>14.0</v>
      </c>
      <c r="E129" s="80">
        <v>3.0</v>
      </c>
      <c r="F129" s="80">
        <v>11.0</v>
      </c>
    </row>
    <row r="130">
      <c r="A130" s="80" t="s">
        <v>2519</v>
      </c>
      <c r="B130" s="81" t="str">
        <f>HYPERLINK("https://www.youtube.com/channel/UCRaC6ToPRzGZT5nGgz9vzGw", "C90s 港仔音樂")</f>
        <v>C90s 港仔音樂</v>
      </c>
      <c r="C130" s="80">
        <v>1039.0</v>
      </c>
      <c r="D130" s="80">
        <v>626.0</v>
      </c>
      <c r="E130" s="80">
        <v>616.0</v>
      </c>
      <c r="F130" s="80">
        <v>10.0</v>
      </c>
    </row>
    <row r="131">
      <c r="A131" s="80" t="s">
        <v>2530</v>
      </c>
      <c r="B131" s="81" t="str">
        <f>HYPERLINK("https://www.youtube.com/channel/UClMVl1_PFbycHqKVCI70H5g", "CinCandy Sisters")</f>
        <v>CinCandy Sisters</v>
      </c>
      <c r="C131" s="80">
        <v>18.0</v>
      </c>
      <c r="D131" s="80">
        <v>17.0</v>
      </c>
      <c r="E131" s="80">
        <v>14.0</v>
      </c>
      <c r="F131" s="80">
        <v>10.0</v>
      </c>
    </row>
    <row r="132">
      <c r="A132" s="80" t="s">
        <v>5992</v>
      </c>
      <c r="B132" s="81" t="str">
        <f>HYPERLINK("https://www.youtube.com/channel/UCEuQ-0x3uMk1KghGiO1kTHg", "MIRROR")</f>
        <v>MIRROR</v>
      </c>
      <c r="C132" s="80">
        <v>108.0</v>
      </c>
      <c r="D132" s="80">
        <v>106.0</v>
      </c>
      <c r="E132" s="80">
        <v>96.0</v>
      </c>
      <c r="F132" s="80">
        <v>10.0</v>
      </c>
    </row>
    <row r="133">
      <c r="A133" s="80" t="s">
        <v>978</v>
      </c>
      <c r="B133" s="81" t="str">
        <f>HYPERLINK("https://www.youtube.com/channel/UCDMd6CHdLs8FoqZJoRHkJGQ", "Ray Ho")</f>
        <v>Ray Ho</v>
      </c>
      <c r="C133" s="80">
        <v>38.0</v>
      </c>
      <c r="D133" s="80">
        <v>37.0</v>
      </c>
      <c r="E133" s="80">
        <v>27.0</v>
      </c>
      <c r="F133" s="80">
        <v>10.0</v>
      </c>
    </row>
    <row r="134">
      <c r="A134" s="80" t="s">
        <v>6711</v>
      </c>
      <c r="B134" s="81" t="str">
        <f>HYPERLINK("https://www.youtube.com/channel/UCwAPo1PxfhC-CSSjsRtlY3A", "喜歡電影的人都有病 Movie Psychopath")</f>
        <v>喜歡電影的人都有病 Movie Psychopath</v>
      </c>
      <c r="C134" s="80">
        <v>202.0</v>
      </c>
      <c r="D134" s="80">
        <v>202.0</v>
      </c>
      <c r="E134" s="80">
        <v>192.0</v>
      </c>
      <c r="F134" s="80">
        <v>10.0</v>
      </c>
    </row>
    <row r="135">
      <c r="A135" s="80" t="s">
        <v>67</v>
      </c>
      <c r="B135" s="81" t="str">
        <f>HYPERLINK("https://www.youtube.com/channel/UC7U6-j2DrKRIKXmPo4kE7YA", "雞WING")</f>
        <v>雞WING</v>
      </c>
      <c r="C135" s="80">
        <v>12.0</v>
      </c>
      <c r="D135" s="80">
        <v>12.0</v>
      </c>
      <c r="E135" s="80">
        <v>2.0</v>
      </c>
      <c r="F135" s="80">
        <v>10.0</v>
      </c>
    </row>
    <row r="136">
      <c r="A136" s="80" t="s">
        <v>2862</v>
      </c>
      <c r="B136" s="81" t="str">
        <f>HYPERLINK("https://www.youtube.com/channel/UCi6CqLjdoCN_ijofoCJFpCw", "Anton 安冬晴 ")</f>
        <v>Anton 安冬晴 </v>
      </c>
      <c r="C136" s="80">
        <v>12.0</v>
      </c>
      <c r="D136" s="80">
        <v>12.0</v>
      </c>
      <c r="E136" s="80">
        <v>5.0</v>
      </c>
      <c r="F136" s="80">
        <v>9.0</v>
      </c>
    </row>
    <row r="137">
      <c r="A137" s="80" t="s">
        <v>103</v>
      </c>
      <c r="B137" s="81" t="str">
        <f>HYPERLINK("https://www.youtube.com/channel/UCTVpvSswSER2sq1USBTGfnw", "Brittany Chan")</f>
        <v>Brittany Chan</v>
      </c>
      <c r="C137" s="80">
        <v>17.0</v>
      </c>
      <c r="D137" s="80">
        <v>9.0</v>
      </c>
      <c r="E137" s="80">
        <v>0.0</v>
      </c>
      <c r="F137" s="80">
        <v>9.0</v>
      </c>
    </row>
    <row r="138">
      <c r="A138" s="80" t="s">
        <v>3170</v>
      </c>
      <c r="B138" s="81" t="str">
        <f>HYPERLINK("https://www.youtube.com/channel/UC4sYIzNtzgaJudHQcDGtuJA", "CC漫遊")</f>
        <v>CC漫遊</v>
      </c>
      <c r="C138" s="80">
        <v>13.0</v>
      </c>
      <c r="D138" s="80">
        <v>13.0</v>
      </c>
      <c r="E138" s="80">
        <v>4.0</v>
      </c>
      <c r="F138" s="80">
        <v>9.0</v>
      </c>
    </row>
    <row r="139">
      <c r="A139" s="80" t="s">
        <v>5325</v>
      </c>
      <c r="B139" s="81" t="str">
        <f>HYPERLINK("https://www.youtube.com/channel/UCcQ5WlinXufbKizIJHlI4LQ", "IKEAHongKong")</f>
        <v>IKEAHongKong</v>
      </c>
      <c r="C139" s="80">
        <v>11.0</v>
      </c>
      <c r="D139" s="80">
        <v>10.0</v>
      </c>
      <c r="E139" s="80">
        <v>1.0</v>
      </c>
      <c r="F139" s="80">
        <v>9.0</v>
      </c>
    </row>
    <row r="140">
      <c r="A140" s="80" t="s">
        <v>267</v>
      </c>
      <c r="B140" s="81" t="str">
        <f>HYPERLINK("https://www.youtube.com/channel/UCcrhFT95jH5XqVVPyBhRbrA", "JFFT")</f>
        <v>JFFT</v>
      </c>
      <c r="C140" s="80">
        <v>11.0</v>
      </c>
      <c r="D140" s="80">
        <v>9.0</v>
      </c>
      <c r="E140" s="80">
        <v>0.0</v>
      </c>
      <c r="F140" s="80">
        <v>9.0</v>
      </c>
    </row>
    <row r="141">
      <c r="A141" s="80" t="s">
        <v>2512</v>
      </c>
      <c r="B141" s="81" t="str">
        <f>HYPERLINK("https://www.youtube.com/channel/UC5zsYYGsHjv4GK20FjPDjkg", "Ling Cheng")</f>
        <v>Ling Cheng</v>
      </c>
      <c r="C141" s="80">
        <v>224.0</v>
      </c>
      <c r="D141" s="80">
        <v>206.0</v>
      </c>
      <c r="E141" s="80">
        <v>203.0</v>
      </c>
      <c r="F141" s="80">
        <v>9.0</v>
      </c>
    </row>
    <row r="142">
      <c r="A142" s="80" t="s">
        <v>106</v>
      </c>
      <c r="B142" s="81" t="str">
        <f>HYPERLINK("https://www.youtube.com/channel/UC9jW6WpsAPgh-9HqDTvkFzg", "ValorGears")</f>
        <v>ValorGears</v>
      </c>
      <c r="C142" s="80">
        <v>363.0</v>
      </c>
      <c r="D142" s="80">
        <v>354.0</v>
      </c>
      <c r="E142" s="80">
        <v>346.0</v>
      </c>
      <c r="F142" s="80">
        <v>9.0</v>
      </c>
    </row>
    <row r="143">
      <c r="A143" s="80" t="s">
        <v>3339</v>
      </c>
      <c r="B143" s="81" t="str">
        <f>HYPERLINK("https://www.youtube.com/channel/UCo0lvDJ5ikc3hhD30ttGznw", "gingerlemoncola")</f>
        <v>gingerlemoncola</v>
      </c>
      <c r="C143" s="80">
        <v>14.0</v>
      </c>
      <c r="D143" s="80">
        <v>12.0</v>
      </c>
      <c r="E143" s="80">
        <v>3.0</v>
      </c>
      <c r="F143" s="80">
        <v>9.0</v>
      </c>
    </row>
    <row r="144">
      <c r="A144" s="80" t="s">
        <v>1373</v>
      </c>
      <c r="B144" s="81" t="str">
        <f>HYPERLINK("https://www.youtube.com/channel/UCNsL7xLGZvocrljHcCJ71VA", "漏墨佬")</f>
        <v>漏墨佬</v>
      </c>
      <c r="C144" s="80">
        <v>14.0</v>
      </c>
      <c r="D144" s="80">
        <v>14.0</v>
      </c>
      <c r="E144" s="80">
        <v>6.0</v>
      </c>
      <c r="F144" s="80">
        <v>9.0</v>
      </c>
    </row>
    <row r="145">
      <c r="A145" s="80" t="s">
        <v>2374</v>
      </c>
      <c r="B145" s="81" t="str">
        <f>HYPERLINK("https://www.youtube.com/channel/UC0lbhIloP3pcKJT07YosZlQ", "講豬hi speakchuhi")</f>
        <v>講豬hi speakchuhi</v>
      </c>
      <c r="C145" s="80">
        <v>11.0</v>
      </c>
      <c r="D145" s="80">
        <v>11.0</v>
      </c>
      <c r="E145" s="80">
        <v>2.0</v>
      </c>
      <c r="F145" s="80">
        <v>9.0</v>
      </c>
    </row>
    <row r="146">
      <c r="A146" s="80" t="s">
        <v>78</v>
      </c>
      <c r="B146" s="81" t="str">
        <f>HYPERLINK("https://www.youtube.com/channel/UCXnWjmQ8BDE0sDIeZLK5yJg", "點 Cook Guide")</f>
        <v>點 Cook Guide</v>
      </c>
      <c r="C146" s="80">
        <v>54.0</v>
      </c>
      <c r="D146" s="80">
        <v>54.0</v>
      </c>
      <c r="E146" s="80">
        <v>52.0</v>
      </c>
      <c r="F146" s="80">
        <v>9.0</v>
      </c>
    </row>
    <row r="147">
      <c r="A147" s="80" t="s">
        <v>397</v>
      </c>
      <c r="B147" s="81" t="str">
        <f>HYPERLINK("https://www.youtube.com/channel/UCJapEUO27oP6sOVIZ8Ul1tw", "안물안궁車厘🐢仙人")</f>
        <v>안물안궁車厘🐢仙人</v>
      </c>
      <c r="C147" s="80">
        <v>9.0</v>
      </c>
      <c r="D147" s="80">
        <v>9.0</v>
      </c>
      <c r="E147" s="80">
        <v>0.0</v>
      </c>
      <c r="F147" s="80">
        <v>9.0</v>
      </c>
    </row>
    <row r="148">
      <c r="A148" s="80" t="s">
        <v>5901</v>
      </c>
      <c r="B148" s="81" t="str">
        <f>HYPERLINK("https://www.youtube.com/channel/UCCa6OFUN6n0JB2FhnDxFSBA", "9BoThew 膠保廢")</f>
        <v>9BoThew 膠保廢</v>
      </c>
      <c r="C148" s="80">
        <v>24.0</v>
      </c>
      <c r="D148" s="80">
        <v>24.0</v>
      </c>
      <c r="E148" s="80">
        <v>16.0</v>
      </c>
      <c r="F148" s="80">
        <v>8.0</v>
      </c>
    </row>
    <row r="149">
      <c r="A149" s="80" t="s">
        <v>257</v>
      </c>
      <c r="B149" s="81" t="str">
        <f>HYPERLINK("https://www.youtube.com/channel/UC1u7XM2b3QCHcGOhD6nDypg", "Poopstirrer")</f>
        <v>Poopstirrer</v>
      </c>
      <c r="C149" s="80">
        <v>143.0</v>
      </c>
      <c r="D149" s="80">
        <v>143.0</v>
      </c>
      <c r="E149" s="80">
        <v>135.0</v>
      </c>
      <c r="F149" s="80">
        <v>8.0</v>
      </c>
    </row>
    <row r="150">
      <c r="A150" s="80" t="s">
        <v>89</v>
      </c>
      <c r="B150" s="81" t="str">
        <f>HYPERLINK("https://www.youtube.com/channel/UClc7lRdOhLxh3orjosY1R7g", "三木大師")</f>
        <v>三木大師</v>
      </c>
      <c r="C150" s="80">
        <v>15.0</v>
      </c>
      <c r="D150" s="80">
        <v>11.0</v>
      </c>
      <c r="E150" s="80">
        <v>3.0</v>
      </c>
      <c r="F150" s="80">
        <v>8.0</v>
      </c>
    </row>
    <row r="151">
      <c r="A151" s="80" t="s">
        <v>3255</v>
      </c>
      <c r="B151" s="81" t="str">
        <f>HYPERLINK("https://www.youtube.com/channel/UC-RAzAVCKwf_o0XUlmoWGuQ", "半職人妻 Halfwife")</f>
        <v>半職人妻 Halfwife</v>
      </c>
      <c r="C151" s="80">
        <v>8.0</v>
      </c>
      <c r="D151" s="80">
        <v>8.0</v>
      </c>
      <c r="E151" s="80">
        <v>0.0</v>
      </c>
      <c r="F151" s="80">
        <v>8.0</v>
      </c>
    </row>
    <row r="152">
      <c r="A152" s="80" t="s">
        <v>960</v>
      </c>
      <c r="B152" s="81" t="str">
        <f>HYPERLINK("https://www.youtube.com/channel/UCXf8jlTSP9kp6g4ROCfgvbQ", "堅離地球・沈旭暉・馮智政")</f>
        <v>堅離地球・沈旭暉・馮智政</v>
      </c>
      <c r="C152" s="80">
        <v>400.0</v>
      </c>
      <c r="D152" s="80">
        <v>390.0</v>
      </c>
      <c r="E152" s="80">
        <v>384.0</v>
      </c>
      <c r="F152" s="80">
        <v>8.0</v>
      </c>
    </row>
    <row r="153">
      <c r="A153" s="80" t="s">
        <v>3165</v>
      </c>
      <c r="B153" s="81" t="str">
        <f>HYPERLINK("https://www.youtube.com/channel/UCKmwhu-hyadoBCzzM0TBDHQ", "好易煮 oe cook")</f>
        <v>好易煮 oe cook</v>
      </c>
      <c r="C153" s="80">
        <v>476.0</v>
      </c>
      <c r="D153" s="80">
        <v>467.0</v>
      </c>
      <c r="E153" s="80">
        <v>466.0</v>
      </c>
      <c r="F153" s="80">
        <v>8.0</v>
      </c>
    </row>
    <row r="154">
      <c r="A154" s="80" t="s">
        <v>5912</v>
      </c>
      <c r="B154" s="81" t="str">
        <f>HYPERLINK("https://www.youtube.com/channel/UCSJCx6i6QI2MFN0mDJnnTCw", "慢半拍製作")</f>
        <v>慢半拍製作</v>
      </c>
      <c r="C154" s="80">
        <v>13.0</v>
      </c>
      <c r="D154" s="80">
        <v>13.0</v>
      </c>
      <c r="E154" s="80">
        <v>5.0</v>
      </c>
      <c r="F154" s="80">
        <v>8.0</v>
      </c>
    </row>
    <row r="155">
      <c r="A155" s="80" t="s">
        <v>7185</v>
      </c>
      <c r="B155" s="81" t="str">
        <f>HYPERLINK("https://www.youtube.com/channel/UCBdOfjR-IWU0ANEbCoUgYLw", "Acrubbish Radio動漫廢物電台")</f>
        <v>Acrubbish Radio動漫廢物電台</v>
      </c>
      <c r="C155" s="80">
        <v>18.0</v>
      </c>
      <c r="D155" s="80">
        <v>18.0</v>
      </c>
      <c r="E155" s="80">
        <v>11.0</v>
      </c>
      <c r="F155" s="80">
        <v>7.0</v>
      </c>
    </row>
    <row r="156">
      <c r="A156" s="80" t="s">
        <v>5546</v>
      </c>
      <c r="B156" s="81" t="str">
        <f>HYPERLINK("https://www.youtube.com/channel/UCpE6V9kRImKY0HX3THRgYpw", "InspirLang")</f>
        <v>InspirLang</v>
      </c>
      <c r="C156" s="80">
        <v>11.0</v>
      </c>
      <c r="D156" s="80">
        <v>7.0</v>
      </c>
      <c r="E156" s="80">
        <v>1.0</v>
      </c>
      <c r="F156" s="80">
        <v>7.0</v>
      </c>
    </row>
    <row r="157">
      <c r="A157" s="80" t="s">
        <v>2481</v>
      </c>
      <c r="B157" s="81" t="str">
        <f>HYPERLINK("https://www.youtube.com/channel/UCFT-PtLfmdMIShkQMynOEMQ", "一男一旅 HowFarGo")</f>
        <v>一男一旅 HowFarGo</v>
      </c>
      <c r="C157" s="80">
        <v>122.0</v>
      </c>
      <c r="D157" s="80">
        <v>120.0</v>
      </c>
      <c r="E157" s="80">
        <v>113.0</v>
      </c>
      <c r="F157" s="80">
        <v>7.0</v>
      </c>
    </row>
    <row r="158">
      <c r="A158" s="80" t="s">
        <v>1128</v>
      </c>
      <c r="B158" s="81" t="str">
        <f>HYPERLINK("https://www.youtube.com/channel/UCe8jZzHeq8gGiqk5bESfpIw", "前線科技人員")</f>
        <v>前線科技人員</v>
      </c>
      <c r="C158" s="80">
        <v>7.0</v>
      </c>
      <c r="D158" s="80">
        <v>7.0</v>
      </c>
      <c r="E158" s="80">
        <v>0.0</v>
      </c>
      <c r="F158" s="80">
        <v>7.0</v>
      </c>
    </row>
    <row r="159">
      <c r="A159" s="80" t="s">
        <v>3258</v>
      </c>
      <c r="B159" s="81" t="str">
        <f>HYPERLINK("https://www.youtube.com/channel/UCK4AnMZq28qFthWA54mtdww", "吾知吾識")</f>
        <v>吾知吾識</v>
      </c>
      <c r="C159" s="80">
        <v>7.0</v>
      </c>
      <c r="D159" s="80">
        <v>7.0</v>
      </c>
      <c r="E159" s="80">
        <v>0.0</v>
      </c>
      <c r="F159" s="80">
        <v>7.0</v>
      </c>
    </row>
    <row r="160">
      <c r="A160" s="80" t="s">
        <v>2893</v>
      </c>
      <c r="B160" s="81" t="str">
        <f>HYPERLINK("https://www.youtube.com/channel/UCS6TtQSjGUpGHJTCHTTFe9g", "玩學實驗室Play &amp; Learn Lab")</f>
        <v>玩學實驗室Play &amp; Learn Lab</v>
      </c>
      <c r="C160" s="80">
        <v>7.0</v>
      </c>
      <c r="D160" s="80">
        <v>7.0</v>
      </c>
      <c r="E160" s="80">
        <v>0.0</v>
      </c>
      <c r="F160" s="80">
        <v>7.0</v>
      </c>
    </row>
    <row r="161">
      <c r="A161" s="80" t="s">
        <v>3238</v>
      </c>
      <c r="B161" s="81" t="str">
        <f>HYPERLINK("https://www.youtube.com/channel/UCZ_hzCBwc6ATeXfyQYUk5WQ", "CHINCHIN C")</f>
        <v>CHINCHIN C</v>
      </c>
      <c r="C161" s="80">
        <v>80.0</v>
      </c>
      <c r="D161" s="80">
        <v>79.0</v>
      </c>
      <c r="E161" s="80">
        <v>74.0</v>
      </c>
      <c r="F161" s="80">
        <v>6.0</v>
      </c>
    </row>
    <row r="162">
      <c r="A162" s="80" t="s">
        <v>2479</v>
      </c>
      <c r="B162" s="81" t="str">
        <f>HYPERLINK("https://www.youtube.com/channel/UC0Da4Jp5vYSPa6hCI6MOrCQ", "Cussion Reve")</f>
        <v>Cussion Reve</v>
      </c>
      <c r="C162" s="80">
        <v>14.0</v>
      </c>
      <c r="D162" s="80">
        <v>7.0</v>
      </c>
      <c r="E162" s="80">
        <v>1.0</v>
      </c>
      <c r="F162" s="80">
        <v>6.0</v>
      </c>
    </row>
    <row r="163">
      <c r="A163" s="80" t="s">
        <v>3930</v>
      </c>
      <c r="B163" s="81" t="str">
        <f>HYPERLINK("https://www.youtube.com/channel/UCGO_BBmwEXblglcSmr5Zcpg", "Danny Summer 夏韶聲")</f>
        <v>Danny Summer 夏韶聲</v>
      </c>
      <c r="C163" s="80">
        <v>191.0</v>
      </c>
      <c r="D163" s="80">
        <v>145.0</v>
      </c>
      <c r="E163" s="80">
        <v>139.0</v>
      </c>
      <c r="F163" s="80">
        <v>6.0</v>
      </c>
    </row>
    <row r="164">
      <c r="A164" s="80" t="s">
        <v>5250</v>
      </c>
      <c r="B164" s="81" t="str">
        <f>HYPERLINK("https://www.youtube.com/channel/UCaLz7sztAy-dSGi2ovFIP8A", "Dixon Chan")</f>
        <v>Dixon Chan</v>
      </c>
      <c r="C164" s="80">
        <v>34.0</v>
      </c>
      <c r="D164" s="80">
        <v>20.0</v>
      </c>
      <c r="E164" s="80">
        <v>14.0</v>
      </c>
      <c r="F164" s="80">
        <v>6.0</v>
      </c>
    </row>
    <row r="165">
      <c r="A165" s="80" t="s">
        <v>3757</v>
      </c>
      <c r="B165" s="81" t="str">
        <f>HYPERLINK("https://www.youtube.com/channel/UCjJcc0em0PqOtUUQr9KxBuQ", "Fat’n’Skinny一肥一瘦")</f>
        <v>Fat’n’Skinny一肥一瘦</v>
      </c>
      <c r="C165" s="80">
        <v>6.0</v>
      </c>
      <c r="D165" s="80">
        <v>6.0</v>
      </c>
      <c r="E165" s="80">
        <v>0.0</v>
      </c>
      <c r="F165" s="80">
        <v>6.0</v>
      </c>
    </row>
    <row r="166">
      <c r="A166" s="80" t="s">
        <v>6050</v>
      </c>
      <c r="B166" s="81" t="str">
        <f>HYPERLINK("https://www.youtube.com/channel/UCYSklZv0Xn8k51xst1ePAzw", "Fely姐姐")</f>
        <v>Fely姐姐</v>
      </c>
      <c r="C166" s="80">
        <v>22.0</v>
      </c>
      <c r="D166" s="80">
        <v>21.0</v>
      </c>
      <c r="E166" s="80">
        <v>15.0</v>
      </c>
      <c r="F166" s="80">
        <v>6.0</v>
      </c>
    </row>
    <row r="167">
      <c r="A167" s="80" t="s">
        <v>2750</v>
      </c>
      <c r="B167" s="81" t="str">
        <f>HYPERLINK("https://www.youtube.com/channel/UCSuH-OhqmtA_2OladWB56Xw", "Knight Lai")</f>
        <v>Knight Lai</v>
      </c>
      <c r="C167" s="80">
        <v>17.0</v>
      </c>
      <c r="D167" s="80">
        <v>17.0</v>
      </c>
      <c r="E167" s="80">
        <v>12.0</v>
      </c>
      <c r="F167" s="80">
        <v>6.0</v>
      </c>
    </row>
    <row r="168">
      <c r="A168" s="80" t="s">
        <v>2516</v>
      </c>
      <c r="B168" s="81" t="str">
        <f>HYPERLINK("https://www.youtube.com/channel/UCycdIv0INFmRwGf1UgluUmw", "Mira's Garden")</f>
        <v>Mira's Garden</v>
      </c>
      <c r="C168" s="80">
        <v>284.0</v>
      </c>
      <c r="D168" s="80">
        <v>207.0</v>
      </c>
      <c r="E168" s="80">
        <v>206.0</v>
      </c>
      <c r="F168" s="80">
        <v>6.0</v>
      </c>
    </row>
    <row r="169">
      <c r="A169" s="80" t="s">
        <v>3869</v>
      </c>
      <c r="B169" s="81" t="str">
        <f>HYPERLINK("https://www.youtube.com/channel/UCxG_Sl8LTqDJyzurpOSKW0Q", "papa")</f>
        <v>papa</v>
      </c>
      <c r="C169" s="80">
        <v>6.0</v>
      </c>
      <c r="D169" s="80">
        <v>6.0</v>
      </c>
      <c r="E169" s="80">
        <v>0.0</v>
      </c>
      <c r="F169" s="80">
        <v>6.0</v>
      </c>
    </row>
    <row r="170">
      <c r="A170" s="80" t="s">
        <v>5854</v>
      </c>
      <c r="B170" s="81" t="str">
        <f>HYPERLINK("https://www.youtube.com/channel/UCiJnCs2K5gP-DXnMxlstC9A", "毛記電視")</f>
        <v>毛記電視</v>
      </c>
      <c r="C170" s="80">
        <v>6.0</v>
      </c>
      <c r="D170" s="80">
        <v>6.0</v>
      </c>
      <c r="E170" s="80">
        <v>0.0</v>
      </c>
      <c r="F170" s="80">
        <v>6.0</v>
      </c>
    </row>
    <row r="171">
      <c r="A171" s="80" t="s">
        <v>4131</v>
      </c>
      <c r="B171" s="81" t="str">
        <f>HYPERLINK("https://www.youtube.com/channel/UCEf8tnbLkl2bLZwxGigSvSw", "癲嗱 DINNER")</f>
        <v>癲嗱 DINNER</v>
      </c>
      <c r="C171" s="80">
        <v>8.0</v>
      </c>
      <c r="D171" s="80">
        <v>8.0</v>
      </c>
      <c r="E171" s="80">
        <v>2.0</v>
      </c>
      <c r="F171" s="80">
        <v>6.0</v>
      </c>
    </row>
    <row r="172">
      <c r="A172" s="80" t="s">
        <v>3046</v>
      </c>
      <c r="B172" s="81" t="str">
        <f>HYPERLINK("https://www.youtube.com/channel/UCk9_geXNUStgv0wjm75vX5Q", "蘇斯克 Ole So")</f>
        <v>蘇斯克 Ole So</v>
      </c>
      <c r="C172" s="80">
        <v>6.0</v>
      </c>
      <c r="D172" s="80">
        <v>6.0</v>
      </c>
      <c r="E172" s="80">
        <v>0.0</v>
      </c>
      <c r="F172" s="80">
        <v>6.0</v>
      </c>
    </row>
    <row r="173">
      <c r="A173" s="80" t="s">
        <v>2536</v>
      </c>
      <c r="B173" s="81" t="str">
        <f>HYPERLINK("https://www.youtube.com/channel/UCf1_EVN2qSOxiLZskBGsElA", "譚杏藍 Hana Tam")</f>
        <v>譚杏藍 Hana Tam</v>
      </c>
      <c r="C173" s="80">
        <v>45.0</v>
      </c>
      <c r="D173" s="80">
        <v>21.0</v>
      </c>
      <c r="E173" s="80">
        <v>17.0</v>
      </c>
      <c r="F173" s="80">
        <v>6.0</v>
      </c>
    </row>
    <row r="174">
      <c r="A174" s="80" t="s">
        <v>1623</v>
      </c>
      <c r="B174" s="81" t="str">
        <f>HYPERLINK("https://www.youtube.com/channel/UCDykDDjpIjJ54JTBpJGuH2A", "頴珊頻道 | The Wingshantsui Channel")</f>
        <v>頴珊頻道 | The Wingshantsui Channel</v>
      </c>
      <c r="C174" s="80">
        <v>17.0</v>
      </c>
      <c r="D174" s="80">
        <v>10.0</v>
      </c>
      <c r="E174" s="80">
        <v>4.0</v>
      </c>
      <c r="F174" s="80">
        <v>6.0</v>
      </c>
    </row>
    <row r="175">
      <c r="A175" s="80" t="s">
        <v>1533</v>
      </c>
      <c r="B175" s="81" t="str">
        <f>HYPERLINK("https://www.youtube.com/channel/UC8KiyunvRWgmUb9OmisoBug", "3分鐘教學")</f>
        <v>3分鐘教學</v>
      </c>
      <c r="C175" s="80">
        <v>42.0</v>
      </c>
      <c r="D175" s="80">
        <v>42.0</v>
      </c>
      <c r="E175" s="80">
        <v>39.0</v>
      </c>
      <c r="F175" s="80">
        <v>5.0</v>
      </c>
    </row>
    <row r="176">
      <c r="A176" s="80" t="s">
        <v>975</v>
      </c>
      <c r="B176" s="81" t="str">
        <f>HYPERLINK("https://www.youtube.com/channel/UCvtIbNu3jnYc5wcU0-m6mxw", "AHMY")</f>
        <v>AHMY</v>
      </c>
      <c r="C176" s="80">
        <v>5.0</v>
      </c>
      <c r="D176" s="80">
        <v>5.0</v>
      </c>
      <c r="E176" s="80">
        <v>0.0</v>
      </c>
      <c r="F176" s="80">
        <v>5.0</v>
      </c>
    </row>
    <row r="177">
      <c r="A177" s="80" t="s">
        <v>5459</v>
      </c>
      <c r="B177" s="81" t="str">
        <f>HYPERLINK("https://www.youtube.com/channel/UC8_4V541ZqVTev0mWbp10oA", "COMPUTE_B 砌機師")</f>
        <v>COMPUTE_B 砌機師</v>
      </c>
      <c r="C177" s="80">
        <v>11.0</v>
      </c>
      <c r="D177" s="80">
        <v>9.0</v>
      </c>
      <c r="E177" s="80">
        <v>4.0</v>
      </c>
      <c r="F177" s="80">
        <v>5.0</v>
      </c>
    </row>
    <row r="178">
      <c r="A178" s="80" t="s">
        <v>1018</v>
      </c>
      <c r="B178" s="81" t="str">
        <f>HYPERLINK("https://www.youtube.com/channel/UCAov0-xtECNVYPn46Ltifeg", "Jodieee in UK")</f>
        <v>Jodieee in UK</v>
      </c>
      <c r="C178" s="80">
        <v>8.0</v>
      </c>
      <c r="D178" s="80">
        <v>6.0</v>
      </c>
      <c r="E178" s="80">
        <v>1.0</v>
      </c>
      <c r="F178" s="80">
        <v>5.0</v>
      </c>
    </row>
    <row r="179">
      <c r="A179" s="80" t="s">
        <v>3008</v>
      </c>
      <c r="B179" s="81" t="str">
        <f>HYPERLINK("https://www.youtube.com/channel/UC_kQIuKI5cZjV3OZsSuaj_Q", "Kofgym")</f>
        <v>Kofgym</v>
      </c>
      <c r="C179" s="80">
        <v>62.0</v>
      </c>
      <c r="D179" s="80">
        <v>62.0</v>
      </c>
      <c r="E179" s="80">
        <v>57.0</v>
      </c>
      <c r="F179" s="80">
        <v>5.0</v>
      </c>
    </row>
    <row r="180">
      <c r="A180" s="80" t="s">
        <v>285</v>
      </c>
      <c r="B180" s="81" t="str">
        <f>HYPERLINK("https://www.youtube.com/channel/UCW76wvF8SpMMPS4XD0hGQcg", "Sisters Lab")</f>
        <v>Sisters Lab</v>
      </c>
      <c r="C180" s="80">
        <v>6.0</v>
      </c>
      <c r="D180" s="80">
        <v>6.0</v>
      </c>
      <c r="E180" s="80">
        <v>1.0</v>
      </c>
      <c r="F180" s="80">
        <v>5.0</v>
      </c>
    </row>
    <row r="181">
      <c r="A181" s="80" t="s">
        <v>989</v>
      </c>
      <c r="B181" s="81" t="str">
        <f>HYPERLINK("https://www.youtube.com/channel/UCljo-rxFnc2gl9l8NhhJ66Q", "好青年荼毒室")</f>
        <v>好青年荼毒室</v>
      </c>
      <c r="C181" s="80">
        <v>37.0</v>
      </c>
      <c r="D181" s="80">
        <v>37.0</v>
      </c>
      <c r="E181" s="80">
        <v>32.0</v>
      </c>
      <c r="F181" s="80">
        <v>5.0</v>
      </c>
    </row>
    <row r="182">
      <c r="A182" s="80" t="s">
        <v>2498</v>
      </c>
      <c r="B182" s="81" t="str">
        <f>HYPERLINK("https://www.youtube.com/channel/UCd-qu6Ke0IfUTsaAQPUBFRA", "Alice Ha")</f>
        <v>Alice Ha</v>
      </c>
      <c r="C182" s="80">
        <v>12.0</v>
      </c>
      <c r="D182" s="80">
        <v>12.0</v>
      </c>
      <c r="E182" s="80">
        <v>9.0</v>
      </c>
      <c r="F182" s="80">
        <v>4.0</v>
      </c>
    </row>
    <row r="183">
      <c r="A183" s="80" t="s">
        <v>6482</v>
      </c>
      <c r="B183" s="81" t="str">
        <f>HYPERLINK("https://www.youtube.com/channel/UCuxWbKfRuvuKtxTfvFwm5ow", "Cheungtinn")</f>
        <v>Cheungtinn</v>
      </c>
      <c r="C183" s="80">
        <v>7.0</v>
      </c>
      <c r="D183" s="80">
        <v>6.0</v>
      </c>
      <c r="E183" s="80">
        <v>2.0</v>
      </c>
      <c r="F183" s="80">
        <v>4.0</v>
      </c>
    </row>
    <row r="184">
      <c r="A184" s="80" t="s">
        <v>1280</v>
      </c>
      <c r="B184" s="81" t="str">
        <f>HYPERLINK("https://www.youtube.com/channel/UCE_8XiKCl79p7UZoStMu4RA", "Dr Winnie Chor Linguistics Lab")</f>
        <v>Dr Winnie Chor Linguistics Lab</v>
      </c>
      <c r="C184" s="80">
        <v>4.0</v>
      </c>
      <c r="D184" s="80">
        <v>4.0</v>
      </c>
      <c r="E184" s="80">
        <v>0.0</v>
      </c>
      <c r="F184" s="80">
        <v>4.0</v>
      </c>
    </row>
    <row r="185">
      <c r="A185" s="80" t="s">
        <v>4150</v>
      </c>
      <c r="B185" s="81" t="str">
        <f>HYPERLINK("https://www.youtube.com/channel/UCRWbxsxc-oDcMKNNPTxM9Bw", "Fred哥～")</f>
        <v>Fred哥～</v>
      </c>
      <c r="C185" s="80">
        <v>4.0</v>
      </c>
      <c r="D185" s="80">
        <v>4.0</v>
      </c>
      <c r="E185" s="80">
        <v>0.0</v>
      </c>
      <c r="F185" s="80">
        <v>4.0</v>
      </c>
    </row>
    <row r="186">
      <c r="A186" s="80" t="s">
        <v>5997</v>
      </c>
      <c r="B186" s="81" t="str">
        <f>HYPERLINK("https://www.youtube.com/channel/UCTJdpIRx6KuckrRxTuqiWSw", "Luna Is A Bep")</f>
        <v>Luna Is A Bep</v>
      </c>
      <c r="C186" s="80">
        <v>7.0</v>
      </c>
      <c r="D186" s="80">
        <v>7.0</v>
      </c>
      <c r="E186" s="80">
        <v>3.0</v>
      </c>
      <c r="F186" s="80">
        <v>4.0</v>
      </c>
    </row>
    <row r="187">
      <c r="A187" s="80" t="s">
        <v>1114</v>
      </c>
      <c r="B187" s="81" t="str">
        <f>HYPERLINK("https://www.youtube.com/channel/UC9NrLPKByyTyjNa41FCtV1Q", "Miss Tiara")</f>
        <v>Miss Tiara</v>
      </c>
      <c r="C187" s="80">
        <v>78.0</v>
      </c>
      <c r="D187" s="80">
        <v>45.0</v>
      </c>
      <c r="E187" s="80">
        <v>41.0</v>
      </c>
      <c r="F187" s="80">
        <v>4.0</v>
      </c>
    </row>
    <row r="188">
      <c r="A188" s="80" t="s">
        <v>3377</v>
      </c>
      <c r="B188" s="81" t="str">
        <f>HYPERLINK("https://www.youtube.com/channel/UCDXW0EMCl6VoonWyvIWAT7Q", "Trip.com HK")</f>
        <v>Trip.com HK</v>
      </c>
      <c r="C188" s="80">
        <v>6.0</v>
      </c>
      <c r="D188" s="80">
        <v>6.0</v>
      </c>
      <c r="E188" s="80">
        <v>3.0</v>
      </c>
      <c r="F188" s="80">
        <v>4.0</v>
      </c>
    </row>
    <row r="189">
      <c r="A189" s="80" t="s">
        <v>221</v>
      </c>
      <c r="B189" s="81" t="str">
        <f>HYPERLINK("https://www.youtube.com/channel/UCBgWgQyEb5eTzvh4lLcuipQ", "Wikitongues")</f>
        <v>Wikitongues</v>
      </c>
      <c r="C189" s="80">
        <v>271.0</v>
      </c>
      <c r="D189" s="80">
        <v>6.0</v>
      </c>
      <c r="E189" s="80">
        <v>2.0</v>
      </c>
      <c r="F189" s="80">
        <v>4.0</v>
      </c>
    </row>
    <row r="190">
      <c r="A190" s="80" t="s">
        <v>6246</v>
      </c>
      <c r="B190" s="81" t="str">
        <f>HYPERLINK("https://www.youtube.com/channel/UCo5QnudUoNDwQCYzwBBZ2Cg", "kitsunekozo")</f>
        <v>kitsunekozo</v>
      </c>
      <c r="C190" s="80">
        <v>13.0</v>
      </c>
      <c r="D190" s="80">
        <v>12.0</v>
      </c>
      <c r="E190" s="80">
        <v>8.0</v>
      </c>
      <c r="F190" s="80">
        <v>4.0</v>
      </c>
    </row>
    <row r="191">
      <c r="A191" s="80" t="s">
        <v>2955</v>
      </c>
      <c r="B191" s="81" t="str">
        <f>HYPERLINK("https://www.youtube.com/channel/UC1CFGd0qQVW6icz6Zv7bseQ", "八八卦卦")</f>
        <v>八八卦卦</v>
      </c>
      <c r="C191" s="80">
        <v>4.0</v>
      </c>
      <c r="D191" s="80">
        <v>4.0</v>
      </c>
      <c r="E191" s="80">
        <v>0.0</v>
      </c>
      <c r="F191" s="80">
        <v>4.0</v>
      </c>
    </row>
    <row r="192">
      <c r="A192" s="80" t="s">
        <v>3194</v>
      </c>
      <c r="B192" s="81" t="str">
        <f>HYPERLINK("https://www.youtube.com/channel/UCdEFfJveKJdmyeIBNg8zTCQ", "卡仙路玩玩下")</f>
        <v>卡仙路玩玩下</v>
      </c>
      <c r="C192" s="80">
        <v>4.0</v>
      </c>
      <c r="D192" s="80">
        <v>4.0</v>
      </c>
      <c r="E192" s="80">
        <v>0.0</v>
      </c>
      <c r="F192" s="80">
        <v>4.0</v>
      </c>
    </row>
    <row r="193">
      <c r="A193" s="80" t="s">
        <v>3587</v>
      </c>
      <c r="B193" s="81" t="str">
        <f>HYPERLINK("https://www.youtube.com/channel/UCLYDpGywwns7EhzIgxSKqDw", "宅大大")</f>
        <v>宅大大</v>
      </c>
      <c r="C193" s="80">
        <v>38.0</v>
      </c>
      <c r="D193" s="80">
        <v>37.0</v>
      </c>
      <c r="E193" s="80">
        <v>33.0</v>
      </c>
      <c r="F193" s="80">
        <v>4.0</v>
      </c>
    </row>
    <row r="194">
      <c r="A194" s="80" t="s">
        <v>3611</v>
      </c>
      <c r="B194" s="81" t="str">
        <f>HYPERLINK("https://www.youtube.com/channel/UCcetU9127QglBECLbGfRofQ", "鄧卓殷 Amber Tang")</f>
        <v>鄧卓殷 Amber Tang</v>
      </c>
      <c r="C194" s="80">
        <v>11.0</v>
      </c>
      <c r="D194" s="80">
        <v>10.0</v>
      </c>
      <c r="E194" s="80">
        <v>6.0</v>
      </c>
      <c r="F194" s="80">
        <v>4.0</v>
      </c>
    </row>
    <row r="195">
      <c r="A195" s="80" t="s">
        <v>3513</v>
      </c>
      <c r="B195" s="81" t="str">
        <f>HYPERLINK("https://www.youtube.com/channel/UCEg3pOlQs_nMQ8ArSOacL4Q", "Army有嘢港 | HKArmySayWhat")</f>
        <v>Army有嘢港 | HKArmySayWhat</v>
      </c>
      <c r="C195" s="80">
        <v>123.0</v>
      </c>
      <c r="D195" s="80">
        <v>120.0</v>
      </c>
      <c r="E195" s="80">
        <v>117.0</v>
      </c>
      <c r="F195" s="80">
        <v>3.0</v>
      </c>
    </row>
    <row r="196">
      <c r="A196" s="80" t="s">
        <v>3639</v>
      </c>
      <c r="B196" s="81" t="str">
        <f>HYPERLINK("https://www.youtube.com/channel/UCvU4k0Z8HUSWZUrqDodvlAg", "Audrey Yung")</f>
        <v>Audrey Yung</v>
      </c>
      <c r="C196" s="80">
        <v>5.0</v>
      </c>
      <c r="D196" s="80">
        <v>3.0</v>
      </c>
      <c r="E196" s="80">
        <v>0.0</v>
      </c>
      <c r="F196" s="80">
        <v>3.0</v>
      </c>
    </row>
    <row r="197">
      <c r="A197" s="80" t="s">
        <v>4042</v>
      </c>
      <c r="B197" s="81" t="str">
        <f>HYPERLINK("https://www.youtube.com/channel/UC71ezGBToBHIpb0nOSwCJyg", "Bokkey")</f>
        <v>Bokkey</v>
      </c>
      <c r="C197" s="80">
        <v>7.0</v>
      </c>
      <c r="D197" s="80">
        <v>6.0</v>
      </c>
      <c r="E197" s="80">
        <v>3.0</v>
      </c>
      <c r="F197" s="80">
        <v>3.0</v>
      </c>
    </row>
    <row r="198">
      <c r="A198" s="80" t="s">
        <v>6256</v>
      </c>
      <c r="B198" s="81" t="str">
        <f>HYPERLINK("https://www.youtube.com/channel/UCyvjZ_erIMy_IWzjwHoXLcQ", "CantoneseHome - Learn Cantonese 學廣東話")</f>
        <v>CantoneseHome - Learn Cantonese 學廣東話</v>
      </c>
      <c r="C198" s="80">
        <v>4.0</v>
      </c>
      <c r="D198" s="80">
        <v>4.0</v>
      </c>
      <c r="E198" s="80">
        <v>1.0</v>
      </c>
      <c r="F198" s="80">
        <v>3.0</v>
      </c>
    </row>
    <row r="199">
      <c r="A199" s="80" t="s">
        <v>2508</v>
      </c>
      <c r="B199" s="81" t="str">
        <f>HYPERLINK("https://www.youtube.com/channel/UC0eKbQhA3WQMYatHo36y1Fg", "DS")</f>
        <v>DS</v>
      </c>
      <c r="C199" s="80">
        <v>13.0</v>
      </c>
      <c r="D199" s="80">
        <v>13.0</v>
      </c>
      <c r="E199" s="80">
        <v>11.0</v>
      </c>
      <c r="F199" s="80">
        <v>3.0</v>
      </c>
    </row>
    <row r="200">
      <c r="A200" s="80" t="s">
        <v>6253</v>
      </c>
      <c r="B200" s="81" t="str">
        <f>HYPERLINK("https://www.youtube.com/channel/UC_CMir5-79t30BQo-krOSjg", "Dr. Joe Wong")</f>
        <v>Dr. Joe Wong</v>
      </c>
      <c r="C200" s="80">
        <v>5.0</v>
      </c>
      <c r="D200" s="80">
        <v>4.0</v>
      </c>
      <c r="E200" s="80">
        <v>1.0</v>
      </c>
      <c r="F200" s="80">
        <v>3.0</v>
      </c>
    </row>
    <row r="201">
      <c r="A201" s="80" t="s">
        <v>5036</v>
      </c>
      <c r="B201" s="81" t="str">
        <f>HYPERLINK("https://www.youtube.com/channel/UCNCPYSqReQl2lQEShit-tLg", "Freeminder Emi")</f>
        <v>Freeminder Emi</v>
      </c>
      <c r="C201" s="80">
        <v>8.0</v>
      </c>
      <c r="D201" s="80">
        <v>8.0</v>
      </c>
      <c r="E201" s="80">
        <v>5.0</v>
      </c>
      <c r="F201" s="80">
        <v>3.0</v>
      </c>
    </row>
    <row r="202">
      <c r="A202" s="80" t="s">
        <v>1295</v>
      </c>
      <c r="B202" s="81" t="str">
        <f>HYPERLINK("https://www.youtube.com/channel/UC6ZZDRNS6lxPqk3KvHv22Xg", "Gurpreet Singh")</f>
        <v>Gurpreet Singh</v>
      </c>
      <c r="C202" s="80">
        <v>5.0</v>
      </c>
      <c r="D202" s="80">
        <v>3.0</v>
      </c>
      <c r="E202" s="80">
        <v>0.0</v>
      </c>
      <c r="F202" s="80">
        <v>3.0</v>
      </c>
    </row>
    <row r="203">
      <c r="A203" s="80" t="s">
        <v>3865</v>
      </c>
      <c r="B203" s="81" t="str">
        <f>HYPERLINK("https://www.youtube.com/channel/UCLE4O4nN6oSFkxSmfm18h3g", "HayCanWhat👫 ")</f>
        <v>HayCanWhat👫 </v>
      </c>
      <c r="C203" s="80">
        <v>8.0</v>
      </c>
      <c r="D203" s="80">
        <v>7.0</v>
      </c>
      <c r="E203" s="80">
        <v>4.0</v>
      </c>
      <c r="F203" s="80">
        <v>3.0</v>
      </c>
    </row>
    <row r="204">
      <c r="A204" s="80" t="s">
        <v>5039</v>
      </c>
      <c r="B204" s="81" t="str">
        <f>HYPERLINK("https://www.youtube.com/channel/UC7fISB1mlKcudvvKIszN_nw", "Healthy Brains")</f>
        <v>Healthy Brains</v>
      </c>
      <c r="C204" s="80">
        <v>6.0</v>
      </c>
      <c r="D204" s="80">
        <v>4.0</v>
      </c>
      <c r="E204" s="80">
        <v>1.0</v>
      </c>
      <c r="F204" s="80">
        <v>3.0</v>
      </c>
    </row>
    <row r="205">
      <c r="A205" s="80" t="s">
        <v>7532</v>
      </c>
      <c r="B205" s="81" t="str">
        <f>HYPERLINK("https://www.youtube.com/channel/UC_gbnbd5F7wbkhz_DiB30BA", "Highway Recording")</f>
        <v>Highway Recording</v>
      </c>
      <c r="C205" s="80">
        <v>69.0</v>
      </c>
      <c r="D205" s="80">
        <v>69.0</v>
      </c>
      <c r="E205" s="80">
        <v>66.0</v>
      </c>
      <c r="F205" s="80">
        <v>3.0</v>
      </c>
    </row>
    <row r="206">
      <c r="A206" s="80" t="s">
        <v>1061</v>
      </c>
      <c r="B206" s="81" t="str">
        <f>HYPERLINK("https://www.youtube.com/channel/UCpgb6oSJR0AXWVKWQ0PmeBw", "Innovation Works Studio")</f>
        <v>Innovation Works Studio</v>
      </c>
      <c r="C206" s="80">
        <v>4.0</v>
      </c>
      <c r="D206" s="80">
        <v>4.0</v>
      </c>
      <c r="E206" s="80">
        <v>1.0</v>
      </c>
      <c r="F206" s="80">
        <v>3.0</v>
      </c>
    </row>
    <row r="207">
      <c r="A207" s="80" t="s">
        <v>1300</v>
      </c>
      <c r="B207" s="81" t="str">
        <f>HYPERLINK("https://www.youtube.com/channel/UC_p2Zg9tZXrKaLHMxQiZkFQ", "Jackz 3.0")</f>
        <v>Jackz 3.0</v>
      </c>
      <c r="C207" s="80">
        <v>7.0</v>
      </c>
      <c r="D207" s="80">
        <v>5.0</v>
      </c>
      <c r="E207" s="80">
        <v>2.0</v>
      </c>
      <c r="F207" s="80">
        <v>3.0</v>
      </c>
    </row>
    <row r="208">
      <c r="A208" s="80" t="s">
        <v>5310</v>
      </c>
      <c r="B208" s="81" t="str">
        <f>HYPERLINK("https://www.youtube.com/channel/UCLnYG1yjAoOH-05SwvsQaKQ", "L8 Aero 八號低壓槽")</f>
        <v>L8 Aero 八號低壓槽</v>
      </c>
      <c r="C208" s="80">
        <v>22.0</v>
      </c>
      <c r="D208" s="80">
        <v>17.0</v>
      </c>
      <c r="E208" s="80">
        <v>16.0</v>
      </c>
      <c r="F208" s="80">
        <v>3.0</v>
      </c>
    </row>
    <row r="209">
      <c r="A209" s="80" t="s">
        <v>6276</v>
      </c>
      <c r="B209" s="81" t="str">
        <f>HYPERLINK("https://www.youtube.com/channel/UCExSyW50ydvz6p4FioP58zw", "Mike Yuen 袁竣鋒")</f>
        <v>Mike Yuen 袁竣鋒</v>
      </c>
      <c r="C209" s="80">
        <v>131.0</v>
      </c>
      <c r="D209" s="80">
        <v>72.0</v>
      </c>
      <c r="E209" s="80">
        <v>69.0</v>
      </c>
      <c r="F209" s="80">
        <v>3.0</v>
      </c>
    </row>
    <row r="210">
      <c r="A210" s="80" t="s">
        <v>3568</v>
      </c>
      <c r="B210" s="81" t="str">
        <f>HYPERLINK("https://www.youtube.com/channel/UCjn1kWmv_eC0Fzkx5gmjnVA", "Snow E")</f>
        <v>Snow E</v>
      </c>
      <c r="C210" s="80">
        <v>35.0</v>
      </c>
      <c r="D210" s="80">
        <v>35.0</v>
      </c>
      <c r="E210" s="80">
        <v>32.0</v>
      </c>
      <c r="F210" s="80">
        <v>3.0</v>
      </c>
    </row>
    <row r="211">
      <c r="A211" s="80" t="s">
        <v>5045</v>
      </c>
      <c r="B211" s="81" t="str">
        <f>HYPERLINK("https://www.youtube.com/channel/UC5LH_cGEFwywuAxuEVRHriQ", "Sunshine Nursery Rhyme")</f>
        <v>Sunshine Nursery Rhyme</v>
      </c>
      <c r="C211" s="80">
        <v>14.0</v>
      </c>
      <c r="D211" s="80">
        <v>14.0</v>
      </c>
      <c r="E211" s="80">
        <v>11.0</v>
      </c>
      <c r="F211" s="80">
        <v>3.0</v>
      </c>
    </row>
    <row r="212">
      <c r="A212" s="80" t="s">
        <v>1151</v>
      </c>
      <c r="B212" s="81" t="str">
        <f>HYPERLINK("https://www.youtube.com/channel/UCYfkcllte2OCuDxDycQxsEA", "The Champ")</f>
        <v>The Champ</v>
      </c>
      <c r="C212" s="80">
        <v>3.0</v>
      </c>
      <c r="D212" s="80">
        <v>3.0</v>
      </c>
      <c r="E212" s="80">
        <v>3.0</v>
      </c>
      <c r="F212" s="80">
        <v>3.0</v>
      </c>
    </row>
    <row r="213">
      <c r="A213" s="80" t="s">
        <v>302</v>
      </c>
      <c r="B213" s="81" t="str">
        <f>HYPERLINK("https://www.youtube.com/channel/UCNAqBC6Z1HkymQ7gkG0pCOg", "UNWIRE.HK")</f>
        <v>UNWIRE.HK</v>
      </c>
      <c r="C213" s="80">
        <v>283.0</v>
      </c>
      <c r="D213" s="80">
        <v>282.0</v>
      </c>
      <c r="E213" s="80">
        <v>279.0</v>
      </c>
      <c r="F213" s="80">
        <v>3.0</v>
      </c>
    </row>
    <row r="214">
      <c r="A214" s="80" t="s">
        <v>2621</v>
      </c>
      <c r="B214" s="81" t="str">
        <f>HYPERLINK("https://www.youtube.com/channel/UCHSv3CokIaHLrvXMoVlxwwA", "寶欣 Po Yan")</f>
        <v>寶欣 Po Yan</v>
      </c>
      <c r="C214" s="80">
        <v>26.0</v>
      </c>
      <c r="D214" s="80">
        <v>26.0</v>
      </c>
      <c r="E214" s="80">
        <v>23.0</v>
      </c>
      <c r="F214" s="80">
        <v>3.0</v>
      </c>
    </row>
    <row r="215">
      <c r="A215" s="80" t="s">
        <v>7613</v>
      </c>
      <c r="B215" s="81" t="str">
        <f>HYPERLINK("https://www.youtube.com/channel/UCLYWo70xBDrPYJgJsxoX7Qg", "綠豆 Green Bean Media")</f>
        <v>綠豆 Green Bean Media</v>
      </c>
      <c r="C215" s="80">
        <v>364.0</v>
      </c>
      <c r="D215" s="80">
        <v>360.0</v>
      </c>
      <c r="E215" s="80">
        <v>357.0</v>
      </c>
      <c r="F215" s="80">
        <v>3.0</v>
      </c>
    </row>
    <row r="216">
      <c r="A216" s="80" t="s">
        <v>2935</v>
      </c>
      <c r="B216" s="81" t="str">
        <f>HYPERLINK("https://www.youtube.com/channel/UC4zLFvnyN0zLbeqV5Xqh0sQ", "腦控")</f>
        <v>腦控</v>
      </c>
      <c r="C216" s="80">
        <v>177.0</v>
      </c>
      <c r="D216" s="80">
        <v>177.0</v>
      </c>
      <c r="E216" s="80">
        <v>176.0</v>
      </c>
      <c r="F216" s="80">
        <v>3.0</v>
      </c>
    </row>
    <row r="217">
      <c r="A217" s="80" t="s">
        <v>1168</v>
      </c>
      <c r="B217" s="81" t="str">
        <f>HYPERLINK("https://www.youtube.com/channel/UCbu2FeFXZ1RAuhioQDF-npQ", "英倫爸爸")</f>
        <v>英倫爸爸</v>
      </c>
      <c r="C217" s="80">
        <v>17.0</v>
      </c>
      <c r="D217" s="80">
        <v>17.0</v>
      </c>
      <c r="E217" s="80">
        <v>14.0</v>
      </c>
      <c r="F217" s="80">
        <v>3.0</v>
      </c>
    </row>
    <row r="218">
      <c r="A218" s="80" t="s">
        <v>7514</v>
      </c>
      <c r="B218" s="81" t="str">
        <f>HYPERLINK("https://www.youtube.com/channel/UCemfvqiWvXPrrjegQ-PK1jw", "阿鼻貓 ABCat 山系玩樂誌")</f>
        <v>阿鼻貓 ABCat 山系玩樂誌</v>
      </c>
      <c r="C218" s="80">
        <v>22.0</v>
      </c>
      <c r="D218" s="80">
        <v>10.0</v>
      </c>
      <c r="E218" s="80">
        <v>7.0</v>
      </c>
      <c r="F218" s="80">
        <v>3.0</v>
      </c>
    </row>
    <row r="219">
      <c r="A219" s="80" t="s">
        <v>2694</v>
      </c>
      <c r="B219" s="81" t="str">
        <f>HYPERLINK("https://www.youtube.com/channel/UC_1nPGQdXmjWGSwL8QAmQOA", "雅軒Kinki KB Lam")</f>
        <v>雅軒Kinki KB Lam</v>
      </c>
      <c r="C219" s="80">
        <v>45.0</v>
      </c>
      <c r="D219" s="80">
        <v>29.0</v>
      </c>
      <c r="E219" s="80">
        <v>26.0</v>
      </c>
      <c r="F219" s="80">
        <v>3.0</v>
      </c>
    </row>
    <row r="220">
      <c r="A220" s="80" t="s">
        <v>4591</v>
      </c>
      <c r="B220" s="81" t="str">
        <f>HYPERLINK("https://www.youtube.com/channel/UCeU642KPDehjsxLtyjdi2ww", "香港健身小老闆 Zoe 李芷慧")</f>
        <v>香港健身小老闆 Zoe 李芷慧</v>
      </c>
      <c r="C220" s="80">
        <v>28.0</v>
      </c>
      <c r="D220" s="80">
        <v>28.0</v>
      </c>
      <c r="E220" s="80">
        <v>25.0</v>
      </c>
      <c r="F220" s="80">
        <v>3.0</v>
      </c>
    </row>
    <row r="221">
      <c r="A221" s="80" t="s">
        <v>7944</v>
      </c>
      <c r="B221" s="81" t="str">
        <f>HYPERLINK("https://www.youtube.com/channel/UCKj4bnQTklTOlDKdm57ug_A", "齋傾唔做")</f>
        <v>齋傾唔做</v>
      </c>
      <c r="C221" s="80">
        <v>5.0</v>
      </c>
      <c r="D221" s="80">
        <v>5.0</v>
      </c>
      <c r="E221" s="80">
        <v>2.0</v>
      </c>
      <c r="F221" s="80">
        <v>3.0</v>
      </c>
    </row>
    <row r="222">
      <c r="A222" s="80" t="s">
        <v>6250</v>
      </c>
      <c r="B222" s="81" t="str">
        <f>HYPERLINK("https://www.youtube.com/channel/UC4YtAO528H6PdbJkJsolggA", "ASHA ETC")</f>
        <v>ASHA ETC</v>
      </c>
      <c r="C222" s="80">
        <v>20.0</v>
      </c>
      <c r="D222" s="80">
        <v>5.0</v>
      </c>
      <c r="E222" s="80">
        <v>3.0</v>
      </c>
      <c r="F222" s="80">
        <v>2.0</v>
      </c>
    </row>
    <row r="223">
      <c r="A223" s="80" t="s">
        <v>410</v>
      </c>
      <c r="B223" s="81" t="str">
        <f>HYPERLINK("https://www.youtube.com/channel/UCGjN2_gFjUMQP7Ukq2U2Dkg", "AUMAN")</f>
        <v>AUMAN</v>
      </c>
      <c r="C223" s="80">
        <v>55.0</v>
      </c>
      <c r="D223" s="80">
        <v>50.0</v>
      </c>
      <c r="E223" s="80">
        <v>49.0</v>
      </c>
      <c r="F223" s="80">
        <v>2.0</v>
      </c>
    </row>
    <row r="224">
      <c r="A224" s="80" t="s">
        <v>3289</v>
      </c>
      <c r="B224" s="81" t="str">
        <f>HYPERLINK("https://www.youtube.com/channel/UCA33kwNRGDbO7jg-8czNOJQ", "Alfred Chan")</f>
        <v>Alfred Chan</v>
      </c>
      <c r="C224" s="80">
        <v>323.0</v>
      </c>
      <c r="D224" s="80">
        <v>323.0</v>
      </c>
      <c r="E224" s="80">
        <v>321.0</v>
      </c>
      <c r="F224" s="80">
        <v>2.0</v>
      </c>
    </row>
    <row r="225">
      <c r="A225" s="80" t="s">
        <v>6171</v>
      </c>
      <c r="B225" s="81" t="str">
        <f>HYPERLINK("https://www.youtube.com/channel/UCmlrWKze2oHrrvyqZnyfq-g", "Cedric社職仔")</f>
        <v>Cedric社職仔</v>
      </c>
      <c r="C225" s="80">
        <v>28.0</v>
      </c>
      <c r="D225" s="80">
        <v>25.0</v>
      </c>
      <c r="E225" s="80">
        <v>23.0</v>
      </c>
      <c r="F225" s="80">
        <v>2.0</v>
      </c>
    </row>
    <row r="226">
      <c r="A226" s="80" t="s">
        <v>7025</v>
      </c>
      <c r="B226" s="81" t="str">
        <f>HYPERLINK("https://www.youtube.com/channel/UCFOV-oWYewHOXKuZP-yNsmw", "CoverDog")</f>
        <v>CoverDog</v>
      </c>
      <c r="C226" s="80">
        <v>26.0</v>
      </c>
      <c r="D226" s="80">
        <v>24.0</v>
      </c>
      <c r="E226" s="80">
        <v>22.0</v>
      </c>
      <c r="F226" s="80">
        <v>2.0</v>
      </c>
    </row>
    <row r="227">
      <c r="A227" s="80" t="s">
        <v>7079</v>
      </c>
      <c r="B227" s="81" t="str">
        <f>HYPERLINK("https://www.youtube.com/channel/UCxuIEqky_1Y1jvkEPZ4j94g", "ERROR")</f>
        <v>ERROR</v>
      </c>
      <c r="C227" s="80">
        <v>7.0</v>
      </c>
      <c r="D227" s="80">
        <v>7.0</v>
      </c>
      <c r="E227" s="80">
        <v>5.0</v>
      </c>
      <c r="F227" s="80">
        <v>2.0</v>
      </c>
    </row>
    <row r="228">
      <c r="A228" s="80" t="s">
        <v>5089</v>
      </c>
      <c r="B228" s="81" t="str">
        <f>HYPERLINK("https://www.youtube.com/channel/UCoYTqgjIEplB9SLB74794TA", "Goomusic")</f>
        <v>Goomusic</v>
      </c>
      <c r="C228" s="80">
        <v>187.0</v>
      </c>
      <c r="D228" s="80">
        <v>184.0</v>
      </c>
      <c r="E228" s="80">
        <v>183.0</v>
      </c>
      <c r="F228" s="80">
        <v>2.0</v>
      </c>
    </row>
    <row r="229">
      <c r="A229" s="80" t="s">
        <v>6520</v>
      </c>
      <c r="B229" s="81" t="str">
        <f>HYPERLINK("https://www.youtube.com/channel/UCXqhKkakjAddiWXXPEQbH7g", "HK E News")</f>
        <v>HK E News</v>
      </c>
      <c r="C229" s="80">
        <v>1704.0</v>
      </c>
      <c r="D229" s="80">
        <v>1704.0</v>
      </c>
      <c r="E229" s="80">
        <v>1702.0</v>
      </c>
      <c r="F229" s="80">
        <v>2.0</v>
      </c>
    </row>
    <row r="230">
      <c r="A230" s="80" t="s">
        <v>3117</v>
      </c>
      <c r="B230" s="81" t="str">
        <f>HYPERLINK("https://www.youtube.com/channel/UCKEsq3qTGKScljpPMrGqFxQ", "Jinnie Jinnie")</f>
        <v>Jinnie Jinnie</v>
      </c>
      <c r="C230" s="80">
        <v>3.0</v>
      </c>
      <c r="D230" s="80">
        <v>3.0</v>
      </c>
      <c r="E230" s="80">
        <v>1.0</v>
      </c>
      <c r="F230" s="80">
        <v>2.0</v>
      </c>
    </row>
    <row r="231">
      <c r="A231" s="80" t="s">
        <v>3819</v>
      </c>
      <c r="B231" s="81" t="str">
        <f>HYPERLINK("https://www.youtube.com/channel/UC_AM43evME8LaRFzElYdjpg", "LM")</f>
        <v>LM</v>
      </c>
      <c r="C231" s="80">
        <v>51.0</v>
      </c>
      <c r="D231" s="80">
        <v>51.0</v>
      </c>
      <c r="E231" s="80">
        <v>51.0</v>
      </c>
      <c r="F231" s="80">
        <v>2.0</v>
      </c>
    </row>
    <row r="232">
      <c r="A232" s="80" t="s">
        <v>2001</v>
      </c>
      <c r="B232" s="81" t="str">
        <f>HYPERLINK("https://www.youtube.com/channel/UCOioTRIWn0mvBWxySe-zN_w", "Polyglot School / Edmund Tran / Languages")</f>
        <v>Polyglot School / Edmund Tran / Languages</v>
      </c>
      <c r="C232" s="80">
        <v>3.0</v>
      </c>
      <c r="D232" s="80">
        <v>2.0</v>
      </c>
      <c r="E232" s="80">
        <v>0.0</v>
      </c>
      <c r="F232" s="80">
        <v>2.0</v>
      </c>
    </row>
    <row r="233">
      <c r="A233" s="80" t="s">
        <v>5653</v>
      </c>
      <c r="B233" s="81" t="str">
        <f>HYPERLINK("https://www.youtube.com/channel/UCTX8oKfF_kGOvieI4K4Q7Cg", "SMY 琛·文")</f>
        <v>SMY 琛·文</v>
      </c>
      <c r="C233" s="80">
        <v>20.0</v>
      </c>
      <c r="D233" s="80">
        <v>20.0</v>
      </c>
      <c r="E233" s="80">
        <v>18.0</v>
      </c>
      <c r="F233" s="80">
        <v>2.0</v>
      </c>
    </row>
    <row r="234">
      <c r="A234" s="80" t="s">
        <v>7410</v>
      </c>
      <c r="B234" s="81" t="str">
        <f>HYPERLINK("https://www.youtube.com/channel/UCcuqs5kaRYbqBE5cX7hRXHw", "Sam先生 - 電影日誌")</f>
        <v>Sam先生 - 電影日誌</v>
      </c>
      <c r="C234" s="80">
        <v>14.0</v>
      </c>
      <c r="D234" s="80">
        <v>14.0</v>
      </c>
      <c r="E234" s="80">
        <v>12.0</v>
      </c>
      <c r="F234" s="80">
        <v>2.0</v>
      </c>
    </row>
    <row r="235">
      <c r="A235" s="80" t="s">
        <v>6505</v>
      </c>
      <c r="B235" s="81" t="str">
        <f>HYPERLINK("https://www.youtube.com/channel/UCU-sdeH9IMsk_IBOtIFGYFg", "Tasty Money 港股直播室")</f>
        <v>Tasty Money 港股直播室</v>
      </c>
      <c r="C235" s="80">
        <v>11.0</v>
      </c>
      <c r="D235" s="80">
        <v>11.0</v>
      </c>
      <c r="E235" s="80">
        <v>9.0</v>
      </c>
      <c r="F235" s="80">
        <v>2.0</v>
      </c>
    </row>
    <row r="236">
      <c r="A236" s="80" t="s">
        <v>3323</v>
      </c>
      <c r="B236" s="81" t="str">
        <f>HYPERLINK("https://www.youtube.com/channel/UCuRYdsKaDjx7EwEBidiEc3g", "Wangfai Choi")</f>
        <v>Wangfai Choi</v>
      </c>
      <c r="C236" s="80">
        <v>2.0</v>
      </c>
      <c r="D236" s="80">
        <v>2.0</v>
      </c>
      <c r="E236" s="80">
        <v>0.0</v>
      </c>
      <c r="F236" s="80">
        <v>2.0</v>
      </c>
    </row>
    <row r="237">
      <c r="A237" s="80" t="s">
        <v>4321</v>
      </c>
      <c r="B237" s="81" t="str">
        <f>HYPERLINK("https://www.youtube.com/channel/UCe4WrIB00UzAcU9EWDcxQ8Q", "lik wai tang")</f>
        <v>lik wai tang</v>
      </c>
      <c r="C237" s="80">
        <v>3.0</v>
      </c>
      <c r="D237" s="80">
        <v>3.0</v>
      </c>
      <c r="E237" s="80">
        <v>1.0</v>
      </c>
      <c r="F237" s="80">
        <v>2.0</v>
      </c>
    </row>
    <row r="238">
      <c r="A238" s="80" t="s">
        <v>6780</v>
      </c>
      <c r="B238" s="81" t="str">
        <f>HYPERLINK("https://www.youtube.com/channel/UC-yLYCLSfv1Tx9CNHWyWM4A", "medskinHK")</f>
        <v>medskinHK</v>
      </c>
      <c r="C238" s="80">
        <v>24.0</v>
      </c>
      <c r="D238" s="80">
        <v>24.0</v>
      </c>
      <c r="E238" s="80">
        <v>22.0</v>
      </c>
      <c r="F238" s="80">
        <v>2.0</v>
      </c>
    </row>
    <row r="239">
      <c r="A239" s="80" t="s">
        <v>2870</v>
      </c>
      <c r="B239" s="81" t="str">
        <f>HYPERLINK("https://www.youtube.com/channel/UCD9J1GJowhJBq_yrJ7mdUHQ", "odyleung")</f>
        <v>odyleung</v>
      </c>
      <c r="C239" s="80">
        <v>18.0</v>
      </c>
      <c r="D239" s="80">
        <v>18.0</v>
      </c>
      <c r="E239" s="80">
        <v>16.0</v>
      </c>
      <c r="F239" s="80">
        <v>2.0</v>
      </c>
    </row>
    <row r="240">
      <c r="A240" s="80" t="s">
        <v>2542</v>
      </c>
      <c r="B240" s="81" t="str">
        <f>HYPERLINK("https://www.youtube.com/channel/UCdOPwpYEgZs3JP8_5NtStBw", "roundbunny")</f>
        <v>roundbunny</v>
      </c>
      <c r="C240" s="80">
        <v>15.0</v>
      </c>
      <c r="D240" s="80">
        <v>12.0</v>
      </c>
      <c r="E240" s="80">
        <v>10.0</v>
      </c>
      <c r="F240" s="80">
        <v>2.0</v>
      </c>
    </row>
    <row r="241">
      <c r="A241" s="80" t="s">
        <v>407</v>
      </c>
      <c r="B241" s="81" t="str">
        <f>HYPERLINK("https://www.youtube.com/channel/UCJl_JouBw2qG7vbFGlKjQgA", "伯賴")</f>
        <v>伯賴</v>
      </c>
      <c r="C241" s="80">
        <v>7.0</v>
      </c>
      <c r="D241" s="80">
        <v>7.0</v>
      </c>
      <c r="E241" s="80">
        <v>5.0</v>
      </c>
      <c r="F241" s="80">
        <v>2.0</v>
      </c>
    </row>
    <row r="242">
      <c r="A242" s="80" t="s">
        <v>1005</v>
      </c>
      <c r="B242" s="81" t="str">
        <f>HYPERLINK("https://www.youtube.com/channel/UCOJ6DAid2DfCUlRpvAF1Ejw", "優化人生 Life Optimization")</f>
        <v>優化人生 Life Optimization</v>
      </c>
      <c r="C242" s="80">
        <v>2.0</v>
      </c>
      <c r="D242" s="80">
        <v>2.0</v>
      </c>
      <c r="E242" s="80">
        <v>0.0</v>
      </c>
      <c r="F242" s="80">
        <v>2.0</v>
      </c>
    </row>
    <row r="243">
      <c r="A243" s="80" t="s">
        <v>5596</v>
      </c>
      <c r="B243" s="81" t="str">
        <f>HYPERLINK("https://www.youtube.com/channel/UCnQ7ryVdrmfKvNvlnOILnvQ", "儫仔教室")</f>
        <v>儫仔教室</v>
      </c>
      <c r="C243" s="80">
        <v>4.0</v>
      </c>
      <c r="D243" s="80">
        <v>4.0</v>
      </c>
      <c r="E243" s="80">
        <v>2.0</v>
      </c>
      <c r="F243" s="80">
        <v>2.0</v>
      </c>
    </row>
    <row r="244">
      <c r="A244" s="80" t="s">
        <v>6290</v>
      </c>
      <c r="B244" s="81" t="str">
        <f>HYPERLINK("https://www.youtube.com/channel/UCqz7Q8gOavVi_ZiGHePvLug", "商業電台 Hong Kong Toolbar")</f>
        <v>商業電台 Hong Kong Toolbar</v>
      </c>
      <c r="C244" s="80">
        <v>2.0</v>
      </c>
      <c r="D244" s="80">
        <v>2.0</v>
      </c>
      <c r="E244" s="80">
        <v>0.0</v>
      </c>
      <c r="F244" s="80">
        <v>2.0</v>
      </c>
    </row>
    <row r="245">
      <c r="A245" s="80" t="s">
        <v>6425</v>
      </c>
      <c r="B245" s="81" t="str">
        <f>HYPERLINK("https://www.youtube.com/channel/UCb1EgKwe6X9bdCPOKKLL0oA", "地盤佬江湖 - 五金街")</f>
        <v>地盤佬江湖 - 五金街</v>
      </c>
      <c r="C245" s="80">
        <v>9.0</v>
      </c>
      <c r="D245" s="80">
        <v>9.0</v>
      </c>
      <c r="E245" s="80">
        <v>8.0</v>
      </c>
      <c r="F245" s="80">
        <v>2.0</v>
      </c>
    </row>
    <row r="246">
      <c r="A246" s="80" t="s">
        <v>1064</v>
      </c>
      <c r="B246" s="81" t="str">
        <f>HYPERLINK("https://www.youtube.com/channel/UCmIVY_RMlQ0-86vrwdI9gFA", "威武WHEREWOLF")</f>
        <v>威武WHEREWOLF</v>
      </c>
      <c r="C246" s="80">
        <v>2.0</v>
      </c>
      <c r="D246" s="80">
        <v>2.0</v>
      </c>
      <c r="E246" s="80">
        <v>0.0</v>
      </c>
      <c r="F246" s="80">
        <v>2.0</v>
      </c>
    </row>
    <row r="247">
      <c r="A247" s="80" t="s">
        <v>2053</v>
      </c>
      <c r="B247" s="81" t="str">
        <f>HYPERLINK("https://www.youtube.com/channel/UCWSXwnh1qdF4GOX6QrUB7Dw", "專業旅遊管家 Sam")</f>
        <v>專業旅遊管家 Sam</v>
      </c>
      <c r="C247" s="80">
        <v>3.0</v>
      </c>
      <c r="D247" s="80">
        <v>3.0</v>
      </c>
      <c r="E247" s="80">
        <v>1.0</v>
      </c>
      <c r="F247" s="80">
        <v>2.0</v>
      </c>
    </row>
    <row r="248">
      <c r="A248" s="80" t="s">
        <v>6413</v>
      </c>
      <c r="B248" s="81" t="str">
        <f>HYPERLINK("https://www.youtube.com/channel/UCT75m3vhQMx28-KAuBwkmkA", "尋味多多TorTorlious")</f>
        <v>尋味多多TorTorlious</v>
      </c>
      <c r="C248" s="80">
        <v>25.0</v>
      </c>
      <c r="D248" s="80">
        <v>13.0</v>
      </c>
      <c r="E248" s="80">
        <v>11.0</v>
      </c>
      <c r="F248" s="80">
        <v>2.0</v>
      </c>
    </row>
    <row r="249">
      <c r="A249" s="80" t="s">
        <v>1291</v>
      </c>
      <c r="B249" s="81" t="str">
        <f>HYPERLINK("https://www.youtube.com/channel/UCKXfe4c6jGU9I182dsakGnA", "小離地 Off to Space")</f>
        <v>小離地 Off to Space</v>
      </c>
      <c r="C249" s="80">
        <v>2.0</v>
      </c>
      <c r="D249" s="80">
        <v>2.0</v>
      </c>
      <c r="E249" s="80">
        <v>0.0</v>
      </c>
      <c r="F249" s="80">
        <v>2.0</v>
      </c>
    </row>
    <row r="250">
      <c r="A250" s="80" t="s">
        <v>2687</v>
      </c>
      <c r="B250" s="81" t="str">
        <f>HYPERLINK("https://www.youtube.com/channel/UCgSbuhAD48A7RxbvflQfdjQ", "微辣 Manner")</f>
        <v>微辣 Manner</v>
      </c>
      <c r="C250" s="80">
        <v>13.0</v>
      </c>
      <c r="D250" s="80">
        <v>3.0</v>
      </c>
      <c r="E250" s="80">
        <v>1.0</v>
      </c>
      <c r="F250" s="80">
        <v>2.0</v>
      </c>
    </row>
    <row r="251">
      <c r="A251" s="80" t="s">
        <v>752</v>
      </c>
      <c r="B251" s="81" t="str">
        <f>HYPERLINK("https://www.youtube.com/channel/UC_fpOVl7ujUzxi3TJ663nrA", "瑪蓮英移 MarineEngE")</f>
        <v>瑪蓮英移 MarineEngE</v>
      </c>
      <c r="C251" s="80">
        <v>3.0</v>
      </c>
      <c r="D251" s="80">
        <v>3.0</v>
      </c>
      <c r="E251" s="80">
        <v>1.0</v>
      </c>
      <c r="F251" s="80">
        <v>2.0</v>
      </c>
    </row>
    <row r="252">
      <c r="A252" s="80" t="s">
        <v>5656</v>
      </c>
      <c r="B252" s="81" t="str">
        <f>HYPERLINK("https://www.youtube.com/channel/UCH2t6jvINIOeYzBQR0iI5kw", "賭Sir【杜氏數學】HermanToMath")</f>
        <v>賭Sir【杜氏數學】HermanToMath</v>
      </c>
      <c r="C252" s="80">
        <v>103.0</v>
      </c>
      <c r="D252" s="80">
        <v>103.0</v>
      </c>
      <c r="E252" s="80">
        <v>102.0</v>
      </c>
      <c r="F252" s="80">
        <v>2.0</v>
      </c>
    </row>
    <row r="253">
      <c r="A253" s="80" t="s">
        <v>6785</v>
      </c>
      <c r="B253" s="81" t="str">
        <f>HYPERLINK("https://www.youtube.com/channel/UCUNAtN9NgfbKc69lavPWVBg", "阿肥x阿呆-緣食慢活")</f>
        <v>阿肥x阿呆-緣食慢活</v>
      </c>
      <c r="C253" s="80">
        <v>18.0</v>
      </c>
      <c r="D253" s="80">
        <v>18.0</v>
      </c>
      <c r="E253" s="80">
        <v>16.0</v>
      </c>
      <c r="F253" s="80">
        <v>2.0</v>
      </c>
    </row>
    <row r="254">
      <c r="A254" s="80" t="s">
        <v>6406</v>
      </c>
      <c r="B254" s="81" t="str">
        <f>HYPERLINK("https://www.youtube.com/channel/UCDYgTnWK6sl-YZEDM4jv7fQ", "香港人在多倫多 HongKonger in Toronto")</f>
        <v>香港人在多倫多 HongKonger in Toronto</v>
      </c>
      <c r="C254" s="80">
        <v>13.0</v>
      </c>
      <c r="D254" s="80">
        <v>13.0</v>
      </c>
      <c r="E254" s="80">
        <v>11.0</v>
      </c>
      <c r="F254" s="80">
        <v>2.0</v>
      </c>
    </row>
    <row r="255">
      <c r="A255" s="80" t="s">
        <v>1505</v>
      </c>
      <c r="B255" s="81" t="str">
        <f>HYPERLINK("https://www.youtube.com/channel/UCOIRq4co3Rj8ATrqe1eq-0g", "-Debbie-")</f>
        <v>-Debbie-</v>
      </c>
      <c r="C255" s="80">
        <v>1.0</v>
      </c>
      <c r="D255" s="80">
        <v>1.0</v>
      </c>
      <c r="E255" s="80">
        <v>0.0</v>
      </c>
      <c r="F255" s="80">
        <v>1.0</v>
      </c>
    </row>
    <row r="256">
      <c r="A256" s="80" t="s">
        <v>4463</v>
      </c>
      <c r="B256" s="81" t="str">
        <f>HYPERLINK("https://www.youtube.com/channel/UCHE_U3Smiy1iccuBdbdiJAg", "90後做地產")</f>
        <v>90後做地產</v>
      </c>
      <c r="C256" s="80">
        <v>1.0</v>
      </c>
      <c r="D256" s="80">
        <v>1.0</v>
      </c>
      <c r="E256" s="80">
        <v>0.0</v>
      </c>
      <c r="F256" s="80">
        <v>1.0</v>
      </c>
    </row>
    <row r="257">
      <c r="A257" s="80" t="s">
        <v>2926</v>
      </c>
      <c r="B257" s="81" t="str">
        <f>HYPERLINK("https://www.youtube.com/channel/UCgJoYo1q9vX1SfS3VgH_2BA", "Alba 袋鼠妹🦘")</f>
        <v>Alba 袋鼠妹🦘</v>
      </c>
      <c r="C257" s="80">
        <v>1.0</v>
      </c>
      <c r="D257" s="80">
        <v>1.0</v>
      </c>
      <c r="E257" s="80">
        <v>0.0</v>
      </c>
      <c r="F257" s="80">
        <v>1.0</v>
      </c>
    </row>
    <row r="258">
      <c r="A258" s="80" t="s">
        <v>6317</v>
      </c>
      <c r="B258" s="81" t="str">
        <f>HYPERLINK("https://www.youtube.com/channel/UCleUsb9ehxSWcEuihUbWGYw", "Angel the medic")</f>
        <v>Angel the medic</v>
      </c>
      <c r="C258" s="80">
        <v>2.0</v>
      </c>
      <c r="D258" s="80">
        <v>1.0</v>
      </c>
      <c r="E258" s="80">
        <v>0.0</v>
      </c>
      <c r="F258" s="80">
        <v>1.0</v>
      </c>
    </row>
    <row r="259">
      <c r="A259" s="80" t="s">
        <v>100</v>
      </c>
      <c r="B259" s="81" t="str">
        <f>HYPERLINK("https://www.youtube.com/channel/UCcmzcWlA96HTGm18VhgtVkg", "Book is Cat貓貓認真選書")</f>
        <v>Book is Cat貓貓認真選書</v>
      </c>
      <c r="C259" s="80">
        <v>1.0</v>
      </c>
      <c r="D259" s="80">
        <v>1.0</v>
      </c>
      <c r="E259" s="80">
        <v>0.0</v>
      </c>
      <c r="F259" s="80">
        <v>1.0</v>
      </c>
    </row>
    <row r="260">
      <c r="A260" s="80" t="s">
        <v>6485</v>
      </c>
      <c r="B260" s="81" t="str">
        <f>HYPERLINK("https://www.youtube.com/channel/UCKotu_QH2JBRNQZIyGHp2yw", "C-Fu Chan")</f>
        <v>C-Fu Chan</v>
      </c>
      <c r="C260" s="80">
        <v>167.0</v>
      </c>
      <c r="D260" s="80">
        <v>167.0</v>
      </c>
      <c r="E260" s="80">
        <v>166.0</v>
      </c>
      <c r="F260" s="80">
        <v>1.0</v>
      </c>
    </row>
    <row r="261">
      <c r="A261" s="80" t="s">
        <v>3740</v>
      </c>
      <c r="B261" s="81" t="str">
        <f>HYPERLINK("https://www.youtube.com/channel/UCPF6eNKcvhsgwJTf8kUKXfg", "CHRISCHONGZX PLAY TV")</f>
        <v>CHRISCHONGZX PLAY TV</v>
      </c>
      <c r="C261" s="80">
        <v>1.0</v>
      </c>
      <c r="D261" s="80">
        <v>1.0</v>
      </c>
      <c r="E261" s="80">
        <v>0.0</v>
      </c>
      <c r="F261" s="80">
        <v>1.0</v>
      </c>
    </row>
    <row r="262">
      <c r="A262" s="80" t="s">
        <v>6270</v>
      </c>
      <c r="B262" s="81" t="str">
        <f>HYPERLINK("https://www.youtube.com/channel/UC-4pRjnTEVXuAS6_n7KROtg", "Captain VL Channel隊長郊遊頻道")</f>
        <v>Captain VL Channel隊長郊遊頻道</v>
      </c>
      <c r="C262" s="80">
        <v>2.0</v>
      </c>
      <c r="D262" s="80">
        <v>2.0</v>
      </c>
      <c r="E262" s="80">
        <v>1.0</v>
      </c>
      <c r="F262" s="80">
        <v>1.0</v>
      </c>
    </row>
    <row r="263">
      <c r="A263" s="80" t="s">
        <v>1497</v>
      </c>
      <c r="B263" s="81" t="str">
        <f>HYPERLINK("https://www.youtube.com/channel/UCAe5UPoAjOBNmqgNJJLOs-A", "Carmen Leung")</f>
        <v>Carmen Leung</v>
      </c>
      <c r="C263" s="80">
        <v>9.0</v>
      </c>
      <c r="D263" s="80">
        <v>5.0</v>
      </c>
      <c r="E263" s="80">
        <v>5.0</v>
      </c>
      <c r="F263" s="80">
        <v>1.0</v>
      </c>
    </row>
    <row r="264">
      <c r="A264" s="80" t="s">
        <v>6090</v>
      </c>
      <c r="B264" s="81" t="str">
        <f>HYPERLINK("https://www.youtube.com/channel/UCaN7dVaarzJCQ-3qpnOmifQ", "Catlike Studio")</f>
        <v>Catlike Studio</v>
      </c>
      <c r="C264" s="80">
        <v>2.0</v>
      </c>
      <c r="D264" s="80">
        <v>1.0</v>
      </c>
      <c r="E264" s="80">
        <v>0.0</v>
      </c>
      <c r="F264" s="80">
        <v>1.0</v>
      </c>
    </row>
    <row r="265">
      <c r="A265" s="80" t="s">
        <v>7488</v>
      </c>
      <c r="B265" s="81" t="str">
        <f>HYPERLINK("https://www.youtube.com/channel/UCrrbdSHvwWQOQ6EDbzeEuNg", "Chill Up")</f>
        <v>Chill Up</v>
      </c>
      <c r="C265" s="80">
        <v>9.0</v>
      </c>
      <c r="D265" s="80">
        <v>8.0</v>
      </c>
      <c r="E265" s="80">
        <v>7.0</v>
      </c>
      <c r="F265" s="80">
        <v>1.0</v>
      </c>
    </row>
    <row r="266">
      <c r="A266" s="80" t="s">
        <v>5025</v>
      </c>
      <c r="B266" s="81" t="str">
        <f>HYPERLINK("https://www.youtube.com/channel/UCxCZqbizSsnntlz6w0fN8hA", "Coffee林芊妤")</f>
        <v>Coffee林芊妤</v>
      </c>
      <c r="C266" s="80">
        <v>57.0</v>
      </c>
      <c r="D266" s="80">
        <v>41.0</v>
      </c>
      <c r="E266" s="80">
        <v>40.0</v>
      </c>
      <c r="F266" s="80">
        <v>1.0</v>
      </c>
    </row>
    <row r="267">
      <c r="A267" s="80" t="s">
        <v>1570</v>
      </c>
      <c r="B267" s="81" t="str">
        <f>HYPERLINK("https://www.youtube.com/channel/UC2O7jKdvvUKr5K3lZv77dww", "Ctrip HK")</f>
        <v>Ctrip HK</v>
      </c>
      <c r="C267" s="80">
        <v>1.0</v>
      </c>
      <c r="D267" s="80">
        <v>1.0</v>
      </c>
      <c r="E267" s="80">
        <v>0.0</v>
      </c>
      <c r="F267" s="80">
        <v>1.0</v>
      </c>
    </row>
    <row r="268">
      <c r="A268" s="80" t="s">
        <v>4775</v>
      </c>
      <c r="B268" s="81" t="str">
        <f>HYPERLINK("https://www.youtube.com/channel/UCt9dS9dN_3Vy8s7KVN0ei0g", "DIMGUYS")</f>
        <v>DIMGUYS</v>
      </c>
      <c r="C268" s="80">
        <v>28.0</v>
      </c>
      <c r="D268" s="80">
        <v>28.0</v>
      </c>
      <c r="E268" s="80">
        <v>27.0</v>
      </c>
      <c r="F268" s="80">
        <v>1.0</v>
      </c>
    </row>
    <row r="269">
      <c r="A269" s="80" t="s">
        <v>5987</v>
      </c>
      <c r="B269" s="81" t="str">
        <f>HYPERLINK("https://www.youtube.com/channel/UCkdEqlRnoKQTBez32SagNZg", "Derek Tang 鄧仲軒")</f>
        <v>Derek Tang 鄧仲軒</v>
      </c>
      <c r="C269" s="80">
        <v>87.0</v>
      </c>
      <c r="D269" s="80">
        <v>87.0</v>
      </c>
      <c r="E269" s="80">
        <v>86.0</v>
      </c>
      <c r="F269" s="80">
        <v>1.0</v>
      </c>
    </row>
    <row r="270">
      <c r="A270" s="80" t="s">
        <v>5151</v>
      </c>
      <c r="B270" s="81" t="str">
        <f>HYPERLINK("https://www.youtube.com/channel/UCgMBZ9epGac-dKeoZ4vsX8A", "Dottie Hidee")</f>
        <v>Dottie Hidee</v>
      </c>
      <c r="C270" s="80">
        <v>18.0</v>
      </c>
      <c r="D270" s="80">
        <v>18.0</v>
      </c>
      <c r="E270" s="80">
        <v>17.0</v>
      </c>
      <c r="F270" s="80">
        <v>1.0</v>
      </c>
    </row>
    <row r="271">
      <c r="A271" s="80" t="s">
        <v>2555</v>
      </c>
      <c r="B271" s="81" t="str">
        <f>HYPERLINK("https://www.youtube.com/channel/UCEX0s8i81dVNy9fYQARifvw", "Edo Tsui")</f>
        <v>Edo Tsui</v>
      </c>
      <c r="C271" s="80">
        <v>46.0</v>
      </c>
      <c r="D271" s="80">
        <v>46.0</v>
      </c>
      <c r="E271" s="80">
        <v>45.0</v>
      </c>
      <c r="F271" s="80">
        <v>1.0</v>
      </c>
    </row>
    <row r="272">
      <c r="A272" s="80" t="s">
        <v>2560</v>
      </c>
      <c r="B272" s="81" t="str">
        <f>HYPERLINK("https://www.youtube.com/channel/UC-PjzWeAaYroDUGAuAVY6jA", "Frances Hui ")</f>
        <v>Frances Hui </v>
      </c>
      <c r="C272" s="80">
        <v>6.0</v>
      </c>
      <c r="D272" s="80">
        <v>5.0</v>
      </c>
      <c r="E272" s="80">
        <v>5.0</v>
      </c>
      <c r="F272" s="80">
        <v>1.0</v>
      </c>
    </row>
    <row r="273">
      <c r="A273" s="80" t="s">
        <v>110</v>
      </c>
      <c r="B273" s="81" t="str">
        <f>HYPERLINK("https://www.youtube.com/channel/UCyVByegAj5lQHPmoJRj26vg", "GCxWing")</f>
        <v>GCxWing</v>
      </c>
      <c r="C273" s="80">
        <v>1.0</v>
      </c>
      <c r="D273" s="80">
        <v>1.0</v>
      </c>
      <c r="E273" s="80">
        <v>0.0</v>
      </c>
      <c r="F273" s="80">
        <v>1.0</v>
      </c>
    </row>
    <row r="274">
      <c r="A274" s="80" t="s">
        <v>996</v>
      </c>
      <c r="B274" s="81" t="str">
        <f>HYPERLINK("https://www.youtube.com/channel/UC8BzJM6_VbZTdiNLD4R1jxQ", "GMMTV OFFICIAL​​")</f>
        <v>GMMTV OFFICIAL​​</v>
      </c>
      <c r="C274" s="80">
        <v>1.0</v>
      </c>
      <c r="D274" s="80">
        <v>1.0</v>
      </c>
      <c r="E274" s="80">
        <v>1.0</v>
      </c>
      <c r="F274" s="80">
        <v>1.0</v>
      </c>
    </row>
    <row r="275">
      <c r="A275" s="80" t="s">
        <v>6074</v>
      </c>
      <c r="B275" s="81" t="str">
        <f>HYPERLINK("https://www.youtube.com/channel/UCLUA5xPUeBairwsxsbGWw5A", "GamePlayHK短片攻略")</f>
        <v>GamePlayHK短片攻略</v>
      </c>
      <c r="C275" s="80">
        <v>374.0</v>
      </c>
      <c r="D275" s="80">
        <v>374.0</v>
      </c>
      <c r="E275" s="80">
        <v>373.0</v>
      </c>
      <c r="F275" s="80">
        <v>1.0</v>
      </c>
    </row>
    <row r="276">
      <c r="A276" s="80" t="s">
        <v>2699</v>
      </c>
      <c r="B276" s="81" t="str">
        <f>HYPERLINK("https://www.youtube.com/channel/UCmi1257Mo7v4ors9-ekOq1w", "Gavinchiutalk")</f>
        <v>Gavinchiutalk</v>
      </c>
      <c r="C276" s="80">
        <v>1184.0</v>
      </c>
      <c r="D276" s="80">
        <v>1182.0</v>
      </c>
      <c r="E276" s="80">
        <v>1181.0</v>
      </c>
      <c r="F276" s="80">
        <v>1.0</v>
      </c>
    </row>
    <row r="277">
      <c r="A277" s="80" t="s">
        <v>2716</v>
      </c>
      <c r="B277" s="81" t="str">
        <f>HYPERLINK("https://www.youtube.com/channel/UC1bjU1Xe0pdyq-rOjQf6Ecg", "HeyJenniFA")</f>
        <v>HeyJenniFA</v>
      </c>
      <c r="C277" s="80">
        <v>70.0</v>
      </c>
      <c r="D277" s="80">
        <v>70.0</v>
      </c>
      <c r="E277" s="80">
        <v>69.0</v>
      </c>
      <c r="F277" s="80">
        <v>1.0</v>
      </c>
    </row>
    <row r="278">
      <c r="A278" s="80" t="s">
        <v>5170</v>
      </c>
      <c r="B278" s="81" t="str">
        <f>HYPERLINK("https://www.youtube.com/channel/UCdkZStyZBhw59KE6vMe1MJA", "Hong Kongese Speak Cantonese")</f>
        <v>Hong Kongese Speak Cantonese</v>
      </c>
      <c r="C278" s="80">
        <v>200.0</v>
      </c>
      <c r="D278" s="80">
        <v>1.0</v>
      </c>
      <c r="E278" s="80">
        <v>1.0</v>
      </c>
      <c r="F278" s="80">
        <v>1.0</v>
      </c>
    </row>
    <row r="279">
      <c r="A279" s="80" t="s">
        <v>3912</v>
      </c>
      <c r="B279" s="81" t="str">
        <f>HYPERLINK("https://www.youtube.com/channel/UCtQBCR1P2QdYPV1HqfFluCA", "JOY TV")</f>
        <v>JOY TV</v>
      </c>
      <c r="C279" s="80">
        <v>7.0</v>
      </c>
      <c r="D279" s="80">
        <v>7.0</v>
      </c>
      <c r="E279" s="80">
        <v>7.0</v>
      </c>
      <c r="F279" s="80">
        <v>1.0</v>
      </c>
    </row>
    <row r="280">
      <c r="A280" s="80" t="s">
        <v>5646</v>
      </c>
      <c r="B280" s="81" t="str">
        <f>HYPERLINK("https://www.youtube.com/channel/UC39djHphtdnlBen8ak5n4EQ", "JyutToi 粵台 | Learn Cantonese")</f>
        <v>JyutToi 粵台 | Learn Cantonese</v>
      </c>
      <c r="C280" s="80">
        <v>8.0</v>
      </c>
      <c r="D280" s="80">
        <v>1.0</v>
      </c>
      <c r="E280" s="80">
        <v>0.0</v>
      </c>
      <c r="F280" s="80">
        <v>1.0</v>
      </c>
    </row>
    <row r="281">
      <c r="A281" s="80" t="s">
        <v>5280</v>
      </c>
      <c r="B281" s="81" t="str">
        <f>HYPERLINK("https://www.youtube.com/channel/UCbC9qw58e03MLeYCacIeNcg", "Kaiyan heyMommio")</f>
        <v>Kaiyan heyMommio</v>
      </c>
      <c r="C281" s="80">
        <v>9.0</v>
      </c>
      <c r="D281" s="80">
        <v>2.0</v>
      </c>
      <c r="E281" s="80">
        <v>1.0</v>
      </c>
      <c r="F281" s="80">
        <v>1.0</v>
      </c>
    </row>
    <row r="282">
      <c r="A282" s="80" t="s">
        <v>1630</v>
      </c>
      <c r="B282" s="81" t="str">
        <f>HYPERLINK("https://www.youtube.com/channel/UC_ozVYyGkVQBaaXI9jrCFqQ", "Keo Tsang")</f>
        <v>Keo Tsang</v>
      </c>
      <c r="C282" s="80">
        <v>19.0</v>
      </c>
      <c r="D282" s="80">
        <v>1.0</v>
      </c>
      <c r="E282" s="80">
        <v>0.0</v>
      </c>
      <c r="F282" s="80">
        <v>1.0</v>
      </c>
    </row>
    <row r="283">
      <c r="A283" s="80" t="s">
        <v>2575</v>
      </c>
      <c r="B283" s="81" t="str">
        <f>HYPERLINK("https://www.youtube.com/channel/UC_HW6aVLpyvPIhc7w8YA8Ag", "Kevin in Shanghai")</f>
        <v>Kevin in Shanghai</v>
      </c>
      <c r="C283" s="80">
        <v>70.0</v>
      </c>
      <c r="D283" s="80">
        <v>9.0</v>
      </c>
      <c r="E283" s="80">
        <v>8.0</v>
      </c>
      <c r="F283" s="80">
        <v>1.0</v>
      </c>
    </row>
    <row r="284">
      <c r="A284" s="80" t="s">
        <v>1550</v>
      </c>
      <c r="B284" s="81" t="str">
        <f>HYPERLINK("https://www.youtube.com/channel/UCcmAegX-cgcOOconZIwqynw", "Learn Jyutping")</f>
        <v>Learn Jyutping</v>
      </c>
      <c r="C284" s="80">
        <v>1.0</v>
      </c>
      <c r="D284" s="80">
        <v>1.0</v>
      </c>
      <c r="E284" s="80">
        <v>1.0</v>
      </c>
      <c r="F284" s="80">
        <v>1.0</v>
      </c>
    </row>
    <row r="285">
      <c r="A285" s="80" t="s">
        <v>6142</v>
      </c>
      <c r="B285" s="81" t="str">
        <f>HYPERLINK("https://www.youtube.com/channel/UC4LyPYXnF07KF97Nb8vE_Pg", "MC 張天賦")</f>
        <v>MC 張天賦</v>
      </c>
      <c r="C285" s="80">
        <v>5.0</v>
      </c>
      <c r="D285" s="80">
        <v>5.0</v>
      </c>
      <c r="E285" s="80">
        <v>4.0</v>
      </c>
      <c r="F285" s="80">
        <v>1.0</v>
      </c>
    </row>
    <row r="286">
      <c r="A286" s="80" t="s">
        <v>2676</v>
      </c>
      <c r="B286" s="81" t="str">
        <f>HYPERLINK("https://www.youtube.com/channel/UCpI228_lftkv227eL7uEnhA", "MELO LO")</f>
        <v>MELO LO</v>
      </c>
      <c r="C286" s="80">
        <v>3.0</v>
      </c>
      <c r="D286" s="80">
        <v>3.0</v>
      </c>
      <c r="E286" s="80">
        <v>2.0</v>
      </c>
      <c r="F286" s="80">
        <v>1.0</v>
      </c>
    </row>
    <row r="287">
      <c r="A287" s="80" t="s">
        <v>5303</v>
      </c>
      <c r="B287" s="81" t="str">
        <f>HYPERLINK("https://www.youtube.com/channel/UCA0QJrZz9EI9KHWab321JAg", "MING'S")</f>
        <v>MING'S</v>
      </c>
      <c r="C287" s="80">
        <v>67.0</v>
      </c>
      <c r="D287" s="80">
        <v>65.0</v>
      </c>
      <c r="E287" s="80">
        <v>64.0</v>
      </c>
      <c r="F287" s="80">
        <v>1.0</v>
      </c>
    </row>
    <row r="288">
      <c r="A288" s="80" t="s">
        <v>7182</v>
      </c>
      <c r="B288" s="81" t="str">
        <f>HYPERLINK("https://www.youtube.com/channel/UC9xosUh_LZUdQv-kw38RehA", "Manki Cantonese")</f>
        <v>Manki Cantonese</v>
      </c>
      <c r="C288" s="80">
        <v>1.0</v>
      </c>
      <c r="D288" s="80">
        <v>1.0</v>
      </c>
      <c r="E288" s="80">
        <v>0.0</v>
      </c>
      <c r="F288" s="80">
        <v>1.0</v>
      </c>
    </row>
    <row r="289">
      <c r="A289" s="80" t="s">
        <v>5166</v>
      </c>
      <c r="B289" s="81" t="str">
        <f>HYPERLINK("https://www.youtube.com/channel/UCeL19f2UTTlwHf95hPxsr1A", "MastaMic")</f>
        <v>MastaMic</v>
      </c>
      <c r="C289" s="80">
        <v>21.0</v>
      </c>
      <c r="D289" s="80">
        <v>3.0</v>
      </c>
      <c r="E289" s="80">
        <v>2.0</v>
      </c>
      <c r="F289" s="80">
        <v>1.0</v>
      </c>
    </row>
    <row r="290">
      <c r="A290" s="80" t="s">
        <v>2623</v>
      </c>
      <c r="B290" s="81" t="str">
        <f>HYPERLINK("https://www.youtube.com/channel/UC4QJZlYvqZ-Fv3A5GfSDSGQ", "Moving Socks")</f>
        <v>Moving Socks</v>
      </c>
      <c r="C290" s="80">
        <v>22.0</v>
      </c>
      <c r="D290" s="80">
        <v>20.0</v>
      </c>
      <c r="E290" s="80">
        <v>19.0</v>
      </c>
      <c r="F290" s="80">
        <v>1.0</v>
      </c>
    </row>
    <row r="291">
      <c r="A291" s="80" t="s">
        <v>5247</v>
      </c>
      <c r="B291" s="81" t="str">
        <f>HYPERLINK("https://www.youtube.com/channel/UC6cnrd8SMMC2x9rud3RfqlA", "Museum of New Zealand Te Papa Tongarewa")</f>
        <v>Museum of New Zealand Te Papa Tongarewa</v>
      </c>
      <c r="C291" s="80">
        <v>1.0</v>
      </c>
      <c r="D291" s="80">
        <v>1.0</v>
      </c>
      <c r="E291" s="80">
        <v>1.0</v>
      </c>
      <c r="F291" s="80">
        <v>1.0</v>
      </c>
    </row>
    <row r="292">
      <c r="A292" s="80" t="s">
        <v>2720</v>
      </c>
      <c r="B292" s="81" t="str">
        <f>HYPERLINK("https://www.youtube.com/channel/UCHQoZ0_MHDXIgWeRvPTLTJw", "Pomato 小薯茄")</f>
        <v>Pomato 小薯茄</v>
      </c>
      <c r="C292" s="80">
        <v>6.0</v>
      </c>
      <c r="D292" s="80">
        <v>4.0</v>
      </c>
      <c r="E292" s="80">
        <v>3.0</v>
      </c>
      <c r="F292" s="80">
        <v>1.0</v>
      </c>
    </row>
    <row r="293">
      <c r="A293" s="80" t="s">
        <v>3570</v>
      </c>
      <c r="B293" s="81" t="str">
        <f>HYPERLINK("https://www.youtube.com/channel/UC3B69fgm6HOS1YUxjgjxe1g", "RONALD CHAN")</f>
        <v>RONALD CHAN</v>
      </c>
      <c r="C293" s="80">
        <v>1.0</v>
      </c>
      <c r="D293" s="80">
        <v>1.0</v>
      </c>
      <c r="E293" s="80">
        <v>0.0</v>
      </c>
      <c r="F293" s="80">
        <v>1.0</v>
      </c>
    </row>
    <row r="294">
      <c r="A294" s="80" t="s">
        <v>3062</v>
      </c>
      <c r="B294" s="81" t="str">
        <f>HYPERLINK("https://www.youtube.com/channel/UCpCqWazROmkURP9Jy8mVvEg", "RedisPolly")</f>
        <v>RedisPolly</v>
      </c>
      <c r="C294" s="80">
        <v>17.0</v>
      </c>
      <c r="D294" s="80">
        <v>11.0</v>
      </c>
      <c r="E294" s="80">
        <v>10.0</v>
      </c>
      <c r="F294" s="80">
        <v>1.0</v>
      </c>
    </row>
    <row r="295">
      <c r="A295" s="80" t="s">
        <v>1235</v>
      </c>
      <c r="B295" s="81" t="str">
        <f>HYPERLINK("https://www.youtube.com/channel/UCYaL-P-e6KLaA4gdW2GOVVw", "Roy Walkman")</f>
        <v>Roy Walkman</v>
      </c>
      <c r="C295" s="80">
        <v>1.0</v>
      </c>
      <c r="D295" s="80">
        <v>1.0</v>
      </c>
      <c r="E295" s="80">
        <v>0.0</v>
      </c>
      <c r="F295" s="80">
        <v>1.0</v>
      </c>
    </row>
    <row r="296">
      <c r="A296" s="80" t="s">
        <v>6120</v>
      </c>
      <c r="B296" s="81" t="str">
        <f>HYPERLINK("https://www.youtube.com/channel/UCmnHDt9QChi__oWOS9toD_w", "Storybear")</f>
        <v>Storybear</v>
      </c>
      <c r="C296" s="80">
        <v>2.0</v>
      </c>
      <c r="D296" s="80">
        <v>2.0</v>
      </c>
      <c r="E296" s="80">
        <v>1.0</v>
      </c>
      <c r="F296" s="80">
        <v>1.0</v>
      </c>
    </row>
    <row r="297">
      <c r="A297" s="80" t="s">
        <v>986</v>
      </c>
      <c r="B297" s="81" t="str">
        <f>HYPERLINK("https://www.youtube.com/channel/UCAuUUnT6oDeKwE6v1NGQxug", "TED")</f>
        <v>TED</v>
      </c>
      <c r="C297" s="80">
        <v>1.0</v>
      </c>
      <c r="D297" s="80">
        <v>1.0</v>
      </c>
      <c r="E297" s="80">
        <v>1.0</v>
      </c>
      <c r="F297" s="80">
        <v>1.0</v>
      </c>
    </row>
    <row r="298">
      <c r="A298" s="80" t="s">
        <v>991</v>
      </c>
      <c r="B298" s="81" t="str">
        <f>HYPERLINK("https://www.youtube.com/channel/UCsooa4yRKGN_zEE8iknghZA", "TED-Ed")</f>
        <v>TED-Ed</v>
      </c>
      <c r="C298" s="80">
        <v>1.0</v>
      </c>
      <c r="D298" s="80">
        <v>1.0</v>
      </c>
      <c r="E298" s="80">
        <v>1.0</v>
      </c>
      <c r="F298" s="80">
        <v>1.0</v>
      </c>
    </row>
    <row r="299">
      <c r="A299" s="80" t="s">
        <v>954</v>
      </c>
      <c r="B299" s="81" t="str">
        <f>HYPERLINK("https://www.youtube.com/channel/UCsT0YIqwnpJCM-mx7-gSA4Q", "TEDx Talks")</f>
        <v>TEDx Talks</v>
      </c>
      <c r="C299" s="80">
        <v>1.0</v>
      </c>
      <c r="D299" s="80">
        <v>1.0</v>
      </c>
      <c r="E299" s="80">
        <v>0.0</v>
      </c>
      <c r="F299" s="80">
        <v>1.0</v>
      </c>
    </row>
    <row r="300">
      <c r="A300" s="80" t="s">
        <v>5995</v>
      </c>
      <c r="B300" s="81" t="str">
        <f>HYPERLINK("https://www.youtube.com/channel/UCflHWc2jHgigPVPuXiJbrMA", "Tina Wong")</f>
        <v>Tina Wong</v>
      </c>
      <c r="C300" s="80">
        <v>2.0</v>
      </c>
      <c r="D300" s="80">
        <v>1.0</v>
      </c>
      <c r="E300" s="80">
        <v>0.0</v>
      </c>
      <c r="F300" s="80">
        <v>1.0</v>
      </c>
    </row>
    <row r="301">
      <c r="A301" s="80" t="s">
        <v>5254</v>
      </c>
      <c r="B301" s="81" t="str">
        <f>HYPERLINK("https://www.youtube.com/channel/UCHhCH095Bq2gVGufjYNTi6A", "Twinklebots Cantonese")</f>
        <v>Twinklebots Cantonese</v>
      </c>
      <c r="C301" s="80">
        <v>85.0</v>
      </c>
      <c r="D301" s="80">
        <v>12.0</v>
      </c>
      <c r="E301" s="80">
        <v>11.0</v>
      </c>
      <c r="F301" s="80">
        <v>1.0</v>
      </c>
    </row>
    <row r="302">
      <c r="A302" s="80" t="s">
        <v>2865</v>
      </c>
      <c r="B302" s="81" t="str">
        <f>HYPERLINK("https://www.youtube.com/channel/UC66MLu04omGMa98EZ7oic2g", "We叻")</f>
        <v>We叻</v>
      </c>
      <c r="C302" s="80">
        <v>30.0</v>
      </c>
      <c r="D302" s="80">
        <v>27.0</v>
      </c>
      <c r="E302" s="80">
        <v>26.0</v>
      </c>
      <c r="F302" s="80">
        <v>1.0</v>
      </c>
    </row>
    <row r="303">
      <c r="A303" s="80" t="s">
        <v>4651</v>
      </c>
      <c r="B303" s="81" t="str">
        <f>HYPERLINK("https://www.youtube.com/channel/UC_QC82uUObu9fk1-k3vx5rQ", "Wooper ! - Everything Europe")</f>
        <v>Wooper ! - Everything Europe</v>
      </c>
      <c r="C303" s="80">
        <v>19.0</v>
      </c>
      <c r="D303" s="80">
        <v>19.0</v>
      </c>
      <c r="E303" s="80">
        <v>18.0</v>
      </c>
      <c r="F303" s="80">
        <v>1.0</v>
      </c>
    </row>
    <row r="304">
      <c r="A304" s="80" t="s">
        <v>5384</v>
      </c>
      <c r="B304" s="81" t="str">
        <f>HYPERLINK("https://www.youtube.com/channel/UCNGJxsR8Xsc3LS-8FvvLiaw", "Yung Takeem")</f>
        <v>Yung Takeem</v>
      </c>
      <c r="C304" s="80">
        <v>2.0</v>
      </c>
      <c r="D304" s="80">
        <v>2.0</v>
      </c>
      <c r="E304" s="80">
        <v>1.0</v>
      </c>
      <c r="F304" s="80">
        <v>1.0</v>
      </c>
    </row>
    <row r="305">
      <c r="A305" s="80" t="s">
        <v>7899</v>
      </c>
      <c r="B305" s="81" t="str">
        <f>HYPERLINK("https://www.youtube.com/channel/UCx4feg4MyYnDsT8fi9YRRog", "ZAIN 黃智偉")</f>
        <v>ZAIN 黃智偉</v>
      </c>
      <c r="C305" s="80">
        <v>1.0</v>
      </c>
      <c r="D305" s="80">
        <v>1.0</v>
      </c>
      <c r="E305" s="80">
        <v>0.0</v>
      </c>
      <c r="F305" s="80">
        <v>1.0</v>
      </c>
    </row>
    <row r="306">
      <c r="A306" s="80" t="s">
        <v>2578</v>
      </c>
      <c r="B306" s="81" t="str">
        <f>HYPERLINK("https://www.youtube.com/channel/UC1wI6SR8g6dsx3FB_O-NB0w", "adornAddiction")</f>
        <v>adornAddiction</v>
      </c>
      <c r="C306" s="80">
        <v>22.0</v>
      </c>
      <c r="D306" s="80">
        <v>20.0</v>
      </c>
      <c r="E306" s="80">
        <v>20.0</v>
      </c>
      <c r="F306" s="80">
        <v>1.0</v>
      </c>
    </row>
    <row r="307">
      <c r="A307" s="80" t="s">
        <v>3115</v>
      </c>
      <c r="B307" s="81" t="str">
        <f>HYPERLINK("https://www.youtube.com/channel/UCo4ZdGbAJUKfBYIQ8JJ1pWg", "佩男Puinam")</f>
        <v>佩男Puinam</v>
      </c>
      <c r="C307" s="80">
        <v>1.0</v>
      </c>
      <c r="D307" s="80">
        <v>1.0</v>
      </c>
      <c r="E307" s="80">
        <v>0.0</v>
      </c>
      <c r="F307" s="80">
        <v>1.0</v>
      </c>
    </row>
    <row r="308">
      <c r="A308" s="80" t="s">
        <v>7793</v>
      </c>
      <c r="B308" s="81" t="str">
        <f>HYPERLINK("https://www.youtube.com/channel/UCao8gakIayC1LIkAUD4Hr2Q", "兩腳大貓怪@monster2cat")</f>
        <v>兩腳大貓怪@monster2cat</v>
      </c>
      <c r="C308" s="80">
        <v>9.0</v>
      </c>
      <c r="D308" s="80">
        <v>9.0</v>
      </c>
      <c r="E308" s="80">
        <v>8.0</v>
      </c>
      <c r="F308" s="80">
        <v>1.0</v>
      </c>
    </row>
    <row r="309">
      <c r="A309" s="80" t="s">
        <v>7177</v>
      </c>
      <c r="B309" s="81" t="str">
        <f>HYPERLINK("https://www.youtube.com/channel/UCKGRyWaeRl-TrJKSG4OkEhA", "古巨基 Leo Ku")</f>
        <v>古巨基 Leo Ku</v>
      </c>
      <c r="C309" s="80">
        <v>20.0</v>
      </c>
      <c r="D309" s="80">
        <v>20.0</v>
      </c>
      <c r="E309" s="80">
        <v>19.0</v>
      </c>
      <c r="F309" s="80">
        <v>1.0</v>
      </c>
    </row>
    <row r="310">
      <c r="A310" s="80" t="s">
        <v>6782</v>
      </c>
      <c r="B310" s="81" t="str">
        <f>HYPERLINK("https://www.youtube.com/channel/UC_J2kVD7pPumeTq5BC0aRMA", "單車仔Addy Law")</f>
        <v>單車仔Addy Law</v>
      </c>
      <c r="C310" s="80">
        <v>3.0</v>
      </c>
      <c r="D310" s="80">
        <v>3.0</v>
      </c>
      <c r="E310" s="80">
        <v>2.0</v>
      </c>
      <c r="F310" s="80">
        <v>1.0</v>
      </c>
    </row>
    <row r="311">
      <c r="A311" s="80" t="s">
        <v>6322</v>
      </c>
      <c r="B311" s="81" t="str">
        <f>HYPERLINK("https://www.youtube.com/channel/UC2NKcc0MDnz3E5O1XS6ZH1w", "山人物近beware the mountainman")</f>
        <v>山人物近beware the mountainman</v>
      </c>
      <c r="C311" s="80">
        <v>84.0</v>
      </c>
      <c r="D311" s="80">
        <v>81.0</v>
      </c>
      <c r="E311" s="80">
        <v>81.0</v>
      </c>
      <c r="F311" s="80">
        <v>1.0</v>
      </c>
    </row>
    <row r="312">
      <c r="A312" s="80" t="s">
        <v>3677</v>
      </c>
      <c r="B312" s="81" t="str">
        <f>HYPERLINK("https://www.youtube.com/channel/UCVhXcNB9UMxRZsOibNndFIQ", "我不是youtuber.")</f>
        <v>我不是youtuber.</v>
      </c>
      <c r="C312" s="80">
        <v>1.0</v>
      </c>
      <c r="D312" s="80">
        <v>1.0</v>
      </c>
      <c r="E312" s="80">
        <v>0.0</v>
      </c>
      <c r="F312" s="80">
        <v>1.0</v>
      </c>
    </row>
    <row r="313">
      <c r="A313" s="80" t="s">
        <v>7832</v>
      </c>
      <c r="B313" s="81" t="str">
        <f>HYPERLINK("https://www.youtube.com/channel/UC2FuHhkQx55320asbW8OnDA", "暴力Violencee生活誌")</f>
        <v>暴力Violencee生活誌</v>
      </c>
      <c r="C313" s="80">
        <v>282.0</v>
      </c>
      <c r="D313" s="80">
        <v>282.0</v>
      </c>
      <c r="E313" s="80">
        <v>281.0</v>
      </c>
      <c r="F313" s="80">
        <v>1.0</v>
      </c>
    </row>
    <row r="314">
      <c r="A314" s="80" t="s">
        <v>5759</v>
      </c>
      <c r="B314" s="81" t="str">
        <f>HYPERLINK("https://www.youtube.com/channel/UC7Zayxj2DitG-4C7JMUfd4w", "機動電視台RTV")</f>
        <v>機動電視台RTV</v>
      </c>
      <c r="C314" s="80">
        <v>5.0</v>
      </c>
      <c r="D314" s="80">
        <v>4.0</v>
      </c>
      <c r="E314" s="80">
        <v>3.0</v>
      </c>
      <c r="F314" s="80">
        <v>1.0</v>
      </c>
    </row>
    <row r="315">
      <c r="A315" s="80" t="s">
        <v>2493</v>
      </c>
      <c r="B315" s="81" t="str">
        <f>HYPERLINK("https://www.youtube.com/channel/UC1WLQD_3Lblql-PFN6Qgcqw", "歡樂馬介休Bacalhau")</f>
        <v>歡樂馬介休Bacalhau</v>
      </c>
      <c r="C315" s="80">
        <v>5.0</v>
      </c>
      <c r="D315" s="80">
        <v>3.0</v>
      </c>
      <c r="E315" s="80">
        <v>2.0</v>
      </c>
      <c r="F315" s="80">
        <v>1.0</v>
      </c>
    </row>
    <row r="316">
      <c r="A316" s="80" t="s">
        <v>283</v>
      </c>
      <c r="B316" s="81" t="str">
        <f>HYPERLINK("https://www.youtube.com/channel/UCN-lClAD0VW6OJMMa-kuy8A", "波仔 Boris")</f>
        <v>波仔 Boris</v>
      </c>
      <c r="C316" s="80">
        <v>4.0</v>
      </c>
      <c r="D316" s="80">
        <v>4.0</v>
      </c>
      <c r="E316" s="80">
        <v>3.0</v>
      </c>
      <c r="F316" s="80">
        <v>1.0</v>
      </c>
    </row>
    <row r="317">
      <c r="A317" s="80" t="s">
        <v>1094</v>
      </c>
      <c r="B317" s="81" t="str">
        <f>HYPERLINK("https://www.youtube.com/channel/UCf_jdBZdeOT5esJ2ckHV8OA", "淳拍")</f>
        <v>淳拍</v>
      </c>
      <c r="C317" s="80">
        <v>2.0</v>
      </c>
      <c r="D317" s="80">
        <v>2.0</v>
      </c>
      <c r="E317" s="80">
        <v>2.0</v>
      </c>
      <c r="F317" s="80">
        <v>1.0</v>
      </c>
    </row>
    <row r="318">
      <c r="A318" s="80" t="s">
        <v>4686</v>
      </c>
      <c r="B318" s="81" t="str">
        <f>HYPERLINK("https://www.youtube.com/channel/UC8h5Q0hXYtUExbA4dutQ1yw", "清邁之日常")</f>
        <v>清邁之日常</v>
      </c>
      <c r="C318" s="80">
        <v>16.0</v>
      </c>
      <c r="D318" s="80">
        <v>16.0</v>
      </c>
      <c r="E318" s="80">
        <v>15.0</v>
      </c>
      <c r="F318" s="80">
        <v>1.0</v>
      </c>
    </row>
    <row r="319">
      <c r="A319" s="80" t="s">
        <v>2669</v>
      </c>
      <c r="B319" s="81" t="str">
        <f>HYPERLINK("https://www.youtube.com/channel/UCzR28gUEv3vTNXxjFHh5gyQ", "港孩在加-HKCanadian")</f>
        <v>港孩在加-HKCanadian</v>
      </c>
      <c r="C319" s="80">
        <v>18.0</v>
      </c>
      <c r="D319" s="80">
        <v>15.0</v>
      </c>
      <c r="E319" s="80">
        <v>14.0</v>
      </c>
      <c r="F319" s="80">
        <v>1.0</v>
      </c>
    </row>
    <row r="320">
      <c r="A320" s="80" t="s">
        <v>6359</v>
      </c>
      <c r="B320" s="81" t="str">
        <f>HYPERLINK("https://www.youtube.com/channel/UCqLvgorz6_42ZDNWTNkQmpA", "生活泰導Fan's Life")</f>
        <v>生活泰導Fan's Life</v>
      </c>
      <c r="C320" s="80">
        <v>1.0</v>
      </c>
      <c r="D320" s="80">
        <v>1.0</v>
      </c>
      <c r="E320" s="80">
        <v>0.0</v>
      </c>
      <c r="F320" s="80">
        <v>1.0</v>
      </c>
    </row>
    <row r="321">
      <c r="A321" s="80" t="s">
        <v>7224</v>
      </c>
      <c r="B321" s="81" t="str">
        <f>HYPERLINK("https://www.youtube.com/channel/UCfoF_al7B5iXAnYoUXFPF5w", "皮毛小知識")</f>
        <v>皮毛小知識</v>
      </c>
      <c r="C321" s="80">
        <v>202.0</v>
      </c>
      <c r="D321" s="80">
        <v>202.0</v>
      </c>
      <c r="E321" s="80">
        <v>201.0</v>
      </c>
      <c r="F321" s="80">
        <v>1.0</v>
      </c>
    </row>
    <row r="322">
      <c r="A322" s="80" t="s">
        <v>3574</v>
      </c>
      <c r="B322" s="81" t="str">
        <f>HYPERLINK("https://www.youtube.com/channel/UCp9bdEcTMtHShgQW9OFUU4A", "禧爸禧b")</f>
        <v>禧爸禧b</v>
      </c>
      <c r="C322" s="80">
        <v>1.0</v>
      </c>
      <c r="D322" s="80">
        <v>1.0</v>
      </c>
      <c r="E322" s="80">
        <v>0.0</v>
      </c>
      <c r="F322" s="80">
        <v>1.0</v>
      </c>
    </row>
    <row r="323">
      <c r="A323" s="80" t="s">
        <v>6790</v>
      </c>
      <c r="B323" s="81" t="str">
        <f>HYPERLINK("https://www.youtube.com/channel/UCgvqAy6nAmuALRWbN1-sJlw", "窮.人.頻.道.")</f>
        <v>窮.人.頻.道.</v>
      </c>
      <c r="C323" s="80">
        <v>27.0</v>
      </c>
      <c r="D323" s="80">
        <v>27.0</v>
      </c>
      <c r="E323" s="80">
        <v>26.0</v>
      </c>
      <c r="F323" s="80">
        <v>1.0</v>
      </c>
    </row>
    <row r="324">
      <c r="A324" s="80" t="s">
        <v>741</v>
      </c>
      <c r="B324" s="81" t="str">
        <f>HYPERLINK("https://www.youtube.com/channel/UCPtMLcjxHedjk7xiuOcpP5Q", "葡文蘇e師 Portuguese so easy")</f>
        <v>葡文蘇e師 Portuguese so easy</v>
      </c>
      <c r="C324" s="80">
        <v>15.0</v>
      </c>
      <c r="D324" s="80">
        <v>15.0</v>
      </c>
      <c r="E324" s="80">
        <v>14.0</v>
      </c>
      <c r="F324" s="80">
        <v>1.0</v>
      </c>
    </row>
    <row r="325">
      <c r="A325" s="80" t="s">
        <v>7001</v>
      </c>
      <c r="B325" s="81" t="str">
        <f>HYPERLINK("https://www.youtube.com/channel/UCmzhffUiOBgNdDpus3ZDe8w", "講男講女 Talk Boy Talk Girl")</f>
        <v>講男講女 Talk Boy Talk Girl</v>
      </c>
      <c r="C325" s="80">
        <v>55.0</v>
      </c>
      <c r="D325" s="80">
        <v>55.0</v>
      </c>
      <c r="E325" s="80">
        <v>54.0</v>
      </c>
      <c r="F325" s="80">
        <v>1.0</v>
      </c>
    </row>
    <row r="326">
      <c r="A326" s="80" t="s">
        <v>6628</v>
      </c>
      <c r="B326" s="81" t="str">
        <f>HYPERLINK("https://www.youtube.com/channel/UC4cXjLVUR7YxxoNYpOy8gTg", "輝Sir電單車Fai Sir Motorbike")</f>
        <v>輝Sir電單車Fai Sir Motorbike</v>
      </c>
      <c r="C326" s="80">
        <v>3.0</v>
      </c>
      <c r="D326" s="80">
        <v>3.0</v>
      </c>
      <c r="E326" s="80">
        <v>2.0</v>
      </c>
      <c r="F326" s="80">
        <v>1.0</v>
      </c>
    </row>
    <row r="327">
      <c r="A327" s="80" t="s">
        <v>7423</v>
      </c>
      <c r="B327" s="81" t="str">
        <f>HYPERLINK("https://www.youtube.com/channel/UCAXcn_ZTy3wdjrJbGqH0BuA", "閱讀粵正Cantonese Literacy")</f>
        <v>閱讀粵正Cantonese Literacy</v>
      </c>
      <c r="C327" s="80">
        <v>12.0</v>
      </c>
      <c r="D327" s="80">
        <v>12.0</v>
      </c>
      <c r="E327" s="80">
        <v>11.0</v>
      </c>
      <c r="F327" s="80">
        <v>1.0</v>
      </c>
    </row>
    <row r="328">
      <c r="A328" s="80" t="s">
        <v>7569</v>
      </c>
      <c r="B328" s="81" t="str">
        <f>HYPERLINK("https://www.youtube.com/channel/UCaAsesot2TkGMYCVjcHXDDg", "陳凱詠 Jace")</f>
        <v>陳凱詠 Jace</v>
      </c>
      <c r="C328" s="80">
        <v>2.0</v>
      </c>
      <c r="D328" s="80">
        <v>1.0</v>
      </c>
      <c r="E328" s="80">
        <v>0.0</v>
      </c>
      <c r="F328" s="80">
        <v>1.0</v>
      </c>
    </row>
    <row r="329">
      <c r="A329" s="80" t="s">
        <v>6777</v>
      </c>
      <c r="B329" s="81" t="str">
        <f>HYPERLINK("https://www.youtube.com/channel/UCVgMrfkfHKCrJGy01iBAGYg", "陳柏宇 Jason Chan")</f>
        <v>陳柏宇 Jason Chan</v>
      </c>
      <c r="C329" s="80">
        <v>8.0</v>
      </c>
      <c r="D329" s="80">
        <v>8.0</v>
      </c>
      <c r="E329" s="80">
        <v>7.0</v>
      </c>
      <c r="F329" s="80">
        <v>1.0</v>
      </c>
    </row>
    <row r="330">
      <c r="A330" s="80" t="s">
        <v>4303</v>
      </c>
      <c r="B330" s="81" t="str">
        <f>HYPERLINK("https://www.youtube.com/channel/UC1Hs0hel0FjqRV_bVlUvTdQ", "陳自瑤 Yoyo Chen")</f>
        <v>陳自瑤 Yoyo Chen</v>
      </c>
      <c r="C330" s="80">
        <v>3.0</v>
      </c>
      <c r="D330" s="80">
        <v>3.0</v>
      </c>
      <c r="E330" s="80">
        <v>2.0</v>
      </c>
      <c r="F330" s="80">
        <v>1.0</v>
      </c>
    </row>
    <row r="331">
      <c r="A331" s="80" t="s">
        <v>3764</v>
      </c>
      <c r="B331" s="81" t="str">
        <f>HYPERLINK("https://www.youtube.com/channel/UCR8uMeI5ZXlx0gpD0WTOCmg", "靈異鬼故直播頻道 Mermer TV")</f>
        <v>靈異鬼故直播頻道 Mermer TV</v>
      </c>
      <c r="C331" s="80">
        <v>4.0</v>
      </c>
      <c r="D331" s="80">
        <v>4.0</v>
      </c>
      <c r="E331" s="80">
        <v>3.0</v>
      </c>
      <c r="F331" s="80">
        <v>1.0</v>
      </c>
    </row>
    <row r="332">
      <c r="A332" s="80" t="s">
        <v>3607</v>
      </c>
      <c r="B332" s="81" t="str">
        <f>HYPERLINK("https://www.youtube.com/channel/UC3oZHuZrkBs5OgXwZePWHMA", "龍喵ponpon")</f>
        <v>龍喵ponpon</v>
      </c>
      <c r="C332" s="80">
        <v>11.0</v>
      </c>
      <c r="D332" s="80">
        <v>6.0</v>
      </c>
      <c r="E332" s="80">
        <v>5.0</v>
      </c>
      <c r="F332" s="80">
        <v>1.0</v>
      </c>
    </row>
    <row r="333">
      <c r="A333" s="80" t="s">
        <v>8049</v>
      </c>
      <c r="B333" s="81" t="str">
        <f>HYPERLINK("https://www.youtube.com/channel/UCyBRQK4DwHNDOPdEr2Drgig", "101 academy入門教室")</f>
        <v>101 academy入門教室</v>
      </c>
      <c r="C333" s="80">
        <v>39.0</v>
      </c>
      <c r="D333" s="80">
        <v>39.0</v>
      </c>
      <c r="E333" s="80">
        <v>39.0</v>
      </c>
      <c r="F333" s="80">
        <v>0.0</v>
      </c>
    </row>
    <row r="334">
      <c r="A334" s="80" t="s">
        <v>8050</v>
      </c>
      <c r="B334" s="81" t="str">
        <f>HYPERLINK("https://www.youtube.com/channel/UCmy5pmJXB1Gp_oS8SlJR8yA", "852 To Canada")</f>
        <v>852 To Canada</v>
      </c>
      <c r="C334" s="80">
        <v>2.0</v>
      </c>
      <c r="D334" s="80">
        <v>2.0</v>
      </c>
      <c r="E334" s="80">
        <v>2.0</v>
      </c>
      <c r="F334" s="80">
        <v>0.0</v>
      </c>
    </row>
    <row r="335">
      <c r="A335" s="80" t="s">
        <v>8051</v>
      </c>
      <c r="B335" s="81" t="str">
        <f>HYPERLINK("https://www.youtube.com/channel/UCyQN_NQxYyr3SoGS8e2q4Zw", "A H F A M A K E U P")</f>
        <v>A H F A M A K E U P</v>
      </c>
      <c r="C335" s="80">
        <v>4.0</v>
      </c>
      <c r="D335" s="80">
        <v>4.0</v>
      </c>
      <c r="E335" s="80">
        <v>4.0</v>
      </c>
      <c r="F335" s="80">
        <v>0.0</v>
      </c>
    </row>
    <row r="336">
      <c r="A336" s="80" t="s">
        <v>8052</v>
      </c>
      <c r="B336" s="81" t="str">
        <f>HYPERLINK("https://www.youtube.com/channel/UCgECU-wBg5EHEhqijQTi8tg", "Ar Yu")</f>
        <v>Ar Yu</v>
      </c>
      <c r="C336" s="80">
        <v>17.0</v>
      </c>
      <c r="D336" s="80">
        <v>17.0</v>
      </c>
      <c r="E336" s="80">
        <v>17.0</v>
      </c>
      <c r="F336" s="80">
        <v>0.0</v>
      </c>
    </row>
    <row r="337">
      <c r="A337" s="80" t="s">
        <v>8053</v>
      </c>
      <c r="B337" s="81" t="str">
        <f>HYPERLINK("https://www.youtube.com/channel/UCI-hAI42xZcwDiaLMn-GWng", "Arturistic Hong Kong")</f>
        <v>Arturistic Hong Kong</v>
      </c>
      <c r="C337" s="80">
        <v>13.0</v>
      </c>
      <c r="D337" s="80">
        <v>13.0</v>
      </c>
      <c r="E337" s="80">
        <v>13.0</v>
      </c>
      <c r="F337" s="80">
        <v>0.0</v>
      </c>
    </row>
    <row r="338">
      <c r="A338" s="80" t="s">
        <v>8054</v>
      </c>
      <c r="B338" s="81" t="str">
        <f>HYPERLINK("https://www.youtube.com/channel/UCUA63Xd-yN1Dx1z8zevXbng", "BBO | Black Box Office")</f>
        <v>BBO | Black Box Office</v>
      </c>
      <c r="C338" s="80">
        <v>119.0</v>
      </c>
      <c r="D338" s="80">
        <v>117.0</v>
      </c>
      <c r="E338" s="80">
        <v>117.0</v>
      </c>
      <c r="F338" s="80">
        <v>0.0</v>
      </c>
    </row>
    <row r="339">
      <c r="A339" s="80" t="s">
        <v>8055</v>
      </c>
      <c r="B339" s="81" t="str">
        <f>HYPERLINK("https://www.youtube.com/channel/UCMC8hUqLiADZOhnBV5pue4Q", "BIGBIGAIR")</f>
        <v>BIGBIGAIR</v>
      </c>
      <c r="C339" s="80">
        <v>67.0</v>
      </c>
      <c r="D339" s="80">
        <v>67.0</v>
      </c>
      <c r="E339" s="80">
        <v>67.0</v>
      </c>
      <c r="F339" s="80">
        <v>0.0</v>
      </c>
    </row>
    <row r="340">
      <c r="A340" s="80" t="s">
        <v>8056</v>
      </c>
      <c r="B340" s="81" t="str">
        <f>HYPERLINK("https://www.youtube.com/channel/UCUXbf-vpeab-Ksvmi6-gPaQ", "Bifee Life")</f>
        <v>Bifee Life</v>
      </c>
      <c r="C340" s="80">
        <v>5.0</v>
      </c>
      <c r="D340" s="80">
        <v>1.0</v>
      </c>
      <c r="E340" s="80">
        <v>1.0</v>
      </c>
      <c r="F340" s="80">
        <v>0.0</v>
      </c>
    </row>
    <row r="341">
      <c r="A341" s="80" t="s">
        <v>8057</v>
      </c>
      <c r="B341" s="81" t="str">
        <f>HYPERLINK("https://www.youtube.com/channel/UCHZuWXaIWsfFQ3cHZrvVxvg", "Board Game Syndrome 桌遊症候群")</f>
        <v>Board Game Syndrome 桌遊症候群</v>
      </c>
      <c r="C341" s="80">
        <v>76.0</v>
      </c>
      <c r="D341" s="80">
        <v>76.0</v>
      </c>
      <c r="E341" s="80">
        <v>76.0</v>
      </c>
      <c r="F341" s="80">
        <v>0.0</v>
      </c>
    </row>
    <row r="342">
      <c r="A342" s="80" t="s">
        <v>8058</v>
      </c>
      <c r="B342" s="81" t="str">
        <f>HYPERLINK("https://www.youtube.com/channel/UCMIXW7ICDyTuCFcCHvBjfIQ", "COLLAR")</f>
        <v>COLLAR</v>
      </c>
      <c r="C342" s="80">
        <v>23.0</v>
      </c>
      <c r="D342" s="80">
        <v>23.0</v>
      </c>
      <c r="E342" s="80">
        <v>23.0</v>
      </c>
      <c r="F342" s="80">
        <v>0.0</v>
      </c>
    </row>
    <row r="343">
      <c r="A343" s="80" t="s">
        <v>8059</v>
      </c>
      <c r="B343" s="81" t="str">
        <f>HYPERLINK("https://www.youtube.com/channel/UCq-32OgJN9rfJqw6_9GaT2g", "Caitlyn 羅素的紅")</f>
        <v>Caitlyn 羅素的紅</v>
      </c>
      <c r="C343" s="80">
        <v>2.0</v>
      </c>
      <c r="D343" s="80">
        <v>2.0</v>
      </c>
      <c r="E343" s="80">
        <v>2.0</v>
      </c>
      <c r="F343" s="80">
        <v>0.0</v>
      </c>
    </row>
    <row r="344">
      <c r="A344" s="80" t="s">
        <v>8060</v>
      </c>
      <c r="B344" s="81" t="str">
        <f>HYPERLINK("https://www.youtube.com/channel/UCEtND8NR_OXVqdNCec_swaw", "Canto Big Circle 廣東話大圈子")</f>
        <v>Canto Big Circle 廣東話大圈子</v>
      </c>
      <c r="C344" s="80">
        <v>103.0</v>
      </c>
      <c r="D344" s="80">
        <v>1.0</v>
      </c>
      <c r="E344" s="80">
        <v>1.0</v>
      </c>
      <c r="F344" s="80">
        <v>0.0</v>
      </c>
    </row>
    <row r="345">
      <c r="A345" s="80" t="s">
        <v>8061</v>
      </c>
      <c r="B345" s="81" t="str">
        <f>HYPERLINK("https://www.youtube.com/channel/UCZKFTpbPVNqNhVysfmBzM7g", "Catchy Mike 奇趣米漿")</f>
        <v>Catchy Mike 奇趣米漿</v>
      </c>
      <c r="C345" s="80">
        <v>2.0</v>
      </c>
      <c r="D345" s="80">
        <v>1.0</v>
      </c>
      <c r="E345" s="80">
        <v>1.0</v>
      </c>
      <c r="F345" s="80">
        <v>0.0</v>
      </c>
    </row>
    <row r="346">
      <c r="A346" s="80" t="s">
        <v>8062</v>
      </c>
      <c r="B346" s="81" t="str">
        <f>HYPERLINK("https://www.youtube.com/channel/UCIBSkpVZfn2CA_jsx8r7S5Q", "Celia Yu")</f>
        <v>Celia Yu</v>
      </c>
      <c r="C346" s="80">
        <v>7.0</v>
      </c>
      <c r="D346" s="80">
        <v>7.0</v>
      </c>
      <c r="E346" s="80">
        <v>7.0</v>
      </c>
      <c r="F346" s="80">
        <v>0.0</v>
      </c>
    </row>
    <row r="347">
      <c r="A347" s="80" t="s">
        <v>8063</v>
      </c>
      <c r="B347" s="81" t="str">
        <f>HYPERLINK("https://www.youtube.com/channel/UC54SLBnD5k5U3Q6N__UjbAw", "Chinese Cooking Demystified")</f>
        <v>Chinese Cooking Demystified</v>
      </c>
      <c r="C347" s="80">
        <v>190.0</v>
      </c>
      <c r="D347" s="80">
        <v>2.0</v>
      </c>
      <c r="E347" s="80">
        <v>2.0</v>
      </c>
      <c r="F347" s="80">
        <v>0.0</v>
      </c>
    </row>
    <row r="348">
      <c r="A348" s="80" t="s">
        <v>8064</v>
      </c>
      <c r="B348" s="81" t="str">
        <f>HYPERLINK("https://www.youtube.com/channel/UCoNUEvOxJFmV5OE5Rn4bZDw", "Chun Shim 蝉儿")</f>
        <v>Chun Shim 蝉儿</v>
      </c>
      <c r="C348" s="80">
        <v>227.0</v>
      </c>
      <c r="D348" s="80">
        <v>117.0</v>
      </c>
      <c r="E348" s="80">
        <v>117.0</v>
      </c>
      <c r="F348" s="80">
        <v>0.0</v>
      </c>
    </row>
    <row r="349">
      <c r="A349" s="80" t="s">
        <v>8065</v>
      </c>
      <c r="B349" s="81" t="str">
        <f>HYPERLINK("https://www.youtube.com/channel/UCEjGtkZY9ofYq7Ll2AJzONA", "Cosmopolitan HK")</f>
        <v>Cosmopolitan HK</v>
      </c>
      <c r="C349" s="80">
        <v>60.0</v>
      </c>
      <c r="D349" s="80">
        <v>60.0</v>
      </c>
      <c r="E349" s="80">
        <v>60.0</v>
      </c>
      <c r="F349" s="80">
        <v>0.0</v>
      </c>
    </row>
    <row r="350">
      <c r="A350" s="80" t="s">
        <v>8066</v>
      </c>
      <c r="B350" s="81" t="str">
        <f>HYPERLINK("https://www.youtube.com/channel/UCFYmamjLGgVoGin-7yIAZ0Q", "Crazy with YU芳婷")</f>
        <v>Crazy with YU芳婷</v>
      </c>
      <c r="C350" s="80">
        <v>28.0</v>
      </c>
      <c r="D350" s="80">
        <v>28.0</v>
      </c>
      <c r="E350" s="80">
        <v>28.0</v>
      </c>
      <c r="F350" s="80">
        <v>0.0</v>
      </c>
    </row>
    <row r="351">
      <c r="A351" s="80" t="s">
        <v>8067</v>
      </c>
      <c r="B351" s="81" t="str">
        <f>HYPERLINK("https://www.youtube.com/channel/UC9ZVbSWSRnMKCUZdcdmsvCg", "Cynthia Ip")</f>
        <v>Cynthia Ip</v>
      </c>
      <c r="C351" s="80">
        <v>1.0</v>
      </c>
      <c r="D351" s="80">
        <v>1.0</v>
      </c>
      <c r="E351" s="80">
        <v>1.0</v>
      </c>
      <c r="F351" s="80">
        <v>0.0</v>
      </c>
    </row>
    <row r="352">
      <c r="A352" s="80" t="s">
        <v>8068</v>
      </c>
      <c r="B352" s="81" t="str">
        <f>HYPERLINK("https://www.youtube.com/channel/UCnwDPELDPXKQ_VrgPsPPdyA", "Data Ma")</f>
        <v>Data Ma</v>
      </c>
      <c r="C352" s="80">
        <v>210.0</v>
      </c>
      <c r="D352" s="80">
        <v>209.0</v>
      </c>
      <c r="E352" s="80">
        <v>209.0</v>
      </c>
      <c r="F352" s="80">
        <v>0.0</v>
      </c>
    </row>
    <row r="353">
      <c r="A353" s="80" t="s">
        <v>8069</v>
      </c>
      <c r="B353" s="81" t="str">
        <f>HYPERLINK("https://www.youtube.com/channel/UCqP2vkCsedKj09kzK8uUpjA", "De Suki")</f>
        <v>De Suki</v>
      </c>
      <c r="C353" s="80">
        <v>12.0</v>
      </c>
      <c r="D353" s="80">
        <v>12.0</v>
      </c>
      <c r="E353" s="80">
        <v>12.0</v>
      </c>
      <c r="F353" s="80">
        <v>0.0</v>
      </c>
    </row>
    <row r="354">
      <c r="A354" s="80" t="s">
        <v>8070</v>
      </c>
      <c r="B354" s="81" t="str">
        <f>HYPERLINK("https://www.youtube.com/channel/UCkGoTka8XI7xJlcQMWOIe4g", "Derek Chu")</f>
        <v>Derek Chu</v>
      </c>
      <c r="C354" s="80">
        <v>3.0</v>
      </c>
      <c r="D354" s="80">
        <v>2.0</v>
      </c>
      <c r="E354" s="80">
        <v>2.0</v>
      </c>
      <c r="F354" s="80">
        <v>0.0</v>
      </c>
    </row>
    <row r="355">
      <c r="A355" s="80" t="s">
        <v>8071</v>
      </c>
      <c r="B355" s="81" t="str">
        <f>HYPERLINK("https://www.youtube.com/channel/UCQqg4s9mL0kRda4PXJvTECg", "Ding Ding")</f>
        <v>Ding Ding</v>
      </c>
      <c r="C355" s="80">
        <v>14.0</v>
      </c>
      <c r="D355" s="80">
        <v>6.0</v>
      </c>
      <c r="E355" s="80">
        <v>6.0</v>
      </c>
      <c r="F355" s="80">
        <v>0.0</v>
      </c>
    </row>
    <row r="356">
      <c r="A356" s="80" t="s">
        <v>8072</v>
      </c>
      <c r="B356" s="81" t="str">
        <f>HYPERLINK("https://www.youtube.com/channel/UCZToCdTx1KdoTfxtmsWJPYg", "Discover Cantonese with Miss Kini")</f>
        <v>Discover Cantonese with Miss Kini</v>
      </c>
      <c r="C356" s="80">
        <v>1.0</v>
      </c>
      <c r="D356" s="80">
        <v>1.0</v>
      </c>
      <c r="E356" s="80">
        <v>1.0</v>
      </c>
      <c r="F356" s="80">
        <v>0.0</v>
      </c>
    </row>
    <row r="357">
      <c r="A357" s="80" t="s">
        <v>8073</v>
      </c>
      <c r="B357" s="81" t="str">
        <f>HYPERLINK("https://www.youtube.com/channel/UCr3Exnqea53yhKCoy7PUVTw", "Do It With B")</f>
        <v>Do It With B</v>
      </c>
      <c r="C357" s="80">
        <v>152.0</v>
      </c>
      <c r="D357" s="80">
        <v>30.0</v>
      </c>
      <c r="E357" s="80">
        <v>30.0</v>
      </c>
      <c r="F357" s="80">
        <v>0.0</v>
      </c>
    </row>
    <row r="358">
      <c r="A358" s="80" t="s">
        <v>8074</v>
      </c>
      <c r="B358" s="81" t="str">
        <f>HYPERLINK("https://www.youtube.com/channel/UCQOTG-gvEMZAD7f4eLUI1zA", "Edith 手帳日常")</f>
        <v>Edith 手帳日常</v>
      </c>
      <c r="C358" s="80">
        <v>56.0</v>
      </c>
      <c r="D358" s="80">
        <v>54.0</v>
      </c>
      <c r="E358" s="80">
        <v>54.0</v>
      </c>
      <c r="F358" s="80">
        <v>0.0</v>
      </c>
    </row>
    <row r="359">
      <c r="A359" s="80" t="s">
        <v>8075</v>
      </c>
      <c r="B359" s="81" t="str">
        <f>HYPERLINK("https://www.youtube.com/channel/UC8mbGKkGL76KrcHK_2op3tQ", "Elva Ni")</f>
        <v>Elva Ni</v>
      </c>
      <c r="C359" s="80">
        <v>5.0</v>
      </c>
      <c r="D359" s="80">
        <v>3.0</v>
      </c>
      <c r="E359" s="80">
        <v>3.0</v>
      </c>
      <c r="F359" s="80">
        <v>0.0</v>
      </c>
    </row>
    <row r="360">
      <c r="A360" s="80" t="s">
        <v>8076</v>
      </c>
      <c r="B360" s="81" t="str">
        <f>HYPERLINK("https://www.youtube.com/channel/UCCuqona7-Ql_Dkc1IUJ2qaQ", "Emily Lau")</f>
        <v>Emily Lau</v>
      </c>
      <c r="C360" s="80">
        <v>1.0</v>
      </c>
      <c r="D360" s="80">
        <v>1.0</v>
      </c>
      <c r="E360" s="80">
        <v>1.0</v>
      </c>
      <c r="F360" s="80">
        <v>0.0</v>
      </c>
    </row>
    <row r="361">
      <c r="A361" s="80" t="s">
        <v>8077</v>
      </c>
      <c r="B361" s="81" t="str">
        <f>HYPERLINK("https://www.youtube.com/channel/UCWHojUvKOvV1xwCANqSsnUg", "FHProductionHK")</f>
        <v>FHProductionHK</v>
      </c>
      <c r="C361" s="80">
        <v>7.0</v>
      </c>
      <c r="D361" s="80">
        <v>7.0</v>
      </c>
      <c r="E361" s="80">
        <v>7.0</v>
      </c>
      <c r="F361" s="80">
        <v>0.0</v>
      </c>
    </row>
    <row r="362">
      <c r="A362" s="80" t="s">
        <v>8078</v>
      </c>
      <c r="B362" s="81" t="str">
        <f>HYPERLINK("https://www.youtube.com/channel/UCF_QSDe90sisUcWn-g52nVA", "GREY")</f>
        <v>GREY</v>
      </c>
      <c r="C362" s="80">
        <v>4.0</v>
      </c>
      <c r="D362" s="80">
        <v>4.0</v>
      </c>
      <c r="E362" s="80">
        <v>4.0</v>
      </c>
      <c r="F362" s="80">
        <v>0.0</v>
      </c>
    </row>
    <row r="363">
      <c r="A363" s="80" t="s">
        <v>8079</v>
      </c>
      <c r="B363" s="81" t="str">
        <f>HYPERLINK("https://www.youtube.com/channel/UC-QCSHf-L_qiuJqlpi2k3oQ", "GamerWay遊戲航道")</f>
        <v>GamerWay遊戲航道</v>
      </c>
      <c r="C363" s="80">
        <v>2.0</v>
      </c>
      <c r="D363" s="80">
        <v>2.0</v>
      </c>
      <c r="E363" s="80">
        <v>2.0</v>
      </c>
      <c r="F363" s="80">
        <v>0.0</v>
      </c>
    </row>
    <row r="364">
      <c r="A364" s="80" t="s">
        <v>8080</v>
      </c>
      <c r="B364" s="81" t="str">
        <f>HYPERLINK("https://www.youtube.com/channel/UCiB7O-CMgwMhRb843fKPJMA", "Girlab.hk")</f>
        <v>Girlab.hk</v>
      </c>
      <c r="C364" s="80">
        <v>1.0</v>
      </c>
      <c r="D364" s="80">
        <v>1.0</v>
      </c>
      <c r="E364" s="80">
        <v>1.0</v>
      </c>
      <c r="F364" s="80">
        <v>0.0</v>
      </c>
    </row>
    <row r="365">
      <c r="A365" s="80" t="s">
        <v>8081</v>
      </c>
      <c r="B365" s="81" t="str">
        <f>HYPERLINK("https://www.youtube.com/channel/UCCzuPng3HJktPQuNl5lAzBQ", "Gladys Li 李靖筠")</f>
        <v>Gladys Li 李靖筠</v>
      </c>
      <c r="C365" s="80">
        <v>11.0</v>
      </c>
      <c r="D365" s="80">
        <v>11.0</v>
      </c>
      <c r="E365" s="80">
        <v>11.0</v>
      </c>
      <c r="F365" s="80">
        <v>0.0</v>
      </c>
    </row>
    <row r="366">
      <c r="A366" s="80" t="s">
        <v>8082</v>
      </c>
      <c r="B366" s="81" t="str">
        <f>HYPERLINK("https://www.youtube.com/channel/UCr1IvICxr_H6gWWf-1hy9WA", "Grace Wong Official Channel")</f>
        <v>Grace Wong Official Channel</v>
      </c>
      <c r="C366" s="80">
        <v>4.0</v>
      </c>
      <c r="D366" s="80">
        <v>3.0</v>
      </c>
      <c r="E366" s="80">
        <v>3.0</v>
      </c>
      <c r="F366" s="80">
        <v>0.0</v>
      </c>
    </row>
    <row r="367">
      <c r="A367" s="80" t="s">
        <v>8083</v>
      </c>
      <c r="B367" s="81" t="str">
        <f>HYPERLINK("https://www.youtube.com/channel/UCgvuk9gR3V2eT1dhEjuAdrg", "HKCAN")</f>
        <v>HKCAN</v>
      </c>
      <c r="C367" s="80">
        <v>11.0</v>
      </c>
      <c r="D367" s="80">
        <v>10.0</v>
      </c>
      <c r="E367" s="80">
        <v>10.0</v>
      </c>
      <c r="F367" s="80">
        <v>0.0</v>
      </c>
    </row>
    <row r="368">
      <c r="A368" s="80" t="s">
        <v>8084</v>
      </c>
      <c r="B368" s="81" t="str">
        <f>HYPERLINK("https://www.youtube.com/channel/UCEsjlcKTlx6oAhN6eNoqEnA", "HKTVNetwork")</f>
        <v>HKTVNetwork</v>
      </c>
      <c r="C368" s="80">
        <v>439.0</v>
      </c>
      <c r="D368" s="80">
        <v>439.0</v>
      </c>
      <c r="E368" s="80">
        <v>439.0</v>
      </c>
      <c r="F368" s="80">
        <v>0.0</v>
      </c>
    </row>
    <row r="369">
      <c r="A369" s="80" t="s">
        <v>8085</v>
      </c>
      <c r="B369" s="81" t="str">
        <f>HYPERLINK("https://www.youtube.com/channel/UCpwwNOEaOm2MzPu08xY-l5w", "HKm")</f>
        <v>HKm</v>
      </c>
      <c r="C369" s="80">
        <v>2.0</v>
      </c>
      <c r="D369" s="80">
        <v>2.0</v>
      </c>
      <c r="E369" s="80">
        <v>2.0</v>
      </c>
      <c r="F369" s="80">
        <v>0.0</v>
      </c>
    </row>
    <row r="370">
      <c r="A370" s="80" t="s">
        <v>8086</v>
      </c>
      <c r="B370" s="81" t="str">
        <f>HYPERLINK("https://www.youtube.com/channel/UClCyuPyVe0_JB9bT1c-AMQg", "Hakme")</f>
        <v>Hakme</v>
      </c>
      <c r="C370" s="80">
        <v>430.0</v>
      </c>
      <c r="D370" s="80">
        <v>414.0</v>
      </c>
      <c r="E370" s="80">
        <v>414.0</v>
      </c>
      <c r="F370" s="80">
        <v>0.0</v>
      </c>
    </row>
    <row r="371">
      <c r="A371" s="80" t="s">
        <v>8087</v>
      </c>
      <c r="B371" s="81" t="str">
        <f>HYPERLINK("https://www.youtube.com/channel/UCmxZmi6lDT3JMluCA2iOE9A", "Holly L. 何莉")</f>
        <v>Holly L. 何莉</v>
      </c>
      <c r="C371" s="80">
        <v>1.0</v>
      </c>
      <c r="D371" s="80">
        <v>1.0</v>
      </c>
      <c r="E371" s="80">
        <v>1.0</v>
      </c>
      <c r="F371" s="80">
        <v>0.0</v>
      </c>
    </row>
    <row r="372">
      <c r="A372" s="80" t="s">
        <v>8088</v>
      </c>
      <c r="B372" s="81" t="str">
        <f>HYPERLINK("https://www.youtube.com/channel/UCqBMuXxkjded936sAf_znpg", "JASON的第二頻道 【GAMING・日常・直播】")</f>
        <v>JASON的第二頻道 【GAMING・日常・直播】</v>
      </c>
      <c r="C372" s="80">
        <v>1.0</v>
      </c>
      <c r="D372" s="80">
        <v>1.0</v>
      </c>
      <c r="E372" s="80">
        <v>1.0</v>
      </c>
      <c r="F372" s="80">
        <v>0.0</v>
      </c>
    </row>
    <row r="373">
      <c r="A373" s="80" t="s">
        <v>8089</v>
      </c>
      <c r="B373" s="81" t="str">
        <f>HYPERLINK("https://www.youtube.com/channel/UCFGwJvxQTZFW00oOkhGbM2w", "JB Life")</f>
        <v>JB Life</v>
      </c>
      <c r="C373" s="80">
        <v>14.0</v>
      </c>
      <c r="D373" s="80">
        <v>14.0</v>
      </c>
      <c r="E373" s="80">
        <v>14.0</v>
      </c>
      <c r="F373" s="80">
        <v>0.0</v>
      </c>
    </row>
    <row r="374">
      <c r="A374" s="80" t="s">
        <v>8090</v>
      </c>
      <c r="B374" s="81" t="str">
        <f>HYPERLINK("https://www.youtube.com/channel/UC_iT56-BHADnzCKYK2tgjDg", "JCfromHK")</f>
        <v>JCfromHK</v>
      </c>
      <c r="C374" s="80">
        <v>135.0</v>
      </c>
      <c r="D374" s="80">
        <v>135.0</v>
      </c>
      <c r="E374" s="80">
        <v>135.0</v>
      </c>
      <c r="F374" s="80">
        <v>0.0</v>
      </c>
    </row>
    <row r="375">
      <c r="A375" s="80" t="s">
        <v>8091</v>
      </c>
      <c r="B375" s="81" t="str">
        <f>HYPERLINK("https://www.youtube.com/channel/UClkSKv9-Geah2gwYu7e9jFw", "JERSON")</f>
        <v>JERSON</v>
      </c>
      <c r="C375" s="80">
        <v>398.0</v>
      </c>
      <c r="D375" s="80">
        <v>396.0</v>
      </c>
      <c r="E375" s="80">
        <v>396.0</v>
      </c>
      <c r="F375" s="80">
        <v>0.0</v>
      </c>
    </row>
    <row r="376">
      <c r="A376" s="80" t="s">
        <v>8092</v>
      </c>
      <c r="B376" s="81" t="str">
        <f>HYPERLINK("https://www.youtube.com/channel/UC3aipgNToMvs2pFaQyaM_hg", "JFFLive")</f>
        <v>JFFLive</v>
      </c>
      <c r="C376" s="80">
        <v>1.0</v>
      </c>
      <c r="D376" s="80">
        <v>1.0</v>
      </c>
      <c r="E376" s="80">
        <v>1.0</v>
      </c>
      <c r="F376" s="80">
        <v>0.0</v>
      </c>
    </row>
    <row r="377">
      <c r="A377" s="80" t="s">
        <v>8093</v>
      </c>
      <c r="B377" s="81" t="str">
        <f>HYPERLINK("https://www.youtube.com/channel/UCigjGU7HwVVXte3OMBBeTBA", "Janice Vidal衛蘭")</f>
        <v>Janice Vidal衛蘭</v>
      </c>
      <c r="C377" s="80">
        <v>1.0</v>
      </c>
      <c r="D377" s="80">
        <v>1.0</v>
      </c>
      <c r="E377" s="80">
        <v>1.0</v>
      </c>
      <c r="F377" s="80">
        <v>0.0</v>
      </c>
    </row>
    <row r="378">
      <c r="A378" s="80" t="s">
        <v>8094</v>
      </c>
      <c r="B378" s="81" t="str">
        <f>HYPERLINK("https://www.youtube.com/channel/UCDUn3_tmOLdecXmrqQ1YtRw", "Jay生活台")</f>
        <v>Jay生活台</v>
      </c>
      <c r="C378" s="80">
        <v>1.0</v>
      </c>
      <c r="D378" s="80">
        <v>1.0</v>
      </c>
      <c r="E378" s="80">
        <v>1.0</v>
      </c>
      <c r="F378" s="80">
        <v>0.0</v>
      </c>
    </row>
    <row r="379">
      <c r="A379" s="80" t="s">
        <v>8095</v>
      </c>
      <c r="B379" s="81" t="str">
        <f>HYPERLINK("https://www.youtube.com/channel/UCUo3Vm4K0e0rarlaax-USxg", "John Tsang")</f>
        <v>John Tsang</v>
      </c>
      <c r="C379" s="80">
        <v>10.0</v>
      </c>
      <c r="D379" s="80">
        <v>9.0</v>
      </c>
      <c r="E379" s="80">
        <v>9.0</v>
      </c>
      <c r="F379" s="80">
        <v>0.0</v>
      </c>
    </row>
    <row r="380">
      <c r="A380" s="80" t="s">
        <v>8096</v>
      </c>
      <c r="B380" s="81" t="str">
        <f>HYPERLINK("https://www.youtube.com/channel/UCaTyG3RkM5v2JjZLZQmzVcg", "K:Time")</f>
        <v>K:Time</v>
      </c>
      <c r="C380" s="80">
        <v>150.0</v>
      </c>
      <c r="D380" s="80">
        <v>142.0</v>
      </c>
      <c r="E380" s="80">
        <v>142.0</v>
      </c>
      <c r="F380" s="80">
        <v>0.0</v>
      </c>
    </row>
    <row r="381">
      <c r="A381" s="80" t="s">
        <v>8097</v>
      </c>
      <c r="B381" s="81" t="str">
        <f>HYPERLINK("https://www.youtube.com/channel/UCBfqmZaxAsJTVx46vi5s77Q", "KATE林樂儀")</f>
        <v>KATE林樂儀</v>
      </c>
      <c r="C381" s="80">
        <v>55.0</v>
      </c>
      <c r="D381" s="80">
        <v>49.0</v>
      </c>
      <c r="E381" s="80">
        <v>49.0</v>
      </c>
      <c r="F381" s="80">
        <v>0.0</v>
      </c>
    </row>
    <row r="382">
      <c r="A382" s="80" t="s">
        <v>8098</v>
      </c>
      <c r="B382" s="81" t="str">
        <f>HYPERLINK("https://www.youtube.com/channel/UCOfdc0MtMGhJzCF1HDYNkLw", "KarenLaw騎雲羅")</f>
        <v>KarenLaw騎雲羅</v>
      </c>
      <c r="C382" s="80">
        <v>7.0</v>
      </c>
      <c r="D382" s="80">
        <v>1.0</v>
      </c>
      <c r="E382" s="80">
        <v>1.0</v>
      </c>
      <c r="F382" s="80">
        <v>0.0</v>
      </c>
    </row>
    <row r="383">
      <c r="A383" s="80" t="s">
        <v>8099</v>
      </c>
      <c r="B383" s="81" t="str">
        <f>HYPERLINK("https://www.youtube.com/channel/UCDFxlTiuwbX0DmJvoKg_I7g", "Katy Cheung")</f>
        <v>Katy Cheung</v>
      </c>
      <c r="C383" s="80">
        <v>18.0</v>
      </c>
      <c r="D383" s="80">
        <v>15.0</v>
      </c>
      <c r="E383" s="80">
        <v>15.0</v>
      </c>
      <c r="F383" s="80">
        <v>0.0</v>
      </c>
    </row>
    <row r="384">
      <c r="A384" s="80" t="s">
        <v>8100</v>
      </c>
      <c r="B384" s="81" t="str">
        <f>HYPERLINK("https://www.youtube.com/channel/UCjrY3d67dCM8qcUl_jsdyig", "Kelvin TV 溝粉頻道")</f>
        <v>Kelvin TV 溝粉頻道</v>
      </c>
      <c r="C384" s="80">
        <v>208.0</v>
      </c>
      <c r="D384" s="80">
        <v>180.0</v>
      </c>
      <c r="E384" s="80">
        <v>180.0</v>
      </c>
      <c r="F384" s="80">
        <v>0.0</v>
      </c>
    </row>
    <row r="385">
      <c r="A385" s="80" t="s">
        <v>8101</v>
      </c>
      <c r="B385" s="81" t="str">
        <f>HYPERLINK("https://www.youtube.com/channel/UC7At652meohyELviOMk9ZZg", "Key To Love Channel")</f>
        <v>Key To Love Channel</v>
      </c>
      <c r="C385" s="80">
        <v>213.0</v>
      </c>
      <c r="D385" s="80">
        <v>213.0</v>
      </c>
      <c r="E385" s="80">
        <v>213.0</v>
      </c>
      <c r="F385" s="80">
        <v>0.0</v>
      </c>
    </row>
    <row r="386">
      <c r="A386" s="80" t="s">
        <v>8102</v>
      </c>
      <c r="B386" s="81" t="str">
        <f>HYPERLINK("https://www.youtube.com/channel/UCe8ixbGE7Woqa-wYI7b0xwA", "Kia ora it's Gloria")</f>
        <v>Kia ora it's Gloria</v>
      </c>
      <c r="C386" s="80">
        <v>29.0</v>
      </c>
      <c r="D386" s="80">
        <v>11.0</v>
      </c>
      <c r="E386" s="80">
        <v>11.0</v>
      </c>
      <c r="F386" s="80">
        <v>0.0</v>
      </c>
    </row>
    <row r="387">
      <c r="A387" s="80" t="s">
        <v>8103</v>
      </c>
      <c r="B387" s="81" t="str">
        <f>HYPERLINK("https://www.youtube.com/channel/UC-9OljcFnApD0Ppjj5BSoAQ", "Kidultgarten 兒童不兒")</f>
        <v>Kidultgarten 兒童不兒</v>
      </c>
      <c r="C387" s="80">
        <v>26.0</v>
      </c>
      <c r="D387" s="80">
        <v>2.0</v>
      </c>
      <c r="E387" s="80">
        <v>2.0</v>
      </c>
      <c r="F387" s="80">
        <v>0.0</v>
      </c>
    </row>
    <row r="388">
      <c r="A388" s="80" t="s">
        <v>8104</v>
      </c>
      <c r="B388" s="81" t="str">
        <f>HYPERLINK("https://www.youtube.com/channel/UCksMVjaZvrPy-klKPU78cPw", "Kimi Chiu")</f>
        <v>Kimi Chiu</v>
      </c>
      <c r="C388" s="80">
        <v>6.0</v>
      </c>
      <c r="D388" s="80">
        <v>6.0</v>
      </c>
      <c r="E388" s="80">
        <v>6.0</v>
      </c>
      <c r="F388" s="80">
        <v>0.0</v>
      </c>
    </row>
    <row r="389">
      <c r="A389" s="80" t="s">
        <v>8105</v>
      </c>
      <c r="B389" s="81" t="str">
        <f>HYPERLINK("https://www.youtube.com/channel/UChfG42mAZXV1Rejj64MZszw", "Kiri T")</f>
        <v>Kiri T</v>
      </c>
      <c r="C389" s="80">
        <v>5.0</v>
      </c>
      <c r="D389" s="80">
        <v>2.0</v>
      </c>
      <c r="E389" s="80">
        <v>2.0</v>
      </c>
      <c r="F389" s="80">
        <v>0.0</v>
      </c>
    </row>
    <row r="390">
      <c r="A390" s="80" t="s">
        <v>8106</v>
      </c>
      <c r="B390" s="81" t="str">
        <f>HYPERLINK("https://www.youtube.com/channel/UC_lj8lq8KaOx_o-kYQNzRdQ", "LZero 零﹒工作室")</f>
        <v>LZero 零﹒工作室</v>
      </c>
      <c r="C390" s="80">
        <v>4.0</v>
      </c>
      <c r="D390" s="80">
        <v>4.0</v>
      </c>
      <c r="E390" s="80">
        <v>4.0</v>
      </c>
      <c r="F390" s="80">
        <v>0.0</v>
      </c>
    </row>
    <row r="391">
      <c r="A391" s="80" t="s">
        <v>8107</v>
      </c>
      <c r="B391" s="81" t="str">
        <f>HYPERLINK("https://www.youtube.com/channel/UCpaBBrbeE4eQ6lW5Bw5veaQ", "Lab channel")</f>
        <v>Lab channel</v>
      </c>
      <c r="C391" s="80">
        <v>23.0</v>
      </c>
      <c r="D391" s="80">
        <v>23.0</v>
      </c>
      <c r="E391" s="80">
        <v>23.0</v>
      </c>
      <c r="F391" s="80">
        <v>0.0</v>
      </c>
    </row>
    <row r="392">
      <c r="A392" s="80" t="s">
        <v>8108</v>
      </c>
      <c r="B392" s="81" t="str">
        <f>HYPERLINK("https://www.youtube.com/channel/UCxUxn3OAgZRfX8bpduWpenA", "Leila Kong 唐寧")</f>
        <v>Leila Kong 唐寧</v>
      </c>
      <c r="C392" s="80">
        <v>43.0</v>
      </c>
      <c r="D392" s="80">
        <v>41.0</v>
      </c>
      <c r="E392" s="80">
        <v>41.0</v>
      </c>
      <c r="F392" s="80">
        <v>0.0</v>
      </c>
    </row>
    <row r="393">
      <c r="A393" s="80" t="s">
        <v>8109</v>
      </c>
      <c r="B393" s="81" t="str">
        <f>HYPERLINK("https://www.youtube.com/channel/UCPYxu96c9dJO53_4OuS-oOQ", "Lisa's Diary")</f>
        <v>Lisa's Diary</v>
      </c>
      <c r="C393" s="80">
        <v>2.0</v>
      </c>
      <c r="D393" s="80">
        <v>2.0</v>
      </c>
      <c r="E393" s="80">
        <v>2.0</v>
      </c>
      <c r="F393" s="80">
        <v>0.0</v>
      </c>
    </row>
    <row r="394">
      <c r="A394" s="80" t="s">
        <v>8110</v>
      </c>
      <c r="B394" s="81" t="str">
        <f>HYPERLINK("https://www.youtube.com/channel/UCpuwKOdtSDo8M2t2sAoE6OA", "Lolly Talk")</f>
        <v>Lolly Talk</v>
      </c>
      <c r="C394" s="80">
        <v>14.0</v>
      </c>
      <c r="D394" s="80">
        <v>14.0</v>
      </c>
      <c r="E394" s="80">
        <v>14.0</v>
      </c>
      <c r="F394" s="80">
        <v>0.0</v>
      </c>
    </row>
    <row r="395">
      <c r="A395" s="80" t="s">
        <v>8111</v>
      </c>
      <c r="B395" s="81" t="str">
        <f>HYPERLINK("https://www.youtube.com/channel/UCObhrS5zsM-dYaaXzONvHTw", "M. Channel")</f>
        <v>M. Channel</v>
      </c>
      <c r="C395" s="80">
        <v>1.0</v>
      </c>
      <c r="D395" s="80">
        <v>1.0</v>
      </c>
      <c r="E395" s="80">
        <v>1.0</v>
      </c>
      <c r="F395" s="80">
        <v>0.0</v>
      </c>
    </row>
    <row r="396">
      <c r="A396" s="80" t="s">
        <v>8112</v>
      </c>
      <c r="B396" s="81" t="str">
        <f>HYPERLINK("https://www.youtube.com/channel/UC7sTtrvQ-VNaRsbqFBIKL2g", "MARY姐")</f>
        <v>MARY姐</v>
      </c>
      <c r="C396" s="80">
        <v>1.0</v>
      </c>
      <c r="D396" s="80">
        <v>1.0</v>
      </c>
      <c r="E396" s="80">
        <v>1.0</v>
      </c>
      <c r="F396" s="80">
        <v>0.0</v>
      </c>
    </row>
    <row r="397">
      <c r="A397" s="80" t="s">
        <v>8113</v>
      </c>
      <c r="B397" s="81" t="str">
        <f>HYPERLINK("https://www.youtube.com/channel/UCsIF9vk-I_PV1P-ShDFA84A", "Made With Lau")</f>
        <v>Made With Lau</v>
      </c>
      <c r="C397" s="80">
        <v>169.0</v>
      </c>
      <c r="D397" s="80">
        <v>169.0</v>
      </c>
      <c r="E397" s="80">
        <v>169.0</v>
      </c>
      <c r="F397" s="80">
        <v>0.0</v>
      </c>
    </row>
    <row r="398">
      <c r="A398" s="80" t="s">
        <v>8114</v>
      </c>
      <c r="B398" s="81" t="str">
        <f>HYPERLINK("https://www.youtube.com/channel/UCtmlUpYTBXgLsVwbizwVLYA", "MagicMissHunny")</f>
        <v>MagicMissHunny</v>
      </c>
      <c r="C398" s="80">
        <v>1.0</v>
      </c>
      <c r="D398" s="80">
        <v>1.0</v>
      </c>
      <c r="E398" s="80">
        <v>1.0</v>
      </c>
      <c r="F398" s="80">
        <v>0.0</v>
      </c>
    </row>
    <row r="399">
      <c r="A399" s="80" t="s">
        <v>8115</v>
      </c>
      <c r="B399" s="81" t="str">
        <f>HYPERLINK("https://www.youtube.com/channel/UCIvpVyXrw_lLbZoGR_0RRuQ", "Mario Hau 孝仔")</f>
        <v>Mario Hau 孝仔</v>
      </c>
      <c r="C399" s="80">
        <v>95.0</v>
      </c>
      <c r="D399" s="80">
        <v>95.0</v>
      </c>
      <c r="E399" s="80">
        <v>95.0</v>
      </c>
      <c r="F399" s="80">
        <v>0.0</v>
      </c>
    </row>
    <row r="400">
      <c r="A400" s="80" t="s">
        <v>8116</v>
      </c>
      <c r="B400" s="81" t="str">
        <f>HYPERLINK("https://www.youtube.com/channel/UCa1d9ZXVMU0BZQRXZHt8Cpw", "Mill MILK")</f>
        <v>Mill MILK</v>
      </c>
      <c r="C400" s="80">
        <v>745.0</v>
      </c>
      <c r="D400" s="80">
        <v>744.0</v>
      </c>
      <c r="E400" s="80">
        <v>744.0</v>
      </c>
      <c r="F400" s="80">
        <v>0.0</v>
      </c>
    </row>
    <row r="401">
      <c r="A401" s="80" t="s">
        <v>8117</v>
      </c>
      <c r="B401" s="81" t="str">
        <f>HYPERLINK("https://www.youtube.com/channel/UCkVUo8g8jWlWwPBaMb90yiQ", "Miss Galaxy")</f>
        <v>Miss Galaxy</v>
      </c>
      <c r="C401" s="80">
        <v>34.0</v>
      </c>
      <c r="D401" s="80">
        <v>33.0</v>
      </c>
      <c r="E401" s="80">
        <v>33.0</v>
      </c>
      <c r="F401" s="80">
        <v>0.0</v>
      </c>
    </row>
    <row r="402">
      <c r="A402" s="80" t="s">
        <v>8118</v>
      </c>
      <c r="B402" s="81" t="str">
        <f>HYPERLINK("https://www.youtube.com/channel/UCWXP30QrWFOl-H68Nx7FB9g", "Mo Moments 毛舜筠")</f>
        <v>Mo Moments 毛舜筠</v>
      </c>
      <c r="C402" s="80">
        <v>19.0</v>
      </c>
      <c r="D402" s="80">
        <v>19.0</v>
      </c>
      <c r="E402" s="80">
        <v>19.0</v>
      </c>
      <c r="F402" s="80">
        <v>0.0</v>
      </c>
    </row>
    <row r="403">
      <c r="A403" s="80" t="s">
        <v>8119</v>
      </c>
      <c r="B403" s="81" t="str">
        <f>HYPERLINK("https://www.youtube.com/channel/UC9vp0891Gx8JyspnMvPRvjw", "Muwa 木瓦")</f>
        <v>Muwa 木瓦</v>
      </c>
      <c r="C403" s="80">
        <v>73.0</v>
      </c>
      <c r="D403" s="80">
        <v>71.0</v>
      </c>
      <c r="E403" s="80">
        <v>71.0</v>
      </c>
      <c r="F403" s="80">
        <v>0.0</v>
      </c>
    </row>
    <row r="404">
      <c r="A404" s="80" t="s">
        <v>8120</v>
      </c>
      <c r="B404" s="81" t="str">
        <f>HYPERLINK("https://www.youtube.com/channel/UCtkEA9JraRd852M3VIRTmvg", "Natayi")</f>
        <v>Natayi</v>
      </c>
      <c r="C404" s="80">
        <v>33.0</v>
      </c>
      <c r="D404" s="80">
        <v>17.0</v>
      </c>
      <c r="E404" s="80">
        <v>17.0</v>
      </c>
      <c r="F404" s="80">
        <v>0.0</v>
      </c>
    </row>
    <row r="405">
      <c r="A405" s="80" t="s">
        <v>8121</v>
      </c>
      <c r="B405" s="81" t="str">
        <f>HYPERLINK("https://www.youtube.com/channel/UCZydJPqgDnrwC7WcZX19rAg", "Ocean拍片教學")</f>
        <v>Ocean拍片教學</v>
      </c>
      <c r="C405" s="80">
        <v>53.0</v>
      </c>
      <c r="D405" s="80">
        <v>53.0</v>
      </c>
      <c r="E405" s="80">
        <v>53.0</v>
      </c>
      <c r="F405" s="80">
        <v>0.0</v>
      </c>
    </row>
    <row r="406">
      <c r="A406" s="80" t="s">
        <v>8122</v>
      </c>
      <c r="B406" s="81" t="str">
        <f>HYPERLINK("https://www.youtube.com/channel/UC8kaxtRUL6CRcDBG_5IlFKQ", "Papa Fung's Kitchen")</f>
        <v>Papa Fung's Kitchen</v>
      </c>
      <c r="C406" s="80">
        <v>94.0</v>
      </c>
      <c r="D406" s="80">
        <v>71.0</v>
      </c>
      <c r="E406" s="80">
        <v>71.0</v>
      </c>
      <c r="F406" s="80">
        <v>0.0</v>
      </c>
    </row>
    <row r="407">
      <c r="A407" s="80" t="s">
        <v>8123</v>
      </c>
      <c r="B407" s="81" t="str">
        <f>HYPERLINK("https://www.youtube.com/channel/UC5IZoMHDRHV9j7MYMGNO_Ug", "Pin Cheng Ji")</f>
        <v>Pin Cheng Ji</v>
      </c>
      <c r="C407" s="80">
        <v>1858.0</v>
      </c>
      <c r="D407" s="80">
        <v>156.0</v>
      </c>
      <c r="E407" s="80">
        <v>156.0</v>
      </c>
      <c r="F407" s="80">
        <v>0.0</v>
      </c>
    </row>
    <row r="408">
      <c r="A408" s="80" t="s">
        <v>8124</v>
      </c>
      <c r="B408" s="81" t="str">
        <f>HYPERLINK("https://www.youtube.com/channel/UCm5oNp5xqr4CdtU9L7ZrsKg", "Pinky Talks")</f>
        <v>Pinky Talks</v>
      </c>
      <c r="C408" s="80">
        <v>74.0</v>
      </c>
      <c r="D408" s="80">
        <v>74.0</v>
      </c>
      <c r="E408" s="80">
        <v>74.0</v>
      </c>
      <c r="F408" s="80">
        <v>0.0</v>
      </c>
    </row>
    <row r="409">
      <c r="A409" s="80" t="s">
        <v>8125</v>
      </c>
      <c r="B409" s="81" t="str">
        <f>HYPERLINK("https://www.youtube.com/channel/UCTiPpo3GYFgLq0WrvwyLVYw", "Professor PowPow")</f>
        <v>Professor PowPow</v>
      </c>
      <c r="C409" s="80">
        <v>1.0</v>
      </c>
      <c r="D409" s="80">
        <v>1.0</v>
      </c>
      <c r="E409" s="80">
        <v>1.0</v>
      </c>
      <c r="F409" s="80">
        <v>0.0</v>
      </c>
    </row>
    <row r="410">
      <c r="A410" s="80" t="s">
        <v>8126</v>
      </c>
      <c r="B410" s="81" t="str">
        <f>HYPERLINK("https://www.youtube.com/channel/UCnmxrvocX00L0t8AszdDyMw", "Pumpkin Jenn")</f>
        <v>Pumpkin Jenn</v>
      </c>
      <c r="C410" s="80">
        <v>5.0</v>
      </c>
      <c r="D410" s="80">
        <v>3.0</v>
      </c>
      <c r="E410" s="80">
        <v>3.0</v>
      </c>
      <c r="F410" s="80">
        <v>0.0</v>
      </c>
    </row>
    <row r="411">
      <c r="A411" s="80" t="s">
        <v>8127</v>
      </c>
      <c r="B411" s="81" t="str">
        <f>HYPERLINK("https://www.youtube.com/channel/UCIGUFivK2exiseCZLpfkaew", "REV Channel")</f>
        <v>REV Channel</v>
      </c>
      <c r="C411" s="80">
        <v>247.0</v>
      </c>
      <c r="D411" s="80">
        <v>247.0</v>
      </c>
      <c r="E411" s="80">
        <v>247.0</v>
      </c>
      <c r="F411" s="80">
        <v>0.0</v>
      </c>
    </row>
    <row r="412">
      <c r="A412" s="80" t="s">
        <v>8128</v>
      </c>
      <c r="B412" s="81" t="str">
        <f>HYPERLINK("https://www.youtube.com/channel/UCJcKh9mwJH4zhHsU4NDs54g", "Rumii Ch. 如月ルミィ【HKVTuber】")</f>
        <v>Rumii Ch. 如月ルミィ【HKVTuber】</v>
      </c>
      <c r="C412" s="80">
        <v>1.0</v>
      </c>
      <c r="D412" s="80">
        <v>1.0</v>
      </c>
      <c r="E412" s="80">
        <v>1.0</v>
      </c>
      <c r="F412" s="80">
        <v>0.0</v>
      </c>
    </row>
    <row r="413">
      <c r="A413" s="80" t="s">
        <v>8129</v>
      </c>
      <c r="B413" s="81" t="str">
        <f>HYPERLINK("https://www.youtube.com/channel/UCVrT9B8C4ax83pRQt3Nrr6Q", "Samantha Vlog")</f>
        <v>Samantha Vlog</v>
      </c>
      <c r="C413" s="80">
        <v>81.0</v>
      </c>
      <c r="D413" s="80">
        <v>71.0</v>
      </c>
      <c r="E413" s="80">
        <v>71.0</v>
      </c>
      <c r="F413" s="80">
        <v>0.0</v>
      </c>
    </row>
    <row r="414">
      <c r="A414" s="80" t="s">
        <v>8130</v>
      </c>
      <c r="B414" s="81" t="str">
        <f>HYPERLINK("https://www.youtube.com/channel/UCQa-7tpKlLW3pnPGAyMPgsA", "Saya ch. 榎川幸【香港VTuber】")</f>
        <v>Saya ch. 榎川幸【香港VTuber】</v>
      </c>
      <c r="C414" s="80">
        <v>1.0</v>
      </c>
      <c r="D414" s="80">
        <v>1.0</v>
      </c>
      <c r="E414" s="80">
        <v>1.0</v>
      </c>
      <c r="F414" s="80">
        <v>0.0</v>
      </c>
    </row>
    <row r="415">
      <c r="A415" s="80" t="s">
        <v>8131</v>
      </c>
      <c r="B415" s="81" t="str">
        <f>HYPERLINK("https://www.youtube.com/channel/UC1FYgG76SB9H7uDf55Mo3Xw", "SkyyerTV")</f>
        <v>SkyyerTV</v>
      </c>
      <c r="C415" s="80">
        <v>1.0</v>
      </c>
      <c r="D415" s="80">
        <v>1.0</v>
      </c>
      <c r="E415" s="80">
        <v>1.0</v>
      </c>
      <c r="F415" s="80">
        <v>0.0</v>
      </c>
    </row>
    <row r="416">
      <c r="A416" s="80" t="s">
        <v>8132</v>
      </c>
      <c r="B416" s="81" t="str">
        <f>HYPERLINK("https://www.youtube.com/channel/UC1YY9hJoczkVVx0eG3y5Aag", "Studio Deepest Japan")</f>
        <v>Studio Deepest Japan</v>
      </c>
      <c r="C416" s="80">
        <v>131.0</v>
      </c>
      <c r="D416" s="80">
        <v>122.0</v>
      </c>
      <c r="E416" s="80">
        <v>122.0</v>
      </c>
      <c r="F416" s="80">
        <v>0.0</v>
      </c>
    </row>
    <row r="417">
      <c r="A417" s="80" t="s">
        <v>8133</v>
      </c>
      <c r="B417" s="81" t="str">
        <f>HYPERLINK("https://www.youtube.com/channel/UCQxnuIUnpkGNXSptfh4IyNA", "The Active Factory")</f>
        <v>The Active Factory</v>
      </c>
      <c r="C417" s="80">
        <v>29.0</v>
      </c>
      <c r="D417" s="80">
        <v>29.0</v>
      </c>
      <c r="E417" s="80">
        <v>29.0</v>
      </c>
      <c r="F417" s="80">
        <v>0.0</v>
      </c>
    </row>
    <row r="418">
      <c r="A418" s="80" t="s">
        <v>8134</v>
      </c>
      <c r="B418" s="81" t="str">
        <f>HYPERLINK("https://www.youtube.com/channel/UC_7E_ls1UMGuXfyKMQkGczQ", "Tony &amp; Karen's Kitchen")</f>
        <v>Tony &amp; Karen's Kitchen</v>
      </c>
      <c r="C418" s="80">
        <v>191.0</v>
      </c>
      <c r="D418" s="80">
        <v>25.0</v>
      </c>
      <c r="E418" s="80">
        <v>25.0</v>
      </c>
      <c r="F418" s="80">
        <v>0.0</v>
      </c>
    </row>
    <row r="419">
      <c r="A419" s="80" t="s">
        <v>8135</v>
      </c>
      <c r="B419" s="81" t="str">
        <f>HYPERLINK("https://www.youtube.com/channel/UC4ABi-kCsS1rsAaJ-W4a3uA", "Too Simple Sometimes Naive")</f>
        <v>Too Simple Sometimes Naive</v>
      </c>
      <c r="C419" s="80">
        <v>20.0</v>
      </c>
      <c r="D419" s="80">
        <v>20.0</v>
      </c>
      <c r="E419" s="80">
        <v>20.0</v>
      </c>
      <c r="F419" s="80">
        <v>0.0</v>
      </c>
    </row>
    <row r="420">
      <c r="A420" s="80" t="s">
        <v>8136</v>
      </c>
      <c r="B420" s="81" t="str">
        <f>HYPERLINK("https://www.youtube.com/channel/UCh3U6lbJfWUWnmRvA570M2g", "William Leung")</f>
        <v>William Leung</v>
      </c>
      <c r="C420" s="80">
        <v>179.0</v>
      </c>
      <c r="D420" s="80">
        <v>179.0</v>
      </c>
      <c r="E420" s="80">
        <v>179.0</v>
      </c>
      <c r="F420" s="80">
        <v>0.0</v>
      </c>
    </row>
    <row r="421">
      <c r="A421" s="80" t="s">
        <v>8137</v>
      </c>
      <c r="B421" s="81" t="str">
        <f>HYPERLINK("https://www.youtube.com/channel/UC_8PBvehd9zqytNoqCRrTTQ", "Woowoo Tasty 烏烏有煮意")</f>
        <v>Woowoo Tasty 烏烏有煮意</v>
      </c>
      <c r="C421" s="80">
        <v>71.0</v>
      </c>
      <c r="D421" s="80">
        <v>38.0</v>
      </c>
      <c r="E421" s="80">
        <v>38.0</v>
      </c>
      <c r="F421" s="80">
        <v>0.0</v>
      </c>
    </row>
    <row r="422">
      <c r="A422" s="80" t="s">
        <v>8138</v>
      </c>
      <c r="B422" s="81" t="str">
        <f>HYPERLINK("https://www.youtube.com/channel/UCFVD5DCRJhJc9UJ2_ju7iTA", "Zhonggor Kelvin")</f>
        <v>Zhonggor Kelvin</v>
      </c>
      <c r="C422" s="80">
        <v>6.0</v>
      </c>
      <c r="D422" s="80">
        <v>5.0</v>
      </c>
      <c r="E422" s="80">
        <v>5.0</v>
      </c>
      <c r="F422" s="80">
        <v>0.0</v>
      </c>
    </row>
    <row r="423">
      <c r="A423" s="80" t="s">
        <v>8139</v>
      </c>
      <c r="B423" s="81" t="str">
        <f>HYPERLINK("https://www.youtube.com/channel/UCvGEK5_U-kLgO6-AMDPeTUQ", "emi wong")</f>
        <v>emi wong</v>
      </c>
      <c r="C423" s="80">
        <v>153.0</v>
      </c>
      <c r="D423" s="80">
        <v>86.0</v>
      </c>
      <c r="E423" s="80">
        <v>86.0</v>
      </c>
      <c r="F423" s="80">
        <v>0.0</v>
      </c>
    </row>
    <row r="424">
      <c r="A424" s="80" t="s">
        <v>8140</v>
      </c>
      <c r="B424" s="81" t="str">
        <f>HYPERLINK("https://www.youtube.com/channel/UCNKyJ4oYDRAuG1EO_H_Edvg", "jumbo Tsang")</f>
        <v>jumbo Tsang</v>
      </c>
      <c r="C424" s="80">
        <v>6.0</v>
      </c>
      <c r="D424" s="80">
        <v>6.0</v>
      </c>
      <c r="E424" s="80">
        <v>6.0</v>
      </c>
      <c r="F424" s="80">
        <v>0.0</v>
      </c>
    </row>
    <row r="425">
      <c r="A425" s="80" t="s">
        <v>8141</v>
      </c>
      <c r="B425" s="81" t="str">
        <f>HYPERLINK("https://www.youtube.com/channel/UCrmJ2lG1QU7fD9-wTEvlK5w", "kayan c")</f>
        <v>kayan c</v>
      </c>
      <c r="C425" s="80">
        <v>1.0</v>
      </c>
      <c r="D425" s="80">
        <v>1.0</v>
      </c>
      <c r="E425" s="80">
        <v>1.0</v>
      </c>
      <c r="F425" s="80">
        <v>0.0</v>
      </c>
    </row>
    <row r="426">
      <c r="A426" s="80" t="s">
        <v>8142</v>
      </c>
      <c r="B426" s="81" t="str">
        <f>HYPERLINK("https://www.youtube.com/channel/UCGPU0Z-UjKI2S03npo1QpcA", "lizzydaily")</f>
        <v>lizzydaily</v>
      </c>
      <c r="C426" s="80">
        <v>30.0</v>
      </c>
      <c r="D426" s="80">
        <v>29.0</v>
      </c>
      <c r="E426" s="80">
        <v>29.0</v>
      </c>
      <c r="F426" s="80">
        <v>0.0</v>
      </c>
    </row>
    <row r="427">
      <c r="A427" s="80" t="s">
        <v>8143</v>
      </c>
      <c r="B427" s="81" t="str">
        <f>HYPERLINK("https://www.youtube.com/channel/UCm3i0ZCpxV4trgsEbS86W5Q", "mandies kwok 肥蛙")</f>
        <v>mandies kwok 肥蛙</v>
      </c>
      <c r="C427" s="80">
        <v>2.0</v>
      </c>
      <c r="D427" s="80">
        <v>2.0</v>
      </c>
      <c r="E427" s="80">
        <v>2.0</v>
      </c>
      <c r="F427" s="80">
        <v>0.0</v>
      </c>
    </row>
    <row r="428">
      <c r="A428" s="80" t="s">
        <v>8144</v>
      </c>
      <c r="B428" s="81" t="str">
        <f>HYPERLINK("https://www.youtube.com/channel/UCLCVwXiFvMLniYWwncYjVJQ", "moLiuFamily")</f>
        <v>moLiuFamily</v>
      </c>
      <c r="C428" s="80">
        <v>3.0</v>
      </c>
      <c r="D428" s="80">
        <v>1.0</v>
      </c>
      <c r="E428" s="80">
        <v>1.0</v>
      </c>
      <c r="F428" s="80">
        <v>0.0</v>
      </c>
    </row>
    <row r="429">
      <c r="A429" s="80" t="s">
        <v>8145</v>
      </c>
      <c r="B429" s="81" t="str">
        <f>HYPERLINK("https://www.youtube.com/channel/UC0yuyhUuU1EFhjrZWCQgx7Q", "ritatse’s diary")</f>
        <v>ritatse’s diary</v>
      </c>
      <c r="C429" s="80">
        <v>1.0</v>
      </c>
      <c r="D429" s="80">
        <v>1.0</v>
      </c>
      <c r="E429" s="80">
        <v>1.0</v>
      </c>
      <c r="F429" s="80">
        <v>0.0</v>
      </c>
    </row>
    <row r="430">
      <c r="A430" s="80" t="s">
        <v>8146</v>
      </c>
      <c r="B430" s="81" t="str">
        <f>HYPERLINK("https://www.youtube.com/channel/UCiSUSUuutg_w-nSILsvMKnw", "suechangg")</f>
        <v>suechangg</v>
      </c>
      <c r="C430" s="80">
        <v>2.0</v>
      </c>
      <c r="D430" s="80">
        <v>1.0</v>
      </c>
      <c r="E430" s="80">
        <v>1.0</v>
      </c>
      <c r="F430" s="80">
        <v>0.0</v>
      </c>
    </row>
    <row r="431">
      <c r="A431" s="80" t="s">
        <v>8147</v>
      </c>
      <c r="B431" s="81" t="str">
        <f>HYPERLINK("https://www.youtube.com/channel/UCTx-C6YEBUup7FfvQJ-cX-A", "リンモク 鈴木 Lingmuk【廣東話學習Vlog】")</f>
        <v>リンモク 鈴木 Lingmuk【廣東話學習Vlog】</v>
      </c>
      <c r="C431" s="80">
        <v>2.0</v>
      </c>
      <c r="D431" s="80">
        <v>2.0</v>
      </c>
      <c r="E431" s="80">
        <v>2.0</v>
      </c>
      <c r="F431" s="80">
        <v>0.0</v>
      </c>
    </row>
    <row r="432">
      <c r="A432" s="80" t="s">
        <v>8148</v>
      </c>
      <c r="B432" s="81" t="str">
        <f>HYPERLINK("https://www.youtube.com/channel/UC-wxkbvhtnhowEss1w4Aw-g", "今日講呢啲")</f>
        <v>今日講呢啲</v>
      </c>
      <c r="C432" s="80">
        <v>11.0</v>
      </c>
      <c r="D432" s="80">
        <v>11.0</v>
      </c>
      <c r="E432" s="80">
        <v>11.0</v>
      </c>
      <c r="F432" s="80">
        <v>0.0</v>
      </c>
    </row>
    <row r="433">
      <c r="A433" s="80" t="s">
        <v>8149</v>
      </c>
      <c r="B433" s="81" t="str">
        <f>HYPERLINK("https://www.youtube.com/channel/UC1pc01BkHmhJJHFi2Cy7bhw", "佳厨房ChiaKitchen")</f>
        <v>佳厨房ChiaKitchen</v>
      </c>
      <c r="C433" s="80">
        <v>69.0</v>
      </c>
      <c r="D433" s="80">
        <v>69.0</v>
      </c>
      <c r="E433" s="80">
        <v>69.0</v>
      </c>
      <c r="F433" s="80">
        <v>0.0</v>
      </c>
    </row>
    <row r="434">
      <c r="A434" s="80" t="s">
        <v>8150</v>
      </c>
      <c r="B434" s="81" t="str">
        <f>HYPERLINK("https://www.youtube.com/channel/UCGMUK4NgQK3uZGzkI8by-7Q", "咪豬世界")</f>
        <v>咪豬世界</v>
      </c>
      <c r="C434" s="80">
        <v>1.0</v>
      </c>
      <c r="D434" s="80">
        <v>1.0</v>
      </c>
      <c r="E434" s="80">
        <v>1.0</v>
      </c>
      <c r="F434" s="80">
        <v>0.0</v>
      </c>
    </row>
    <row r="435">
      <c r="A435" s="80" t="s">
        <v>8151</v>
      </c>
      <c r="B435" s="81" t="str">
        <f>HYPERLINK("https://www.youtube.com/channel/UCiqebUABtSU4rFUPOxr2p3A", "品味空間 Taste Interior Design")</f>
        <v>品味空間 Taste Interior Design</v>
      </c>
      <c r="C435" s="80">
        <v>78.0</v>
      </c>
      <c r="D435" s="80">
        <v>78.0</v>
      </c>
      <c r="E435" s="80">
        <v>78.0</v>
      </c>
      <c r="F435" s="80">
        <v>0.0</v>
      </c>
    </row>
    <row r="436">
      <c r="A436" s="80" t="s">
        <v>8152</v>
      </c>
      <c r="B436" s="81" t="str">
        <f>HYPERLINK("https://www.youtube.com/channel/UC7TMEY69xRgqAZ-2EFU4l_A", "喵喵廚房Catopus's Kitchen")</f>
        <v>喵喵廚房Catopus's Kitchen</v>
      </c>
      <c r="C436" s="80">
        <v>20.0</v>
      </c>
      <c r="D436" s="80">
        <v>18.0</v>
      </c>
      <c r="E436" s="80">
        <v>18.0</v>
      </c>
      <c r="F436" s="80">
        <v>0.0</v>
      </c>
    </row>
    <row r="437">
      <c r="A437" s="80" t="s">
        <v>8153</v>
      </c>
      <c r="B437" s="81" t="str">
        <f>HYPERLINK("https://www.youtube.com/channel/UCbN-VJJUPC1Cgw9ztWRdFOA", "地下室貓娘咖啡廳")</f>
        <v>地下室貓娘咖啡廳</v>
      </c>
      <c r="C437" s="80">
        <v>26.0</v>
      </c>
      <c r="D437" s="80">
        <v>21.0</v>
      </c>
      <c r="E437" s="80">
        <v>21.0</v>
      </c>
      <c r="F437" s="80">
        <v>0.0</v>
      </c>
    </row>
    <row r="438">
      <c r="A438" s="80" t="s">
        <v>8154</v>
      </c>
      <c r="B438" s="81" t="str">
        <f>HYPERLINK("https://www.youtube.com/channel/UCt2NdUg_4OLOFMVf_OGf2KA", "培仔Jacky")</f>
        <v>培仔Jacky</v>
      </c>
      <c r="C438" s="80">
        <v>10.0</v>
      </c>
      <c r="D438" s="80">
        <v>3.0</v>
      </c>
      <c r="E438" s="80">
        <v>3.0</v>
      </c>
      <c r="F438" s="80">
        <v>0.0</v>
      </c>
    </row>
    <row r="439">
      <c r="A439" s="80" t="s">
        <v>8155</v>
      </c>
      <c r="B439" s="81" t="str">
        <f>HYPERLINK("https://www.youtube.com/channel/UCROfhHaU-wvnBsfUWsPWQew", "大C廚房 The BiC Kitchen")</f>
        <v>大C廚房 The BiC Kitchen</v>
      </c>
      <c r="C439" s="80">
        <v>140.0</v>
      </c>
      <c r="D439" s="80">
        <v>140.0</v>
      </c>
      <c r="E439" s="80">
        <v>140.0</v>
      </c>
      <c r="F439" s="80">
        <v>0.0</v>
      </c>
    </row>
    <row r="440">
      <c r="A440" s="80" t="s">
        <v>8156</v>
      </c>
      <c r="B440" s="81" t="str">
        <f>HYPERLINK("https://www.youtube.com/channel/UCbPjpaVDaPRYstDy7Rt9bFQ", "大匠夫 MakerSoulHK")</f>
        <v>大匠夫 MakerSoulHK</v>
      </c>
      <c r="C440" s="80">
        <v>81.0</v>
      </c>
      <c r="D440" s="80">
        <v>80.0</v>
      </c>
      <c r="E440" s="80">
        <v>80.0</v>
      </c>
      <c r="F440" s="80">
        <v>0.0</v>
      </c>
    </row>
    <row r="441">
      <c r="A441" s="80" t="s">
        <v>8157</v>
      </c>
      <c r="B441" s="81" t="str">
        <f>HYPERLINK("https://www.youtube.com/channel/UCYMcTN3A930mbpwNZCPL8gw", "天一神龍宮 Tin Yat Dragon Taoism")</f>
        <v>天一神龍宮 Tin Yat Dragon Taoism</v>
      </c>
      <c r="C441" s="80">
        <v>3.0</v>
      </c>
      <c r="D441" s="80">
        <v>2.0</v>
      </c>
      <c r="E441" s="80">
        <v>2.0</v>
      </c>
      <c r="F441" s="80">
        <v>0.0</v>
      </c>
    </row>
    <row r="442">
      <c r="A442" s="80" t="s">
        <v>8158</v>
      </c>
      <c r="B442" s="81" t="str">
        <f>HYPERLINK("https://www.youtube.com/channel/UCKO3Z2NpwxRafHHGkA_jeIg", "宅 ‧ 旅孩 Ripped Room Girl")</f>
        <v>宅 ‧ 旅孩 Ripped Room Girl</v>
      </c>
      <c r="C442" s="80">
        <v>45.0</v>
      </c>
      <c r="D442" s="80">
        <v>44.0</v>
      </c>
      <c r="E442" s="80">
        <v>44.0</v>
      </c>
      <c r="F442" s="80">
        <v>0.0</v>
      </c>
    </row>
    <row r="443">
      <c r="A443" s="80" t="s">
        <v>8159</v>
      </c>
      <c r="B443" s="81" t="str">
        <f>HYPERLINK("https://www.youtube.com/channel/UCFXWZX6JgH2unZBmgv5ydzQ", "小旺士多 siuwong")</f>
        <v>小旺士多 siuwong</v>
      </c>
      <c r="C443" s="80">
        <v>2.0</v>
      </c>
      <c r="D443" s="80">
        <v>1.0</v>
      </c>
      <c r="E443" s="80">
        <v>1.0</v>
      </c>
      <c r="F443" s="80">
        <v>0.0</v>
      </c>
    </row>
    <row r="444">
      <c r="A444" s="80" t="s">
        <v>8160</v>
      </c>
      <c r="B444" s="81" t="str">
        <f>HYPERLINK("https://www.youtube.com/channel/UCN3XrwD2o1HR-snBgcpmIHQ", "小英新食尚")</f>
        <v>小英新食尚</v>
      </c>
      <c r="C444" s="80">
        <v>20.0</v>
      </c>
      <c r="D444" s="80">
        <v>2.0</v>
      </c>
      <c r="E444" s="80">
        <v>2.0</v>
      </c>
      <c r="F444" s="80">
        <v>0.0</v>
      </c>
    </row>
    <row r="445">
      <c r="A445" s="80" t="s">
        <v>8161</v>
      </c>
      <c r="B445" s="81" t="str">
        <f>HYPERLINK("https://www.youtube.com/channel/UCOOzVNnAm0z6v1ImCftzWnw", "平民遊戲工作室 | Ordinary Gaming Studio")</f>
        <v>平民遊戲工作室 | Ordinary Gaming Studio</v>
      </c>
      <c r="C445" s="80">
        <v>11.0</v>
      </c>
      <c r="D445" s="80">
        <v>9.0</v>
      </c>
      <c r="E445" s="80">
        <v>9.0</v>
      </c>
      <c r="F445" s="80">
        <v>0.0</v>
      </c>
    </row>
    <row r="446">
      <c r="A446" s="80" t="s">
        <v>8162</v>
      </c>
      <c r="B446" s="81" t="str">
        <f>HYPERLINK("https://www.youtube.com/channel/UCDufxgd5cAYCS61ed8lcA-Q", "廚職背遊梁芷靈 BackpaCooking")</f>
        <v>廚職背遊梁芷靈 BackpaCooking</v>
      </c>
      <c r="C446" s="80">
        <v>2.0</v>
      </c>
      <c r="D446" s="80">
        <v>1.0</v>
      </c>
      <c r="E446" s="80">
        <v>1.0</v>
      </c>
      <c r="F446" s="80">
        <v>0.0</v>
      </c>
    </row>
    <row r="447">
      <c r="A447" s="80" t="s">
        <v>8163</v>
      </c>
      <c r="B447" s="81" t="str">
        <f>HYPERLINK("https://www.youtube.com/channel/UCgQqWQM2Dx7SZG5_i40-7lQ", "張敬軒 Hins Cheung")</f>
        <v>張敬軒 Hins Cheung</v>
      </c>
      <c r="C447" s="80">
        <v>21.0</v>
      </c>
      <c r="D447" s="80">
        <v>16.0</v>
      </c>
      <c r="E447" s="80">
        <v>16.0</v>
      </c>
      <c r="F447" s="80">
        <v>0.0</v>
      </c>
    </row>
    <row r="448">
      <c r="A448" s="80" t="s">
        <v>8164</v>
      </c>
      <c r="B448" s="81" t="str">
        <f>HYPERLINK("https://www.youtube.com/channel/UCgwOhn9ghL2jY5qJEzpzSzw", "恩雨之聲 SOBEM")</f>
        <v>恩雨之聲 SOBEM</v>
      </c>
      <c r="C448" s="80">
        <v>1326.0</v>
      </c>
      <c r="D448" s="80">
        <v>1317.0</v>
      </c>
      <c r="E448" s="80">
        <v>1317.0</v>
      </c>
      <c r="F448" s="80">
        <v>0.0</v>
      </c>
    </row>
    <row r="449">
      <c r="A449" s="80" t="s">
        <v>8165</v>
      </c>
      <c r="B449" s="81" t="str">
        <f>HYPERLINK("https://www.youtube.com/channel/UCHcN_iwZT8EC4HgZDpayf_g", "悠楠媽媽")</f>
        <v>悠楠媽媽</v>
      </c>
      <c r="C449" s="80">
        <v>54.0</v>
      </c>
      <c r="D449" s="80">
        <v>54.0</v>
      </c>
      <c r="E449" s="80">
        <v>54.0</v>
      </c>
      <c r="F449" s="80">
        <v>0.0</v>
      </c>
    </row>
    <row r="450">
      <c r="A450" s="80" t="s">
        <v>8166</v>
      </c>
      <c r="B450" s="81" t="str">
        <f>HYPERLINK("https://www.youtube.com/channel/UCbhvD0L6cyMgCzMFnZl5LBw", "放假去邊OpenHolidays")</f>
        <v>放假去邊OpenHolidays</v>
      </c>
      <c r="C450" s="80">
        <v>21.0</v>
      </c>
      <c r="D450" s="80">
        <v>21.0</v>
      </c>
      <c r="E450" s="80">
        <v>21.0</v>
      </c>
      <c r="F450" s="80">
        <v>0.0</v>
      </c>
    </row>
    <row r="451">
      <c r="A451" s="80" t="s">
        <v>8167</v>
      </c>
      <c r="B451" s="81" t="str">
        <f>HYPERLINK("https://www.youtube.com/channel/UCKRg8-2T8Cg1b6AcLXfLHFA", "教煮蘇 This is So good")</f>
        <v>教煮蘇 This is So good</v>
      </c>
      <c r="C451" s="80">
        <v>83.0</v>
      </c>
      <c r="D451" s="80">
        <v>82.0</v>
      </c>
      <c r="E451" s="80">
        <v>82.0</v>
      </c>
      <c r="F451" s="80">
        <v>0.0</v>
      </c>
    </row>
    <row r="452">
      <c r="A452" s="80" t="s">
        <v>8168</v>
      </c>
      <c r="B452" s="81" t="str">
        <f>HYPERLINK("https://www.youtube.com/channel/UCHoFileUAn9bi3wUHPgvOzw", "有啖好食 Perfect Continuous Eat")</f>
        <v>有啖好食 Perfect Continuous Eat</v>
      </c>
      <c r="C452" s="80">
        <v>2.0</v>
      </c>
      <c r="D452" s="80">
        <v>1.0</v>
      </c>
      <c r="E452" s="80">
        <v>1.0</v>
      </c>
      <c r="F452" s="80">
        <v>0.0</v>
      </c>
    </row>
    <row r="453">
      <c r="A453" s="80" t="s">
        <v>8169</v>
      </c>
      <c r="B453" s="81" t="str">
        <f>HYPERLINK("https://www.youtube.com/channel/UCi_rwttsJtJlukdoYeiaI4Q", "李婉華 Anita Lee")</f>
        <v>李婉華 Anita Lee</v>
      </c>
      <c r="C453" s="80">
        <v>9.0</v>
      </c>
      <c r="D453" s="80">
        <v>7.0</v>
      </c>
      <c r="E453" s="80">
        <v>7.0</v>
      </c>
      <c r="F453" s="80">
        <v>0.0</v>
      </c>
    </row>
    <row r="454">
      <c r="A454" s="80" t="s">
        <v>8170</v>
      </c>
      <c r="B454" s="81" t="str">
        <f>HYPERLINK("https://www.youtube.com/channel/UCajzkk_Rxm4kzBW7HTT4JXg", "格物 Blank in Blank")</f>
        <v>格物 Blank in Blank</v>
      </c>
      <c r="C454" s="80">
        <v>51.0</v>
      </c>
      <c r="D454" s="80">
        <v>50.0</v>
      </c>
      <c r="E454" s="80">
        <v>50.0</v>
      </c>
      <c r="F454" s="80">
        <v>0.0</v>
      </c>
    </row>
    <row r="455">
      <c r="A455" s="80" t="s">
        <v>8171</v>
      </c>
      <c r="B455" s="81" t="str">
        <f>HYPERLINK("https://www.youtube.com/channel/UCVGS9KB-5x8vmZlcvc2vWgQ", "比利時Belgium Dickson")</f>
        <v>比利時Belgium Dickson</v>
      </c>
      <c r="C455" s="80">
        <v>16.0</v>
      </c>
      <c r="D455" s="80">
        <v>15.0</v>
      </c>
      <c r="E455" s="80">
        <v>15.0</v>
      </c>
      <c r="F455" s="80">
        <v>0.0</v>
      </c>
    </row>
    <row r="456">
      <c r="A456" s="80" t="s">
        <v>8172</v>
      </c>
      <c r="B456" s="81" t="str">
        <f>HYPERLINK("https://www.youtube.com/channel/UCJHolkQ95CDWq8UZZMBrqXw", "泰山自煮 tarzancooks")</f>
        <v>泰山自煮 tarzancooks</v>
      </c>
      <c r="C456" s="80">
        <v>270.0</v>
      </c>
      <c r="D456" s="80">
        <v>266.0</v>
      </c>
      <c r="E456" s="80">
        <v>266.0</v>
      </c>
      <c r="F456" s="80">
        <v>0.0</v>
      </c>
    </row>
    <row r="457">
      <c r="A457" s="80" t="s">
        <v>8173</v>
      </c>
      <c r="B457" s="81" t="str">
        <f>HYPERLINK("https://www.youtube.com/channel/UCXDQojAB3faJeGnSUXZBGXQ", "洪嘉豪 Hung Kaho")</f>
        <v>洪嘉豪 Hung Kaho</v>
      </c>
      <c r="C457" s="80">
        <v>6.0</v>
      </c>
      <c r="D457" s="80">
        <v>6.0</v>
      </c>
      <c r="E457" s="80">
        <v>6.0</v>
      </c>
      <c r="F457" s="80">
        <v>0.0</v>
      </c>
    </row>
    <row r="458">
      <c r="A458" s="80" t="s">
        <v>8174</v>
      </c>
      <c r="B458" s="81" t="str">
        <f>HYPERLINK("https://www.youtube.com/channel/UCoUnIZfY14AGstKnPRxlaxQ", "煮家男人 Bob's Your Uncle")</f>
        <v>煮家男人 Bob's Your Uncle</v>
      </c>
      <c r="C458" s="80">
        <v>4.0</v>
      </c>
      <c r="D458" s="80">
        <v>4.0</v>
      </c>
      <c r="E458" s="80">
        <v>4.0</v>
      </c>
      <c r="F458" s="80">
        <v>0.0</v>
      </c>
    </row>
    <row r="459">
      <c r="A459" s="80" t="s">
        <v>8175</v>
      </c>
      <c r="B459" s="81" t="str">
        <f>HYPERLINK("https://www.youtube.com/channel/UC4ROxiohn1f-lWq81cefhpA", "王老師知識天地")</f>
        <v>王老師知識天地</v>
      </c>
      <c r="C459" s="80">
        <v>39.0</v>
      </c>
      <c r="D459" s="80">
        <v>39.0</v>
      </c>
      <c r="E459" s="80">
        <v>39.0</v>
      </c>
      <c r="F459" s="80">
        <v>0.0</v>
      </c>
    </row>
    <row r="460">
      <c r="A460" s="80" t="s">
        <v>8176</v>
      </c>
      <c r="B460" s="81" t="str">
        <f>HYPERLINK("https://www.youtube.com/channel/UC7K4DBOzdITZFOjGkea_CCA", "眾新聞")</f>
        <v>眾新聞</v>
      </c>
      <c r="C460" s="80">
        <v>2.0</v>
      </c>
      <c r="D460" s="80">
        <v>2.0</v>
      </c>
      <c r="E460" s="80">
        <v>2.0</v>
      </c>
      <c r="F460" s="80">
        <v>0.0</v>
      </c>
    </row>
    <row r="461">
      <c r="A461" s="80" t="s">
        <v>8177</v>
      </c>
      <c r="B461" s="81" t="str">
        <f>HYPERLINK("https://www.youtube.com/channel/UCGGDvBP3e9GYXYp8w6BiAeQ", "簡易煮播生活 Simple Cooking Beautiful Life")</f>
        <v>簡易煮播生活 Simple Cooking Beautiful Life</v>
      </c>
      <c r="C461" s="80">
        <v>32.0</v>
      </c>
      <c r="D461" s="80">
        <v>32.0</v>
      </c>
      <c r="E461" s="80">
        <v>32.0</v>
      </c>
      <c r="F461" s="80">
        <v>0.0</v>
      </c>
    </row>
    <row r="462">
      <c r="A462" s="80" t="s">
        <v>8178</v>
      </c>
      <c r="B462" s="81" t="str">
        <f>HYPERLINK("https://www.youtube.com/channel/UCGKZBiAkSYd1v1O_5vFky7A", "米紙")</f>
        <v>米紙</v>
      </c>
      <c r="C462" s="80">
        <v>253.0</v>
      </c>
      <c r="D462" s="80">
        <v>253.0</v>
      </c>
      <c r="E462" s="80">
        <v>253.0</v>
      </c>
      <c r="F462" s="80">
        <v>0.0</v>
      </c>
    </row>
    <row r="463">
      <c r="A463" s="80" t="s">
        <v>8179</v>
      </c>
      <c r="B463" s="81" t="str">
        <f>HYPERLINK("https://www.youtube.com/channel/UCf-G-lvuCwQslttLvwJi9mw", "美恩媽媽的簡單料理 Mama Grace's Easy Cooking")</f>
        <v>美恩媽媽的簡單料理 Mama Grace's Easy Cooking</v>
      </c>
      <c r="C463" s="80">
        <v>3.0</v>
      </c>
      <c r="D463" s="80">
        <v>3.0</v>
      </c>
      <c r="E463" s="80">
        <v>3.0</v>
      </c>
      <c r="F463" s="80">
        <v>0.0</v>
      </c>
    </row>
    <row r="464">
      <c r="A464" s="80" t="s">
        <v>8180</v>
      </c>
      <c r="B464" s="81" t="str">
        <f>HYPERLINK("https://www.youtube.com/channel/UCdhFetgKx0vxIH2okOXvFEw", "肥仔Law的鬼馬車評Law Car Reviews")</f>
        <v>肥仔Law的鬼馬車評Law Car Reviews</v>
      </c>
      <c r="C464" s="80">
        <v>5.0</v>
      </c>
      <c r="D464" s="80">
        <v>5.0</v>
      </c>
      <c r="E464" s="80">
        <v>5.0</v>
      </c>
      <c r="F464" s="80">
        <v>0.0</v>
      </c>
    </row>
    <row r="465">
      <c r="A465" s="80" t="s">
        <v>8181</v>
      </c>
      <c r="B465" s="81" t="str">
        <f>HYPERLINK("https://www.youtube.com/channel/UCjLkpp3Id5TFr-662wjnx2g", "脊醫王鳳恩Dr. Matty Wong - Chiropractor")</f>
        <v>脊醫王鳳恩Dr. Matty Wong - Chiropractor</v>
      </c>
      <c r="C465" s="80">
        <v>18.0</v>
      </c>
      <c r="D465" s="80">
        <v>13.0</v>
      </c>
      <c r="E465" s="80">
        <v>13.0</v>
      </c>
      <c r="F465" s="80">
        <v>0.0</v>
      </c>
    </row>
    <row r="466">
      <c r="A466" s="80" t="s">
        <v>8182</v>
      </c>
      <c r="B466" s="81" t="str">
        <f>HYPERLINK("https://www.youtube.com/channel/UCSO_n2RGr59ivm5HY3rlhDA", "英國獅子山Lionrockhill UK")</f>
        <v>英國獅子山Lionrockhill UK</v>
      </c>
      <c r="C466" s="80">
        <v>4.0</v>
      </c>
      <c r="D466" s="80">
        <v>4.0</v>
      </c>
      <c r="E466" s="80">
        <v>4.0</v>
      </c>
      <c r="F466" s="80">
        <v>0.0</v>
      </c>
    </row>
    <row r="467">
      <c r="A467" s="80" t="s">
        <v>8183</v>
      </c>
      <c r="B467" s="81" t="str">
        <f>HYPERLINK("https://www.youtube.com/channel/UC560zuSqIOkilVdrAaCndNg", "蝦條哥")</f>
        <v>蝦條哥</v>
      </c>
      <c r="C467" s="80">
        <v>11.0</v>
      </c>
      <c r="D467" s="80">
        <v>8.0</v>
      </c>
      <c r="E467" s="80">
        <v>8.0</v>
      </c>
      <c r="F467" s="80">
        <v>0.0</v>
      </c>
    </row>
    <row r="468">
      <c r="A468" s="80" t="s">
        <v>8184</v>
      </c>
      <c r="B468" s="81" t="str">
        <f>HYPERLINK("https://www.youtube.com/channel/UCqG6xsWE9zqs4lVmgC5HQLg", "衛詩雅 Michelle Wai")</f>
        <v>衛詩雅 Michelle Wai</v>
      </c>
      <c r="C468" s="80">
        <v>5.0</v>
      </c>
      <c r="D468" s="80">
        <v>2.0</v>
      </c>
      <c r="E468" s="80">
        <v>2.0</v>
      </c>
      <c r="F468" s="80">
        <v>0.0</v>
      </c>
    </row>
    <row r="469">
      <c r="A469" s="80" t="s">
        <v>8185</v>
      </c>
      <c r="B469" s="81" t="str">
        <f>HYPERLINK("https://www.youtube.com/channel/UCtokllq2j9bzPD6XdcQP9mQ", "解密工作室")</f>
        <v>解密工作室</v>
      </c>
      <c r="C469" s="80">
        <v>99.0</v>
      </c>
      <c r="D469" s="80">
        <v>99.0</v>
      </c>
      <c r="E469" s="80">
        <v>99.0</v>
      </c>
      <c r="F469" s="80">
        <v>0.0</v>
      </c>
    </row>
    <row r="470">
      <c r="A470" s="80" t="s">
        <v>8186</v>
      </c>
      <c r="B470" s="81" t="str">
        <f>HYPERLINK("https://www.youtube.com/channel/UCcfdsRaC34Y4IKTiihYxBrQ", "試當真Trial &amp; Error")</f>
        <v>試當真Trial &amp; Error</v>
      </c>
      <c r="C470" s="80">
        <v>47.0</v>
      </c>
      <c r="D470" s="80">
        <v>26.0</v>
      </c>
      <c r="E470" s="80">
        <v>26.0</v>
      </c>
      <c r="F470" s="80">
        <v>0.0</v>
      </c>
    </row>
    <row r="471">
      <c r="A471" s="80" t="s">
        <v>8187</v>
      </c>
      <c r="B471" s="81" t="str">
        <f>HYPERLINK("https://www.youtube.com/channel/UCR6Tl_nu_6PaicKSPm8S7GQ", "語音研究所")</f>
        <v>語音研究所</v>
      </c>
      <c r="C471" s="80">
        <v>6.0</v>
      </c>
      <c r="D471" s="80">
        <v>6.0</v>
      </c>
      <c r="E471" s="80">
        <v>6.0</v>
      </c>
      <c r="F471" s="80">
        <v>0.0</v>
      </c>
    </row>
    <row r="472">
      <c r="A472" s="80" t="s">
        <v>8188</v>
      </c>
      <c r="B472" s="81" t="str">
        <f>HYPERLINK("https://www.youtube.com/channel/UC2B1EFBwwLRoJo4ufGuisTQ", "財智研究社")</f>
        <v>財智研究社</v>
      </c>
      <c r="C472" s="80">
        <v>7.0</v>
      </c>
      <c r="D472" s="80">
        <v>7.0</v>
      </c>
      <c r="E472" s="80">
        <v>7.0</v>
      </c>
      <c r="F472" s="80">
        <v>0.0</v>
      </c>
    </row>
    <row r="473">
      <c r="A473" s="80" t="s">
        <v>8189</v>
      </c>
      <c r="B473" s="81" t="str">
        <f>HYPERLINK("https://www.youtube.com/channel/UCogtkZ9ZR5ZIu-V-c4a8sVg", "鍾嘉欣 Linda Chung")</f>
        <v>鍾嘉欣 Linda Chung</v>
      </c>
      <c r="C473" s="80">
        <v>44.0</v>
      </c>
      <c r="D473" s="80">
        <v>39.0</v>
      </c>
      <c r="E473" s="80">
        <v>39.0</v>
      </c>
      <c r="F473" s="80">
        <v>0.0</v>
      </c>
    </row>
    <row r="474">
      <c r="A474" s="80" t="s">
        <v>8190</v>
      </c>
      <c r="B474" s="81" t="str">
        <f>HYPERLINK("https://www.youtube.com/channel/UCS8WprrGeExAwlAqDJB0LBw", "陳蕾Panther Chan")</f>
        <v>陳蕾Panther Chan</v>
      </c>
      <c r="C474" s="80">
        <v>4.0</v>
      </c>
      <c r="D474" s="80">
        <v>4.0</v>
      </c>
      <c r="E474" s="80">
        <v>4.0</v>
      </c>
      <c r="F474" s="80">
        <v>0.0</v>
      </c>
    </row>
    <row r="475">
      <c r="A475" s="80" t="s">
        <v>8191</v>
      </c>
      <c r="B475" s="81" t="str">
        <f>HYPERLINK("https://www.youtube.com/channel/UCOHJyhZqFyHrcZCgdtmi_YA", "雨僑Ava Liu")</f>
        <v>雨僑Ava Liu</v>
      </c>
      <c r="C475" s="80">
        <v>2.0</v>
      </c>
      <c r="D475" s="80">
        <v>2.0</v>
      </c>
      <c r="E475" s="80">
        <v>2.0</v>
      </c>
      <c r="F475" s="80">
        <v>0.0</v>
      </c>
    </row>
    <row r="476">
      <c r="A476" s="80" t="s">
        <v>8192</v>
      </c>
      <c r="B476" s="81" t="str">
        <f>HYPERLINK("https://www.youtube.com/channel/UCQJfzDyVJ9WQAPujC2y_Zww", "駕輛 UpCar")</f>
        <v>駕輛 UpCar</v>
      </c>
      <c r="C476" s="80">
        <v>466.0</v>
      </c>
      <c r="D476" s="80">
        <v>466.0</v>
      </c>
      <c r="E476" s="80">
        <v>466.0</v>
      </c>
      <c r="F476" s="80">
        <v>0.0</v>
      </c>
    </row>
    <row r="477">
      <c r="A477" s="80" t="s">
        <v>8193</v>
      </c>
      <c r="B477" s="81" t="str">
        <f>HYPERLINK("https://www.youtube.com/channel/UCiUKF8-UTY0U1JoAgPncBKg", "🐽朱朱 Kei chu chu")</f>
        <v>🐽朱朱 Kei chu chu</v>
      </c>
      <c r="C477" s="80">
        <v>2.0</v>
      </c>
      <c r="D477" s="80">
        <v>2.0</v>
      </c>
      <c r="E477" s="80">
        <v>2.0</v>
      </c>
      <c r="F477" s="80">
        <v>0.0</v>
      </c>
    </row>
  </sheetData>
  <customSheetViews>
    <customSheetView guid="{8B5C86B2-AF48-4DB1-8BA4-F95A01AB89A2}" filter="1" showAutoFilter="1">
      <autoFilter ref="$A$1:$F$477">
        <sortState ref="A1:F477">
          <sortCondition descending="1" ref="C1:C477"/>
          <sortCondition descending="1" ref="B1:B477"/>
        </sortState>
      </autoFilter>
    </customSheetView>
    <customSheetView guid="{D544782B-2758-4EB5-8A5E-ED8F7150460C}" filter="1" showAutoFilter="1">
      <autoFilter ref="$A$1:$F$477">
        <sortState ref="A1:F477">
          <sortCondition descending="1" ref="F1:F477"/>
          <sortCondition descending="1" ref="E1:E477"/>
        </sortState>
      </autoFilter>
    </customSheetView>
  </customSheetViews>
  <drawing r:id="rId1"/>
</worksheet>
</file>